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6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codeName="ThisWorkbook"/>
  <bookViews>
    <workbookView xWindow="0" yWindow="0" windowWidth="28800" windowHeight="12435" activeTab="1"/>
  </bookViews>
  <sheets>
    <sheet name="Tableau de bord" sheetId="1" r:id="rId1"/>
    <sheet name="TCD Tableau de bord" sheetId="4" r:id="rId2"/>
    <sheet name="Données salariés" sheetId="3" r:id="rId3"/>
  </sheets>
  <definedNames>
    <definedName name="BMIcategories">#REF!</definedName>
    <definedName name="Datededébut">'Tableau de bord'!#REF!</definedName>
    <definedName name="Datesouhaitée">'Tableau de bord'!#REF!</definedName>
    <definedName name="Dernièredate">INDEX('Données salariés'!$B:$B,MATCH(9.999E+307,'Données salariés'!$B:$B),1)</definedName>
    <definedName name="Ilpourcent">'Tableau de bord'!$G$42</definedName>
    <definedName name="IMC">'Tableau de bord'!#REF!</definedName>
    <definedName name="_xlnm.Print_Titles" localSheetId="2">'Données salariés'!#REF!</definedName>
    <definedName name="Inches">'Tableau de bord'!#REF!</definedName>
    <definedName name="Nombretotaldejours">'Tableau de bord'!#REF!</definedName>
    <definedName name="Période">'Tableau de bord'!#REF!</definedName>
    <definedName name="Pieds">'Tableau de bord'!#REF!</definedName>
    <definedName name="Poids">'Tableau de bord'!#REF!</definedName>
    <definedName name="Poidsàjour">INDEX('Données salariés'!$C:$C,MATCH(9.999E+307,'Données salariés'!$C:$C),1)</definedName>
    <definedName name="Poidscible">'Tableau de bord'!#REF!</definedName>
    <definedName name="Taille">'Tableau de bord'!#REF!</definedName>
    <definedName name="Unitésdepériode">'Tableau de bord'!#REF!</definedName>
    <definedName name="WeightToGo">'Tableau de bord'!$G$35</definedName>
    <definedName name="_xlnm.Print_Area" localSheetId="2">Données[#All]</definedName>
    <definedName name="_xlnm.Print_Area" localSheetId="0">'Tableau de bord'!$B$2:$K$65</definedName>
  </definedNames>
  <calcPr calcId="152511"/>
  <pivotCaches>
    <pivotCache cacheId="0" r:id="rId4"/>
  </pivotCaches>
</workbook>
</file>

<file path=xl/calcChain.xml><?xml version="1.0" encoding="utf-8"?>
<calcChain xmlns="http://schemas.openxmlformats.org/spreadsheetml/2006/main">
  <c r="D9" i="1" l="1"/>
  <c r="D25" i="1" l="1"/>
  <c r="C25" i="1"/>
  <c r="D36" i="1" l="1"/>
  <c r="D37" i="1"/>
  <c r="C36" i="1"/>
  <c r="C37" i="1"/>
  <c r="D31" i="1"/>
  <c r="D33" i="1"/>
  <c r="D30" i="1"/>
  <c r="D27" i="1"/>
  <c r="D24" i="1"/>
  <c r="D21" i="1"/>
  <c r="D18" i="1"/>
  <c r="C33" i="1"/>
  <c r="C30" i="1"/>
  <c r="C27" i="1"/>
  <c r="C24" i="1"/>
  <c r="C21" i="1"/>
  <c r="C18" i="1"/>
  <c r="D32" i="1"/>
  <c r="D29" i="1"/>
  <c r="D26" i="1"/>
  <c r="D23" i="1"/>
  <c r="D20" i="1"/>
  <c r="D17" i="1"/>
  <c r="C20" i="1"/>
  <c r="C32" i="1"/>
  <c r="C29" i="1"/>
  <c r="C26" i="1"/>
  <c r="C23" i="1"/>
  <c r="C17" i="1"/>
  <c r="D28" i="1"/>
  <c r="D22" i="1"/>
  <c r="D19" i="1"/>
  <c r="D16" i="1"/>
  <c r="C31" i="1"/>
  <c r="C28" i="1"/>
  <c r="C22" i="1"/>
  <c r="C19" i="1"/>
  <c r="C16" i="1"/>
  <c r="D13" i="1"/>
  <c r="D12" i="1"/>
  <c r="C13" i="1"/>
  <c r="C12" i="1"/>
  <c r="D8" i="1"/>
  <c r="C9" i="1"/>
  <c r="C8" i="1"/>
  <c r="C5" i="1"/>
  <c r="D5" i="1"/>
  <c r="G37" i="1" s="1"/>
  <c r="G36" i="1" l="1"/>
  <c r="G32" i="1"/>
  <c r="G8" i="1"/>
  <c r="G12" i="1"/>
  <c r="G9" i="1"/>
  <c r="G22" i="1"/>
  <c r="G25" i="1"/>
  <c r="G16" i="1"/>
  <c r="G28" i="1"/>
  <c r="G13" i="1"/>
  <c r="G19" i="1"/>
  <c r="G31" i="1"/>
  <c r="E3" i="3"/>
  <c r="E4" i="3"/>
  <c r="E5" i="3"/>
  <c r="E6" i="3"/>
  <c r="E7" i="3"/>
  <c r="E8" i="3"/>
  <c r="E9" i="3"/>
  <c r="E10" i="3"/>
  <c r="C54" i="1" l="1"/>
  <c r="D51" i="1"/>
  <c r="C51" i="1"/>
  <c r="C46" i="1"/>
  <c r="D50" i="1"/>
  <c r="C50" i="1"/>
  <c r="C49" i="1"/>
  <c r="D49" i="1"/>
  <c r="C48" i="1"/>
  <c r="D48" i="1"/>
  <c r="C47" i="1"/>
  <c r="D47" i="1"/>
  <c r="D46" i="1"/>
</calcChain>
</file>

<file path=xl/sharedStrings.xml><?xml version="1.0" encoding="utf-8"?>
<sst xmlns="http://schemas.openxmlformats.org/spreadsheetml/2006/main" count="134" uniqueCount="101">
  <si>
    <t>F</t>
  </si>
  <si>
    <t>Consultante</t>
  </si>
  <si>
    <t>H</t>
  </si>
  <si>
    <t>Consultant</t>
  </si>
  <si>
    <t>confirmé</t>
  </si>
  <si>
    <t>senior</t>
  </si>
  <si>
    <t>junior</t>
  </si>
  <si>
    <t>DRH</t>
  </si>
  <si>
    <t>NOM</t>
  </si>
  <si>
    <t>PRENOM</t>
  </si>
  <si>
    <t>DATE DE NAISSANCE</t>
  </si>
  <si>
    <t>SEXE</t>
  </si>
  <si>
    <t>DATE D'ENTREE</t>
  </si>
  <si>
    <t>FONCTION</t>
  </si>
  <si>
    <t>NIVEAU</t>
  </si>
  <si>
    <t>DIRECTION</t>
  </si>
  <si>
    <t>Laurent</t>
  </si>
  <si>
    <t>Isabelle</t>
  </si>
  <si>
    <t>Nathalie</t>
  </si>
  <si>
    <t>Camille</t>
  </si>
  <si>
    <t>DUBOIS</t>
  </si>
  <si>
    <t>Stéphane</t>
  </si>
  <si>
    <t>directeur</t>
  </si>
  <si>
    <t>assistante</t>
  </si>
  <si>
    <t>ETP</t>
  </si>
  <si>
    <t>Cadre</t>
  </si>
  <si>
    <t>Non Cadre</t>
  </si>
  <si>
    <t>AGE</t>
  </si>
  <si>
    <t>LES EFFECTIFS</t>
  </si>
  <si>
    <t>EFFECTIF TOTAL</t>
  </si>
  <si>
    <t>TOTAL</t>
  </si>
  <si>
    <t>PAR SEXE</t>
  </si>
  <si>
    <t>PAR STATUT</t>
  </si>
  <si>
    <t>STATUT</t>
  </si>
  <si>
    <t>PAR FONCTION ET SEXE</t>
  </si>
  <si>
    <t>CONSULTANTS JUNIORS (CJ)</t>
  </si>
  <si>
    <t>CONSULTANTS CONFIRMES (CC)</t>
  </si>
  <si>
    <t>CONSULTANTS SENIORS (CS)</t>
  </si>
  <si>
    <t>RESPONSABLES DE POLE (RP)</t>
  </si>
  <si>
    <t>DIRECTEURS (DIR)</t>
  </si>
  <si>
    <t>ASSISTANTES / AUTRES (ASS/Autre)</t>
  </si>
  <si>
    <t>CADRES</t>
  </si>
  <si>
    <t>NON CADRES</t>
  </si>
  <si>
    <t>FEMMES</t>
  </si>
  <si>
    <t>HOMMES</t>
  </si>
  <si>
    <t>CJ Femmes</t>
  </si>
  <si>
    <t>CJ Hommes</t>
  </si>
  <si>
    <t>CC Femmes</t>
  </si>
  <si>
    <t>CC Hommes</t>
  </si>
  <si>
    <t>CS Femmes</t>
  </si>
  <si>
    <t>CS Hommes</t>
  </si>
  <si>
    <t>RP Femmes</t>
  </si>
  <si>
    <t>RP Hommes</t>
  </si>
  <si>
    <t>DIR Femmes</t>
  </si>
  <si>
    <t>DIR Hommes</t>
  </si>
  <si>
    <t>ASS/Autre Femmes</t>
  </si>
  <si>
    <t>ASS/Autres Hommes</t>
  </si>
  <si>
    <t>LES RATIOS</t>
  </si>
  <si>
    <t>PART DE L'EFFECTIF</t>
  </si>
  <si>
    <t>CJ</t>
  </si>
  <si>
    <t>CC</t>
  </si>
  <si>
    <t>CS</t>
  </si>
  <si>
    <t>RP</t>
  </si>
  <si>
    <t>DIR</t>
  </si>
  <si>
    <t>ASS/AUTRES</t>
  </si>
  <si>
    <t>LA PYRAMIDE DES ÂGES</t>
  </si>
  <si>
    <t>Homme</t>
  </si>
  <si>
    <t>Femme</t>
  </si>
  <si>
    <t>26-35 ans</t>
  </si>
  <si>
    <t>36-45 ans</t>
  </si>
  <si>
    <t>46-55 ans</t>
  </si>
  <si>
    <t>56-65 ans</t>
  </si>
  <si>
    <t>Plus 65 ans</t>
  </si>
  <si>
    <t>Moins de 25 ans</t>
  </si>
  <si>
    <t>PAR TEMPS DE TRAVAIL</t>
  </si>
  <si>
    <t>TEMPS PLEIN</t>
  </si>
  <si>
    <t>TEMPS PARTIEL</t>
  </si>
  <si>
    <t>AGE MOYEN</t>
  </si>
  <si>
    <t>ZORA</t>
  </si>
  <si>
    <t>FERNANDEZ</t>
  </si>
  <si>
    <t>OZY</t>
  </si>
  <si>
    <t>STANILAS</t>
  </si>
  <si>
    <t>DUPONT</t>
  </si>
  <si>
    <t>DURANT</t>
  </si>
  <si>
    <t>ZIAD</t>
  </si>
  <si>
    <t>Liliane</t>
  </si>
  <si>
    <t>Magalie</t>
  </si>
  <si>
    <t xml:space="preserve">Julie </t>
  </si>
  <si>
    <t>Financière</t>
  </si>
  <si>
    <t>Communication</t>
  </si>
  <si>
    <t>RH</t>
  </si>
  <si>
    <t>Assistante</t>
  </si>
  <si>
    <t>Responsable</t>
  </si>
  <si>
    <t>MOIS</t>
  </si>
  <si>
    <t>Mettre en place liste déroulante et mise à jour des données</t>
  </si>
  <si>
    <t>responsable</t>
  </si>
  <si>
    <t>Somme de ETP</t>
  </si>
  <si>
    <t>Total</t>
  </si>
  <si>
    <t>E.T.P.</t>
  </si>
  <si>
    <t>Nombre de SEXE</t>
  </si>
  <si>
    <t>RATIO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</si>
</sst>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1" x14ac:knownFonts="1">
    <font>
      <sz val="10"/>
      <color theme="6"/>
      <name val="Verdana"/>
      <family val="2"/>
      <scheme val="minor"/>
    </font>
    <font>
      <sz val="11"/>
      <color rgb="FF3F3F76"/>
      <name val="Verdana"/>
      <family val="2"/>
      <scheme val="minor"/>
    </font>
    <font>
      <b/>
      <sz val="11"/>
      <color theme="0"/>
      <name val="Verdana"/>
      <family val="2"/>
      <scheme val="minor"/>
    </font>
    <font>
      <sz val="10"/>
      <color theme="6"/>
      <name val="Verdana"/>
      <family val="2"/>
      <scheme val="minor"/>
    </font>
    <font>
      <b/>
      <sz val="10"/>
      <color theme="4"/>
      <name val="Verdana"/>
      <family val="2"/>
      <scheme val="minor"/>
    </font>
    <font>
      <sz val="8"/>
      <color theme="6"/>
      <name val="Verdana"/>
      <family val="2"/>
      <scheme val="minor"/>
    </font>
    <font>
      <b/>
      <sz val="14"/>
      <color theme="6"/>
      <name val="Verdana"/>
      <family val="2"/>
      <scheme val="minor"/>
    </font>
    <font>
      <b/>
      <sz val="9"/>
      <color theme="5"/>
      <name val="Verdana"/>
      <family val="2"/>
      <scheme val="minor"/>
    </font>
    <font>
      <b/>
      <u/>
      <sz val="12"/>
      <color theme="3"/>
      <name val="Verdana"/>
      <family val="2"/>
      <scheme val="minor"/>
    </font>
    <font>
      <b/>
      <sz val="12"/>
      <color theme="3"/>
      <name val="Verdana"/>
      <family val="2"/>
      <scheme val="minor"/>
    </font>
    <font>
      <sz val="10"/>
      <color theme="3"/>
      <name val="Verdana"/>
      <family val="2"/>
      <scheme val="minor"/>
    </font>
    <font>
      <b/>
      <sz val="9"/>
      <color theme="3"/>
      <name val="Verdana"/>
      <family val="2"/>
      <scheme val="minor"/>
    </font>
    <font>
      <b/>
      <sz val="33"/>
      <color theme="3"/>
      <name val="Verdana"/>
      <family val="2"/>
      <scheme val="minor"/>
    </font>
    <font>
      <b/>
      <sz val="10"/>
      <color theme="3"/>
      <name val="Verdana"/>
      <family val="2"/>
      <scheme val="minor"/>
    </font>
    <font>
      <b/>
      <sz val="8"/>
      <color theme="3"/>
      <name val="Verdana"/>
      <family val="2"/>
      <scheme val="minor"/>
    </font>
    <font>
      <i/>
      <sz val="8"/>
      <color theme="3"/>
      <name val="Verdana"/>
      <family val="2"/>
      <scheme val="minor"/>
    </font>
    <font>
      <i/>
      <sz val="10"/>
      <color theme="3"/>
      <name val="Verdana"/>
      <family val="2"/>
      <scheme val="minor"/>
    </font>
    <font>
      <b/>
      <i/>
      <sz val="33"/>
      <color theme="3"/>
      <name val="Verdana"/>
      <family val="2"/>
      <scheme val="minor"/>
    </font>
    <font>
      <sz val="8"/>
      <color theme="3"/>
      <name val="Verdana"/>
      <family val="2"/>
      <scheme val="minor"/>
    </font>
    <font>
      <outline/>
      <shadow/>
      <sz val="10"/>
      <color theme="3"/>
      <name val="Verdana"/>
      <family val="2"/>
      <scheme val="minor"/>
    </font>
    <font>
      <sz val="10"/>
      <color theme="4" tint="0.79998168889431442"/>
      <name val="Verdana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3999450666829432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-0.24994659260841701"/>
        <bgColor indexed="64"/>
      </patternFill>
    </fill>
  </fills>
  <borders count="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/>
      <right/>
      <top/>
      <bottom style="double">
        <color theme="0" tint="-0.34998626667073579"/>
      </bottom>
      <diagonal/>
    </border>
    <border>
      <left/>
      <right/>
      <top style="double">
        <color theme="0" tint="-0.34998626667073579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</borders>
  <cellStyleXfs count="10">
    <xf numFmtId="0" fontId="0" fillId="0" borderId="0" applyFill="0" applyBorder="0" applyProtection="0">
      <alignment vertical="center"/>
    </xf>
    <xf numFmtId="0" fontId="2" fillId="5" borderId="0" applyNumberFormat="0" applyProtection="0">
      <alignment vertical="center"/>
    </xf>
    <xf numFmtId="0" fontId="1" fillId="2" borderId="1" applyNumberFormat="0" applyAlignment="0" applyProtection="0"/>
    <xf numFmtId="0" fontId="7" fillId="0" borderId="0" applyNumberFormat="0" applyFill="0" applyProtection="0">
      <alignment vertical="center"/>
    </xf>
    <xf numFmtId="0" fontId="4" fillId="0" borderId="0" applyNumberFormat="0" applyProtection="0">
      <alignment vertical="center"/>
    </xf>
    <xf numFmtId="0" fontId="6" fillId="0" borderId="0" applyNumberFormat="0" applyProtection="0">
      <alignment vertical="center"/>
    </xf>
    <xf numFmtId="0" fontId="3" fillId="3" borderId="0" applyNumberFormat="0" applyBorder="0" applyProtection="0">
      <alignment horizontal="left" vertical="center"/>
    </xf>
    <xf numFmtId="0" fontId="3" fillId="4" borderId="0" applyNumberFormat="0" applyBorder="0" applyProtection="0">
      <alignment horizontal="left" vertical="center"/>
    </xf>
    <xf numFmtId="0" fontId="5" fillId="0" borderId="2">
      <alignment horizontal="left" vertical="center"/>
    </xf>
    <xf numFmtId="9" fontId="3" fillId="0" borderId="0" applyFont="0" applyFill="0" applyBorder="0" applyAlignment="0" applyProtection="0"/>
  </cellStyleXfs>
  <cellXfs count="48">
    <xf numFmtId="0" fontId="0" fillId="0" borderId="0" xfId="0">
      <alignment vertical="center"/>
    </xf>
    <xf numFmtId="0" fontId="8" fillId="0" borderId="0" xfId="0" applyFont="1">
      <alignment vertical="center"/>
    </xf>
    <xf numFmtId="0" fontId="9" fillId="0" borderId="0" xfId="0" applyFont="1">
      <alignment vertical="center"/>
    </xf>
    <xf numFmtId="0" fontId="10" fillId="0" borderId="0" xfId="0" applyFont="1">
      <alignment vertical="center"/>
    </xf>
    <xf numFmtId="0" fontId="9" fillId="0" borderId="3" xfId="3" applyFont="1" applyBorder="1" applyAlignment="1">
      <alignment vertical="center"/>
    </xf>
    <xf numFmtId="0" fontId="11" fillId="0" borderId="3" xfId="3" applyFont="1" applyBorder="1" applyAlignment="1">
      <alignment vertical="center"/>
    </xf>
    <xf numFmtId="0" fontId="11" fillId="0" borderId="0" xfId="3" applyFont="1" applyAlignment="1">
      <alignment vertical="center"/>
    </xf>
    <xf numFmtId="9" fontId="12" fillId="0" borderId="4" xfId="4" applyNumberFormat="1" applyFont="1" applyBorder="1" applyAlignment="1">
      <alignment vertical="center"/>
    </xf>
    <xf numFmtId="0" fontId="13" fillId="0" borderId="0" xfId="0" applyFont="1">
      <alignment vertical="center"/>
    </xf>
    <xf numFmtId="0" fontId="13" fillId="0" borderId="0" xfId="0" applyFont="1" applyAlignment="1">
      <alignment horizontal="center" vertical="center"/>
    </xf>
    <xf numFmtId="9" fontId="12" fillId="0" borderId="0" xfId="4" applyNumberFormat="1" applyFont="1" applyBorder="1" applyAlignment="1">
      <alignment horizontal="center" vertical="center"/>
    </xf>
    <xf numFmtId="0" fontId="14" fillId="0" borderId="5" xfId="0" applyFont="1" applyBorder="1" applyAlignment="1">
      <alignment horizontal="left" vertical="center"/>
    </xf>
    <xf numFmtId="0" fontId="13" fillId="0" borderId="5" xfId="0" applyFont="1" applyBorder="1" applyAlignment="1">
      <alignment horizontal="center" vertical="center"/>
    </xf>
    <xf numFmtId="0" fontId="14" fillId="0" borderId="5" xfId="8" applyFont="1" applyBorder="1">
      <alignment horizontal="left" vertical="center"/>
    </xf>
    <xf numFmtId="9" fontId="13" fillId="0" borderId="5" xfId="9" applyFont="1" applyBorder="1" applyAlignment="1">
      <alignment vertical="center"/>
    </xf>
    <xf numFmtId="0" fontId="14" fillId="0" borderId="5" xfId="8" applyFont="1" applyFill="1" applyBorder="1">
      <alignment horizontal="left" vertical="center"/>
    </xf>
    <xf numFmtId="9" fontId="13" fillId="0" borderId="0" xfId="9" applyFont="1" applyAlignment="1">
      <alignment vertical="center"/>
    </xf>
    <xf numFmtId="0" fontId="13" fillId="0" borderId="0" xfId="0" applyFont="1" applyAlignment="1">
      <alignment horizontal="right" vertical="center"/>
    </xf>
    <xf numFmtId="0" fontId="15" fillId="0" borderId="5" xfId="8" applyFont="1" applyFill="1" applyBorder="1" applyAlignment="1">
      <alignment horizontal="right" vertical="center"/>
    </xf>
    <xf numFmtId="0" fontId="16" fillId="0" borderId="5" xfId="0" applyFont="1" applyBorder="1" applyAlignment="1">
      <alignment horizontal="right" vertical="center"/>
    </xf>
    <xf numFmtId="0" fontId="16" fillId="0" borderId="0" xfId="0" applyFont="1">
      <alignment vertical="center"/>
    </xf>
    <xf numFmtId="9" fontId="17" fillId="0" borderId="0" xfId="4" applyNumberFormat="1" applyFont="1" applyBorder="1" applyAlignment="1">
      <alignment horizontal="center" vertical="center"/>
    </xf>
    <xf numFmtId="0" fontId="16" fillId="0" borderId="5" xfId="0" applyFont="1" applyBorder="1">
      <alignment vertical="center"/>
    </xf>
    <xf numFmtId="0" fontId="18" fillId="0" borderId="0" xfId="8" applyFont="1" applyFill="1" applyBorder="1">
      <alignment horizontal="left" vertical="center"/>
    </xf>
    <xf numFmtId="14" fontId="10" fillId="0" borderId="0" xfId="0" applyNumberFormat="1" applyFont="1">
      <alignment vertical="center"/>
    </xf>
    <xf numFmtId="164" fontId="10" fillId="0" borderId="0" xfId="0" applyNumberFormat="1" applyFont="1">
      <alignment vertical="center"/>
    </xf>
    <xf numFmtId="10" fontId="10" fillId="0" borderId="0" xfId="0" applyNumberFormat="1" applyFont="1">
      <alignment vertical="center"/>
    </xf>
    <xf numFmtId="0" fontId="9" fillId="0" borderId="3" xfId="3" applyFont="1" applyBorder="1">
      <alignment vertical="center"/>
    </xf>
    <xf numFmtId="0" fontId="11" fillId="0" borderId="3" xfId="3" applyFont="1" applyBorder="1">
      <alignment vertical="center"/>
    </xf>
    <xf numFmtId="0" fontId="10" fillId="0" borderId="3" xfId="0" applyFont="1" applyBorder="1">
      <alignment vertical="center"/>
    </xf>
    <xf numFmtId="0" fontId="13" fillId="0" borderId="6" xfId="0" applyFont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2" fontId="10" fillId="0" borderId="0" xfId="0" applyNumberFormat="1" applyFont="1" applyAlignment="1">
      <alignment horizontal="center" vertical="center"/>
    </xf>
    <xf numFmtId="0" fontId="13" fillId="0" borderId="0" xfId="5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14" fontId="10" fillId="0" borderId="0" xfId="0" applyNumberFormat="1" applyFont="1" applyAlignment="1">
      <alignment horizontal="center" vertical="center"/>
    </xf>
    <xf numFmtId="0" fontId="10" fillId="0" borderId="0" xfId="0" applyNumberFormat="1" applyFont="1" applyAlignment="1">
      <alignment horizontal="center" vertical="center"/>
    </xf>
    <xf numFmtId="0" fontId="10" fillId="0" borderId="0" xfId="7" applyFont="1" applyFill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14" fontId="19" fillId="0" borderId="0" xfId="0" applyNumberFormat="1" applyFont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0" fontId="0" fillId="0" borderId="0" xfId="0" applyNumberFormat="1">
      <alignment vertical="center"/>
    </xf>
    <xf numFmtId="0" fontId="0" fillId="0" borderId="0" xfId="0" pivotButton="1">
      <alignment vertical="center"/>
    </xf>
    <xf numFmtId="0" fontId="0" fillId="0" borderId="0" xfId="0" applyAlignment="1">
      <alignment horizontal="left" vertical="center"/>
    </xf>
    <xf numFmtId="0" fontId="20" fillId="0" borderId="0" xfId="0" applyFont="1">
      <alignment vertical="center"/>
    </xf>
    <xf numFmtId="10" fontId="0" fillId="0" borderId="0" xfId="0" applyNumberFormat="1">
      <alignment vertical="center"/>
    </xf>
  </cellXfs>
  <cellStyles count="10">
    <cellStyle name="20 % - Accent1" xfId="6" builtinId="30" customBuiltin="1"/>
    <cellStyle name="20 % - Accent2" xfId="7" builtinId="34" customBuiltin="1"/>
    <cellStyle name="Data Labels" xfId="8"/>
    <cellStyle name="Entrée" xfId="2" builtinId="20" customBuiltin="1"/>
    <cellStyle name="Normal" xfId="0" builtinId="0" customBuiltin="1"/>
    <cellStyle name="Pourcentage" xfId="9" builtinId="5"/>
    <cellStyle name="Titre 1" xfId="1" builtinId="16" customBuiltin="1"/>
    <cellStyle name="Titre 2" xfId="4" builtinId="17" customBuiltin="1"/>
    <cellStyle name="Titre 3" xfId="3" builtinId="18" customBuiltin="1"/>
    <cellStyle name="Titre 4" xfId="5" builtinId="19" customBuiltin="1"/>
  </cellStyles>
  <dxfs count="18">
    <dxf>
      <font>
        <strike val="0"/>
        <u val="none"/>
        <vertAlign val="baseline"/>
        <sz val="10"/>
        <color theme="3"/>
        <name val="Verdana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Verdana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Verdana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/>
        <shadow/>
        <u val="none"/>
        <vertAlign val="baseline"/>
        <sz val="10"/>
        <color theme="3"/>
        <name val="Verdana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/>
        <shadow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strike val="0"/>
        <outline/>
        <shadow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strike val="0"/>
        <outline/>
        <shadow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numFmt numFmtId="14" formatCode="0.00%"/>
    </dxf>
    <dxf>
      <font>
        <color theme="4" tint="0.79998168889431442"/>
      </font>
    </dxf>
    <dxf>
      <font>
        <b/>
        <i/>
        <color theme="6"/>
      </font>
      <border diagonalUp="0" diagonalDown="0">
        <left/>
        <right/>
        <top style="double">
          <color theme="0" tint="-0.14996795556505021"/>
        </top>
        <bottom style="thin">
          <color theme="0" tint="-0.14996795556505021"/>
        </bottom>
        <vertical/>
        <horizontal/>
      </border>
    </dxf>
    <dxf>
      <font>
        <b/>
        <i/>
        <color theme="6"/>
      </font>
      <border diagonalUp="0" diagonalDown="0">
        <left/>
        <right/>
        <top style="thin">
          <color theme="0" tint="-0.14996795556505021"/>
        </top>
        <bottom style="thin">
          <color theme="0" tint="-0.14996795556505021"/>
        </bottom>
        <vertical/>
        <horizontal style="thin">
          <color theme="0" tint="-0.14996795556505021"/>
        </horizontal>
      </border>
    </dxf>
  </dxfs>
  <tableStyles count="1" defaultTableStyle="Weight Loss Tracker" defaultPivotStyle="PivotStyleLight16">
    <tableStyle name="Weight Loss Tracker" pivot="0" count="2">
      <tableStyleElement type="wholeTable" dxfId="17"/>
      <tableStyleElement type="headerRow" dxfId="16"/>
    </tableStyle>
  </tableStyles>
  <colors>
    <mruColors>
      <color rgb="FFFF8181"/>
      <color rgb="FFFED3D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algn="ctr" rtl="0">
              <a:defRPr lang="fr-FR" sz="800" b="1" i="0" u="none" strike="noStrike" kern="1200" baseline="0">
                <a:solidFill>
                  <a:schemeClr val="accent3"/>
                </a:solidFill>
                <a:latin typeface="+mn-lt"/>
                <a:ea typeface="+mn-ea"/>
                <a:cs typeface="+mn-cs"/>
              </a:defRPr>
            </a:pPr>
            <a:r>
              <a:rPr lang="fr-FR" sz="800" b="1" i="0" u="none" strike="noStrike" kern="1200" baseline="0">
                <a:solidFill>
                  <a:schemeClr val="accent3"/>
                </a:solidFill>
                <a:latin typeface="+mn-lt"/>
                <a:ea typeface="+mn-ea"/>
                <a:cs typeface="+mn-cs"/>
              </a:rPr>
              <a:t>Part des Hommes et Femmes dans l'effectif total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explosion val="1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800">
                    <a:latin typeface="Calibri" panose="020F0502020204030204" pitchFamily="34" charset="0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eparator>
</c:separator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'Tableau de bord'!$F$8:$F$9</c:f>
              <c:strCache>
                <c:ptCount val="2"/>
                <c:pt idx="0">
                  <c:v>FEMMES</c:v>
                </c:pt>
                <c:pt idx="1">
                  <c:v>HOMMES</c:v>
                </c:pt>
              </c:strCache>
            </c:strRef>
          </c:cat>
          <c:val>
            <c:numRef>
              <c:f>'Tableau de bord'!$G$8:$G$9</c:f>
              <c:numCache>
                <c:formatCode>0%</c:formatCode>
                <c:ptCount val="2"/>
                <c:pt idx="0">
                  <c:v>0.75816993464052296</c:v>
                </c:pt>
                <c:pt idx="1">
                  <c:v>0.24183006535947715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algn="ctr" rtl="0">
              <a:defRPr lang="fr-FR" sz="800" b="1" i="0" u="none" strike="noStrike" kern="1200" baseline="0">
                <a:solidFill>
                  <a:schemeClr val="accent3"/>
                </a:solidFill>
                <a:latin typeface="+mn-lt"/>
                <a:ea typeface="+mn-ea"/>
                <a:cs typeface="+mn-cs"/>
              </a:defRPr>
            </a:pPr>
            <a:r>
              <a:rPr lang="fr-FR" sz="800" b="1" i="0" u="none" strike="noStrike" kern="1200" baseline="0">
                <a:solidFill>
                  <a:schemeClr val="accent3"/>
                </a:solidFill>
                <a:latin typeface="+mn-lt"/>
                <a:ea typeface="+mn-ea"/>
                <a:cs typeface="+mn-cs"/>
              </a:rPr>
              <a:t>Part des cadres et non cadres dans l'effectif total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explosion val="10"/>
          <c:dLbls>
            <c:dLbl>
              <c:idx val="1"/>
              <c:layout>
                <c:manualLayout>
                  <c:x val="-9.7728512091328393E-2"/>
                  <c:y val="7.5442629898800406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800">
                    <a:latin typeface="Calibri" panose="020F0502020204030204" pitchFamily="34" charset="0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eparator>
</c:separator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'Tableau de bord'!$F$12:$F$13</c:f>
              <c:strCache>
                <c:ptCount val="2"/>
                <c:pt idx="0">
                  <c:v>CADRES</c:v>
                </c:pt>
                <c:pt idx="1">
                  <c:v>NON CADRES</c:v>
                </c:pt>
              </c:strCache>
            </c:strRef>
          </c:cat>
          <c:val>
            <c:numRef>
              <c:f>'Tableau de bord'!$G$12:$G$13</c:f>
              <c:numCache>
                <c:formatCode>0%</c:formatCode>
                <c:ptCount val="2"/>
                <c:pt idx="0">
                  <c:v>0.73856209150326813</c:v>
                </c:pt>
                <c:pt idx="1">
                  <c:v>0.26143790849673204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algn="ctr" rtl="0">
              <a:defRPr lang="fr-FR" sz="800" b="1" i="0" u="none" strike="noStrike" kern="1200" baseline="0">
                <a:solidFill>
                  <a:schemeClr val="accent3"/>
                </a:solidFill>
                <a:latin typeface="+mn-lt"/>
                <a:ea typeface="+mn-ea"/>
                <a:cs typeface="+mn-cs"/>
              </a:defRPr>
            </a:pPr>
            <a:r>
              <a:rPr lang="fr-FR" sz="800" b="1" i="0" u="none" strike="noStrike" kern="1200" baseline="0">
                <a:solidFill>
                  <a:schemeClr val="accent3"/>
                </a:solidFill>
                <a:latin typeface="+mn-lt"/>
                <a:ea typeface="+mn-ea"/>
                <a:cs typeface="+mn-cs"/>
              </a:rPr>
              <a:t>Part des effectifs par fonction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explosion val="10"/>
          <c:dPt>
            <c:idx val="6"/>
            <c:bubble3D val="0"/>
            <c:spPr>
              <a:solidFill>
                <a:schemeClr val="accent2"/>
              </a:solidFill>
            </c:spPr>
          </c:dPt>
          <c:dLbls>
            <c:dLbl>
              <c:idx val="1"/>
              <c:layout>
                <c:manualLayout>
                  <c:x val="-0.19157964477741254"/>
                  <c:y val="0.1862971064847929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700">
                    <a:latin typeface="Calibri" panose="020F0502020204030204" pitchFamily="34" charset="0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eparator>
</c:separator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'Tableau de bord'!$F$16:$F$31</c:f>
              <c:strCache>
                <c:ptCount val="16"/>
                <c:pt idx="0">
                  <c:v>CJ</c:v>
                </c:pt>
                <c:pt idx="3">
                  <c:v>CC</c:v>
                </c:pt>
                <c:pt idx="6">
                  <c:v>CS</c:v>
                </c:pt>
                <c:pt idx="9">
                  <c:v>RP</c:v>
                </c:pt>
                <c:pt idx="12">
                  <c:v>DIR</c:v>
                </c:pt>
                <c:pt idx="15">
                  <c:v>ASS/AUTRES</c:v>
                </c:pt>
              </c:strCache>
            </c:strRef>
          </c:cat>
          <c:val>
            <c:numRef>
              <c:f>'Tableau de bord'!$G$16:$G$31</c:f>
              <c:numCache>
                <c:formatCode>0%</c:formatCode>
                <c:ptCount val="16"/>
                <c:pt idx="0">
                  <c:v>0.23529411764705885</c:v>
                </c:pt>
                <c:pt idx="3">
                  <c:v>0.13071895424836602</c:v>
                </c:pt>
                <c:pt idx="6">
                  <c:v>0.24183006535947715</c:v>
                </c:pt>
                <c:pt idx="9">
                  <c:v>0</c:v>
                </c:pt>
                <c:pt idx="12">
                  <c:v>0.13071895424836602</c:v>
                </c:pt>
                <c:pt idx="15">
                  <c:v>0.13071895424836602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algn="ctr" rtl="0">
              <a:defRPr lang="fr-FR" sz="800" b="1" i="0" u="none" strike="noStrike" kern="1200" baseline="0">
                <a:solidFill>
                  <a:schemeClr val="accent3"/>
                </a:solidFill>
                <a:latin typeface="+mn-lt"/>
                <a:ea typeface="+mn-ea"/>
                <a:cs typeface="+mn-cs"/>
              </a:defRPr>
            </a:pPr>
            <a:r>
              <a:rPr lang="fr-FR" sz="800" b="1" i="0" u="none" strike="noStrike" kern="1200" baseline="0">
                <a:solidFill>
                  <a:schemeClr val="accent3"/>
                </a:solidFill>
                <a:latin typeface="+mn-lt"/>
                <a:ea typeface="+mn-ea"/>
                <a:cs typeface="+mn-cs"/>
              </a:rPr>
              <a:t>Pyramide des âges</a:t>
            </a:r>
          </a:p>
        </c:rich>
      </c:tx>
      <c:overlay val="0"/>
    </c:title>
    <c:autoTitleDeleted val="0"/>
    <c:plotArea>
      <c:layout/>
      <c:barChart>
        <c:barDir val="bar"/>
        <c:grouping val="clustered"/>
        <c:varyColors val="0"/>
        <c:ser>
          <c:idx val="1"/>
          <c:order val="1"/>
          <c:tx>
            <c:strRef>
              <c:f>'Tableau de bord'!$D$45</c:f>
              <c:strCache>
                <c:ptCount val="1"/>
                <c:pt idx="0">
                  <c:v>Femme</c:v>
                </c:pt>
              </c:strCache>
            </c:strRef>
          </c:tx>
          <c:spPr>
            <a:ln>
              <a:solidFill>
                <a:schemeClr val="bg1"/>
              </a:solidFill>
            </a:ln>
          </c:spPr>
          <c:invertIfNegative val="0"/>
          <c:cat>
            <c:strRef>
              <c:f>'Tableau de bord'!$B$46:$B$51</c:f>
              <c:strCache>
                <c:ptCount val="6"/>
                <c:pt idx="0">
                  <c:v>Moins de 25 ans</c:v>
                </c:pt>
                <c:pt idx="1">
                  <c:v>26-35 ans</c:v>
                </c:pt>
                <c:pt idx="2">
                  <c:v>36-45 ans</c:v>
                </c:pt>
                <c:pt idx="3">
                  <c:v>46-55 ans</c:v>
                </c:pt>
                <c:pt idx="4">
                  <c:v>56-65 ans</c:v>
                </c:pt>
                <c:pt idx="5">
                  <c:v>Plus 65 ans</c:v>
                </c:pt>
              </c:strCache>
            </c:strRef>
          </c:cat>
          <c:val>
            <c:numRef>
              <c:f>'Tableau de bord'!$D$46:$D$51</c:f>
              <c:numCache>
                <c:formatCode>General</c:formatCode>
                <c:ptCount val="6"/>
                <c:pt idx="0">
                  <c:v>0</c:v>
                </c:pt>
                <c:pt idx="1">
                  <c:v>2</c:v>
                </c:pt>
                <c:pt idx="2">
                  <c:v>0</c:v>
                </c:pt>
                <c:pt idx="3">
                  <c:v>4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155841904"/>
        <c:axId val="1155844080"/>
      </c:barChart>
      <c:barChart>
        <c:barDir val="bar"/>
        <c:grouping val="clustered"/>
        <c:varyColors val="0"/>
        <c:ser>
          <c:idx val="0"/>
          <c:order val="0"/>
          <c:tx>
            <c:strRef>
              <c:f>'Tableau de bord'!$C$45</c:f>
              <c:strCache>
                <c:ptCount val="1"/>
                <c:pt idx="0">
                  <c:v>Homme</c:v>
                </c:pt>
              </c:strCache>
            </c:strRef>
          </c:tx>
          <c:spPr>
            <a:ln>
              <a:solidFill>
                <a:schemeClr val="bg1"/>
              </a:solidFill>
            </a:ln>
          </c:spPr>
          <c:invertIfNegative val="0"/>
          <c:cat>
            <c:strRef>
              <c:f>'Tableau de bord'!$B$46:$B$51</c:f>
              <c:strCache>
                <c:ptCount val="6"/>
                <c:pt idx="0">
                  <c:v>Moins de 25 ans</c:v>
                </c:pt>
                <c:pt idx="1">
                  <c:v>26-35 ans</c:v>
                </c:pt>
                <c:pt idx="2">
                  <c:v>36-45 ans</c:v>
                </c:pt>
                <c:pt idx="3">
                  <c:v>46-55 ans</c:v>
                </c:pt>
                <c:pt idx="4">
                  <c:v>56-65 ans</c:v>
                </c:pt>
                <c:pt idx="5">
                  <c:v>Plus 65 ans</c:v>
                </c:pt>
              </c:strCache>
            </c:strRef>
          </c:cat>
          <c:val>
            <c:numRef>
              <c:f>'Tableau de bord'!$C$46:$C$51</c:f>
              <c:numCache>
                <c:formatCode>General</c:formatCode>
                <c:ptCount val="6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155845168"/>
        <c:axId val="1155838640"/>
      </c:barChart>
      <c:catAx>
        <c:axId val="1155841904"/>
        <c:scaling>
          <c:orientation val="minMax"/>
        </c:scaling>
        <c:delete val="0"/>
        <c:axPos val="l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1155844080"/>
        <c:crosses val="autoZero"/>
        <c:auto val="1"/>
        <c:lblAlgn val="ctr"/>
        <c:lblOffset val="100"/>
        <c:tickLblSkip val="1"/>
        <c:noMultiLvlLbl val="0"/>
      </c:catAx>
      <c:valAx>
        <c:axId val="1155844080"/>
        <c:scaling>
          <c:orientation val="minMax"/>
          <c:max val="16"/>
          <c:min val="-16"/>
        </c:scaling>
        <c:delete val="0"/>
        <c:axPos val="b"/>
        <c:numFmt formatCode="General;\ General" sourceLinked="0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1155841904"/>
        <c:crosses val="autoZero"/>
        <c:crossBetween val="between"/>
        <c:majorUnit val="4"/>
      </c:valAx>
      <c:valAx>
        <c:axId val="1155838640"/>
        <c:scaling>
          <c:orientation val="maxMin"/>
          <c:max val="16"/>
          <c:min val="-16"/>
        </c:scaling>
        <c:delete val="0"/>
        <c:axPos val="t"/>
        <c:numFmt formatCode="General;\ General" sourceLinked="0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1155845168"/>
        <c:crosses val="max"/>
        <c:crossBetween val="between"/>
        <c:majorUnit val="4"/>
      </c:valAx>
      <c:catAx>
        <c:axId val="1155845168"/>
        <c:scaling>
          <c:orientation val="minMax"/>
        </c:scaling>
        <c:delete val="1"/>
        <c:axPos val="r"/>
        <c:numFmt formatCode="General" sourceLinked="1"/>
        <c:majorTickMark val="out"/>
        <c:minorTickMark val="none"/>
        <c:tickLblPos val="nextTo"/>
        <c:crossAx val="1155838640"/>
        <c:crosses val="autoZero"/>
        <c:auto val="1"/>
        <c:lblAlgn val="ctr"/>
        <c:lblOffset val="100"/>
        <c:noMultiLvlLbl val="0"/>
      </c:catAx>
    </c:plotArea>
    <c:legend>
      <c:legendPos val="r"/>
      <c:overlay val="0"/>
      <c:txPr>
        <a:bodyPr/>
        <a:lstStyle/>
        <a:p>
          <a:pPr>
            <a:defRPr sz="9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algn="ctr" rtl="0">
              <a:defRPr lang="fr-FR" sz="800" b="1" i="0" u="none" strike="noStrike" kern="1200" baseline="0">
                <a:solidFill>
                  <a:schemeClr val="accent3"/>
                </a:solidFill>
                <a:latin typeface="+mn-lt"/>
                <a:ea typeface="+mn-ea"/>
                <a:cs typeface="+mn-cs"/>
              </a:defRPr>
            </a:pPr>
            <a:r>
              <a:rPr lang="fr-FR" sz="800" b="1" i="0" u="none" strike="noStrike" kern="1200" baseline="0">
                <a:solidFill>
                  <a:schemeClr val="accent3"/>
                </a:solidFill>
                <a:latin typeface="+mn-lt"/>
                <a:ea typeface="+mn-ea"/>
                <a:cs typeface="+mn-cs"/>
              </a:rPr>
              <a:t>Part des salariés à temps plein et temps partiel dans l'effectif total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explosion val="1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800">
                    <a:latin typeface="Calibri" panose="020F0502020204030204" pitchFamily="34" charset="0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eparator>
</c:separator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'Tableau de bord'!$F$36:$F$37</c:f>
              <c:strCache>
                <c:ptCount val="2"/>
                <c:pt idx="0">
                  <c:v>TEMPS PLEIN</c:v>
                </c:pt>
                <c:pt idx="1">
                  <c:v>TEMPS PARTIEL</c:v>
                </c:pt>
              </c:strCache>
            </c:strRef>
          </c:cat>
          <c:val>
            <c:numRef>
              <c:f>'Tableau de bord'!$G$36:$G$37</c:f>
              <c:numCache>
                <c:formatCode>0%</c:formatCode>
                <c:ptCount val="2"/>
                <c:pt idx="0">
                  <c:v>0.78431372549019618</c:v>
                </c:pt>
                <c:pt idx="1">
                  <c:v>0.21568627450980393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de bord RH Francky.xlsx]TCD Tableau de bord!Tableau croisé dynamique4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7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700" b="1" i="0" baseline="0">
                <a:effectLst/>
              </a:rPr>
              <a:t>Part des Hommes et Femmes dans l'effectif total</a:t>
            </a:r>
            <a:endParaRPr lang="fr-FR" sz="700">
              <a:effectLst/>
            </a:endParaRP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7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'TCD Tableau de bord'!$B$8</c:f>
              <c:strCache>
                <c:ptCount val="1"/>
                <c:pt idx="0">
                  <c:v>Nombre de SEXE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'TCD Tableau de bord'!$A$9:$A$10</c:f>
              <c:strCache>
                <c:ptCount val="2"/>
                <c:pt idx="0">
                  <c:v>FEMMES</c:v>
                </c:pt>
                <c:pt idx="1">
                  <c:v>HOMMES</c:v>
                </c:pt>
              </c:strCache>
            </c:strRef>
          </c:cat>
          <c:val>
            <c:numRef>
              <c:f>'TCD Tableau de bord'!$B$9:$B$10</c:f>
              <c:numCache>
                <c:formatCode>General</c:formatCode>
                <c:ptCount val="2"/>
                <c:pt idx="0">
                  <c:v>6</c:v>
                </c:pt>
                <c:pt idx="1">
                  <c:v>2</c:v>
                </c:pt>
              </c:numCache>
            </c:numRef>
          </c:val>
        </c:ser>
        <c:ser>
          <c:idx val="1"/>
          <c:order val="1"/>
          <c:tx>
            <c:strRef>
              <c:f>'TCD Tableau de bord'!$C$8</c:f>
              <c:strCache>
                <c:ptCount val="1"/>
                <c:pt idx="0">
                  <c:v>Somme de ETP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'TCD Tableau de bord'!$A$9:$A$10</c:f>
              <c:strCache>
                <c:ptCount val="2"/>
                <c:pt idx="0">
                  <c:v>FEMMES</c:v>
                </c:pt>
                <c:pt idx="1">
                  <c:v>HOMMES</c:v>
                </c:pt>
              </c:strCache>
            </c:strRef>
          </c:cat>
          <c:val>
            <c:numRef>
              <c:f>'TCD Tableau de bord'!$C$9:$C$10</c:f>
              <c:numCache>
                <c:formatCode>General</c:formatCode>
                <c:ptCount val="2"/>
                <c:pt idx="0">
                  <c:v>5.8</c:v>
                </c:pt>
                <c:pt idx="1">
                  <c:v>1.85</c:v>
                </c:pt>
              </c:numCache>
            </c:numRef>
          </c:val>
        </c:ser>
        <c:ser>
          <c:idx val="2"/>
          <c:order val="2"/>
          <c:tx>
            <c:strRef>
              <c:f>'TCD Tableau de bord'!$D$8</c:f>
              <c:strCache>
                <c:ptCount val="1"/>
                <c:pt idx="0">
                  <c:v>RATIO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'TCD Tableau de bord'!$A$9:$A$10</c:f>
              <c:strCache>
                <c:ptCount val="2"/>
                <c:pt idx="0">
                  <c:v>FEMMES</c:v>
                </c:pt>
                <c:pt idx="1">
                  <c:v>HOMMES</c:v>
                </c:pt>
              </c:strCache>
            </c:strRef>
          </c:cat>
          <c:val>
            <c:numRef>
              <c:f>'TCD Tableau de bord'!$D$9:$D$10</c:f>
              <c:numCache>
                <c:formatCode>0.00%</c:formatCode>
                <c:ptCount val="2"/>
                <c:pt idx="0">
                  <c:v>0.75816993464052296</c:v>
                </c:pt>
                <c:pt idx="1">
                  <c:v>0.24183006535947715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219075</xdr:colOff>
      <xdr:row>9</xdr:row>
      <xdr:rowOff>4762</xdr:rowOff>
    </xdr:from>
    <xdr:to>
      <xdr:col>13</xdr:col>
      <xdr:colOff>9525</xdr:colOff>
      <xdr:row>21</xdr:row>
      <xdr:rowOff>9525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171450</xdr:colOff>
      <xdr:row>9</xdr:row>
      <xdr:rowOff>9525</xdr:rowOff>
    </xdr:from>
    <xdr:to>
      <xdr:col>18</xdr:col>
      <xdr:colOff>666750</xdr:colOff>
      <xdr:row>21</xdr:row>
      <xdr:rowOff>14288</xdr:rowOff>
    </xdr:to>
    <xdr:graphicFrame macro="">
      <xdr:nvGraphicFramePr>
        <xdr:cNvPr id="12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247650</xdr:colOff>
      <xdr:row>21</xdr:row>
      <xdr:rowOff>161925</xdr:rowOff>
    </xdr:from>
    <xdr:to>
      <xdr:col>13</xdr:col>
      <xdr:colOff>38100</xdr:colOff>
      <xdr:row>33</xdr:row>
      <xdr:rowOff>166688</xdr:rowOff>
    </xdr:to>
    <xdr:graphicFrame macro="">
      <xdr:nvGraphicFramePr>
        <xdr:cNvPr id="13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5</xdr:col>
      <xdr:colOff>4761</xdr:colOff>
      <xdr:row>43</xdr:row>
      <xdr:rowOff>147636</xdr:rowOff>
    </xdr:from>
    <xdr:to>
      <xdr:col>10</xdr:col>
      <xdr:colOff>352424</xdr:colOff>
      <xdr:row>62</xdr:row>
      <xdr:rowOff>152399</xdr:rowOff>
    </xdr:to>
    <xdr:graphicFrame macro="">
      <xdr:nvGraphicFramePr>
        <xdr:cNvPr id="18" name="Graphique 1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13</xdr:col>
      <xdr:colOff>190500</xdr:colOff>
      <xdr:row>22</xdr:row>
      <xdr:rowOff>0</xdr:rowOff>
    </xdr:from>
    <xdr:to>
      <xdr:col>19</xdr:col>
      <xdr:colOff>0</xdr:colOff>
      <xdr:row>34</xdr:row>
      <xdr:rowOff>4763</xdr:rowOff>
    </xdr:to>
    <xdr:graphicFrame macro="">
      <xdr:nvGraphicFramePr>
        <xdr:cNvPr id="21" name="Graphique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247650</xdr:colOff>
      <xdr:row>7</xdr:row>
      <xdr:rowOff>66675</xdr:rowOff>
    </xdr:from>
    <xdr:to>
      <xdr:col>8</xdr:col>
      <xdr:colOff>209550</xdr:colOff>
      <xdr:row>19</xdr:row>
      <xdr:rowOff>133350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SE-FV-CAJ\Desktop\Tableau%20de%20bord%20RH%20Francky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856.640177893518" createdVersion="5" refreshedVersion="5" minRefreshableVersion="3" recordCount="64">
  <cacheSource type="worksheet">
    <worksheetSource name="Données" r:id="rId2"/>
  </cacheSource>
  <cacheFields count="11">
    <cacheField name="NOM" numFmtId="0">
      <sharedItems containsBlank="1"/>
    </cacheField>
    <cacheField name="PRENOM" numFmtId="0">
      <sharedItems containsBlank="1"/>
    </cacheField>
    <cacheField name="DATE DE NAISSANCE" numFmtId="14">
      <sharedItems containsNonDate="0" containsDate="1" containsString="0" containsBlank="1" minDate="1960-01-03T00:00:00" maxDate="1989-12-06T00:00:00"/>
    </cacheField>
    <cacheField name="AGE" numFmtId="0">
      <sharedItems containsString="0" containsBlank="1" containsNumber="1" containsInteger="1" minValue="24" maxValue="54"/>
    </cacheField>
    <cacheField name="SEXE" numFmtId="0">
      <sharedItems containsBlank="1" count="3">
        <s v="F"/>
        <s v="H"/>
        <m/>
      </sharedItems>
    </cacheField>
    <cacheField name="DATE D'ENTREE" numFmtId="14">
      <sharedItems containsNonDate="0" containsDate="1" containsString="0" containsBlank="1" minDate="2007-06-10T00:00:00" maxDate="2013-11-17T00:00:00" count="9">
        <d v="2012-06-02T00:00:00"/>
        <d v="2007-06-10T00:00:00"/>
        <d v="2010-01-06T00:00:00"/>
        <d v="2010-10-09T00:00:00"/>
        <d v="2013-11-16T00:00:00"/>
        <d v="2012-08-15T00:00:00"/>
        <d v="2010-01-14T00:00:00"/>
        <d v="2013-03-23T00:00:00"/>
        <m/>
      </sharedItems>
      <fieldGroup base="5">
        <rangePr groupBy="months" startDate="2007-06-10T00:00:00" endDate="2013-11-17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7/11/2013"/>
        </groupItems>
      </fieldGroup>
    </cacheField>
    <cacheField name="FONCTION" numFmtId="0">
      <sharedItems containsBlank="1"/>
    </cacheField>
    <cacheField name="NIVEAU" numFmtId="0">
      <sharedItems containsBlank="1"/>
    </cacheField>
    <cacheField name="STATUT" numFmtId="0">
      <sharedItems containsBlank="1"/>
    </cacheField>
    <cacheField name="ETP" numFmtId="0">
      <sharedItems containsString="0" containsBlank="1" containsNumber="1" minValue="0.8" maxValue="1"/>
    </cacheField>
    <cacheField name="DIRECTION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4">
  <r>
    <s v="ZORA"/>
    <s v="Magalie"/>
    <d v="1980-12-28T00:00:00"/>
    <n v="33"/>
    <x v="0"/>
    <x v="0"/>
    <s v="Consultante"/>
    <s v="confirmé"/>
    <s v="Cadre"/>
    <n v="1"/>
    <s v="Financière"/>
  </r>
  <r>
    <s v="DUBOIS"/>
    <s v="Laurent"/>
    <d v="1964-05-31T00:00:00"/>
    <n v="50"/>
    <x v="1"/>
    <x v="1"/>
    <s v="Consultant"/>
    <s v="senior"/>
    <s v="Cadre"/>
    <n v="0.85"/>
    <s v="Financière"/>
  </r>
  <r>
    <s v="FERNANDEZ"/>
    <s v="Isabelle"/>
    <d v="1964-06-13T00:00:00"/>
    <n v="50"/>
    <x v="0"/>
    <x v="2"/>
    <s v="Consultante"/>
    <s v="senior"/>
    <s v="Cadre"/>
    <n v="1"/>
    <s v="Communication"/>
  </r>
  <r>
    <s v="OZY"/>
    <s v="Nathalie"/>
    <d v="1960-01-30T00:00:00"/>
    <n v="54"/>
    <x v="0"/>
    <x v="3"/>
    <s v="DRH"/>
    <s v="directeur"/>
    <s v="Cadre"/>
    <n v="1"/>
    <s v="RH"/>
  </r>
  <r>
    <s v="STANILAS"/>
    <s v="Liliane"/>
    <d v="1960-09-07T00:00:00"/>
    <n v="53"/>
    <x v="0"/>
    <x v="4"/>
    <s v="Assistante"/>
    <s v="assistante"/>
    <s v="Non Cadre"/>
    <n v="1"/>
    <s v="RH"/>
  </r>
  <r>
    <s v="DUPONT"/>
    <s v="Camille"/>
    <d v="1981-05-06T00:00:00"/>
    <n v="33"/>
    <x v="0"/>
    <x v="5"/>
    <s v="Consultante"/>
    <s v="junior"/>
    <s v="Cadre"/>
    <n v="0.8"/>
    <s v="Financière"/>
  </r>
  <r>
    <s v="DURANT"/>
    <s v="Julie "/>
    <d v="1960-01-03T00:00:00"/>
    <n v="54"/>
    <x v="0"/>
    <x v="6"/>
    <s v="Responsable"/>
    <s v="responsable"/>
    <s v="Cadre"/>
    <n v="1"/>
    <s v="Financière"/>
  </r>
  <r>
    <s v="ZIAD"/>
    <s v="Stéphane"/>
    <d v="1989-12-05T00:00:00"/>
    <n v="24"/>
    <x v="1"/>
    <x v="7"/>
    <s v="Assistante"/>
    <s v="junior"/>
    <s v="Non Cadre"/>
    <n v="1"/>
    <s v="Communication"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  <r>
    <m/>
    <m/>
    <m/>
    <m/>
    <x v="2"/>
    <x v="8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 chartFormat="2" rowHeaderCaption="PAR SEXE">
  <location ref="A8:D10" firstHeaderRow="0" firstDataRow="1" firstDataCol="1"/>
  <pivotFields count="11">
    <pivotField showAll="0"/>
    <pivotField showAll="0"/>
    <pivotField showAll="0"/>
    <pivotField showAll="0"/>
    <pivotField axis="axisRow" dataField="1" showAll="0">
      <items count="4">
        <item n="FEMMES" sd="0" x="0"/>
        <item n="HOMMES" sd="0" x="1"/>
        <item h="1" x="2"/>
        <item t="default"/>
      </items>
    </pivotField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dataField="1" showAll="0"/>
    <pivotField showAll="0"/>
  </pivotFields>
  <rowFields count="2">
    <field x="4"/>
    <field x="5"/>
  </rowFields>
  <rowItems count="2">
    <i>
      <x/>
    </i>
    <i>
      <x v="1"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e SEXE" fld="4" subtotal="count" baseField="0" baseItem="0"/>
    <dataField name="Somme de ETP" fld="9" baseField="4" baseItem="0"/>
    <dataField name="RATIO" fld="9" showDataAs="percentOfTotal" baseField="4" baseItem="0" numFmtId="10"/>
  </dataFields>
  <formats count="2">
    <format dxfId="1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4">
      <pivotArea outline="0" fieldPosition="0">
        <references count="1">
          <reference field="4294967294" count="1">
            <x v="2"/>
          </reference>
        </references>
      </pivotArea>
    </format>
  </formats>
  <chartFormats count="9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" format="3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1" format="4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1" format="5">
      <pivotArea type="data" outline="0" fieldPosition="0">
        <references count="2">
          <reference field="4294967294" count="1" selected="0">
            <x v="1"/>
          </reference>
          <reference field="4" count="1" selected="0">
            <x v="0"/>
          </reference>
        </references>
      </pivotArea>
    </chartFormat>
    <chartFormat chart="1" format="6">
      <pivotArea type="data" outline="0" fieldPosition="0">
        <references count="2">
          <reference field="4294967294" count="1" selected="0">
            <x v="1"/>
          </reference>
          <reference field="4" count="1" selected="0">
            <x v="1"/>
          </reference>
        </references>
      </pivotArea>
    </chartFormat>
    <chartFormat chart="1" format="7">
      <pivotArea type="data" outline="0" fieldPosition="0">
        <references count="2">
          <reference field="4294967294" count="1" selected="0">
            <x v="2"/>
          </reference>
          <reference field="4" count="1" selected="0">
            <x v="0"/>
          </reference>
        </references>
      </pivotArea>
    </chartFormat>
    <chartFormat chart="1" format="8">
      <pivotArea type="data" outline="0" fieldPosition="0">
        <references count="2">
          <reference field="4294967294" count="1" selected="0">
            <x v="2"/>
          </reference>
          <reference field="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B4:C5" firstHeaderRow="0" firstDataRow="1" firstDataCol="0"/>
  <pivotFields count="11">
    <pivotField dataField="1" showAll="0"/>
    <pivotField showAll="0"/>
    <pivotField showAll="0"/>
    <pivotField showAll="0"/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dataField="1" showAll="0"/>
    <pivotField showAll="0"/>
  </pivotFields>
  <rowItems count="1">
    <i/>
  </rowItems>
  <colFields count="1">
    <field x="-2"/>
  </colFields>
  <colItems count="2">
    <i>
      <x/>
    </i>
    <i i="1">
      <x v="1"/>
    </i>
  </colItems>
  <dataFields count="2">
    <dataField name="Total" fld="0" subtotal="count" baseField="0" baseItem="0"/>
    <dataField name="E.T.P." fld="9" baseField="0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Données" displayName="Données" ref="B2:L66" headerRowDxfId="13" dataDxfId="12" totalsRowDxfId="11">
  <autoFilter ref="B2:L66"/>
  <tableColumns count="11">
    <tableColumn id="1" name="NOM" totalsRowLabel="Total" dataDxfId="10"/>
    <tableColumn id="2" name="PRENOM" dataDxfId="9"/>
    <tableColumn id="3" name="DATE DE NAISSANCE" dataDxfId="8"/>
    <tableColumn id="13" name="AGE" dataDxfId="7">
      <calculatedColumnFormula>DATEDIF(Données[[#This Row],[DATE DE NAISSANCE]],TODAY(), "y")</calculatedColumnFormula>
    </tableColumn>
    <tableColumn id="4" name="SEXE" dataDxfId="6"/>
    <tableColumn id="5" name="DATE D'ENTREE" dataDxfId="5"/>
    <tableColumn id="6" name="FONCTION" dataDxfId="4"/>
    <tableColumn id="7" name="NIVEAU" dataDxfId="3"/>
    <tableColumn id="8" name="STATUT" dataDxfId="2"/>
    <tableColumn id="9" name="ETP" dataDxfId="1"/>
    <tableColumn id="10" name="DIRECTION" dataDxfId="0"/>
  </tableColumns>
  <tableStyleInfo showFirstColumn="0" showLastColumn="0" showRowStripes="1" showColumnStripes="0"/>
  <extLst>
    <ext xmlns:x14="http://schemas.microsoft.com/office/spreadsheetml/2009/9/main" uri="{504A1905-F514-4f6f-8877-14C23A59335A}">
      <x14:table altText="Table" altTextSummary="Use this table to enter your data"/>
    </ext>
  </extLst>
</table>
</file>

<file path=xl/theme/theme1.xml><?xml version="1.0" encoding="utf-8"?>
<a:theme xmlns:a="http://schemas.openxmlformats.org/drawingml/2006/main" name="Spring">
  <a:themeElements>
    <a:clrScheme name="Weight Loss Track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7B0B8"/>
      </a:accent1>
      <a:accent2>
        <a:srgbClr val="FF6B6B"/>
      </a:accent2>
      <a:accent3>
        <a:srgbClr val="556270"/>
      </a:accent3>
      <a:accent4>
        <a:srgbClr val="81B63C"/>
      </a:accent4>
      <a:accent5>
        <a:srgbClr val="ED932C"/>
      </a:accent5>
      <a:accent6>
        <a:srgbClr val="A0729D"/>
      </a:accent6>
      <a:hlink>
        <a:srgbClr val="39ADDC"/>
      </a:hlink>
      <a:folHlink>
        <a:srgbClr val="895EA7"/>
      </a:folHlink>
    </a:clrScheme>
    <a:fontScheme name="Weight Loss Tracker">
      <a:majorFont>
        <a:latin typeface="Verdana"/>
        <a:ea typeface=""/>
        <a:cs typeface=""/>
      </a:majorFont>
      <a:minorFont>
        <a:latin typeface="Verdana"/>
        <a:ea typeface=""/>
        <a:cs typeface=""/>
      </a:minorFont>
    </a:fontScheme>
    <a:fmtScheme name="Spring">
      <a:fillStyleLst>
        <a:solidFill>
          <a:schemeClr val="phClr"/>
        </a:solidFill>
        <a:gradFill rotWithShape="1">
          <a:gsLst>
            <a:gs pos="0">
              <a:schemeClr val="phClr">
                <a:tint val="70000"/>
                <a:lumMod val="110000"/>
              </a:schemeClr>
            </a:gs>
            <a:gs pos="100000">
              <a:schemeClr val="phClr">
                <a:tint val="100000"/>
                <a:shade val="85000"/>
                <a:lumMod val="8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97000"/>
                <a:satMod val="100000"/>
                <a:lumMod val="110000"/>
              </a:schemeClr>
            </a:gs>
            <a:gs pos="100000">
              <a:schemeClr val="phClr">
                <a:shade val="85000"/>
                <a:lumMod val="80000"/>
              </a:schemeClr>
            </a:gs>
          </a:gsLst>
          <a:lin ang="5400000" scaled="0"/>
        </a:gradFill>
      </a:fillStyleLst>
      <a:lnStyleLst>
        <a:ln w="12700" cap="rnd" cmpd="sng" algn="ctr">
          <a:solidFill>
            <a:schemeClr val="phClr"/>
          </a:solidFill>
          <a:prstDash val="solid"/>
        </a:ln>
        <a:ln w="19050" cap="rnd" cmpd="sng" algn="ctr">
          <a:solidFill>
            <a:schemeClr val="phClr"/>
          </a:solidFill>
          <a:prstDash val="solid"/>
        </a:ln>
        <a:ln w="28575" cap="rnd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88900" dist="38100" dir="5400000" algn="ctr" rotWithShape="0">
              <a:srgbClr val="000000">
                <a:alpha val="65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5400000"/>
            </a:lightRig>
          </a:scene3d>
          <a:sp3d>
            <a:bevelT w="25400" h="381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100000"/>
                <a:shade val="100000"/>
                <a:hueMod val="100000"/>
                <a:satMod val="106000"/>
                <a:lumMod val="100000"/>
              </a:schemeClr>
            </a:gs>
            <a:gs pos="88000">
              <a:schemeClr val="phClr">
                <a:tint val="90000"/>
                <a:shade val="68000"/>
                <a:hueMod val="100000"/>
                <a:satMod val="114000"/>
                <a:lumMod val="74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94000"/>
                <a:shade val="100000"/>
                <a:hueMod val="100000"/>
                <a:satMod val="118000"/>
                <a:lumMod val="100000"/>
              </a:schemeClr>
            </a:gs>
            <a:gs pos="100000">
              <a:schemeClr val="phClr">
                <a:tint val="98000"/>
                <a:shade val="68000"/>
                <a:hueMod val="100000"/>
                <a:satMod val="118000"/>
                <a:lumMod val="82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6"/>
    <pageSetUpPr autoPageBreaks="0" fitToPage="1"/>
  </sheetPr>
  <dimension ref="B1:K54"/>
  <sheetViews>
    <sheetView showGridLines="0" zoomScale="90" zoomScaleNormal="90" workbookViewId="0">
      <selection activeCell="C1" sqref="C1:F2"/>
    </sheetView>
  </sheetViews>
  <sheetFormatPr baseColWidth="10" defaultColWidth="9" defaultRowHeight="12.75" x14ac:dyDescent="0.2"/>
  <cols>
    <col min="1" max="1" width="4.125" style="3" customWidth="1"/>
    <col min="2" max="2" width="31.375" style="3" customWidth="1"/>
    <col min="3" max="3" width="17.25" style="3" customWidth="1"/>
    <col min="4" max="4" width="18.75" style="3" customWidth="1"/>
    <col min="5" max="5" width="9.375" style="3" customWidth="1"/>
    <col min="6" max="6" width="24.625" style="3" customWidth="1"/>
    <col min="7" max="7" width="10" style="3" customWidth="1"/>
    <col min="8" max="8" width="7.25" style="3" customWidth="1"/>
    <col min="9" max="9" width="8.5" style="3" customWidth="1"/>
    <col min="10" max="11" width="10.25" style="3" customWidth="1"/>
    <col min="12" max="16384" width="9" style="3"/>
  </cols>
  <sheetData>
    <row r="1" spans="2:11" ht="39" customHeight="1" x14ac:dyDescent="0.2">
      <c r="B1" s="1" t="s">
        <v>93</v>
      </c>
      <c r="C1" s="2" t="s">
        <v>94</v>
      </c>
    </row>
    <row r="2" spans="2:11" ht="21" customHeight="1" thickBot="1" x14ac:dyDescent="0.25">
      <c r="B2" s="4" t="s">
        <v>28</v>
      </c>
      <c r="C2" s="5"/>
      <c r="D2" s="5"/>
      <c r="E2" s="5"/>
      <c r="F2" s="4" t="s">
        <v>57</v>
      </c>
      <c r="G2" s="5"/>
      <c r="H2" s="5"/>
      <c r="I2" s="5"/>
      <c r="J2" s="6"/>
      <c r="K2" s="6"/>
    </row>
    <row r="3" spans="2:11" ht="13.5" customHeight="1" thickTop="1" x14ac:dyDescent="0.2">
      <c r="J3" s="7"/>
      <c r="K3" s="7"/>
    </row>
    <row r="4" spans="2:11" ht="13.5" customHeight="1" x14ac:dyDescent="0.2">
      <c r="B4" s="8"/>
      <c r="C4" s="9" t="s">
        <v>30</v>
      </c>
      <c r="D4" s="9" t="s">
        <v>24</v>
      </c>
      <c r="J4" s="10"/>
      <c r="K4" s="10"/>
    </row>
    <row r="5" spans="2:11" ht="13.5" customHeight="1" x14ac:dyDescent="0.2">
      <c r="B5" s="11" t="s">
        <v>29</v>
      </c>
      <c r="C5" s="12">
        <f>COUNTA(Données[ETP])</f>
        <v>8</v>
      </c>
      <c r="D5" s="12">
        <f>SUM(Données[ETP])</f>
        <v>7.6499999999999995</v>
      </c>
      <c r="J5" s="10"/>
      <c r="K5" s="10"/>
    </row>
    <row r="6" spans="2:11" ht="13.5" customHeight="1" x14ac:dyDescent="0.2">
      <c r="B6" s="8"/>
      <c r="C6" s="9"/>
      <c r="D6" s="9"/>
      <c r="J6" s="10"/>
      <c r="K6" s="10"/>
    </row>
    <row r="7" spans="2:11" ht="13.5" customHeight="1" x14ac:dyDescent="0.2">
      <c r="B7" s="8" t="s">
        <v>31</v>
      </c>
      <c r="C7" s="9"/>
      <c r="D7" s="9"/>
      <c r="F7" s="8" t="s">
        <v>58</v>
      </c>
      <c r="J7" s="10"/>
      <c r="K7" s="10"/>
    </row>
    <row r="8" spans="2:11" ht="13.5" customHeight="1" x14ac:dyDescent="0.2">
      <c r="B8" s="13" t="s">
        <v>43</v>
      </c>
      <c r="C8" s="12">
        <f>COUNTIFS(Données[SEXE],"F")</f>
        <v>6</v>
      </c>
      <c r="D8" s="12">
        <f>SUMIF(Données[SEXE],"F",Données[ETP])</f>
        <v>5.8</v>
      </c>
      <c r="F8" s="13" t="s">
        <v>43</v>
      </c>
      <c r="G8" s="14">
        <f>D8/$D$5</f>
        <v>0.75816993464052296</v>
      </c>
      <c r="J8" s="10"/>
      <c r="K8" s="10"/>
    </row>
    <row r="9" spans="2:11" ht="13.5" customHeight="1" x14ac:dyDescent="0.2">
      <c r="B9" s="15" t="s">
        <v>44</v>
      </c>
      <c r="C9" s="12">
        <f>COUNTIFS(Données[SEXE],"H")</f>
        <v>2</v>
      </c>
      <c r="D9" s="12">
        <f>SUMIF(Données[SEXE],"H",Données[ETP])</f>
        <v>1.85</v>
      </c>
      <c r="F9" s="13" t="s">
        <v>44</v>
      </c>
      <c r="G9" s="14">
        <f t="shared" ref="G9:G37" si="0">D9/$D$5</f>
        <v>0.24183006535947715</v>
      </c>
      <c r="J9" s="10"/>
      <c r="K9" s="10"/>
    </row>
    <row r="10" spans="2:11" ht="13.5" customHeight="1" x14ac:dyDescent="0.2">
      <c r="B10" s="8"/>
      <c r="C10" s="9"/>
      <c r="D10" s="9"/>
      <c r="G10" s="16"/>
      <c r="J10" s="10"/>
      <c r="K10" s="10"/>
    </row>
    <row r="11" spans="2:11" ht="13.5" customHeight="1" x14ac:dyDescent="0.2">
      <c r="B11" s="8" t="s">
        <v>32</v>
      </c>
      <c r="C11" s="9"/>
      <c r="D11" s="9"/>
      <c r="G11" s="16"/>
      <c r="J11" s="10"/>
      <c r="K11" s="10"/>
    </row>
    <row r="12" spans="2:11" ht="13.5" customHeight="1" x14ac:dyDescent="0.2">
      <c r="B12" s="15" t="s">
        <v>41</v>
      </c>
      <c r="C12" s="12">
        <f>COUNTIFS(Données[STATUT],"CADRE")</f>
        <v>6</v>
      </c>
      <c r="D12" s="12">
        <f>SUMIF(Données[STATUT],"cadre",Données[ETP])</f>
        <v>5.65</v>
      </c>
      <c r="F12" s="13" t="s">
        <v>41</v>
      </c>
      <c r="G12" s="14">
        <f t="shared" si="0"/>
        <v>0.73856209150326813</v>
      </c>
      <c r="J12" s="10"/>
      <c r="K12" s="10"/>
    </row>
    <row r="13" spans="2:11" ht="13.5" customHeight="1" x14ac:dyDescent="0.2">
      <c r="B13" s="15" t="s">
        <v>42</v>
      </c>
      <c r="C13" s="12">
        <f>COUNTIFS(Données[STATUT],"NON CADRE")</f>
        <v>2</v>
      </c>
      <c r="D13" s="12">
        <f>SUMIF(Données[STATUT],"non cadre",Données[ETP])</f>
        <v>2</v>
      </c>
      <c r="F13" s="13" t="s">
        <v>42</v>
      </c>
      <c r="G13" s="14">
        <f t="shared" si="0"/>
        <v>0.26143790849673204</v>
      </c>
      <c r="J13" s="10"/>
      <c r="K13" s="10"/>
    </row>
    <row r="14" spans="2:11" ht="13.5" customHeight="1" x14ac:dyDescent="0.2">
      <c r="B14" s="17"/>
      <c r="C14" s="9"/>
      <c r="D14" s="9"/>
      <c r="G14" s="16"/>
      <c r="J14" s="10"/>
      <c r="K14" s="10"/>
    </row>
    <row r="15" spans="2:11" ht="13.5" customHeight="1" x14ac:dyDescent="0.2">
      <c r="B15" s="8" t="s">
        <v>34</v>
      </c>
      <c r="C15" s="9"/>
      <c r="D15" s="9"/>
      <c r="G15" s="16"/>
      <c r="J15" s="10"/>
      <c r="K15" s="10"/>
    </row>
    <row r="16" spans="2:11" ht="13.5" customHeight="1" x14ac:dyDescent="0.2">
      <c r="B16" s="15" t="s">
        <v>35</v>
      </c>
      <c r="C16" s="12">
        <f>COUNTIFS(Données[NIVEAU],"junior")</f>
        <v>2</v>
      </c>
      <c r="D16" s="12">
        <f>SUMIF(Données[NIVEAU],"junior",Données[ETP])</f>
        <v>1.8</v>
      </c>
      <c r="F16" s="13" t="s">
        <v>59</v>
      </c>
      <c r="G16" s="14">
        <f t="shared" si="0"/>
        <v>0.23529411764705885</v>
      </c>
      <c r="J16" s="10"/>
      <c r="K16" s="10"/>
    </row>
    <row r="17" spans="2:11" s="20" customFormat="1" ht="13.5" customHeight="1" x14ac:dyDescent="0.2">
      <c r="B17" s="18" t="s">
        <v>45</v>
      </c>
      <c r="C17" s="19">
        <f>COUNTIFS(Données[NIVEAU],"junior",Données[SEXE],"F")</f>
        <v>1</v>
      </c>
      <c r="D17" s="19">
        <f>SUMIFS(Données[ETP],Données[NIVEAU],"junior",'Données salariés'!F3:F66,"F")</f>
        <v>0.8</v>
      </c>
      <c r="G17" s="16"/>
      <c r="J17" s="21"/>
      <c r="K17" s="21"/>
    </row>
    <row r="18" spans="2:11" s="20" customFormat="1" ht="13.5" customHeight="1" x14ac:dyDescent="0.2">
      <c r="B18" s="18" t="s">
        <v>46</v>
      </c>
      <c r="C18" s="19">
        <f>COUNTIFS(Données[NIVEAU],"junior",Données[SEXE],"H")</f>
        <v>1</v>
      </c>
      <c r="D18" s="19">
        <f>SUMIFS(Données[ETP],Données[NIVEAU],"junior",'Données salariés'!F3:F66,"H")</f>
        <v>1</v>
      </c>
      <c r="G18" s="16"/>
      <c r="J18" s="21"/>
      <c r="K18" s="21"/>
    </row>
    <row r="19" spans="2:11" ht="13.5" customHeight="1" x14ac:dyDescent="0.2">
      <c r="B19" s="15" t="s">
        <v>36</v>
      </c>
      <c r="C19" s="12">
        <f>COUNTIFS(Données[NIVEAU],"confirmé")</f>
        <v>1</v>
      </c>
      <c r="D19" s="12">
        <f>SUMIF(Données[NIVEAU],"confirmé",Données[ETP])</f>
        <v>1</v>
      </c>
      <c r="F19" s="13" t="s">
        <v>60</v>
      </c>
      <c r="G19" s="14">
        <f t="shared" si="0"/>
        <v>0.13071895424836602</v>
      </c>
      <c r="J19" s="10"/>
      <c r="K19" s="10"/>
    </row>
    <row r="20" spans="2:11" ht="13.5" customHeight="1" x14ac:dyDescent="0.2">
      <c r="B20" s="18" t="s">
        <v>47</v>
      </c>
      <c r="C20" s="19">
        <f>COUNTIFS(Données[NIVEAU],"confirmé",Données[SEXE],"F")</f>
        <v>1</v>
      </c>
      <c r="D20" s="19">
        <f>SUMIFS(Données[ETP],Données[NIVEAU],"confirmé",'Données salariés'!F3:F66,"F")</f>
        <v>1</v>
      </c>
      <c r="G20" s="16"/>
      <c r="J20" s="10"/>
      <c r="K20" s="10"/>
    </row>
    <row r="21" spans="2:11" ht="13.5" customHeight="1" x14ac:dyDescent="0.2">
      <c r="B21" s="18" t="s">
        <v>48</v>
      </c>
      <c r="C21" s="19">
        <f>COUNTIFS(Données[NIVEAU],"confirmé",Données[SEXE],"H")</f>
        <v>0</v>
      </c>
      <c r="D21" s="22">
        <f>SUMIFS(Données[ETP],Données[NIVEAU],"confirmé",'Données salariés'!F3:F66,"H")</f>
        <v>0</v>
      </c>
      <c r="G21" s="16"/>
      <c r="J21" s="10"/>
      <c r="K21" s="10"/>
    </row>
    <row r="22" spans="2:11" ht="13.5" customHeight="1" x14ac:dyDescent="0.2">
      <c r="B22" s="15" t="s">
        <v>37</v>
      </c>
      <c r="C22" s="12">
        <f>COUNTIFS(Données[NIVEAU],"senior")</f>
        <v>2</v>
      </c>
      <c r="D22" s="12">
        <f>SUMIF(Données[NIVEAU],"senior",Données[ETP])</f>
        <v>1.85</v>
      </c>
      <c r="F22" s="13" t="s">
        <v>61</v>
      </c>
      <c r="G22" s="14">
        <f t="shared" si="0"/>
        <v>0.24183006535947715</v>
      </c>
      <c r="J22" s="10"/>
      <c r="K22" s="10"/>
    </row>
    <row r="23" spans="2:11" ht="13.5" customHeight="1" x14ac:dyDescent="0.2">
      <c r="B23" s="18" t="s">
        <v>49</v>
      </c>
      <c r="C23" s="19">
        <f>COUNTIFS(Données[NIVEAU],"senior",Données[SEXE],"F")</f>
        <v>1</v>
      </c>
      <c r="D23" s="19">
        <f>SUMIFS(Données[ETP],Données[NIVEAU],"senior",'Données salariés'!F3:F66,"F")</f>
        <v>1</v>
      </c>
      <c r="G23" s="16"/>
      <c r="J23" s="10"/>
      <c r="K23" s="10"/>
    </row>
    <row r="24" spans="2:11" ht="13.5" customHeight="1" x14ac:dyDescent="0.2">
      <c r="B24" s="18" t="s">
        <v>50</v>
      </c>
      <c r="C24" s="19">
        <f>COUNTIFS(Données[NIVEAU],"senior",Données[SEXE],"H")</f>
        <v>1</v>
      </c>
      <c r="D24" s="22">
        <f>SUMIFS(Données[ETP],Données[NIVEAU],"senior",'Données salariés'!F3:F66,"H")</f>
        <v>0.85</v>
      </c>
      <c r="G24" s="16"/>
      <c r="J24" s="10"/>
      <c r="K24" s="10"/>
    </row>
    <row r="25" spans="2:11" ht="13.5" customHeight="1" x14ac:dyDescent="0.2">
      <c r="B25" s="15" t="s">
        <v>38</v>
      </c>
      <c r="C25" s="12">
        <f>COUNTIFS(Données[NIVEAU],"responsable")</f>
        <v>1</v>
      </c>
      <c r="D25" s="12">
        <f>SUMIF(Données[NIVEAU],"responsablee",Données[ETP])</f>
        <v>0</v>
      </c>
      <c r="F25" s="13" t="s">
        <v>62</v>
      </c>
      <c r="G25" s="14">
        <f t="shared" si="0"/>
        <v>0</v>
      </c>
      <c r="J25" s="10"/>
      <c r="K25" s="10"/>
    </row>
    <row r="26" spans="2:11" ht="13.5" customHeight="1" x14ac:dyDescent="0.2">
      <c r="B26" s="18" t="s">
        <v>51</v>
      </c>
      <c r="C26" s="19">
        <f>COUNTIFS(Données[NIVEAU],"responsable de pôle",Données[SEXE],"F")</f>
        <v>0</v>
      </c>
      <c r="D26" s="19">
        <f>SUMIFS(Données[ETP],Données[NIVEAU],"responsable de pôle",'Données salariés'!F3:F66,"F")</f>
        <v>0</v>
      </c>
      <c r="G26" s="16"/>
      <c r="J26" s="10"/>
      <c r="K26" s="10"/>
    </row>
    <row r="27" spans="2:11" ht="13.5" customHeight="1" x14ac:dyDescent="0.2">
      <c r="B27" s="18" t="s">
        <v>52</v>
      </c>
      <c r="C27" s="19">
        <f>COUNTIFS(Données[NIVEAU],"responsable de pôle",Données[SEXE],"H")</f>
        <v>0</v>
      </c>
      <c r="D27" s="22">
        <f>SUMIFS(Données[ETP],Données[NIVEAU],"responsable de pôle",'Données salariés'!F3:F66,"H")</f>
        <v>0</v>
      </c>
      <c r="G27" s="16"/>
      <c r="J27" s="10"/>
      <c r="K27" s="10"/>
    </row>
    <row r="28" spans="2:11" ht="13.5" customHeight="1" x14ac:dyDescent="0.2">
      <c r="B28" s="15" t="s">
        <v>39</v>
      </c>
      <c r="C28" s="12">
        <f>COUNTIFS(Données[NIVEAU],"directeur")</f>
        <v>1</v>
      </c>
      <c r="D28" s="12">
        <f>SUMIF(Données[NIVEAU],"directeur",Données[ETP])</f>
        <v>1</v>
      </c>
      <c r="F28" s="13" t="s">
        <v>63</v>
      </c>
      <c r="G28" s="14">
        <f t="shared" si="0"/>
        <v>0.13071895424836602</v>
      </c>
      <c r="J28" s="10"/>
      <c r="K28" s="10"/>
    </row>
    <row r="29" spans="2:11" ht="13.5" customHeight="1" x14ac:dyDescent="0.2">
      <c r="B29" s="18" t="s">
        <v>53</v>
      </c>
      <c r="C29" s="19">
        <f>COUNTIFS(Données[NIVEAU],"directeur",Données[SEXE],"F")</f>
        <v>1</v>
      </c>
      <c r="D29" s="19">
        <f>SUMIFS(Données[ETP],Données[NIVEAU],"directeur",'Données salariés'!F3:F66,"F")</f>
        <v>1</v>
      </c>
      <c r="G29" s="16"/>
      <c r="J29" s="10"/>
      <c r="K29" s="10"/>
    </row>
    <row r="30" spans="2:11" ht="13.5" customHeight="1" x14ac:dyDescent="0.2">
      <c r="B30" s="18" t="s">
        <v>54</v>
      </c>
      <c r="C30" s="19">
        <f>COUNTIFS(Données[NIVEAU],"directeur",Données[SEXE],"H")</f>
        <v>0</v>
      </c>
      <c r="D30" s="22">
        <f>SUMIFS(Données[ETP],Données[NIVEAU],"directeur",'Données salariés'!F3:F66,"H")</f>
        <v>0</v>
      </c>
      <c r="G30" s="16"/>
      <c r="J30" s="10"/>
      <c r="K30" s="10"/>
    </row>
    <row r="31" spans="2:11" ht="13.5" customHeight="1" x14ac:dyDescent="0.2">
      <c r="B31" s="15" t="s">
        <v>40</v>
      </c>
      <c r="C31" s="12">
        <f>COUNTIFS(Données[NIVEAU],"assistante")+COUNTIFS(Données[NIVEAU],"autre")</f>
        <v>1</v>
      </c>
      <c r="D31" s="12">
        <f>SUMIF(Données[NIVEAU],"assistante",Données[ETP])+SUMIF(Données[NIVEAU],"autre",Données[ETP])</f>
        <v>1</v>
      </c>
      <c r="F31" s="13" t="s">
        <v>64</v>
      </c>
      <c r="G31" s="14">
        <f t="shared" si="0"/>
        <v>0.13071895424836602</v>
      </c>
      <c r="J31" s="10"/>
      <c r="K31" s="10"/>
    </row>
    <row r="32" spans="2:11" ht="13.5" customHeight="1" x14ac:dyDescent="0.2">
      <c r="B32" s="18" t="s">
        <v>55</v>
      </c>
      <c r="C32" s="19">
        <f>COUNTIFS(Données[NIVEAU],"assistante",Données[SEXE],"F")+COUNTIFS(Données[NIVEAU],"autre",Données[SEXE],"F")</f>
        <v>1</v>
      </c>
      <c r="D32" s="19">
        <f>SUMIFS(Données[ETP],Données[NIVEAU],"assistante",'Données salariés'!F3:F66,"F")+SUMIFS(Données[ETP],Données[NIVEAU],"autre",'Données salariés'!F3:F66,"F")</f>
        <v>1</v>
      </c>
      <c r="G32" s="14">
        <f t="shared" si="0"/>
        <v>0.13071895424836602</v>
      </c>
      <c r="J32" s="10"/>
      <c r="K32" s="10"/>
    </row>
    <row r="33" spans="2:11" ht="13.5" customHeight="1" x14ac:dyDescent="0.2">
      <c r="B33" s="18" t="s">
        <v>56</v>
      </c>
      <c r="C33" s="19">
        <f>COUNTIFS(Données[NIVEAU],"assistante",Données[SEXE],"H")+COUNTIFS(Données[NIVEAU],"autre",Données[SEXE],"H")</f>
        <v>0</v>
      </c>
      <c r="D33" s="22">
        <f>SUMIFS(Données[ETP],Données[NIVEAU],"assistante",'Données salariés'!F3:F66,"H")+SUMIFS(Données[ETP],Données[NIVEAU],"autre",'Données salariés'!F3:F66,"H")</f>
        <v>0</v>
      </c>
      <c r="G33" s="14"/>
      <c r="J33" s="10"/>
      <c r="K33" s="10"/>
    </row>
    <row r="34" spans="2:11" ht="13.5" customHeight="1" x14ac:dyDescent="0.2">
      <c r="B34" s="23"/>
      <c r="G34" s="14"/>
      <c r="J34" s="10"/>
      <c r="K34" s="10"/>
    </row>
    <row r="35" spans="2:11" x14ac:dyDescent="0.2">
      <c r="B35" s="8" t="s">
        <v>74</v>
      </c>
      <c r="F35" s="24"/>
      <c r="G35" s="14"/>
    </row>
    <row r="36" spans="2:11" x14ac:dyDescent="0.2">
      <c r="B36" s="15" t="s">
        <v>75</v>
      </c>
      <c r="C36" s="9">
        <f>COUNTIFS(Données[ETP],"=1")</f>
        <v>6</v>
      </c>
      <c r="D36" s="9">
        <f>SUMIF(Données[ETP],"=1",Données[ETP])</f>
        <v>6</v>
      </c>
      <c r="F36" s="15" t="s">
        <v>75</v>
      </c>
      <c r="G36" s="14">
        <f t="shared" si="0"/>
        <v>0.78431372549019618</v>
      </c>
    </row>
    <row r="37" spans="2:11" x14ac:dyDescent="0.2">
      <c r="B37" s="15" t="s">
        <v>76</v>
      </c>
      <c r="C37" s="9">
        <f>COUNTIFS(Données[ETP],"&lt;1")</f>
        <v>2</v>
      </c>
      <c r="D37" s="9">
        <f>SUMIF(Données[ETP],"&lt;1",Données[ETP])</f>
        <v>1.65</v>
      </c>
      <c r="F37" s="15" t="s">
        <v>76</v>
      </c>
      <c r="G37" s="14">
        <f t="shared" si="0"/>
        <v>0.21568627450980393</v>
      </c>
    </row>
    <row r="38" spans="2:11" x14ac:dyDescent="0.2">
      <c r="F38" s="24"/>
      <c r="G38" s="25"/>
    </row>
    <row r="39" spans="2:11" x14ac:dyDescent="0.2">
      <c r="F39" s="24"/>
      <c r="G39" s="25"/>
    </row>
    <row r="40" spans="2:11" x14ac:dyDescent="0.2">
      <c r="F40" s="24"/>
      <c r="G40" s="25"/>
    </row>
    <row r="41" spans="2:11" x14ac:dyDescent="0.2">
      <c r="F41" s="24"/>
      <c r="G41" s="25"/>
    </row>
    <row r="42" spans="2:11" x14ac:dyDescent="0.2">
      <c r="F42" s="24"/>
      <c r="G42" s="26"/>
    </row>
    <row r="43" spans="2:11" ht="21" customHeight="1" thickBot="1" x14ac:dyDescent="0.25">
      <c r="B43" s="27" t="s">
        <v>65</v>
      </c>
      <c r="C43" s="28"/>
      <c r="D43" s="28"/>
      <c r="E43" s="28"/>
      <c r="F43" s="28"/>
      <c r="G43" s="28"/>
      <c r="H43" s="28"/>
      <c r="I43" s="29"/>
      <c r="J43" s="29"/>
      <c r="K43" s="29"/>
    </row>
    <row r="44" spans="2:11" ht="13.5" thickTop="1" x14ac:dyDescent="0.2"/>
    <row r="45" spans="2:11" x14ac:dyDescent="0.2">
      <c r="B45" s="9"/>
      <c r="C45" s="12" t="s">
        <v>66</v>
      </c>
      <c r="D45" s="12" t="s">
        <v>67</v>
      </c>
    </row>
    <row r="46" spans="2:11" x14ac:dyDescent="0.2">
      <c r="B46" s="30" t="s">
        <v>73</v>
      </c>
      <c r="C46" s="12">
        <f ca="1">COUNTIFS(Données[SEXE],"H",Données[AGE],"&lt;=25")</f>
        <v>1</v>
      </c>
      <c r="D46" s="12">
        <f ca="1">COUNTIFS(Données[SEXE],"F",Données[AGE],"&lt;=25")</f>
        <v>0</v>
      </c>
    </row>
    <row r="47" spans="2:11" x14ac:dyDescent="0.2">
      <c r="B47" s="12" t="s">
        <v>68</v>
      </c>
      <c r="C47" s="12">
        <f ca="1">COUNTIFS(Données[SEXE],"H",Données[AGE],"&gt;=26",Données[AGE],"&lt;=35")</f>
        <v>0</v>
      </c>
      <c r="D47" s="12">
        <f ca="1">COUNTIFS(Données[SEXE],"F",Données[AGE],"&gt;=26",Données[AGE],"&lt;=35")</f>
        <v>2</v>
      </c>
    </row>
    <row r="48" spans="2:11" x14ac:dyDescent="0.2">
      <c r="B48" s="12" t="s">
        <v>69</v>
      </c>
      <c r="C48" s="12">
        <f ca="1">COUNTIFS(Données[SEXE],"H",Données[AGE],"&gt;=36",Données[AGE],"&lt;=45")</f>
        <v>0</v>
      </c>
      <c r="D48" s="12">
        <f ca="1">COUNTIFS(Données[SEXE],"F",Données[AGE],"&gt;=36",Données[AGE],"&lt;=45")</f>
        <v>0</v>
      </c>
    </row>
    <row r="49" spans="2:4" x14ac:dyDescent="0.2">
      <c r="B49" s="12" t="s">
        <v>70</v>
      </c>
      <c r="C49" s="12">
        <f ca="1">COUNTIFS(Données[SEXE],"H",Données[AGE],"&gt;=46",Données[AGE],"&lt;=55")</f>
        <v>1</v>
      </c>
      <c r="D49" s="12">
        <f ca="1">COUNTIFS(Données[SEXE],"F",Données[AGE],"&gt;=46",Données[AGE],"&lt;=55")</f>
        <v>4</v>
      </c>
    </row>
    <row r="50" spans="2:4" x14ac:dyDescent="0.2">
      <c r="B50" s="12" t="s">
        <v>71</v>
      </c>
      <c r="C50" s="12">
        <f ca="1">COUNTIFS(Données[SEXE],"H",Données[AGE],"&gt;=56",Données[AGE],"&lt;=65")</f>
        <v>0</v>
      </c>
      <c r="D50" s="12">
        <f ca="1">COUNTIFS(Données[SEXE],"f",Données[AGE],"&gt;=56",Données[AGE],"&lt;=65")</f>
        <v>0</v>
      </c>
    </row>
    <row r="51" spans="2:4" x14ac:dyDescent="0.2">
      <c r="B51" s="12" t="s">
        <v>72</v>
      </c>
      <c r="C51" s="12">
        <f ca="1">COUNTIFS(Données[SEXE],"H",Données[AGE],"&gt;=65")</f>
        <v>0</v>
      </c>
      <c r="D51" s="12">
        <f ca="1">COUNTIFS(Données[SEXE],"F",Données[AGE],"&gt;=65")</f>
        <v>0</v>
      </c>
    </row>
    <row r="54" spans="2:4" x14ac:dyDescent="0.2">
      <c r="B54" s="31" t="s">
        <v>77</v>
      </c>
      <c r="C54" s="32">
        <f ca="1">AVERAGE(Données[AGE])</f>
        <v>43.875</v>
      </c>
    </row>
  </sheetData>
  <printOptions horizontalCentered="1"/>
  <pageMargins left="0.25" right="0.25" top="0.75" bottom="0.75" header="0.3" footer="0.3"/>
  <pageSetup scale="84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D10"/>
  <sheetViews>
    <sheetView tabSelected="1" workbookViewId="0">
      <selection activeCell="A8" sqref="A8"/>
    </sheetView>
  </sheetViews>
  <sheetFormatPr baseColWidth="10" defaultRowHeight="12.75" x14ac:dyDescent="0.2"/>
  <cols>
    <col min="1" max="1" width="11.75" customWidth="1"/>
    <col min="2" max="2" width="16.25" customWidth="1"/>
    <col min="3" max="3" width="14.5" customWidth="1"/>
    <col min="4" max="4" width="8.375" customWidth="1"/>
  </cols>
  <sheetData>
    <row r="4" spans="1:4" x14ac:dyDescent="0.2">
      <c r="B4" t="s">
        <v>97</v>
      </c>
      <c r="C4" t="s">
        <v>98</v>
      </c>
    </row>
    <row r="5" spans="1:4" x14ac:dyDescent="0.2">
      <c r="A5" s="8" t="s">
        <v>29</v>
      </c>
      <c r="B5" s="43">
        <v>8</v>
      </c>
      <c r="C5" s="43">
        <v>7.6499999999999995</v>
      </c>
    </row>
    <row r="8" spans="1:4" x14ac:dyDescent="0.2">
      <c r="A8" s="44" t="s">
        <v>31</v>
      </c>
      <c r="B8" s="46" t="s">
        <v>99</v>
      </c>
      <c r="C8" s="46" t="s">
        <v>96</v>
      </c>
      <c r="D8" t="s">
        <v>100</v>
      </c>
    </row>
    <row r="9" spans="1:4" x14ac:dyDescent="0.2">
      <c r="A9" s="45" t="s">
        <v>43</v>
      </c>
      <c r="B9" s="43">
        <v>6</v>
      </c>
      <c r="C9" s="43">
        <v>5.8</v>
      </c>
      <c r="D9" s="47">
        <v>0.75816993464052296</v>
      </c>
    </row>
    <row r="10" spans="1:4" x14ac:dyDescent="0.2">
      <c r="A10" s="45" t="s">
        <v>44</v>
      </c>
      <c r="B10" s="43">
        <v>2</v>
      </c>
      <c r="C10" s="43">
        <v>1.85</v>
      </c>
      <c r="D10" s="47">
        <v>0.24183006535947715</v>
      </c>
    </row>
  </sheetData>
  <pageMargins left="0.7" right="0.7" top="0.75" bottom="0.75" header="0.3" footer="0.3"/>
  <pageSetup paperSize="9" orientation="portrait" r:id="rId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4" tint="0.39997558519241921"/>
    <pageSetUpPr autoPageBreaks="0" fitToPage="1"/>
  </sheetPr>
  <dimension ref="B2:L68"/>
  <sheetViews>
    <sheetView topLeftCell="A3" zoomScaleNormal="100" workbookViewId="0">
      <selection activeCell="C28" sqref="C28"/>
    </sheetView>
  </sheetViews>
  <sheetFormatPr baseColWidth="10" defaultColWidth="9" defaultRowHeight="20.25" customHeight="1" x14ac:dyDescent="0.2"/>
  <cols>
    <col min="1" max="1" width="4.125" style="34" customWidth="1"/>
    <col min="2" max="2" width="16.75" style="34" customWidth="1"/>
    <col min="3" max="3" width="13.375" style="34" customWidth="1"/>
    <col min="4" max="4" width="19.5" style="34" customWidth="1"/>
    <col min="5" max="5" width="8.75" style="34" bestFit="1" customWidth="1"/>
    <col min="6" max="6" width="13.625" style="34" customWidth="1"/>
    <col min="7" max="7" width="15" style="34" customWidth="1"/>
    <col min="8" max="8" width="23" style="34" customWidth="1"/>
    <col min="9" max="9" width="19.375" style="34" customWidth="1"/>
    <col min="10" max="10" width="10.875" style="34" customWidth="1"/>
    <col min="11" max="11" width="9.875" style="34" customWidth="1"/>
    <col min="12" max="12" width="18.625" style="34" bestFit="1" customWidth="1"/>
    <col min="13" max="16384" width="9" style="34"/>
  </cols>
  <sheetData>
    <row r="2" spans="2:12" ht="20.25" customHeight="1" x14ac:dyDescent="0.2">
      <c r="B2" s="33" t="s">
        <v>8</v>
      </c>
      <c r="C2" s="33" t="s">
        <v>9</v>
      </c>
      <c r="D2" s="33" t="s">
        <v>10</v>
      </c>
      <c r="E2" s="33" t="s">
        <v>27</v>
      </c>
      <c r="F2" s="33" t="s">
        <v>11</v>
      </c>
      <c r="G2" s="33" t="s">
        <v>12</v>
      </c>
      <c r="H2" s="33" t="s">
        <v>13</v>
      </c>
      <c r="I2" s="33" t="s">
        <v>14</v>
      </c>
      <c r="J2" s="33" t="s">
        <v>33</v>
      </c>
      <c r="K2" s="33" t="s">
        <v>24</v>
      </c>
      <c r="L2" s="33" t="s">
        <v>15</v>
      </c>
    </row>
    <row r="3" spans="2:12" ht="20.25" customHeight="1" x14ac:dyDescent="0.2">
      <c r="B3" s="34" t="s">
        <v>78</v>
      </c>
      <c r="C3" s="35" t="s">
        <v>86</v>
      </c>
      <c r="D3" s="36">
        <v>29583</v>
      </c>
      <c r="E3" s="37">
        <f ca="1">DATEDIF(Données[[#This Row],[DATE DE NAISSANCE]],TODAY(), "y")</f>
        <v>33</v>
      </c>
      <c r="F3" s="34" t="s">
        <v>0</v>
      </c>
      <c r="G3" s="36">
        <v>41062</v>
      </c>
      <c r="H3" s="34" t="s">
        <v>1</v>
      </c>
      <c r="I3" s="34" t="s">
        <v>4</v>
      </c>
      <c r="J3" s="34" t="s">
        <v>25</v>
      </c>
      <c r="K3" s="34">
        <v>1</v>
      </c>
      <c r="L3" s="38" t="s">
        <v>88</v>
      </c>
    </row>
    <row r="4" spans="2:12" ht="20.25" customHeight="1" x14ac:dyDescent="0.2">
      <c r="B4" s="34" t="s">
        <v>20</v>
      </c>
      <c r="C4" s="35" t="s">
        <v>16</v>
      </c>
      <c r="D4" s="36">
        <v>23528</v>
      </c>
      <c r="E4" s="37">
        <f ca="1">DATEDIF(Données[[#This Row],[DATE DE NAISSANCE]],TODAY(), "y")</f>
        <v>50</v>
      </c>
      <c r="F4" s="34" t="s">
        <v>2</v>
      </c>
      <c r="G4" s="36">
        <v>39243</v>
      </c>
      <c r="H4" s="34" t="s">
        <v>3</v>
      </c>
      <c r="I4" s="34" t="s">
        <v>5</v>
      </c>
      <c r="J4" s="34" t="s">
        <v>25</v>
      </c>
      <c r="K4" s="34">
        <v>0.85</v>
      </c>
      <c r="L4" s="38" t="s">
        <v>88</v>
      </c>
    </row>
    <row r="5" spans="2:12" ht="20.25" customHeight="1" x14ac:dyDescent="0.2">
      <c r="B5" s="34" t="s">
        <v>79</v>
      </c>
      <c r="C5" s="35" t="s">
        <v>17</v>
      </c>
      <c r="D5" s="36">
        <v>23541</v>
      </c>
      <c r="E5" s="37">
        <f ca="1">DATEDIF(Données[[#This Row],[DATE DE NAISSANCE]],TODAY(), "y")</f>
        <v>50</v>
      </c>
      <c r="F5" s="34" t="s">
        <v>0</v>
      </c>
      <c r="G5" s="36">
        <v>40184</v>
      </c>
      <c r="H5" s="34" t="s">
        <v>1</v>
      </c>
      <c r="I5" s="34" t="s">
        <v>5</v>
      </c>
      <c r="J5" s="34" t="s">
        <v>25</v>
      </c>
      <c r="K5" s="34">
        <v>1</v>
      </c>
      <c r="L5" s="38" t="s">
        <v>89</v>
      </c>
    </row>
    <row r="6" spans="2:12" ht="20.25" customHeight="1" x14ac:dyDescent="0.2">
      <c r="B6" s="34" t="s">
        <v>80</v>
      </c>
      <c r="C6" s="35" t="s">
        <v>18</v>
      </c>
      <c r="D6" s="36">
        <v>21945</v>
      </c>
      <c r="E6" s="37">
        <f ca="1">DATEDIF(Données[[#This Row],[DATE DE NAISSANCE]],TODAY(), "y")</f>
        <v>54</v>
      </c>
      <c r="F6" s="34" t="s">
        <v>0</v>
      </c>
      <c r="G6" s="36">
        <v>40460</v>
      </c>
      <c r="H6" s="34" t="s">
        <v>7</v>
      </c>
      <c r="I6" s="34" t="s">
        <v>22</v>
      </c>
      <c r="J6" s="34" t="s">
        <v>25</v>
      </c>
      <c r="K6" s="34">
        <v>1</v>
      </c>
      <c r="L6" s="38" t="s">
        <v>90</v>
      </c>
    </row>
    <row r="7" spans="2:12" ht="20.25" customHeight="1" x14ac:dyDescent="0.2">
      <c r="B7" s="34" t="s">
        <v>81</v>
      </c>
      <c r="C7" s="35" t="s">
        <v>85</v>
      </c>
      <c r="D7" s="36">
        <v>22166</v>
      </c>
      <c r="E7" s="37">
        <f ca="1">DATEDIF(Données[[#This Row],[DATE DE NAISSANCE]],TODAY(), "y")</f>
        <v>53</v>
      </c>
      <c r="F7" s="34" t="s">
        <v>0</v>
      </c>
      <c r="G7" s="36">
        <v>41594</v>
      </c>
      <c r="H7" s="34" t="s">
        <v>91</v>
      </c>
      <c r="I7" s="34" t="s">
        <v>23</v>
      </c>
      <c r="J7" s="34" t="s">
        <v>26</v>
      </c>
      <c r="K7" s="34">
        <v>1</v>
      </c>
      <c r="L7" s="38" t="s">
        <v>90</v>
      </c>
    </row>
    <row r="8" spans="2:12" ht="20.25" customHeight="1" x14ac:dyDescent="0.2">
      <c r="B8" s="34" t="s">
        <v>82</v>
      </c>
      <c r="C8" s="35" t="s">
        <v>19</v>
      </c>
      <c r="D8" s="36">
        <v>29712</v>
      </c>
      <c r="E8" s="37">
        <f ca="1">DATEDIF(Données[[#This Row],[DATE DE NAISSANCE]],TODAY(), "y")</f>
        <v>33</v>
      </c>
      <c r="F8" s="34" t="s">
        <v>0</v>
      </c>
      <c r="G8" s="36">
        <v>41136</v>
      </c>
      <c r="H8" s="34" t="s">
        <v>1</v>
      </c>
      <c r="I8" s="34" t="s">
        <v>6</v>
      </c>
      <c r="J8" s="34" t="s">
        <v>25</v>
      </c>
      <c r="K8" s="34">
        <v>0.8</v>
      </c>
      <c r="L8" s="38" t="s">
        <v>88</v>
      </c>
    </row>
    <row r="9" spans="2:12" ht="20.25" customHeight="1" x14ac:dyDescent="0.2">
      <c r="B9" s="34" t="s">
        <v>83</v>
      </c>
      <c r="C9" s="35" t="s">
        <v>87</v>
      </c>
      <c r="D9" s="36">
        <v>21918</v>
      </c>
      <c r="E9" s="37">
        <f ca="1">DATEDIF(Données[[#This Row],[DATE DE NAISSANCE]],TODAY(), "y")</f>
        <v>54</v>
      </c>
      <c r="F9" s="34" t="s">
        <v>0</v>
      </c>
      <c r="G9" s="36">
        <v>40192</v>
      </c>
      <c r="H9" s="34" t="s">
        <v>92</v>
      </c>
      <c r="I9" s="34" t="s">
        <v>95</v>
      </c>
      <c r="J9" s="34" t="s">
        <v>25</v>
      </c>
      <c r="K9" s="34">
        <v>1</v>
      </c>
      <c r="L9" s="38" t="s">
        <v>88</v>
      </c>
    </row>
    <row r="10" spans="2:12" ht="20.25" customHeight="1" x14ac:dyDescent="0.2">
      <c r="B10" s="34" t="s">
        <v>84</v>
      </c>
      <c r="C10" s="35" t="s">
        <v>21</v>
      </c>
      <c r="D10" s="36">
        <v>32847</v>
      </c>
      <c r="E10" s="37">
        <f ca="1">DATEDIF(Données[[#This Row],[DATE DE NAISSANCE]],TODAY(), "y")</f>
        <v>24</v>
      </c>
      <c r="F10" s="34" t="s">
        <v>2</v>
      </c>
      <c r="G10" s="36">
        <v>41356</v>
      </c>
      <c r="H10" s="34" t="s">
        <v>91</v>
      </c>
      <c r="I10" s="34" t="s">
        <v>6</v>
      </c>
      <c r="J10" s="34" t="s">
        <v>26</v>
      </c>
      <c r="K10" s="34">
        <v>1</v>
      </c>
      <c r="L10" s="38" t="s">
        <v>89</v>
      </c>
    </row>
    <row r="11" spans="2:12" ht="20.25" customHeight="1" x14ac:dyDescent="0.2">
      <c r="C11" s="35"/>
      <c r="D11" s="36"/>
      <c r="E11" s="37"/>
      <c r="G11" s="36"/>
      <c r="L11" s="38"/>
    </row>
    <row r="12" spans="2:12" ht="20.25" customHeight="1" x14ac:dyDescent="0.2">
      <c r="C12" s="35"/>
      <c r="D12" s="36"/>
      <c r="E12" s="37"/>
      <c r="G12" s="36"/>
      <c r="L12" s="38"/>
    </row>
    <row r="13" spans="2:12" ht="20.25" customHeight="1" x14ac:dyDescent="0.2">
      <c r="C13" s="35"/>
      <c r="D13" s="36"/>
      <c r="E13" s="37"/>
      <c r="G13" s="36"/>
      <c r="L13" s="38"/>
    </row>
    <row r="14" spans="2:12" ht="20.25" customHeight="1" x14ac:dyDescent="0.2">
      <c r="C14" s="35"/>
      <c r="D14" s="36"/>
      <c r="E14" s="37"/>
      <c r="G14" s="36"/>
      <c r="L14" s="38"/>
    </row>
    <row r="15" spans="2:12" ht="20.25" customHeight="1" x14ac:dyDescent="0.2">
      <c r="C15" s="39"/>
      <c r="D15" s="36"/>
      <c r="E15" s="37"/>
      <c r="G15" s="36"/>
      <c r="L15" s="38"/>
    </row>
    <row r="16" spans="2:12" ht="20.25" customHeight="1" x14ac:dyDescent="0.2">
      <c r="C16" s="39"/>
      <c r="D16" s="36"/>
      <c r="E16" s="37"/>
      <c r="G16" s="36"/>
      <c r="L16" s="38"/>
    </row>
    <row r="17" spans="3:12" ht="20.25" customHeight="1" x14ac:dyDescent="0.2">
      <c r="C17" s="39"/>
      <c r="D17" s="36"/>
      <c r="E17" s="37"/>
      <c r="G17" s="36"/>
      <c r="L17" s="38"/>
    </row>
    <row r="18" spans="3:12" ht="20.25" customHeight="1" x14ac:dyDescent="0.2">
      <c r="C18" s="39"/>
      <c r="D18" s="36"/>
      <c r="E18" s="37"/>
      <c r="G18" s="36"/>
      <c r="L18" s="38"/>
    </row>
    <row r="19" spans="3:12" ht="20.25" customHeight="1" x14ac:dyDescent="0.2">
      <c r="C19" s="39"/>
      <c r="D19" s="36"/>
      <c r="E19" s="37"/>
      <c r="G19" s="36"/>
      <c r="L19" s="38"/>
    </row>
    <row r="20" spans="3:12" ht="20.25" customHeight="1" x14ac:dyDescent="0.2">
      <c r="C20" s="39"/>
      <c r="D20" s="36"/>
      <c r="E20" s="37"/>
      <c r="G20" s="36"/>
      <c r="L20" s="38"/>
    </row>
    <row r="21" spans="3:12" ht="20.25" customHeight="1" x14ac:dyDescent="0.2">
      <c r="C21" s="39"/>
      <c r="D21" s="36"/>
      <c r="E21" s="37"/>
      <c r="G21" s="36"/>
      <c r="L21" s="38"/>
    </row>
    <row r="22" spans="3:12" ht="20.25" customHeight="1" x14ac:dyDescent="0.2">
      <c r="C22" s="39"/>
      <c r="D22" s="36"/>
      <c r="E22" s="37"/>
      <c r="G22" s="36"/>
      <c r="L22" s="38"/>
    </row>
    <row r="23" spans="3:12" ht="20.25" customHeight="1" x14ac:dyDescent="0.2">
      <c r="C23" s="39"/>
      <c r="D23" s="36"/>
      <c r="E23" s="37"/>
      <c r="G23" s="36"/>
      <c r="L23" s="38"/>
    </row>
    <row r="24" spans="3:12" ht="20.25" customHeight="1" x14ac:dyDescent="0.2">
      <c r="C24" s="39"/>
      <c r="D24" s="36"/>
      <c r="E24" s="37"/>
      <c r="G24" s="36"/>
      <c r="L24" s="38"/>
    </row>
    <row r="25" spans="3:12" ht="20.25" customHeight="1" x14ac:dyDescent="0.2">
      <c r="C25" s="39"/>
      <c r="D25" s="36"/>
      <c r="E25" s="37"/>
      <c r="G25" s="36"/>
      <c r="L25" s="38"/>
    </row>
    <row r="26" spans="3:12" ht="20.25" customHeight="1" x14ac:dyDescent="0.2">
      <c r="C26" s="39"/>
      <c r="D26" s="36"/>
      <c r="E26" s="37"/>
      <c r="G26" s="36"/>
      <c r="L26" s="38"/>
    </row>
    <row r="27" spans="3:12" ht="20.25" customHeight="1" x14ac:dyDescent="0.2">
      <c r="C27" s="39"/>
      <c r="D27" s="36"/>
      <c r="E27" s="37"/>
      <c r="G27" s="36"/>
      <c r="L27" s="38"/>
    </row>
    <row r="28" spans="3:12" ht="20.25" customHeight="1" x14ac:dyDescent="0.2">
      <c r="C28" s="39"/>
      <c r="D28" s="36"/>
      <c r="E28" s="37"/>
      <c r="G28" s="36"/>
      <c r="L28" s="38"/>
    </row>
    <row r="29" spans="3:12" ht="20.25" customHeight="1" x14ac:dyDescent="0.2">
      <c r="C29" s="39"/>
      <c r="D29" s="36"/>
      <c r="E29" s="37"/>
      <c r="G29" s="36"/>
      <c r="L29" s="38"/>
    </row>
    <row r="30" spans="3:12" ht="20.25" customHeight="1" x14ac:dyDescent="0.2">
      <c r="C30" s="39"/>
      <c r="D30" s="36"/>
      <c r="E30" s="37"/>
      <c r="G30" s="36"/>
      <c r="L30" s="38"/>
    </row>
    <row r="31" spans="3:12" ht="20.25" customHeight="1" x14ac:dyDescent="0.2">
      <c r="C31" s="39"/>
      <c r="D31" s="36"/>
      <c r="E31" s="37"/>
      <c r="G31" s="36"/>
      <c r="L31" s="38"/>
    </row>
    <row r="32" spans="3:12" ht="20.25" customHeight="1" x14ac:dyDescent="0.2">
      <c r="C32" s="39"/>
      <c r="D32" s="36"/>
      <c r="E32" s="37"/>
      <c r="G32" s="36"/>
      <c r="L32" s="38"/>
    </row>
    <row r="33" spans="3:12" ht="20.25" customHeight="1" x14ac:dyDescent="0.2">
      <c r="C33" s="39"/>
      <c r="D33" s="36"/>
      <c r="E33" s="37"/>
      <c r="G33" s="36"/>
      <c r="L33" s="38"/>
    </row>
    <row r="34" spans="3:12" ht="20.25" customHeight="1" x14ac:dyDescent="0.2">
      <c r="C34" s="39"/>
      <c r="D34" s="36"/>
      <c r="E34" s="37"/>
      <c r="G34" s="36"/>
      <c r="L34" s="38"/>
    </row>
    <row r="35" spans="3:12" ht="20.25" customHeight="1" x14ac:dyDescent="0.2">
      <c r="C35" s="39"/>
      <c r="D35" s="36"/>
      <c r="E35" s="37"/>
      <c r="G35" s="36"/>
      <c r="L35" s="38"/>
    </row>
    <row r="36" spans="3:12" ht="20.25" customHeight="1" x14ac:dyDescent="0.2">
      <c r="C36" s="39"/>
      <c r="D36" s="36"/>
      <c r="E36" s="37"/>
      <c r="G36" s="36"/>
      <c r="L36" s="38"/>
    </row>
    <row r="37" spans="3:12" ht="20.25" customHeight="1" x14ac:dyDescent="0.2">
      <c r="C37" s="39"/>
      <c r="D37" s="36"/>
      <c r="E37" s="37"/>
      <c r="G37" s="36"/>
      <c r="L37" s="38"/>
    </row>
    <row r="38" spans="3:12" ht="20.25" customHeight="1" x14ac:dyDescent="0.2">
      <c r="C38" s="39"/>
      <c r="D38" s="36"/>
      <c r="E38" s="37"/>
      <c r="G38" s="36"/>
      <c r="L38" s="38"/>
    </row>
    <row r="39" spans="3:12" ht="20.25" customHeight="1" x14ac:dyDescent="0.2">
      <c r="C39" s="39"/>
      <c r="D39" s="36"/>
      <c r="E39" s="37"/>
      <c r="G39" s="36"/>
      <c r="L39" s="38"/>
    </row>
    <row r="40" spans="3:12" ht="20.25" customHeight="1" x14ac:dyDescent="0.2">
      <c r="C40" s="39"/>
      <c r="D40" s="36"/>
      <c r="E40" s="37"/>
      <c r="G40" s="36"/>
      <c r="L40" s="38"/>
    </row>
    <row r="41" spans="3:12" ht="20.25" customHeight="1" x14ac:dyDescent="0.2">
      <c r="C41" s="39"/>
      <c r="D41" s="36"/>
      <c r="E41" s="37"/>
      <c r="G41" s="36"/>
      <c r="L41" s="38"/>
    </row>
    <row r="42" spans="3:12" ht="20.25" customHeight="1" x14ac:dyDescent="0.2">
      <c r="C42" s="39"/>
      <c r="D42" s="36"/>
      <c r="E42" s="37"/>
      <c r="G42" s="36"/>
      <c r="L42" s="38"/>
    </row>
    <row r="43" spans="3:12" ht="20.25" customHeight="1" x14ac:dyDescent="0.2">
      <c r="C43" s="39"/>
      <c r="D43" s="36"/>
      <c r="E43" s="37"/>
      <c r="G43" s="36"/>
      <c r="L43" s="38"/>
    </row>
    <row r="44" spans="3:12" ht="20.25" customHeight="1" x14ac:dyDescent="0.2">
      <c r="C44" s="39"/>
      <c r="D44" s="36"/>
      <c r="E44" s="37"/>
      <c r="G44" s="36"/>
      <c r="L44" s="38"/>
    </row>
    <row r="45" spans="3:12" ht="20.25" customHeight="1" x14ac:dyDescent="0.2">
      <c r="C45" s="39"/>
      <c r="D45" s="36"/>
      <c r="E45" s="37"/>
      <c r="G45" s="36"/>
      <c r="L45" s="38"/>
    </row>
    <row r="46" spans="3:12" ht="20.25" customHeight="1" x14ac:dyDescent="0.2">
      <c r="C46" s="39"/>
      <c r="D46" s="36"/>
      <c r="E46" s="37"/>
      <c r="G46" s="36"/>
      <c r="L46" s="38"/>
    </row>
    <row r="47" spans="3:12" ht="20.25" customHeight="1" x14ac:dyDescent="0.2">
      <c r="C47" s="39"/>
      <c r="D47" s="36"/>
      <c r="E47" s="37"/>
      <c r="G47" s="36"/>
      <c r="L47" s="38"/>
    </row>
    <row r="48" spans="3:12" ht="20.25" customHeight="1" x14ac:dyDescent="0.2">
      <c r="C48" s="39"/>
      <c r="D48" s="36"/>
      <c r="E48" s="37"/>
      <c r="G48" s="36"/>
      <c r="L48" s="38"/>
    </row>
    <row r="49" spans="3:12" ht="20.25" customHeight="1" x14ac:dyDescent="0.2">
      <c r="C49" s="39"/>
      <c r="D49" s="36"/>
      <c r="E49" s="37"/>
      <c r="G49" s="36"/>
      <c r="L49" s="38"/>
    </row>
    <row r="50" spans="3:12" ht="20.25" customHeight="1" x14ac:dyDescent="0.2">
      <c r="C50" s="39"/>
      <c r="D50" s="36"/>
      <c r="E50" s="37"/>
      <c r="G50" s="36"/>
      <c r="L50" s="38"/>
    </row>
    <row r="51" spans="3:12" ht="20.25" customHeight="1" x14ac:dyDescent="0.2">
      <c r="C51" s="39"/>
      <c r="D51" s="36"/>
      <c r="E51" s="37"/>
      <c r="G51" s="36"/>
      <c r="L51" s="38"/>
    </row>
    <row r="52" spans="3:12" ht="20.25" customHeight="1" x14ac:dyDescent="0.2">
      <c r="C52" s="39"/>
      <c r="D52" s="36"/>
      <c r="E52" s="37"/>
      <c r="G52" s="36"/>
      <c r="L52" s="38"/>
    </row>
    <row r="53" spans="3:12" ht="20.25" customHeight="1" x14ac:dyDescent="0.2">
      <c r="C53" s="39"/>
      <c r="D53" s="36"/>
      <c r="E53" s="37"/>
      <c r="G53" s="36"/>
      <c r="L53" s="38"/>
    </row>
    <row r="54" spans="3:12" ht="20.25" customHeight="1" x14ac:dyDescent="0.2">
      <c r="C54" s="39"/>
      <c r="D54" s="36"/>
      <c r="E54" s="37"/>
      <c r="G54" s="36"/>
      <c r="L54" s="38"/>
    </row>
    <row r="55" spans="3:12" ht="20.25" customHeight="1" x14ac:dyDescent="0.2">
      <c r="C55" s="39"/>
      <c r="D55" s="36"/>
      <c r="E55" s="37"/>
      <c r="G55" s="36"/>
      <c r="L55" s="38"/>
    </row>
    <row r="56" spans="3:12" ht="20.25" customHeight="1" x14ac:dyDescent="0.2">
      <c r="C56" s="39"/>
      <c r="D56" s="36"/>
      <c r="E56" s="37"/>
      <c r="G56" s="36"/>
      <c r="L56" s="38"/>
    </row>
    <row r="57" spans="3:12" ht="20.25" customHeight="1" x14ac:dyDescent="0.2">
      <c r="C57" s="39"/>
      <c r="D57" s="36"/>
      <c r="E57" s="37"/>
      <c r="G57" s="36"/>
      <c r="L57" s="38"/>
    </row>
    <row r="58" spans="3:12" ht="20.25" customHeight="1" x14ac:dyDescent="0.2">
      <c r="C58" s="39"/>
      <c r="D58" s="36"/>
      <c r="E58" s="37"/>
      <c r="G58" s="36"/>
      <c r="L58" s="38"/>
    </row>
    <row r="59" spans="3:12" ht="20.25" customHeight="1" x14ac:dyDescent="0.2">
      <c r="C59" s="39"/>
      <c r="D59" s="36"/>
      <c r="E59" s="37"/>
      <c r="G59" s="36"/>
      <c r="L59" s="38"/>
    </row>
    <row r="60" spans="3:12" ht="20.25" customHeight="1" x14ac:dyDescent="0.2">
      <c r="C60" s="39"/>
      <c r="D60" s="36"/>
      <c r="E60" s="37"/>
      <c r="G60" s="36"/>
      <c r="L60" s="38"/>
    </row>
    <row r="61" spans="3:12" ht="20.25" customHeight="1" x14ac:dyDescent="0.2">
      <c r="C61" s="39"/>
      <c r="D61" s="36"/>
      <c r="E61" s="37"/>
      <c r="G61" s="36"/>
      <c r="L61" s="38"/>
    </row>
    <row r="62" spans="3:12" ht="20.25" customHeight="1" x14ac:dyDescent="0.2">
      <c r="C62" s="39"/>
      <c r="D62" s="36"/>
      <c r="E62" s="37"/>
      <c r="G62" s="36"/>
      <c r="L62" s="38"/>
    </row>
    <row r="63" spans="3:12" ht="20.25" customHeight="1" x14ac:dyDescent="0.2">
      <c r="C63" s="39"/>
      <c r="D63" s="36"/>
      <c r="E63" s="37"/>
      <c r="G63" s="36"/>
      <c r="L63" s="38"/>
    </row>
    <row r="64" spans="3:12" ht="20.25" customHeight="1" x14ac:dyDescent="0.2">
      <c r="C64" s="39"/>
      <c r="D64" s="36"/>
      <c r="E64" s="37"/>
      <c r="G64" s="36"/>
      <c r="L64" s="38"/>
    </row>
    <row r="65" spans="2:12" ht="20.25" customHeight="1" x14ac:dyDescent="0.2">
      <c r="C65" s="39"/>
      <c r="D65" s="36"/>
      <c r="E65" s="37"/>
      <c r="G65" s="36"/>
      <c r="L65" s="38"/>
    </row>
    <row r="66" spans="2:12" ht="20.25" customHeight="1" x14ac:dyDescent="0.2">
      <c r="C66" s="39"/>
      <c r="D66" s="36"/>
      <c r="E66" s="37"/>
      <c r="G66" s="36"/>
      <c r="L66" s="38"/>
    </row>
    <row r="67" spans="2:12" ht="20.25" customHeight="1" x14ac:dyDescent="0.2">
      <c r="B67" s="40"/>
      <c r="C67" s="40"/>
      <c r="D67" s="41"/>
      <c r="E67" s="41"/>
      <c r="G67" s="36"/>
      <c r="L67" s="42"/>
    </row>
    <row r="68" spans="2:12" ht="20.25" customHeight="1" x14ac:dyDescent="0.2">
      <c r="B68" s="40"/>
      <c r="C68" s="40"/>
      <c r="D68" s="41"/>
      <c r="E68" s="41"/>
      <c r="G68" s="36"/>
      <c r="L68" s="42"/>
    </row>
  </sheetData>
  <printOptions horizontalCentered="1"/>
  <pageMargins left="0.25" right="0.25" top="0.75" bottom="0.75" header="0.3" footer="0.3"/>
  <pageSetup scale="67" fitToHeight="0" orientation="landscape" r:id="rId1"/>
  <headerFooter differentFirst="1">
    <oddFooter>Page &amp;P of &amp;N</odd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01FA62D8-57F0-469E-88FC-B4328C90F82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Tableau de bord</vt:lpstr>
      <vt:lpstr>TCD Tableau de bord</vt:lpstr>
      <vt:lpstr>Données salariés</vt:lpstr>
      <vt:lpstr>Ilpourcent</vt:lpstr>
      <vt:lpstr>WeightToGo</vt:lpstr>
      <vt:lpstr>'Données salariés'!Zone_d_impression</vt:lpstr>
      <vt:lpstr>'Tableau de bord'!Zone_d_impression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2014-07-25T12:10:30Z</dcterms:created>
  <dcterms:modified xsi:type="dcterms:W3CDTF">2014-08-05T13:57:16Z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TC031076769991</vt:lpwstr>
  </property>
</Properties>
</file>