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showPivotChartFilter="1" defaultThemeVersion="124226"/>
  <bookViews>
    <workbookView xWindow="8730" yWindow="825" windowWidth="8565" windowHeight="6855" tabRatio="778"/>
  </bookViews>
  <sheets>
    <sheet name="Base de donnée" sheetId="1" r:id="rId1"/>
    <sheet name="Personnels" sheetId="13" r:id="rId2"/>
    <sheet name="Vérification planning" sheetId="19" state="hidden" r:id="rId3"/>
    <sheet name="Cycles" sheetId="15" r:id="rId4"/>
    <sheet name="Fériés" sheetId="17" state="hidden" r:id="rId5"/>
    <sheet name="Liste Formations" sheetId="20" state="hidden" r:id="rId6"/>
  </sheets>
  <externalReferences>
    <externalReference r:id="rId7"/>
    <externalReference r:id="rId8"/>
    <externalReference r:id="rId9"/>
  </externalReferences>
  <definedNames>
    <definedName name="_xlnm._FilterDatabase" localSheetId="1" hidden="1">Personnels!$B$2:$D$57</definedName>
    <definedName name="An" localSheetId="4">Fériés!$B$1</definedName>
    <definedName name="An">#REF!</definedName>
    <definedName name="annee" localSheetId="4">Fériés!$K$1:$K$16</definedName>
    <definedName name="annee" localSheetId="1">#REF!</definedName>
    <definedName name="annee">#REF!</definedName>
    <definedName name="basededonnés">GestionPersonnelRDJ[]</definedName>
    <definedName name="Fériés" localSheetId="4">Fériés!$D$4:$D$42</definedName>
    <definedName name="Fériés" localSheetId="1">#REF!</definedName>
    <definedName name="Fériés">#REF!</definedName>
    <definedName name="Fériés2010">Fériés!$D$4:$D$120</definedName>
    <definedName name="Fériés3" localSheetId="4">Fériés!$D$4:$D$42</definedName>
    <definedName name="Fériés3">#REF!</definedName>
    <definedName name="Fonction">Personnels!$C$3:$C$57</definedName>
    <definedName name="groupe" localSheetId="4">OFFSET([1]Cycles!$A$2,,,COUNTA([1]Cycles!$A:$A)-1)</definedName>
    <definedName name="groupe">OFFSET(Cycles!$A$2,,,COUNTA(Cycles!$A:$A)-1)</definedName>
    <definedName name="_xlnm.Print_Titles" localSheetId="0">'Base de donnée'!$3:$3</definedName>
    <definedName name="NEGRE_Christine" localSheetId="4">'[1]Base de donnée'!#REF!</definedName>
    <definedName name="NEGRE_Christine">'Base de donnée'!#REF!</definedName>
    <definedName name="Nom" localSheetId="4">[2]Personnels!$B$3:$B$25</definedName>
    <definedName name="Nom" localSheetId="1">Personnels!$B$3:$B$57</definedName>
    <definedName name="Nom">[3]Personnels!$B$3:$B$25</definedName>
    <definedName name="Personnels" comment="Faire dérouler et cliqué sur votre nom" localSheetId="4">[2]Personnels!$B$3:$D$25</definedName>
    <definedName name="Personnels" localSheetId="1">Table[]</definedName>
    <definedName name="Personnels" comment="Faire dérouler et cliqué sur votre nom">#REF!</definedName>
    <definedName name="Personnels_Educatif" localSheetId="4">#REF!</definedName>
    <definedName name="Personnels_Educatif">#REF!</definedName>
    <definedName name="RDJ" localSheetId="4">#REF!</definedName>
    <definedName name="RDJ">#REF!</definedName>
    <definedName name="Slicer_Nom_Prénom">#N/A</definedName>
    <definedName name="Slicer_Nom_Prénom1">#N/A</definedName>
    <definedName name="Slicer_Sem._Calen.">#N/A</definedName>
    <definedName name="_xlnm.Print_Area" localSheetId="0">GestionPersonnelRDJ[#All]</definedName>
  </definedNames>
  <calcPr calcId="145621"/>
  <pivotCaches>
    <pivotCache cacheId="0" r:id="rId10"/>
  </pivotCaches>
</workbook>
</file>

<file path=xl/calcChain.xml><?xml version="1.0" encoding="utf-8"?>
<calcChain xmlns="http://schemas.openxmlformats.org/spreadsheetml/2006/main">
  <c r="X4" i="1" l="1"/>
  <c r="X19" i="1"/>
  <c r="X21" i="1"/>
  <c r="X22" i="1"/>
  <c r="X23" i="1"/>
  <c r="X27" i="1"/>
  <c r="X31" i="1"/>
  <c r="X34" i="1"/>
  <c r="X35" i="1"/>
  <c r="X38" i="1"/>
  <c r="X39" i="1"/>
  <c r="X42" i="1"/>
  <c r="X43" i="1"/>
  <c r="X46" i="1"/>
  <c r="X54" i="1"/>
  <c r="X55" i="1"/>
  <c r="X56" i="1"/>
  <c r="X57" i="1"/>
  <c r="X58" i="1"/>
  <c r="X59" i="1"/>
  <c r="X60" i="1"/>
  <c r="X63" i="1"/>
  <c r="X67" i="1"/>
  <c r="X96" i="1"/>
  <c r="X97" i="1"/>
  <c r="X111" i="1"/>
  <c r="X112" i="1"/>
  <c r="V4" i="1"/>
  <c r="V5" i="1"/>
  <c r="V6" i="1"/>
  <c r="V7" i="1"/>
  <c r="V8" i="1"/>
  <c r="V9" i="1"/>
  <c r="V10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40" i="1"/>
  <c r="V41" i="1"/>
  <c r="V42" i="1"/>
  <c r="V43" i="1"/>
  <c r="V44" i="1"/>
  <c r="V45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1" i="1"/>
  <c r="V62" i="1"/>
  <c r="V63" i="1"/>
  <c r="V64" i="1"/>
  <c r="V65" i="1"/>
  <c r="V66" i="1"/>
  <c r="V68" i="1"/>
  <c r="V69" i="1"/>
  <c r="V70" i="1"/>
  <c r="V71" i="1"/>
  <c r="V72" i="1"/>
  <c r="V73" i="1"/>
  <c r="V75" i="1"/>
  <c r="V76" i="1"/>
  <c r="V77" i="1"/>
  <c r="V78" i="1"/>
  <c r="V79" i="1"/>
  <c r="V80" i="1"/>
  <c r="V82" i="1"/>
  <c r="V83" i="1"/>
  <c r="V84" i="1"/>
  <c r="V85" i="1"/>
  <c r="V86" i="1"/>
  <c r="V87" i="1"/>
  <c r="V89" i="1"/>
  <c r="V90" i="1"/>
  <c r="V91" i="1"/>
  <c r="V92" i="1"/>
  <c r="V93" i="1"/>
  <c r="V94" i="1"/>
  <c r="V96" i="1"/>
  <c r="V97" i="1"/>
  <c r="V98" i="1"/>
  <c r="V99" i="1"/>
  <c r="V100" i="1"/>
  <c r="V101" i="1"/>
  <c r="V103" i="1"/>
  <c r="V104" i="1"/>
  <c r="V105" i="1"/>
  <c r="V106" i="1"/>
  <c r="V107" i="1"/>
  <c r="V108" i="1"/>
  <c r="V110" i="1"/>
  <c r="V111" i="1"/>
  <c r="V112" i="1"/>
  <c r="V113" i="1"/>
  <c r="V114" i="1"/>
  <c r="V115" i="1"/>
  <c r="V117" i="1"/>
  <c r="V118" i="1"/>
  <c r="V119" i="1"/>
  <c r="V120" i="1"/>
  <c r="V121" i="1"/>
  <c r="V122" i="1"/>
  <c r="V124" i="1"/>
  <c r="V125" i="1"/>
  <c r="V126" i="1"/>
  <c r="V127" i="1"/>
  <c r="V128" i="1"/>
  <c r="V129" i="1"/>
  <c r="V131" i="1"/>
  <c r="V132" i="1"/>
  <c r="V133" i="1"/>
  <c r="V134" i="1"/>
  <c r="V135" i="1"/>
  <c r="V136" i="1"/>
  <c r="V138" i="1"/>
  <c r="V139" i="1"/>
  <c r="V140" i="1"/>
  <c r="V141" i="1"/>
  <c r="V142" i="1"/>
  <c r="V143" i="1"/>
  <c r="V145" i="1"/>
  <c r="V146" i="1"/>
  <c r="V147" i="1"/>
  <c r="V148" i="1"/>
  <c r="V149" i="1"/>
  <c r="V150" i="1"/>
  <c r="U4" i="1"/>
  <c r="U5" i="1"/>
  <c r="U6" i="1"/>
  <c r="U7" i="1"/>
  <c r="U8" i="1"/>
  <c r="U9" i="1"/>
  <c r="U10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40" i="1"/>
  <c r="U41" i="1"/>
  <c r="U42" i="1"/>
  <c r="U43" i="1"/>
  <c r="U44" i="1"/>
  <c r="U45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1" i="1"/>
  <c r="U62" i="1"/>
  <c r="U63" i="1"/>
  <c r="U64" i="1"/>
  <c r="U65" i="1"/>
  <c r="U66" i="1"/>
  <c r="U68" i="1"/>
  <c r="U69" i="1"/>
  <c r="U70" i="1"/>
  <c r="U71" i="1"/>
  <c r="U72" i="1"/>
  <c r="U73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S4" i="1"/>
  <c r="S5" i="1"/>
  <c r="S6" i="1"/>
  <c r="S7" i="1"/>
  <c r="S8" i="1"/>
  <c r="S9" i="1"/>
  <c r="S10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40" i="1"/>
  <c r="S41" i="1"/>
  <c r="S42" i="1"/>
  <c r="S43" i="1"/>
  <c r="S44" i="1"/>
  <c r="S45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8" i="1"/>
  <c r="S69" i="1"/>
  <c r="S70" i="1"/>
  <c r="S71" i="1"/>
  <c r="S72" i="1"/>
  <c r="S73" i="1"/>
  <c r="S75" i="1"/>
  <c r="S76" i="1"/>
  <c r="S77" i="1"/>
  <c r="S78" i="1"/>
  <c r="S79" i="1"/>
  <c r="S80" i="1"/>
  <c r="S82" i="1"/>
  <c r="S83" i="1"/>
  <c r="S84" i="1"/>
  <c r="S85" i="1"/>
  <c r="S86" i="1"/>
  <c r="S87" i="1"/>
  <c r="S89" i="1"/>
  <c r="S90" i="1"/>
  <c r="S91" i="1"/>
  <c r="S92" i="1"/>
  <c r="S93" i="1"/>
  <c r="S94" i="1"/>
  <c r="S96" i="1"/>
  <c r="S97" i="1"/>
  <c r="S98" i="1"/>
  <c r="S99" i="1"/>
  <c r="S100" i="1"/>
  <c r="S101" i="1"/>
  <c r="S103" i="1"/>
  <c r="S104" i="1"/>
  <c r="S105" i="1"/>
  <c r="S106" i="1"/>
  <c r="S107" i="1"/>
  <c r="S108" i="1"/>
  <c r="S110" i="1"/>
  <c r="S111" i="1"/>
  <c r="S112" i="1"/>
  <c r="S113" i="1"/>
  <c r="S114" i="1"/>
  <c r="S115" i="1"/>
  <c r="S117" i="1"/>
  <c r="S118" i="1"/>
  <c r="S119" i="1"/>
  <c r="S120" i="1"/>
  <c r="S121" i="1"/>
  <c r="S122" i="1"/>
  <c r="S124" i="1"/>
  <c r="S125" i="1"/>
  <c r="S126" i="1"/>
  <c r="S127" i="1"/>
  <c r="S128" i="1"/>
  <c r="S129" i="1"/>
  <c r="S131" i="1"/>
  <c r="S132" i="1"/>
  <c r="S133" i="1"/>
  <c r="S134" i="1"/>
  <c r="S135" i="1"/>
  <c r="S136" i="1"/>
  <c r="S138" i="1"/>
  <c r="S139" i="1"/>
  <c r="S140" i="1"/>
  <c r="S141" i="1"/>
  <c r="S142" i="1"/>
  <c r="S143" i="1"/>
  <c r="S145" i="1"/>
  <c r="S146" i="1"/>
  <c r="S147" i="1"/>
  <c r="S148" i="1"/>
  <c r="S149" i="1"/>
  <c r="S150" i="1"/>
  <c r="B5" i="1"/>
  <c r="B6" i="1"/>
  <c r="B7" i="1"/>
  <c r="B8" i="1"/>
  <c r="B9" i="1"/>
  <c r="B10" i="1"/>
  <c r="B11" i="1"/>
  <c r="C5" i="1"/>
  <c r="C6" i="1"/>
  <c r="C7" i="1"/>
  <c r="X7" i="1" s="1"/>
  <c r="C8" i="1"/>
  <c r="X8" i="1" s="1"/>
  <c r="C9" i="1"/>
  <c r="X9" i="1" s="1"/>
  <c r="C10" i="1"/>
  <c r="C11" i="1"/>
  <c r="X11" i="1" s="1"/>
  <c r="D5" i="1"/>
  <c r="D6" i="1"/>
  <c r="D7" i="1"/>
  <c r="D8" i="1"/>
  <c r="D9" i="1"/>
  <c r="D10" i="1"/>
  <c r="D11" i="1"/>
  <c r="E5" i="1"/>
  <c r="E6" i="1"/>
  <c r="E7" i="1"/>
  <c r="E8" i="1"/>
  <c r="E9" i="1"/>
  <c r="E10" i="1"/>
  <c r="E11" i="1"/>
  <c r="H5" i="1"/>
  <c r="I5" i="1" s="1"/>
  <c r="H6" i="1"/>
  <c r="H7" i="1"/>
  <c r="H8" i="1"/>
  <c r="H9" i="1"/>
  <c r="H10" i="1"/>
  <c r="I10" i="1" s="1"/>
  <c r="H11" i="1"/>
  <c r="M10" i="1"/>
  <c r="B12" i="1"/>
  <c r="B13" i="1"/>
  <c r="B14" i="1"/>
  <c r="B15" i="1"/>
  <c r="B16" i="1"/>
  <c r="B17" i="1"/>
  <c r="B18" i="1"/>
  <c r="C12" i="1"/>
  <c r="C13" i="1"/>
  <c r="X13" i="1" s="1"/>
  <c r="C14" i="1"/>
  <c r="C15" i="1"/>
  <c r="C16" i="1"/>
  <c r="C17" i="1"/>
  <c r="X17" i="1" s="1"/>
  <c r="C18" i="1"/>
  <c r="D12" i="1"/>
  <c r="D13" i="1"/>
  <c r="D14" i="1"/>
  <c r="D15" i="1"/>
  <c r="D16" i="1"/>
  <c r="D17" i="1"/>
  <c r="D18" i="1"/>
  <c r="E12" i="1"/>
  <c r="E13" i="1"/>
  <c r="E14" i="1"/>
  <c r="E15" i="1"/>
  <c r="E16" i="1"/>
  <c r="E17" i="1"/>
  <c r="E18" i="1"/>
  <c r="H12" i="1"/>
  <c r="H13" i="1"/>
  <c r="H14" i="1"/>
  <c r="X14" i="1" s="1"/>
  <c r="H15" i="1"/>
  <c r="X15" i="1" s="1"/>
  <c r="H16" i="1"/>
  <c r="H17" i="1"/>
  <c r="H18" i="1"/>
  <c r="X18" i="1" s="1"/>
  <c r="I12" i="1"/>
  <c r="I13" i="1"/>
  <c r="I17" i="1"/>
  <c r="K13" i="1"/>
  <c r="K17" i="1"/>
  <c r="L17" i="1"/>
  <c r="M13" i="1"/>
  <c r="B19" i="1"/>
  <c r="B20" i="1"/>
  <c r="B21" i="1"/>
  <c r="B22" i="1"/>
  <c r="B23" i="1"/>
  <c r="B24" i="1"/>
  <c r="B25" i="1"/>
  <c r="C19" i="1"/>
  <c r="C20" i="1"/>
  <c r="C21" i="1"/>
  <c r="C22" i="1"/>
  <c r="C23" i="1"/>
  <c r="C24" i="1"/>
  <c r="C25" i="1"/>
  <c r="D19" i="1"/>
  <c r="D20" i="1"/>
  <c r="D21" i="1"/>
  <c r="D22" i="1"/>
  <c r="D23" i="1"/>
  <c r="D24" i="1"/>
  <c r="D25" i="1"/>
  <c r="E19" i="1"/>
  <c r="E20" i="1"/>
  <c r="E21" i="1"/>
  <c r="E22" i="1"/>
  <c r="E23" i="1"/>
  <c r="E24" i="1"/>
  <c r="E25" i="1"/>
  <c r="H19" i="1"/>
  <c r="I19" i="1" s="1"/>
  <c r="H20" i="1"/>
  <c r="I20" i="1" s="1"/>
  <c r="H21" i="1"/>
  <c r="H22" i="1"/>
  <c r="H23" i="1"/>
  <c r="H24" i="1"/>
  <c r="L24" i="1" s="1"/>
  <c r="H25" i="1"/>
  <c r="B26" i="1"/>
  <c r="B27" i="1"/>
  <c r="B28" i="1"/>
  <c r="B29" i="1"/>
  <c r="B30" i="1"/>
  <c r="B31" i="1"/>
  <c r="B32" i="1"/>
  <c r="C26" i="1"/>
  <c r="C27" i="1"/>
  <c r="C28" i="1"/>
  <c r="X28" i="1" s="1"/>
  <c r="C29" i="1"/>
  <c r="C30" i="1"/>
  <c r="C31" i="1"/>
  <c r="C32" i="1"/>
  <c r="D26" i="1"/>
  <c r="D27" i="1"/>
  <c r="D28" i="1"/>
  <c r="D29" i="1"/>
  <c r="D30" i="1"/>
  <c r="D31" i="1"/>
  <c r="D32" i="1"/>
  <c r="E26" i="1"/>
  <c r="E27" i="1"/>
  <c r="E28" i="1"/>
  <c r="E29" i="1"/>
  <c r="E30" i="1"/>
  <c r="E31" i="1"/>
  <c r="E32" i="1"/>
  <c r="H26" i="1"/>
  <c r="H27" i="1"/>
  <c r="I27" i="1" s="1"/>
  <c r="H28" i="1"/>
  <c r="H29" i="1"/>
  <c r="H30" i="1"/>
  <c r="H31" i="1"/>
  <c r="H32" i="1"/>
  <c r="I26" i="1"/>
  <c r="I31" i="1"/>
  <c r="L27" i="1"/>
  <c r="M27" i="1"/>
  <c r="B33" i="1"/>
  <c r="B34" i="1"/>
  <c r="B35" i="1"/>
  <c r="B36" i="1"/>
  <c r="B37" i="1"/>
  <c r="B38" i="1"/>
  <c r="B39" i="1"/>
  <c r="C33" i="1"/>
  <c r="C34" i="1"/>
  <c r="C35" i="1"/>
  <c r="C36" i="1"/>
  <c r="X36" i="1" s="1"/>
  <c r="C37" i="1"/>
  <c r="C38" i="1"/>
  <c r="C39" i="1"/>
  <c r="D33" i="1"/>
  <c r="D34" i="1"/>
  <c r="D35" i="1"/>
  <c r="D36" i="1"/>
  <c r="D37" i="1"/>
  <c r="D38" i="1"/>
  <c r="D39" i="1"/>
  <c r="E33" i="1"/>
  <c r="E34" i="1"/>
  <c r="E35" i="1"/>
  <c r="E36" i="1"/>
  <c r="E37" i="1"/>
  <c r="E38" i="1"/>
  <c r="E39" i="1"/>
  <c r="H33" i="1"/>
  <c r="H34" i="1"/>
  <c r="H35" i="1"/>
  <c r="K35" i="1" s="1"/>
  <c r="H36" i="1"/>
  <c r="H37" i="1"/>
  <c r="H38" i="1"/>
  <c r="J38" i="1" s="1"/>
  <c r="H39" i="1"/>
  <c r="I33" i="1"/>
  <c r="L34" i="1"/>
  <c r="B40" i="1"/>
  <c r="B41" i="1"/>
  <c r="B42" i="1"/>
  <c r="B43" i="1"/>
  <c r="B44" i="1"/>
  <c r="B45" i="1"/>
  <c r="B46" i="1"/>
  <c r="C40" i="1"/>
  <c r="C41" i="1"/>
  <c r="C42" i="1"/>
  <c r="C43" i="1"/>
  <c r="C44" i="1"/>
  <c r="C45" i="1"/>
  <c r="C46" i="1"/>
  <c r="D40" i="1"/>
  <c r="D41" i="1"/>
  <c r="D42" i="1"/>
  <c r="D43" i="1"/>
  <c r="D44" i="1"/>
  <c r="D45" i="1"/>
  <c r="D46" i="1"/>
  <c r="E40" i="1"/>
  <c r="E41" i="1"/>
  <c r="E42" i="1"/>
  <c r="E43" i="1"/>
  <c r="E44" i="1"/>
  <c r="E45" i="1"/>
  <c r="E46" i="1"/>
  <c r="H40" i="1"/>
  <c r="I40" i="1" s="1"/>
  <c r="H41" i="1"/>
  <c r="H42" i="1"/>
  <c r="H43" i="1"/>
  <c r="H44" i="1"/>
  <c r="H45" i="1"/>
  <c r="H46" i="1"/>
  <c r="B47" i="1"/>
  <c r="B48" i="1"/>
  <c r="B49" i="1"/>
  <c r="B50" i="1"/>
  <c r="B51" i="1"/>
  <c r="B52" i="1"/>
  <c r="B53" i="1"/>
  <c r="C47" i="1"/>
  <c r="J47" i="1" s="1"/>
  <c r="C48" i="1"/>
  <c r="C49" i="1"/>
  <c r="C50" i="1"/>
  <c r="C51" i="1"/>
  <c r="K51" i="1" s="1"/>
  <c r="C52" i="1"/>
  <c r="X52" i="1" s="1"/>
  <c r="C53" i="1"/>
  <c r="X53" i="1" s="1"/>
  <c r="D47" i="1"/>
  <c r="D48" i="1"/>
  <c r="D49" i="1"/>
  <c r="D50" i="1"/>
  <c r="D51" i="1"/>
  <c r="D52" i="1"/>
  <c r="D53" i="1"/>
  <c r="E47" i="1"/>
  <c r="E48" i="1"/>
  <c r="E49" i="1"/>
  <c r="E50" i="1"/>
  <c r="E51" i="1"/>
  <c r="E52" i="1"/>
  <c r="E53" i="1"/>
  <c r="H47" i="1"/>
  <c r="H48" i="1"/>
  <c r="I48" i="1" s="1"/>
  <c r="H49" i="1"/>
  <c r="H50" i="1"/>
  <c r="H51" i="1"/>
  <c r="H52" i="1"/>
  <c r="H53" i="1"/>
  <c r="I47" i="1"/>
  <c r="I52" i="1"/>
  <c r="B54" i="1"/>
  <c r="B55" i="1"/>
  <c r="B56" i="1"/>
  <c r="B57" i="1"/>
  <c r="B58" i="1"/>
  <c r="B59" i="1"/>
  <c r="B60" i="1"/>
  <c r="C54" i="1"/>
  <c r="C55" i="1"/>
  <c r="J55" i="1" s="1"/>
  <c r="C56" i="1"/>
  <c r="C57" i="1"/>
  <c r="C58" i="1"/>
  <c r="C59" i="1"/>
  <c r="I59" i="1" s="1"/>
  <c r="C60" i="1"/>
  <c r="K60" i="1" s="1"/>
  <c r="D54" i="1"/>
  <c r="D55" i="1"/>
  <c r="D56" i="1"/>
  <c r="D57" i="1"/>
  <c r="D58" i="1"/>
  <c r="D59" i="1"/>
  <c r="D60" i="1"/>
  <c r="E54" i="1"/>
  <c r="E55" i="1"/>
  <c r="E56" i="1"/>
  <c r="E57" i="1"/>
  <c r="E58" i="1"/>
  <c r="E59" i="1"/>
  <c r="E60" i="1"/>
  <c r="H54" i="1"/>
  <c r="I54" i="1" s="1"/>
  <c r="H55" i="1"/>
  <c r="H56" i="1"/>
  <c r="H57" i="1"/>
  <c r="H58" i="1"/>
  <c r="H59" i="1"/>
  <c r="H60" i="1"/>
  <c r="I55" i="1"/>
  <c r="B61" i="1"/>
  <c r="B62" i="1"/>
  <c r="B63" i="1"/>
  <c r="B64" i="1"/>
  <c r="B65" i="1"/>
  <c r="B66" i="1"/>
  <c r="B67" i="1"/>
  <c r="C61" i="1"/>
  <c r="C62" i="1"/>
  <c r="C63" i="1"/>
  <c r="C64" i="1"/>
  <c r="C65" i="1"/>
  <c r="C66" i="1"/>
  <c r="C67" i="1"/>
  <c r="D61" i="1"/>
  <c r="D62" i="1"/>
  <c r="D63" i="1"/>
  <c r="D64" i="1"/>
  <c r="D65" i="1"/>
  <c r="D66" i="1"/>
  <c r="D67" i="1"/>
  <c r="E61" i="1"/>
  <c r="E62" i="1"/>
  <c r="E63" i="1"/>
  <c r="E64" i="1"/>
  <c r="E65" i="1"/>
  <c r="E66" i="1"/>
  <c r="E67" i="1"/>
  <c r="H61" i="1"/>
  <c r="H62" i="1"/>
  <c r="H63" i="1"/>
  <c r="H64" i="1"/>
  <c r="H65" i="1"/>
  <c r="H66" i="1"/>
  <c r="H67" i="1"/>
  <c r="K67" i="1" s="1"/>
  <c r="I61" i="1"/>
  <c r="I62" i="1"/>
  <c r="B68" i="1"/>
  <c r="B69" i="1"/>
  <c r="B70" i="1"/>
  <c r="B71" i="1"/>
  <c r="B72" i="1"/>
  <c r="B73" i="1"/>
  <c r="B74" i="1"/>
  <c r="C68" i="1"/>
  <c r="C69" i="1"/>
  <c r="C70" i="1"/>
  <c r="C71" i="1"/>
  <c r="X71" i="1" s="1"/>
  <c r="C72" i="1"/>
  <c r="C73" i="1"/>
  <c r="C74" i="1"/>
  <c r="D68" i="1"/>
  <c r="D69" i="1"/>
  <c r="D70" i="1"/>
  <c r="D71" i="1"/>
  <c r="D72" i="1"/>
  <c r="D73" i="1"/>
  <c r="D74" i="1"/>
  <c r="E68" i="1"/>
  <c r="E69" i="1"/>
  <c r="E70" i="1"/>
  <c r="E71" i="1"/>
  <c r="E72" i="1"/>
  <c r="E73" i="1"/>
  <c r="E74" i="1"/>
  <c r="H68" i="1"/>
  <c r="I68" i="1" s="1"/>
  <c r="H69" i="1"/>
  <c r="I69" i="1" s="1"/>
  <c r="H70" i="1"/>
  <c r="H71" i="1"/>
  <c r="H72" i="1"/>
  <c r="H73" i="1"/>
  <c r="H74" i="1"/>
  <c r="L65" i="1" l="1"/>
  <c r="X65" i="1"/>
  <c r="L61" i="1"/>
  <c r="X61" i="1"/>
  <c r="K25" i="1"/>
  <c r="X25" i="1"/>
  <c r="L16" i="1"/>
  <c r="X16" i="1"/>
  <c r="L12" i="1"/>
  <c r="X12" i="1"/>
  <c r="X74" i="1"/>
  <c r="L26" i="1"/>
  <c r="X26" i="1"/>
  <c r="K24" i="1"/>
  <c r="K10" i="1"/>
  <c r="J10" i="1"/>
  <c r="J6" i="1"/>
  <c r="X51" i="1"/>
  <c r="X69" i="1"/>
  <c r="X50" i="1"/>
  <c r="L37" i="1"/>
  <c r="X37" i="1"/>
  <c r="L33" i="1"/>
  <c r="X33" i="1"/>
  <c r="X29" i="1"/>
  <c r="I24" i="1"/>
  <c r="X47" i="1"/>
  <c r="M45" i="1"/>
  <c r="X45" i="1"/>
  <c r="J41" i="1"/>
  <c r="X41" i="1"/>
  <c r="K6" i="1"/>
  <c r="I6" i="1"/>
  <c r="M6" i="1"/>
  <c r="X70" i="1"/>
  <c r="I41" i="1"/>
  <c r="X44" i="1"/>
  <c r="L30" i="1"/>
  <c r="X30" i="1"/>
  <c r="M20" i="1"/>
  <c r="I66" i="1"/>
  <c r="X66" i="1"/>
  <c r="K62" i="1"/>
  <c r="X62" i="1"/>
  <c r="L40" i="1"/>
  <c r="J20" i="1"/>
  <c r="X10" i="1"/>
  <c r="X6" i="1"/>
  <c r="I73" i="1"/>
  <c r="L58" i="1"/>
  <c r="L54" i="1"/>
  <c r="L49" i="1"/>
  <c r="L35" i="1"/>
  <c r="K32" i="1"/>
  <c r="L23" i="1"/>
  <c r="L19" i="1"/>
  <c r="K18" i="1"/>
  <c r="L10" i="1"/>
  <c r="L5" i="1"/>
  <c r="X73" i="1"/>
  <c r="X49" i="1"/>
  <c r="X5" i="1"/>
  <c r="J24" i="1"/>
  <c r="K64" i="1"/>
  <c r="L72" i="1"/>
  <c r="L68" i="1"/>
  <c r="L67" i="1"/>
  <c r="L63" i="1"/>
  <c r="J48" i="1"/>
  <c r="K46" i="1"/>
  <c r="K34" i="1"/>
  <c r="J27" i="1"/>
  <c r="K20" i="1"/>
  <c r="J17" i="1"/>
  <c r="J13" i="1"/>
  <c r="L6" i="1"/>
  <c r="J7" i="1"/>
  <c r="X72" i="1"/>
  <c r="X68" i="1"/>
  <c r="X64" i="1"/>
  <c r="X48" i="1"/>
  <c r="X40" i="1"/>
  <c r="X32" i="1"/>
  <c r="X24" i="1"/>
  <c r="X20" i="1"/>
  <c r="K27" i="1"/>
  <c r="M24" i="1"/>
  <c r="L20" i="1"/>
  <c r="M17" i="1"/>
  <c r="L13" i="1"/>
  <c r="M30" i="1"/>
  <c r="J32" i="1"/>
  <c r="J28" i="1"/>
  <c r="M23" i="1"/>
  <c r="J25" i="1"/>
  <c r="J21" i="1"/>
  <c r="M16" i="1"/>
  <c r="J18" i="1"/>
  <c r="J14" i="1"/>
  <c r="K8" i="1"/>
  <c r="L7" i="1"/>
  <c r="K7" i="1"/>
  <c r="L8" i="1"/>
  <c r="I8" i="1"/>
  <c r="I9" i="1"/>
  <c r="M5" i="1"/>
  <c r="M8" i="1"/>
  <c r="J5" i="1"/>
  <c r="K45" i="1"/>
  <c r="M7" i="1"/>
  <c r="K5" i="1"/>
  <c r="J8" i="1"/>
  <c r="I11" i="1"/>
  <c r="I7" i="1"/>
  <c r="L45" i="1"/>
  <c r="K55" i="1"/>
  <c r="K41" i="1"/>
  <c r="I15" i="1"/>
  <c r="L15" i="1"/>
  <c r="K15" i="1"/>
  <c r="L14" i="1"/>
  <c r="K14" i="1"/>
  <c r="L18" i="1"/>
  <c r="I16" i="1"/>
  <c r="M12" i="1"/>
  <c r="M15" i="1"/>
  <c r="J16" i="1"/>
  <c r="J12" i="1"/>
  <c r="M55" i="1"/>
  <c r="M41" i="1"/>
  <c r="I45" i="1"/>
  <c r="I38" i="1"/>
  <c r="I34" i="1"/>
  <c r="M18" i="1"/>
  <c r="M14" i="1"/>
  <c r="K16" i="1"/>
  <c r="K12" i="1"/>
  <c r="J15" i="1"/>
  <c r="I18" i="1"/>
  <c r="I14" i="1"/>
  <c r="L55" i="1"/>
  <c r="I22" i="1"/>
  <c r="L22" i="1"/>
  <c r="L21" i="1"/>
  <c r="K21" i="1"/>
  <c r="K22" i="1"/>
  <c r="L25" i="1"/>
  <c r="I23" i="1"/>
  <c r="M19" i="1"/>
  <c r="M22" i="1"/>
  <c r="J23" i="1"/>
  <c r="J19" i="1"/>
  <c r="M59" i="1"/>
  <c r="J59" i="1"/>
  <c r="M25" i="1"/>
  <c r="M21" i="1"/>
  <c r="K23" i="1"/>
  <c r="K19" i="1"/>
  <c r="J22" i="1"/>
  <c r="I25" i="1"/>
  <c r="I21" i="1"/>
  <c r="M62" i="1"/>
  <c r="L48" i="1"/>
  <c r="I29" i="1"/>
  <c r="K29" i="1"/>
  <c r="L28" i="1"/>
  <c r="K28" i="1"/>
  <c r="L29" i="1"/>
  <c r="L32" i="1"/>
  <c r="I30" i="1"/>
  <c r="N31" i="1"/>
  <c r="O31" i="1" s="1"/>
  <c r="Q31" i="1" s="1"/>
  <c r="M29" i="1"/>
  <c r="J30" i="1"/>
  <c r="J26" i="1"/>
  <c r="K66" i="1"/>
  <c r="L59" i="1"/>
  <c r="L41" i="1"/>
  <c r="J45" i="1"/>
  <c r="M32" i="1"/>
  <c r="M28" i="1"/>
  <c r="K30" i="1"/>
  <c r="K26" i="1"/>
  <c r="J29" i="1"/>
  <c r="I32" i="1"/>
  <c r="I28" i="1"/>
  <c r="J46" i="1"/>
  <c r="J42" i="1"/>
  <c r="M36" i="1"/>
  <c r="K36" i="1"/>
  <c r="L39" i="1"/>
  <c r="K39" i="1"/>
  <c r="J39" i="1"/>
  <c r="J35" i="1"/>
  <c r="L38" i="1"/>
  <c r="K38" i="1"/>
  <c r="J34" i="1"/>
  <c r="L36" i="1"/>
  <c r="M37" i="1"/>
  <c r="I37" i="1"/>
  <c r="M33" i="1"/>
  <c r="J37" i="1"/>
  <c r="J33" i="1"/>
  <c r="I36" i="1"/>
  <c r="K48" i="1"/>
  <c r="M39" i="1"/>
  <c r="M35" i="1"/>
  <c r="K37" i="1"/>
  <c r="K33" i="1"/>
  <c r="J36" i="1"/>
  <c r="I39" i="1"/>
  <c r="I35" i="1"/>
  <c r="M48" i="1"/>
  <c r="J53" i="1"/>
  <c r="J49" i="1"/>
  <c r="I43" i="1"/>
  <c r="M38" i="1"/>
  <c r="M34" i="1"/>
  <c r="L43" i="1"/>
  <c r="K43" i="1"/>
  <c r="L42" i="1"/>
  <c r="K42" i="1"/>
  <c r="L46" i="1"/>
  <c r="I44" i="1"/>
  <c r="M40" i="1"/>
  <c r="L66" i="1"/>
  <c r="J66" i="1"/>
  <c r="J40" i="1"/>
  <c r="J62" i="1"/>
  <c r="M58" i="1"/>
  <c r="K59" i="1"/>
  <c r="M46" i="1"/>
  <c r="M42" i="1"/>
  <c r="K40" i="1"/>
  <c r="J43" i="1"/>
  <c r="I46" i="1"/>
  <c r="I42" i="1"/>
  <c r="M66" i="1"/>
  <c r="L53" i="1"/>
  <c r="K50" i="1"/>
  <c r="I51" i="1"/>
  <c r="M51" i="1"/>
  <c r="J51" i="1"/>
  <c r="I50" i="1"/>
  <c r="M50" i="1"/>
  <c r="L51" i="1"/>
  <c r="N52" i="1"/>
  <c r="O52" i="1" s="1"/>
  <c r="Q52" i="1" s="1"/>
  <c r="M47" i="1"/>
  <c r="L47" i="1"/>
  <c r="K47" i="1"/>
  <c r="J67" i="1"/>
  <c r="J63" i="1"/>
  <c r="J60" i="1"/>
  <c r="J56" i="1"/>
  <c r="L50" i="1"/>
  <c r="K53" i="1"/>
  <c r="K49" i="1"/>
  <c r="M73" i="1"/>
  <c r="M65" i="1"/>
  <c r="K69" i="1"/>
  <c r="M53" i="1"/>
  <c r="M49" i="1"/>
  <c r="J50" i="1"/>
  <c r="I53" i="1"/>
  <c r="I49" i="1"/>
  <c r="I57" i="1"/>
  <c r="K57" i="1"/>
  <c r="L56" i="1"/>
  <c r="K56" i="1"/>
  <c r="L57" i="1"/>
  <c r="L60" i="1"/>
  <c r="I58" i="1"/>
  <c r="N59" i="1"/>
  <c r="O59" i="1" s="1"/>
  <c r="Q59" i="1" s="1"/>
  <c r="M54" i="1"/>
  <c r="N55" i="1"/>
  <c r="O55" i="1" s="1"/>
  <c r="Q55" i="1" s="1"/>
  <c r="L73" i="1"/>
  <c r="J73" i="1"/>
  <c r="M57" i="1"/>
  <c r="J58" i="1"/>
  <c r="J54" i="1"/>
  <c r="J69" i="1"/>
  <c r="J70" i="1"/>
  <c r="M60" i="1"/>
  <c r="M56" i="1"/>
  <c r="K58" i="1"/>
  <c r="K54" i="1"/>
  <c r="J57" i="1"/>
  <c r="I60" i="1"/>
  <c r="I56" i="1"/>
  <c r="K73" i="1"/>
  <c r="I64" i="1"/>
  <c r="L64" i="1"/>
  <c r="K63" i="1"/>
  <c r="L62" i="1"/>
  <c r="I65" i="1"/>
  <c r="M61" i="1"/>
  <c r="M64" i="1"/>
  <c r="J65" i="1"/>
  <c r="J61" i="1"/>
  <c r="M72" i="1"/>
  <c r="M67" i="1"/>
  <c r="M63" i="1"/>
  <c r="K65" i="1"/>
  <c r="K61" i="1"/>
  <c r="J64" i="1"/>
  <c r="I67" i="1"/>
  <c r="I63" i="1"/>
  <c r="I71" i="1"/>
  <c r="L71" i="1"/>
  <c r="K71" i="1"/>
  <c r="L70" i="1"/>
  <c r="K70" i="1"/>
  <c r="I72" i="1"/>
  <c r="M68" i="1"/>
  <c r="M71" i="1"/>
  <c r="J72" i="1"/>
  <c r="J68" i="1"/>
  <c r="M70" i="1"/>
  <c r="K72" i="1"/>
  <c r="K68" i="1"/>
  <c r="J71" i="1"/>
  <c r="I74" i="1"/>
  <c r="I70" i="1"/>
  <c r="N4" i="1"/>
  <c r="N96" i="1"/>
  <c r="N97" i="1"/>
  <c r="N111" i="1"/>
  <c r="N112" i="1"/>
  <c r="N10" i="1" l="1"/>
  <c r="O10" i="1" s="1"/>
  <c r="Q10" i="1" s="1"/>
  <c r="N6" i="1"/>
  <c r="O6" i="1" s="1"/>
  <c r="Q6" i="1" s="1"/>
  <c r="N27" i="1"/>
  <c r="O27" i="1" s="1"/>
  <c r="P27" i="1" s="1"/>
  <c r="N17" i="1"/>
  <c r="O17" i="1" s="1"/>
  <c r="Q17" i="1" s="1"/>
  <c r="N24" i="1"/>
  <c r="O24" i="1" s="1"/>
  <c r="Q24" i="1" s="1"/>
  <c r="N20" i="1"/>
  <c r="O20" i="1" s="1"/>
  <c r="P20" i="1" s="1"/>
  <c r="N13" i="1"/>
  <c r="O13" i="1" s="1"/>
  <c r="Q13" i="1" s="1"/>
  <c r="N5" i="1"/>
  <c r="O5" i="1" s="1"/>
  <c r="P5" i="1" s="1"/>
  <c r="P6" i="1"/>
  <c r="N9" i="1"/>
  <c r="O9" i="1" s="1"/>
  <c r="Q9" i="1" s="1"/>
  <c r="Q5" i="1"/>
  <c r="N7" i="1"/>
  <c r="O7" i="1" s="1"/>
  <c r="Q7" i="1" s="1"/>
  <c r="N11" i="1"/>
  <c r="N8" i="1"/>
  <c r="O8" i="1" s="1"/>
  <c r="N16" i="1"/>
  <c r="O16" i="1" s="1"/>
  <c r="Q16" i="1" s="1"/>
  <c r="N41" i="1"/>
  <c r="O41" i="1" s="1"/>
  <c r="P41" i="1" s="1"/>
  <c r="N12" i="1"/>
  <c r="O12" i="1" s="1"/>
  <c r="P12" i="1" s="1"/>
  <c r="N15" i="1"/>
  <c r="O15" i="1" s="1"/>
  <c r="N14" i="1"/>
  <c r="O14" i="1" s="1"/>
  <c r="Q14" i="1" s="1"/>
  <c r="N19" i="1"/>
  <c r="O19" i="1" s="1"/>
  <c r="P19" i="1" s="1"/>
  <c r="N22" i="1"/>
  <c r="O22" i="1" s="1"/>
  <c r="N23" i="1"/>
  <c r="O23" i="1" s="1"/>
  <c r="Q23" i="1" s="1"/>
  <c r="N21" i="1"/>
  <c r="O21" i="1" s="1"/>
  <c r="Q21" i="1" s="1"/>
  <c r="N25" i="1"/>
  <c r="V25" i="1" s="1"/>
  <c r="N28" i="1"/>
  <c r="O28" i="1" s="1"/>
  <c r="Q28" i="1" s="1"/>
  <c r="P31" i="1"/>
  <c r="N30" i="1"/>
  <c r="O30" i="1" s="1"/>
  <c r="P30" i="1" s="1"/>
  <c r="N45" i="1"/>
  <c r="O45" i="1" s="1"/>
  <c r="Q45" i="1" s="1"/>
  <c r="N26" i="1"/>
  <c r="O26" i="1" s="1"/>
  <c r="Q26" i="1" s="1"/>
  <c r="N29" i="1"/>
  <c r="O29" i="1" s="1"/>
  <c r="N38" i="1"/>
  <c r="O38" i="1" s="1"/>
  <c r="Q38" i="1" s="1"/>
  <c r="N34" i="1"/>
  <c r="O34" i="1" s="1"/>
  <c r="Q34" i="1" s="1"/>
  <c r="N33" i="1"/>
  <c r="O33" i="1" s="1"/>
  <c r="Q33" i="1" s="1"/>
  <c r="N36" i="1"/>
  <c r="O36" i="1" s="1"/>
  <c r="Q36" i="1" s="1"/>
  <c r="N48" i="1"/>
  <c r="O48" i="1" s="1"/>
  <c r="Q48" i="1" s="1"/>
  <c r="N37" i="1"/>
  <c r="O37" i="1" s="1"/>
  <c r="P37" i="1" s="1"/>
  <c r="N35" i="1"/>
  <c r="O35" i="1" s="1"/>
  <c r="Q35" i="1" s="1"/>
  <c r="N39" i="1"/>
  <c r="V39" i="1" s="1"/>
  <c r="N40" i="1"/>
  <c r="O40" i="1" s="1"/>
  <c r="Q40" i="1" s="1"/>
  <c r="N62" i="1"/>
  <c r="O62" i="1" s="1"/>
  <c r="Q62" i="1" s="1"/>
  <c r="N66" i="1"/>
  <c r="O66" i="1" s="1"/>
  <c r="Q66" i="1" s="1"/>
  <c r="N46" i="1"/>
  <c r="V46" i="1" s="1"/>
  <c r="N44" i="1"/>
  <c r="O44" i="1" s="1"/>
  <c r="P44" i="1" s="1"/>
  <c r="N43" i="1"/>
  <c r="O43" i="1" s="1"/>
  <c r="N42" i="1"/>
  <c r="O42" i="1" s="1"/>
  <c r="Q42" i="1" s="1"/>
  <c r="P52" i="1"/>
  <c r="N51" i="1"/>
  <c r="O51" i="1" s="1"/>
  <c r="P51" i="1" s="1"/>
  <c r="N50" i="1"/>
  <c r="O50" i="1" s="1"/>
  <c r="P50" i="1" s="1"/>
  <c r="N49" i="1"/>
  <c r="O49" i="1" s="1"/>
  <c r="Q49" i="1" s="1"/>
  <c r="N47" i="1"/>
  <c r="O47" i="1" s="1"/>
  <c r="N69" i="1"/>
  <c r="O69" i="1" s="1"/>
  <c r="Q69" i="1" s="1"/>
  <c r="P55" i="1"/>
  <c r="P59" i="1"/>
  <c r="N60" i="1"/>
  <c r="N58" i="1"/>
  <c r="O58" i="1" s="1"/>
  <c r="Q58" i="1" s="1"/>
  <c r="N73" i="1"/>
  <c r="O73" i="1" s="1"/>
  <c r="Q73" i="1" s="1"/>
  <c r="N54" i="1"/>
  <c r="O54" i="1" s="1"/>
  <c r="Q54" i="1" s="1"/>
  <c r="N57" i="1"/>
  <c r="O57" i="1" s="1"/>
  <c r="N56" i="1"/>
  <c r="O56" i="1" s="1"/>
  <c r="Q56" i="1" s="1"/>
  <c r="N65" i="1"/>
  <c r="O65" i="1" s="1"/>
  <c r="Q65" i="1" s="1"/>
  <c r="N61" i="1"/>
  <c r="O61" i="1" s="1"/>
  <c r="Q61" i="1" s="1"/>
  <c r="N67" i="1"/>
  <c r="V67" i="1" s="1"/>
  <c r="N64" i="1"/>
  <c r="O64" i="1" s="1"/>
  <c r="N63" i="1"/>
  <c r="O63" i="1" s="1"/>
  <c r="Q63" i="1" s="1"/>
  <c r="N74" i="1"/>
  <c r="N70" i="1"/>
  <c r="O70" i="1" s="1"/>
  <c r="Q70" i="1" s="1"/>
  <c r="N72" i="1"/>
  <c r="O72" i="1" s="1"/>
  <c r="Q72" i="1" s="1"/>
  <c r="N68" i="1"/>
  <c r="O68" i="1" s="1"/>
  <c r="P68" i="1" s="1"/>
  <c r="N71" i="1"/>
  <c r="O71" i="1" s="1"/>
  <c r="B75" i="1"/>
  <c r="B76" i="1"/>
  <c r="B77" i="1"/>
  <c r="B78" i="1"/>
  <c r="B79" i="1"/>
  <c r="B80" i="1"/>
  <c r="B81" i="1"/>
  <c r="C75" i="1"/>
  <c r="C76" i="1"/>
  <c r="C77" i="1"/>
  <c r="C78" i="1"/>
  <c r="C79" i="1"/>
  <c r="C80" i="1"/>
  <c r="C81" i="1"/>
  <c r="D75" i="1"/>
  <c r="D76" i="1"/>
  <c r="D77" i="1"/>
  <c r="D78" i="1"/>
  <c r="D79" i="1"/>
  <c r="D80" i="1"/>
  <c r="D81" i="1"/>
  <c r="E75" i="1"/>
  <c r="E76" i="1"/>
  <c r="E77" i="1"/>
  <c r="E78" i="1"/>
  <c r="E79" i="1"/>
  <c r="E80" i="1"/>
  <c r="E81" i="1"/>
  <c r="H75" i="1"/>
  <c r="H76" i="1"/>
  <c r="H77" i="1"/>
  <c r="H78" i="1"/>
  <c r="H79" i="1"/>
  <c r="H80" i="1"/>
  <c r="I80" i="1" s="1"/>
  <c r="H81" i="1"/>
  <c r="I75" i="1"/>
  <c r="K77" i="1"/>
  <c r="B82" i="1"/>
  <c r="B83" i="1"/>
  <c r="B84" i="1"/>
  <c r="B85" i="1"/>
  <c r="B86" i="1"/>
  <c r="B87" i="1"/>
  <c r="B88" i="1"/>
  <c r="C82" i="1"/>
  <c r="C83" i="1"/>
  <c r="C84" i="1"/>
  <c r="X84" i="1" s="1"/>
  <c r="C85" i="1"/>
  <c r="C86" i="1"/>
  <c r="C87" i="1"/>
  <c r="C88" i="1"/>
  <c r="D82" i="1"/>
  <c r="D83" i="1"/>
  <c r="D84" i="1"/>
  <c r="D85" i="1"/>
  <c r="D86" i="1"/>
  <c r="D87" i="1"/>
  <c r="D88" i="1"/>
  <c r="E82" i="1"/>
  <c r="E83" i="1"/>
  <c r="E84" i="1"/>
  <c r="E85" i="1"/>
  <c r="E86" i="1"/>
  <c r="E87" i="1"/>
  <c r="E88" i="1"/>
  <c r="H82" i="1"/>
  <c r="H83" i="1"/>
  <c r="H84" i="1"/>
  <c r="H85" i="1"/>
  <c r="H86" i="1"/>
  <c r="H87" i="1"/>
  <c r="I87" i="1" s="1"/>
  <c r="H88" i="1"/>
  <c r="I82" i="1"/>
  <c r="K84" i="1"/>
  <c r="B89" i="1"/>
  <c r="B90" i="1"/>
  <c r="B91" i="1"/>
  <c r="B92" i="1"/>
  <c r="B93" i="1"/>
  <c r="B94" i="1"/>
  <c r="B95" i="1"/>
  <c r="C89" i="1"/>
  <c r="C90" i="1"/>
  <c r="C91" i="1"/>
  <c r="X91" i="1" s="1"/>
  <c r="C92" i="1"/>
  <c r="C93" i="1"/>
  <c r="C94" i="1"/>
  <c r="C95" i="1"/>
  <c r="X95" i="1" s="1"/>
  <c r="D89" i="1"/>
  <c r="D90" i="1"/>
  <c r="D91" i="1"/>
  <c r="D92" i="1"/>
  <c r="D93" i="1"/>
  <c r="D94" i="1"/>
  <c r="D95" i="1"/>
  <c r="E89" i="1"/>
  <c r="E90" i="1"/>
  <c r="E91" i="1"/>
  <c r="E92" i="1"/>
  <c r="E93" i="1"/>
  <c r="E94" i="1"/>
  <c r="E95" i="1"/>
  <c r="H89" i="1"/>
  <c r="H90" i="1"/>
  <c r="H91" i="1"/>
  <c r="H92" i="1"/>
  <c r="H93" i="1"/>
  <c r="H94" i="1"/>
  <c r="H95" i="1"/>
  <c r="I89" i="1"/>
  <c r="B96" i="1"/>
  <c r="B97" i="1"/>
  <c r="B98" i="1"/>
  <c r="B99" i="1"/>
  <c r="B100" i="1"/>
  <c r="B101" i="1"/>
  <c r="B102" i="1"/>
  <c r="C96" i="1"/>
  <c r="L96" i="1" s="1"/>
  <c r="C97" i="1"/>
  <c r="C98" i="1"/>
  <c r="C99" i="1"/>
  <c r="C100" i="1"/>
  <c r="C101" i="1"/>
  <c r="C102" i="1"/>
  <c r="D96" i="1"/>
  <c r="D97" i="1"/>
  <c r="D98" i="1"/>
  <c r="D99" i="1"/>
  <c r="D100" i="1"/>
  <c r="D101" i="1"/>
  <c r="D102" i="1"/>
  <c r="E96" i="1"/>
  <c r="E97" i="1"/>
  <c r="E98" i="1"/>
  <c r="E99" i="1"/>
  <c r="E100" i="1"/>
  <c r="E101" i="1"/>
  <c r="E102" i="1"/>
  <c r="H96" i="1"/>
  <c r="H97" i="1"/>
  <c r="L97" i="1" s="1"/>
  <c r="H98" i="1"/>
  <c r="H99" i="1"/>
  <c r="H100" i="1"/>
  <c r="H101" i="1"/>
  <c r="H102" i="1"/>
  <c r="I96" i="1"/>
  <c r="O96" i="1" s="1"/>
  <c r="M102" i="1"/>
  <c r="B103" i="1"/>
  <c r="B104" i="1"/>
  <c r="B105" i="1"/>
  <c r="B106" i="1"/>
  <c r="B107" i="1"/>
  <c r="B108" i="1"/>
  <c r="B109" i="1"/>
  <c r="C103" i="1"/>
  <c r="C104" i="1"/>
  <c r="C105" i="1"/>
  <c r="C106" i="1"/>
  <c r="C107" i="1"/>
  <c r="C108" i="1"/>
  <c r="C109" i="1"/>
  <c r="D103" i="1"/>
  <c r="D104" i="1"/>
  <c r="D105" i="1"/>
  <c r="D106" i="1"/>
  <c r="D107" i="1"/>
  <c r="D108" i="1"/>
  <c r="D109" i="1"/>
  <c r="E103" i="1"/>
  <c r="E104" i="1"/>
  <c r="E105" i="1"/>
  <c r="E106" i="1"/>
  <c r="E107" i="1"/>
  <c r="E108" i="1"/>
  <c r="E109" i="1"/>
  <c r="H103" i="1"/>
  <c r="H104" i="1"/>
  <c r="H105" i="1"/>
  <c r="H106" i="1"/>
  <c r="H107" i="1"/>
  <c r="H108" i="1"/>
  <c r="I108" i="1" s="1"/>
  <c r="H109" i="1"/>
  <c r="I103" i="1"/>
  <c r="K105" i="1"/>
  <c r="B110" i="1"/>
  <c r="B111" i="1"/>
  <c r="B112" i="1"/>
  <c r="B113" i="1"/>
  <c r="B114" i="1"/>
  <c r="B115" i="1"/>
  <c r="B116" i="1"/>
  <c r="C110" i="1"/>
  <c r="C111" i="1"/>
  <c r="C112" i="1"/>
  <c r="M112" i="1" s="1"/>
  <c r="C113" i="1"/>
  <c r="C114" i="1"/>
  <c r="C115" i="1"/>
  <c r="C116" i="1"/>
  <c r="D110" i="1"/>
  <c r="D111" i="1"/>
  <c r="D112" i="1"/>
  <c r="D113" i="1"/>
  <c r="D114" i="1"/>
  <c r="D115" i="1"/>
  <c r="D116" i="1"/>
  <c r="E110" i="1"/>
  <c r="E111" i="1"/>
  <c r="E112" i="1"/>
  <c r="E113" i="1"/>
  <c r="E114" i="1"/>
  <c r="E115" i="1"/>
  <c r="E116" i="1"/>
  <c r="H110" i="1"/>
  <c r="H111" i="1"/>
  <c r="J111" i="1" s="1"/>
  <c r="H112" i="1"/>
  <c r="H113" i="1"/>
  <c r="H114" i="1"/>
  <c r="H115" i="1"/>
  <c r="H116" i="1"/>
  <c r="I110" i="1"/>
  <c r="B117" i="1"/>
  <c r="B118" i="1"/>
  <c r="B119" i="1"/>
  <c r="B120" i="1"/>
  <c r="B121" i="1"/>
  <c r="B122" i="1"/>
  <c r="B123" i="1"/>
  <c r="C117" i="1"/>
  <c r="C118" i="1"/>
  <c r="C119" i="1"/>
  <c r="C120" i="1"/>
  <c r="X120" i="1" s="1"/>
  <c r="C121" i="1"/>
  <c r="C122" i="1"/>
  <c r="X122" i="1" s="1"/>
  <c r="C123" i="1"/>
  <c r="D117" i="1"/>
  <c r="D118" i="1"/>
  <c r="D119" i="1"/>
  <c r="D120" i="1"/>
  <c r="D121" i="1"/>
  <c r="D122" i="1"/>
  <c r="D123" i="1"/>
  <c r="E117" i="1"/>
  <c r="E118" i="1"/>
  <c r="E119" i="1"/>
  <c r="E120" i="1"/>
  <c r="E121" i="1"/>
  <c r="E122" i="1"/>
  <c r="E123" i="1"/>
  <c r="H117" i="1"/>
  <c r="I117" i="1" s="1"/>
  <c r="H118" i="1"/>
  <c r="H119" i="1"/>
  <c r="H120" i="1"/>
  <c r="H121" i="1"/>
  <c r="H122" i="1"/>
  <c r="H123" i="1"/>
  <c r="L123" i="1" s="1"/>
  <c r="L122" i="1"/>
  <c r="B124" i="1"/>
  <c r="B125" i="1"/>
  <c r="B126" i="1"/>
  <c r="B127" i="1"/>
  <c r="B128" i="1"/>
  <c r="B129" i="1"/>
  <c r="B130" i="1"/>
  <c r="C124" i="1"/>
  <c r="C125" i="1"/>
  <c r="X125" i="1" s="1"/>
  <c r="C126" i="1"/>
  <c r="C127" i="1"/>
  <c r="C128" i="1"/>
  <c r="C129" i="1"/>
  <c r="X129" i="1" s="1"/>
  <c r="C130" i="1"/>
  <c r="D124" i="1"/>
  <c r="D125" i="1"/>
  <c r="D126" i="1"/>
  <c r="D127" i="1"/>
  <c r="D128" i="1"/>
  <c r="D129" i="1"/>
  <c r="D130" i="1"/>
  <c r="E124" i="1"/>
  <c r="E125" i="1"/>
  <c r="E126" i="1"/>
  <c r="E127" i="1"/>
  <c r="E128" i="1"/>
  <c r="E129" i="1"/>
  <c r="E130" i="1"/>
  <c r="H124" i="1"/>
  <c r="I124" i="1" s="1"/>
  <c r="H125" i="1"/>
  <c r="H126" i="1"/>
  <c r="H127" i="1"/>
  <c r="H128" i="1"/>
  <c r="H129" i="1"/>
  <c r="H130" i="1"/>
  <c r="B131" i="1"/>
  <c r="B132" i="1"/>
  <c r="B133" i="1"/>
  <c r="B134" i="1"/>
  <c r="B135" i="1"/>
  <c r="B136" i="1"/>
  <c r="B137" i="1"/>
  <c r="C131" i="1"/>
  <c r="C132" i="1"/>
  <c r="C133" i="1"/>
  <c r="C134" i="1"/>
  <c r="X134" i="1" s="1"/>
  <c r="C135" i="1"/>
  <c r="C136" i="1"/>
  <c r="C137" i="1"/>
  <c r="D131" i="1"/>
  <c r="D132" i="1"/>
  <c r="D133" i="1"/>
  <c r="D134" i="1"/>
  <c r="D135" i="1"/>
  <c r="D136" i="1"/>
  <c r="D137" i="1"/>
  <c r="E131" i="1"/>
  <c r="E132" i="1"/>
  <c r="E133" i="1"/>
  <c r="E134" i="1"/>
  <c r="E135" i="1"/>
  <c r="E136" i="1"/>
  <c r="E137" i="1"/>
  <c r="H131" i="1"/>
  <c r="I131" i="1" s="1"/>
  <c r="H132" i="1"/>
  <c r="H133" i="1"/>
  <c r="K133" i="1" s="1"/>
  <c r="H134" i="1"/>
  <c r="H135" i="1"/>
  <c r="H136" i="1"/>
  <c r="H137" i="1"/>
  <c r="I136" i="1"/>
  <c r="B138" i="1"/>
  <c r="B139" i="1"/>
  <c r="B140" i="1"/>
  <c r="B141" i="1"/>
  <c r="B142" i="1"/>
  <c r="B143" i="1"/>
  <c r="B144" i="1"/>
  <c r="C138" i="1"/>
  <c r="C139" i="1"/>
  <c r="C140" i="1"/>
  <c r="C141" i="1"/>
  <c r="X141" i="1" s="1"/>
  <c r="C142" i="1"/>
  <c r="C143" i="1"/>
  <c r="C144" i="1"/>
  <c r="D138" i="1"/>
  <c r="D139" i="1"/>
  <c r="D140" i="1"/>
  <c r="D141" i="1"/>
  <c r="D142" i="1"/>
  <c r="D143" i="1"/>
  <c r="D144" i="1"/>
  <c r="E138" i="1"/>
  <c r="E139" i="1"/>
  <c r="E140" i="1"/>
  <c r="E141" i="1"/>
  <c r="E142" i="1"/>
  <c r="E143" i="1"/>
  <c r="E144" i="1"/>
  <c r="H138" i="1"/>
  <c r="I138" i="1" s="1"/>
  <c r="H139" i="1"/>
  <c r="H140" i="1"/>
  <c r="H141" i="1"/>
  <c r="H142" i="1"/>
  <c r="H143" i="1"/>
  <c r="H144" i="1"/>
  <c r="I143" i="1"/>
  <c r="P10" i="1" l="1"/>
  <c r="Q27" i="1"/>
  <c r="J136" i="1"/>
  <c r="X136" i="1"/>
  <c r="M132" i="1"/>
  <c r="X132" i="1"/>
  <c r="L114" i="1"/>
  <c r="X114" i="1"/>
  <c r="L110" i="1"/>
  <c r="X110" i="1"/>
  <c r="K109" i="1"/>
  <c r="X109" i="1"/>
  <c r="L105" i="1"/>
  <c r="X105" i="1"/>
  <c r="L100" i="1"/>
  <c r="X100" i="1"/>
  <c r="L93" i="1"/>
  <c r="X93" i="1"/>
  <c r="L89" i="1"/>
  <c r="X89" i="1"/>
  <c r="L88" i="1"/>
  <c r="X88" i="1"/>
  <c r="L79" i="1"/>
  <c r="X79" i="1"/>
  <c r="L75" i="1"/>
  <c r="X75" i="1"/>
  <c r="K144" i="1"/>
  <c r="X144" i="1"/>
  <c r="L140" i="1"/>
  <c r="X140" i="1"/>
  <c r="L135" i="1"/>
  <c r="X135" i="1"/>
  <c r="L131" i="1"/>
  <c r="X131" i="1"/>
  <c r="L128" i="1"/>
  <c r="X128" i="1"/>
  <c r="L124" i="1"/>
  <c r="X124" i="1"/>
  <c r="K123" i="1"/>
  <c r="X123" i="1"/>
  <c r="K119" i="1"/>
  <c r="X119" i="1"/>
  <c r="X113" i="1"/>
  <c r="J108" i="1"/>
  <c r="X108" i="1"/>
  <c r="M104" i="1"/>
  <c r="X104" i="1"/>
  <c r="X99" i="1"/>
  <c r="X92" i="1"/>
  <c r="X87" i="1"/>
  <c r="M83" i="1"/>
  <c r="X83" i="1"/>
  <c r="X78" i="1"/>
  <c r="J127" i="1"/>
  <c r="X127" i="1"/>
  <c r="L118" i="1"/>
  <c r="X118" i="1"/>
  <c r="I116" i="1"/>
  <c r="X116" i="1"/>
  <c r="L107" i="1"/>
  <c r="X107" i="1"/>
  <c r="L103" i="1"/>
  <c r="X103" i="1"/>
  <c r="J102" i="1"/>
  <c r="X102" i="1"/>
  <c r="J98" i="1"/>
  <c r="X98" i="1"/>
  <c r="L86" i="1"/>
  <c r="X86" i="1"/>
  <c r="L82" i="1"/>
  <c r="X82" i="1"/>
  <c r="L81" i="1"/>
  <c r="X81" i="1"/>
  <c r="L77" i="1"/>
  <c r="X77" i="1"/>
  <c r="M143" i="1"/>
  <c r="X143" i="1"/>
  <c r="X139" i="1"/>
  <c r="N139" i="1" s="1"/>
  <c r="O139" i="1" s="1"/>
  <c r="L142" i="1"/>
  <c r="X142" i="1"/>
  <c r="L138" i="1"/>
  <c r="X138" i="1"/>
  <c r="K137" i="1"/>
  <c r="X137" i="1"/>
  <c r="L133" i="1"/>
  <c r="X133" i="1"/>
  <c r="J130" i="1"/>
  <c r="X130" i="1"/>
  <c r="J126" i="1"/>
  <c r="X126" i="1"/>
  <c r="L121" i="1"/>
  <c r="X121" i="1"/>
  <c r="L117" i="1"/>
  <c r="X117" i="1"/>
  <c r="J115" i="1"/>
  <c r="X115" i="1"/>
  <c r="L111" i="1"/>
  <c r="X106" i="1"/>
  <c r="L101" i="1"/>
  <c r="X101" i="1"/>
  <c r="X94" i="1"/>
  <c r="X90" i="1"/>
  <c r="X85" i="1"/>
  <c r="K80" i="1"/>
  <c r="X80" i="1"/>
  <c r="J76" i="1"/>
  <c r="X76" i="1"/>
  <c r="U74" i="1"/>
  <c r="S74" i="1"/>
  <c r="V74" i="1"/>
  <c r="V11" i="1"/>
  <c r="U11" i="1"/>
  <c r="S11" i="1"/>
  <c r="O60" i="1"/>
  <c r="Q60" i="1" s="1"/>
  <c r="U60" i="1"/>
  <c r="V60" i="1"/>
  <c r="Q20" i="1"/>
  <c r="S25" i="1"/>
  <c r="U25" i="1"/>
  <c r="S67" i="1"/>
  <c r="U67" i="1"/>
  <c r="S46" i="1"/>
  <c r="U46" i="1"/>
  <c r="S39" i="1"/>
  <c r="U39" i="1"/>
  <c r="P17" i="1"/>
  <c r="P24" i="1"/>
  <c r="P13" i="1"/>
  <c r="P9" i="1"/>
  <c r="O11" i="1"/>
  <c r="Q11" i="1" s="1"/>
  <c r="P7" i="1"/>
  <c r="Q8" i="1"/>
  <c r="P8" i="1"/>
  <c r="P16" i="1"/>
  <c r="Q18" i="1"/>
  <c r="Q41" i="1"/>
  <c r="Q12" i="1"/>
  <c r="Q15" i="1"/>
  <c r="P15" i="1"/>
  <c r="P14" i="1"/>
  <c r="P45" i="1"/>
  <c r="Q19" i="1"/>
  <c r="O25" i="1"/>
  <c r="Q25" i="1" s="1"/>
  <c r="P23" i="1"/>
  <c r="Q22" i="1"/>
  <c r="P22" i="1"/>
  <c r="M80" i="1"/>
  <c r="P28" i="1"/>
  <c r="P21" i="1"/>
  <c r="Q30" i="1"/>
  <c r="Q32" i="1"/>
  <c r="P34" i="1"/>
  <c r="P26" i="1"/>
  <c r="P40" i="1"/>
  <c r="Q29" i="1"/>
  <c r="P29" i="1"/>
  <c r="P38" i="1"/>
  <c r="P33" i="1"/>
  <c r="P62" i="1"/>
  <c r="P48" i="1"/>
  <c r="P36" i="1"/>
  <c r="O39" i="1"/>
  <c r="Q39" i="1" s="1"/>
  <c r="P35" i="1"/>
  <c r="Q37" i="1"/>
  <c r="P69" i="1"/>
  <c r="O46" i="1"/>
  <c r="Q46" i="1" s="1"/>
  <c r="Q44" i="1"/>
  <c r="P66" i="1"/>
  <c r="P42" i="1"/>
  <c r="Q43" i="1"/>
  <c r="P43" i="1"/>
  <c r="M86" i="1"/>
  <c r="Q51" i="1"/>
  <c r="Q53" i="1"/>
  <c r="Q50" i="1"/>
  <c r="P49" i="1"/>
  <c r="P47" i="1"/>
  <c r="Q47" i="1"/>
  <c r="P73" i="1"/>
  <c r="P58" i="1"/>
  <c r="P54" i="1"/>
  <c r="P56" i="1"/>
  <c r="I78" i="1"/>
  <c r="Q57" i="1"/>
  <c r="P57" i="1"/>
  <c r="O67" i="1"/>
  <c r="Q67" i="1" s="1"/>
  <c r="P61" i="1"/>
  <c r="P65" i="1"/>
  <c r="P63" i="1"/>
  <c r="K81" i="1"/>
  <c r="J81" i="1"/>
  <c r="J77" i="1"/>
  <c r="Q64" i="1"/>
  <c r="P64" i="1"/>
  <c r="K88" i="1"/>
  <c r="J88" i="1"/>
  <c r="J84" i="1"/>
  <c r="P70" i="1"/>
  <c r="O74" i="1"/>
  <c r="P72" i="1"/>
  <c r="Q68" i="1"/>
  <c r="M76" i="1"/>
  <c r="L76" i="1"/>
  <c r="K76" i="1"/>
  <c r="J80" i="1"/>
  <c r="Q71" i="1"/>
  <c r="P71" i="1"/>
  <c r="M93" i="1"/>
  <c r="L80" i="1"/>
  <c r="I76" i="1"/>
  <c r="I102" i="1"/>
  <c r="I94" i="1"/>
  <c r="I90" i="1"/>
  <c r="I83" i="1"/>
  <c r="M79" i="1"/>
  <c r="L78" i="1"/>
  <c r="K78" i="1"/>
  <c r="I79" i="1"/>
  <c r="M75" i="1"/>
  <c r="M78" i="1"/>
  <c r="J79" i="1"/>
  <c r="J75" i="1"/>
  <c r="I115" i="1"/>
  <c r="I111" i="1"/>
  <c r="O111" i="1" s="1"/>
  <c r="M81" i="1"/>
  <c r="M77" i="1"/>
  <c r="K79" i="1"/>
  <c r="K75" i="1"/>
  <c r="J78" i="1"/>
  <c r="I81" i="1"/>
  <c r="I77" i="1"/>
  <c r="M96" i="1"/>
  <c r="I85" i="1"/>
  <c r="M87" i="1"/>
  <c r="L87" i="1"/>
  <c r="J87" i="1"/>
  <c r="L85" i="1"/>
  <c r="K87" i="1"/>
  <c r="J83" i="1"/>
  <c r="K85" i="1"/>
  <c r="L83" i="1"/>
  <c r="K83" i="1"/>
  <c r="I86" i="1"/>
  <c r="M82" i="1"/>
  <c r="M85" i="1"/>
  <c r="J86" i="1"/>
  <c r="J82" i="1"/>
  <c r="L109" i="1"/>
  <c r="M124" i="1"/>
  <c r="M122" i="1"/>
  <c r="M98" i="1"/>
  <c r="I98" i="1"/>
  <c r="K93" i="1"/>
  <c r="M88" i="1"/>
  <c r="M84" i="1"/>
  <c r="K86" i="1"/>
  <c r="K82" i="1"/>
  <c r="J85" i="1"/>
  <c r="I88" i="1"/>
  <c r="I84" i="1"/>
  <c r="J109" i="1"/>
  <c r="J105" i="1"/>
  <c r="K92" i="1"/>
  <c r="L94" i="1"/>
  <c r="L90" i="1"/>
  <c r="J94" i="1"/>
  <c r="L92" i="1"/>
  <c r="J92" i="1"/>
  <c r="J95" i="1"/>
  <c r="J91" i="1"/>
  <c r="J90" i="1"/>
  <c r="M95" i="1"/>
  <c r="K91" i="1"/>
  <c r="I95" i="1"/>
  <c r="I93" i="1"/>
  <c r="M91" i="1"/>
  <c r="K95" i="1"/>
  <c r="I91" i="1"/>
  <c r="M89" i="1"/>
  <c r="K89" i="1"/>
  <c r="I101" i="1"/>
  <c r="I97" i="1"/>
  <c r="O97" i="1" s="1"/>
  <c r="M92" i="1"/>
  <c r="L95" i="1"/>
  <c r="L91" i="1"/>
  <c r="K94" i="1"/>
  <c r="K90" i="1"/>
  <c r="J93" i="1"/>
  <c r="J89" i="1"/>
  <c r="I92" i="1"/>
  <c r="M107" i="1"/>
  <c r="K99" i="1"/>
  <c r="M94" i="1"/>
  <c r="M90" i="1"/>
  <c r="J99" i="1"/>
  <c r="L99" i="1"/>
  <c r="I100" i="1"/>
  <c r="M100" i="1"/>
  <c r="K100" i="1"/>
  <c r="K96" i="1"/>
  <c r="L127" i="1"/>
  <c r="K102" i="1"/>
  <c r="K98" i="1"/>
  <c r="J101" i="1"/>
  <c r="J97" i="1"/>
  <c r="M142" i="1"/>
  <c r="M118" i="1"/>
  <c r="K114" i="1"/>
  <c r="M116" i="1"/>
  <c r="I112" i="1"/>
  <c r="O112" i="1" s="1"/>
  <c r="M108" i="1"/>
  <c r="L108" i="1"/>
  <c r="I104" i="1"/>
  <c r="M99" i="1"/>
  <c r="L102" i="1"/>
  <c r="L98" i="1"/>
  <c r="K101" i="1"/>
  <c r="K97" i="1"/>
  <c r="J100" i="1"/>
  <c r="J96" i="1"/>
  <c r="I99" i="1"/>
  <c r="M110" i="1"/>
  <c r="I106" i="1"/>
  <c r="M101" i="1"/>
  <c r="M97" i="1"/>
  <c r="L106" i="1"/>
  <c r="K108" i="1"/>
  <c r="J104" i="1"/>
  <c r="K106" i="1"/>
  <c r="L104" i="1"/>
  <c r="K104" i="1"/>
  <c r="I107" i="1"/>
  <c r="M103" i="1"/>
  <c r="M135" i="1"/>
  <c r="M106" i="1"/>
  <c r="J107" i="1"/>
  <c r="J103" i="1"/>
  <c r="M121" i="1"/>
  <c r="K118" i="1"/>
  <c r="K116" i="1"/>
  <c r="M109" i="1"/>
  <c r="M105" i="1"/>
  <c r="K107" i="1"/>
  <c r="K103" i="1"/>
  <c r="J106" i="1"/>
  <c r="I109" i="1"/>
  <c r="I105" i="1"/>
  <c r="M130" i="1"/>
  <c r="I121" i="1"/>
  <c r="J116" i="1"/>
  <c r="J112" i="1"/>
  <c r="L115" i="1"/>
  <c r="K112" i="1"/>
  <c r="K113" i="1"/>
  <c r="M114" i="1"/>
  <c r="L113" i="1"/>
  <c r="I114" i="1"/>
  <c r="K110" i="1"/>
  <c r="J118" i="1"/>
  <c r="J122" i="1"/>
  <c r="I118" i="1"/>
  <c r="M113" i="1"/>
  <c r="L116" i="1"/>
  <c r="L112" i="1"/>
  <c r="K115" i="1"/>
  <c r="K111" i="1"/>
  <c r="J114" i="1"/>
  <c r="J110" i="1"/>
  <c r="I113" i="1"/>
  <c r="J113" i="1"/>
  <c r="I129" i="1"/>
  <c r="I125" i="1"/>
  <c r="I120" i="1"/>
  <c r="M115" i="1"/>
  <c r="M111" i="1"/>
  <c r="K122" i="1"/>
  <c r="I122" i="1"/>
  <c r="K120" i="1"/>
  <c r="L120" i="1"/>
  <c r="L119" i="1"/>
  <c r="J123" i="1"/>
  <c r="J119" i="1"/>
  <c r="M117" i="1"/>
  <c r="M120" i="1"/>
  <c r="J121" i="1"/>
  <c r="J117" i="1"/>
  <c r="L143" i="1"/>
  <c r="M126" i="1"/>
  <c r="I128" i="1"/>
  <c r="M123" i="1"/>
  <c r="M119" i="1"/>
  <c r="K121" i="1"/>
  <c r="K117" i="1"/>
  <c r="J120" i="1"/>
  <c r="I123" i="1"/>
  <c r="I119" i="1"/>
  <c r="L137" i="1"/>
  <c r="J143" i="1"/>
  <c r="K143" i="1"/>
  <c r="I139" i="1"/>
  <c r="J137" i="1"/>
  <c r="J133" i="1"/>
  <c r="K127" i="1"/>
  <c r="L125" i="1"/>
  <c r="L129" i="1"/>
  <c r="M128" i="1"/>
  <c r="I130" i="1"/>
  <c r="K128" i="1"/>
  <c r="I126" i="1"/>
  <c r="K124" i="1"/>
  <c r="K130" i="1"/>
  <c r="K126" i="1"/>
  <c r="J129" i="1"/>
  <c r="J125" i="1"/>
  <c r="K140" i="1"/>
  <c r="J144" i="1"/>
  <c r="J140" i="1"/>
  <c r="M136" i="1"/>
  <c r="L136" i="1"/>
  <c r="I132" i="1"/>
  <c r="M127" i="1"/>
  <c r="L130" i="1"/>
  <c r="L126" i="1"/>
  <c r="K129" i="1"/>
  <c r="K125" i="1"/>
  <c r="J128" i="1"/>
  <c r="J124" i="1"/>
  <c r="I127" i="1"/>
  <c r="L144" i="1"/>
  <c r="I134" i="1"/>
  <c r="M129" i="1"/>
  <c r="M125" i="1"/>
  <c r="L134" i="1"/>
  <c r="K136" i="1"/>
  <c r="J132" i="1"/>
  <c r="K134" i="1"/>
  <c r="L132" i="1"/>
  <c r="K132" i="1"/>
  <c r="I135" i="1"/>
  <c r="M131" i="1"/>
  <c r="M134" i="1"/>
  <c r="J135" i="1"/>
  <c r="J131" i="1"/>
  <c r="M137" i="1"/>
  <c r="M133" i="1"/>
  <c r="K135" i="1"/>
  <c r="K131" i="1"/>
  <c r="J134" i="1"/>
  <c r="I137" i="1"/>
  <c r="I133" i="1"/>
  <c r="I141" i="1"/>
  <c r="L141" i="1"/>
  <c r="K141" i="1"/>
  <c r="I142" i="1"/>
  <c r="M138" i="1"/>
  <c r="M141" i="1"/>
  <c r="J138" i="1"/>
  <c r="M144" i="1"/>
  <c r="M140" i="1"/>
  <c r="K138" i="1"/>
  <c r="J141" i="1"/>
  <c r="I144" i="1"/>
  <c r="I140" i="1"/>
  <c r="P60" i="1" l="1"/>
  <c r="P11" i="1"/>
  <c r="P18" i="1"/>
  <c r="P25" i="1"/>
  <c r="P32" i="1"/>
  <c r="P39" i="1"/>
  <c r="P46" i="1"/>
  <c r="P53" i="1"/>
  <c r="P67" i="1"/>
  <c r="Q74" i="1"/>
  <c r="P74" i="1"/>
  <c r="N76" i="1"/>
  <c r="O76" i="1" s="1"/>
  <c r="Q76" i="1" s="1"/>
  <c r="N80" i="1"/>
  <c r="O80" i="1" s="1"/>
  <c r="Q80" i="1" s="1"/>
  <c r="N144" i="1"/>
  <c r="N127" i="1"/>
  <c r="O127" i="1" s="1"/>
  <c r="P127" i="1" s="1"/>
  <c r="N140" i="1"/>
  <c r="O140" i="1" s="1"/>
  <c r="Q140" i="1" s="1"/>
  <c r="N101" i="1"/>
  <c r="O101" i="1" s="1"/>
  <c r="N99" i="1"/>
  <c r="N94" i="1"/>
  <c r="N129" i="1"/>
  <c r="O129" i="1" s="1"/>
  <c r="N86" i="1"/>
  <c r="O86" i="1" s="1"/>
  <c r="Q86" i="1" s="1"/>
  <c r="N93" i="1"/>
  <c r="O93" i="1" s="1"/>
  <c r="N92" i="1"/>
  <c r="N104" i="1"/>
  <c r="N132" i="1"/>
  <c r="O132" i="1" s="1"/>
  <c r="P132" i="1" s="1"/>
  <c r="N143" i="1"/>
  <c r="N102" i="1"/>
  <c r="N141" i="1"/>
  <c r="O141" i="1" s="1"/>
  <c r="N137" i="1"/>
  <c r="N131" i="1"/>
  <c r="N125" i="1"/>
  <c r="N109" i="1"/>
  <c r="N107" i="1"/>
  <c r="O107" i="1" s="1"/>
  <c r="N88" i="1"/>
  <c r="N98" i="1"/>
  <c r="N83" i="1"/>
  <c r="N110" i="1"/>
  <c r="O110" i="1" s="1"/>
  <c r="Q110" i="1" s="1"/>
  <c r="N116" i="1"/>
  <c r="N114" i="1"/>
  <c r="N117" i="1"/>
  <c r="O117" i="1" s="1"/>
  <c r="Q117" i="1" s="1"/>
  <c r="N113" i="1"/>
  <c r="O113" i="1" s="1"/>
  <c r="Q113" i="1" s="1"/>
  <c r="N130" i="1"/>
  <c r="N91" i="1"/>
  <c r="N95" i="1"/>
  <c r="N122" i="1"/>
  <c r="O122" i="1" s="1"/>
  <c r="P122" i="1" s="1"/>
  <c r="N82" i="1"/>
  <c r="N78" i="1"/>
  <c r="O78" i="1" s="1"/>
  <c r="N75" i="1"/>
  <c r="N79" i="1"/>
  <c r="O79" i="1" s="1"/>
  <c r="N119" i="1"/>
  <c r="O119" i="1" s="1"/>
  <c r="Q119" i="1" s="1"/>
  <c r="N135" i="1"/>
  <c r="N108" i="1"/>
  <c r="N118" i="1"/>
  <c r="O118" i="1" s="1"/>
  <c r="P118" i="1" s="1"/>
  <c r="N100" i="1"/>
  <c r="O100" i="1" s="1"/>
  <c r="N89" i="1"/>
  <c r="N124" i="1"/>
  <c r="N85" i="1"/>
  <c r="O85" i="1" s="1"/>
  <c r="N77" i="1"/>
  <c r="N128" i="1"/>
  <c r="N121" i="1"/>
  <c r="N134" i="1"/>
  <c r="O134" i="1" s="1"/>
  <c r="N126" i="1"/>
  <c r="N120" i="1"/>
  <c r="O120" i="1" s="1"/>
  <c r="N138" i="1"/>
  <c r="N133" i="1"/>
  <c r="O133" i="1" s="1"/>
  <c r="Q133" i="1" s="1"/>
  <c r="N136" i="1"/>
  <c r="N123" i="1"/>
  <c r="N115" i="1"/>
  <c r="O115" i="1" s="1"/>
  <c r="N105" i="1"/>
  <c r="O105" i="1" s="1"/>
  <c r="Q105" i="1" s="1"/>
  <c r="N106" i="1"/>
  <c r="O106" i="1" s="1"/>
  <c r="N103" i="1"/>
  <c r="N142" i="1"/>
  <c r="O142" i="1" s="1"/>
  <c r="Q142" i="1" s="1"/>
  <c r="N90" i="1"/>
  <c r="O90" i="1" s="1"/>
  <c r="Q90" i="1" s="1"/>
  <c r="N84" i="1"/>
  <c r="N87" i="1"/>
  <c r="N81" i="1"/>
  <c r="Q96" i="1"/>
  <c r="Q112" i="1"/>
  <c r="Q111" i="1"/>
  <c r="Q139" i="1"/>
  <c r="S137" i="1" l="1"/>
  <c r="V137" i="1"/>
  <c r="S95" i="1"/>
  <c r="V95" i="1"/>
  <c r="S109" i="1"/>
  <c r="V109" i="1"/>
  <c r="S123" i="1"/>
  <c r="V123" i="1"/>
  <c r="S102" i="1"/>
  <c r="V102" i="1"/>
  <c r="S81" i="1"/>
  <c r="V81" i="1"/>
  <c r="S130" i="1"/>
  <c r="V130" i="1"/>
  <c r="S116" i="1"/>
  <c r="V116" i="1"/>
  <c r="S88" i="1"/>
  <c r="V88" i="1"/>
  <c r="S144" i="1"/>
  <c r="V144" i="1"/>
  <c r="O137" i="1"/>
  <c r="O95" i="1"/>
  <c r="O109" i="1"/>
  <c r="Q109" i="1" s="1"/>
  <c r="O123" i="1"/>
  <c r="Q123" i="1" s="1"/>
  <c r="O102" i="1"/>
  <c r="O130" i="1"/>
  <c r="O116" i="1"/>
  <c r="O88" i="1"/>
  <c r="Q88" i="1" s="1"/>
  <c r="O144" i="1"/>
  <c r="P144" i="1" s="1"/>
  <c r="P76" i="1"/>
  <c r="P80" i="1"/>
  <c r="O121" i="1"/>
  <c r="Q121" i="1" s="1"/>
  <c r="O83" i="1"/>
  <c r="Q83" i="1" s="1"/>
  <c r="O104" i="1"/>
  <c r="Q104" i="1" s="1"/>
  <c r="O87" i="1"/>
  <c r="Q87" i="1" s="1"/>
  <c r="O103" i="1"/>
  <c r="Q103" i="1" s="1"/>
  <c r="O128" i="1"/>
  <c r="P128" i="1" s="1"/>
  <c r="O89" i="1"/>
  <c r="Q89" i="1" s="1"/>
  <c r="O135" i="1"/>
  <c r="Q135" i="1" s="1"/>
  <c r="O91" i="1"/>
  <c r="Q91" i="1" s="1"/>
  <c r="O114" i="1"/>
  <c r="P114" i="1" s="1"/>
  <c r="O98" i="1"/>
  <c r="Q98" i="1" s="1"/>
  <c r="O125" i="1"/>
  <c r="P125" i="1" s="1"/>
  <c r="O92" i="1"/>
  <c r="P92" i="1" s="1"/>
  <c r="O94" i="1"/>
  <c r="Q94" i="1" s="1"/>
  <c r="O124" i="1"/>
  <c r="Q124" i="1" s="1"/>
  <c r="O84" i="1"/>
  <c r="P84" i="1" s="1"/>
  <c r="O136" i="1"/>
  <c r="Q136" i="1" s="1"/>
  <c r="O126" i="1"/>
  <c r="Q126" i="1" s="1"/>
  <c r="O77" i="1"/>
  <c r="Q77" i="1" s="1"/>
  <c r="O82" i="1"/>
  <c r="P82" i="1" s="1"/>
  <c r="O131" i="1"/>
  <c r="P131" i="1" s="1"/>
  <c r="O143" i="1"/>
  <c r="Q143" i="1" s="1"/>
  <c r="O99" i="1"/>
  <c r="P99" i="1" s="1"/>
  <c r="O81" i="1"/>
  <c r="P81" i="1" s="1"/>
  <c r="O138" i="1"/>
  <c r="P138" i="1" s="1"/>
  <c r="O108" i="1"/>
  <c r="P108" i="1" s="1"/>
  <c r="O75" i="1"/>
  <c r="P75" i="1" s="1"/>
  <c r="Q78" i="1"/>
  <c r="P78" i="1"/>
  <c r="Q79" i="1"/>
  <c r="P79" i="1"/>
  <c r="P86" i="1"/>
  <c r="Q85" i="1"/>
  <c r="P85" i="1"/>
  <c r="Q95" i="1"/>
  <c r="P90" i="1"/>
  <c r="Q93" i="1"/>
  <c r="Q102" i="1"/>
  <c r="P100" i="1"/>
  <c r="Q100" i="1"/>
  <c r="P96" i="1"/>
  <c r="Q97" i="1"/>
  <c r="P97" i="1"/>
  <c r="Q101" i="1"/>
  <c r="P101" i="1"/>
  <c r="Q107" i="1"/>
  <c r="P107" i="1"/>
  <c r="P105" i="1"/>
  <c r="Q106" i="1"/>
  <c r="P106" i="1"/>
  <c r="P112" i="1"/>
  <c r="P110" i="1"/>
  <c r="P111" i="1"/>
  <c r="Q122" i="1"/>
  <c r="P113" i="1"/>
  <c r="Q118" i="1"/>
  <c r="Q115" i="1"/>
  <c r="P115" i="1"/>
  <c r="P117" i="1"/>
  <c r="Q120" i="1"/>
  <c r="P120" i="1"/>
  <c r="P119" i="1"/>
  <c r="Q127" i="1"/>
  <c r="Q130" i="1"/>
  <c r="Q129" i="1"/>
  <c r="P129" i="1"/>
  <c r="Q132" i="1"/>
  <c r="P140" i="1"/>
  <c r="Q137" i="1"/>
  <c r="P139" i="1"/>
  <c r="Q134" i="1"/>
  <c r="P134" i="1"/>
  <c r="P133" i="1"/>
  <c r="P142" i="1"/>
  <c r="Q141" i="1"/>
  <c r="P141" i="1"/>
  <c r="P83" i="1" l="1"/>
  <c r="P91" i="1"/>
  <c r="Q92" i="1"/>
  <c r="P121" i="1"/>
  <c r="P136" i="1"/>
  <c r="P89" i="1"/>
  <c r="Q138" i="1"/>
  <c r="Q114" i="1"/>
  <c r="P94" i="1"/>
  <c r="P104" i="1"/>
  <c r="P98" i="1"/>
  <c r="Q131" i="1"/>
  <c r="P126" i="1"/>
  <c r="P124" i="1"/>
  <c r="P143" i="1"/>
  <c r="Q108" i="1"/>
  <c r="P77" i="1"/>
  <c r="Q81" i="1"/>
  <c r="Q82" i="1"/>
  <c r="Q84" i="1"/>
  <c r="Q125" i="1"/>
  <c r="P135" i="1"/>
  <c r="Q128" i="1"/>
  <c r="P87" i="1"/>
  <c r="P103" i="1"/>
  <c r="Q99" i="1"/>
  <c r="Q75" i="1"/>
  <c r="P93" i="1"/>
  <c r="P88" i="1"/>
  <c r="P95" i="1"/>
  <c r="P102" i="1"/>
  <c r="Q144" i="1"/>
  <c r="P109" i="1"/>
  <c r="P116" i="1"/>
  <c r="Q116" i="1"/>
  <c r="P123" i="1"/>
  <c r="P130" i="1"/>
  <c r="P137" i="1"/>
  <c r="B145" i="1" l="1"/>
  <c r="B146" i="1"/>
  <c r="B147" i="1"/>
  <c r="B148" i="1"/>
  <c r="B149" i="1"/>
  <c r="B150" i="1"/>
  <c r="B151" i="1"/>
  <c r="C145" i="1"/>
  <c r="C146" i="1"/>
  <c r="C147" i="1"/>
  <c r="C148" i="1"/>
  <c r="X148" i="1" s="1"/>
  <c r="C149" i="1"/>
  <c r="C150" i="1"/>
  <c r="C151" i="1"/>
  <c r="D145" i="1"/>
  <c r="D146" i="1"/>
  <c r="D147" i="1"/>
  <c r="D148" i="1"/>
  <c r="D149" i="1"/>
  <c r="D150" i="1"/>
  <c r="D151" i="1"/>
  <c r="E145" i="1"/>
  <c r="E146" i="1"/>
  <c r="E147" i="1"/>
  <c r="E148" i="1"/>
  <c r="E149" i="1"/>
  <c r="E150" i="1"/>
  <c r="E151" i="1"/>
  <c r="H145" i="1"/>
  <c r="I145" i="1" s="1"/>
  <c r="H146" i="1"/>
  <c r="I146" i="1" s="1"/>
  <c r="H147" i="1"/>
  <c r="H148" i="1"/>
  <c r="H149" i="1"/>
  <c r="H150" i="1"/>
  <c r="I150" i="1" s="1"/>
  <c r="H151" i="1"/>
  <c r="J146" i="1"/>
  <c r="J150" i="1"/>
  <c r="L146" i="1"/>
  <c r="L150" i="1" l="1"/>
  <c r="L149" i="1"/>
  <c r="X149" i="1"/>
  <c r="L145" i="1"/>
  <c r="X145" i="1"/>
  <c r="M151" i="1"/>
  <c r="X151" i="1"/>
  <c r="X147" i="1"/>
  <c r="X150" i="1"/>
  <c r="X146" i="1"/>
  <c r="I151" i="1"/>
  <c r="I147" i="1"/>
  <c r="M149" i="1"/>
  <c r="K151" i="1"/>
  <c r="J151" i="1"/>
  <c r="J147" i="1"/>
  <c r="L148" i="1"/>
  <c r="M147" i="1"/>
  <c r="K147" i="1"/>
  <c r="K148" i="1"/>
  <c r="I149" i="1"/>
  <c r="M145" i="1"/>
  <c r="M148" i="1"/>
  <c r="L151" i="1"/>
  <c r="L147" i="1"/>
  <c r="K150" i="1"/>
  <c r="K146" i="1"/>
  <c r="N146" i="1" s="1"/>
  <c r="O146" i="1" s="1"/>
  <c r="J149" i="1"/>
  <c r="J145" i="1"/>
  <c r="I148" i="1"/>
  <c r="K149" i="1"/>
  <c r="K145" i="1"/>
  <c r="J148" i="1"/>
  <c r="M150" i="1"/>
  <c r="N150" i="1" l="1"/>
  <c r="O150" i="1" s="1"/>
  <c r="Q150" i="1" s="1"/>
  <c r="N151" i="1"/>
  <c r="N145" i="1"/>
  <c r="O145" i="1" s="1"/>
  <c r="N147" i="1"/>
  <c r="O147" i="1" s="1"/>
  <c r="P147" i="1" s="1"/>
  <c r="N148" i="1"/>
  <c r="N149" i="1"/>
  <c r="O149" i="1" s="1"/>
  <c r="S151" i="1" l="1"/>
  <c r="V151" i="1"/>
  <c r="O151" i="1"/>
  <c r="O148" i="1"/>
  <c r="Q148" i="1" s="1"/>
  <c r="P149" i="1"/>
  <c r="Q149" i="1"/>
  <c r="P150" i="1"/>
  <c r="Q147" i="1"/>
  <c r="Q146" i="1"/>
  <c r="P146" i="1"/>
  <c r="Q145" i="1"/>
  <c r="P145" i="1"/>
  <c r="P148" i="1" l="1"/>
  <c r="Q151" i="1"/>
  <c r="P151" i="1"/>
  <c r="D120" i="17" l="1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4" i="17"/>
  <c r="D1" i="17"/>
  <c r="D435" i="15"/>
  <c r="D434" i="15"/>
  <c r="D433" i="15"/>
  <c r="D432" i="15"/>
  <c r="D431" i="15"/>
  <c r="D430" i="15"/>
  <c r="D429" i="15"/>
  <c r="D428" i="15"/>
  <c r="D427" i="15"/>
  <c r="D426" i="15"/>
  <c r="D425" i="15"/>
  <c r="D424" i="15"/>
  <c r="D423" i="15"/>
  <c r="D422" i="15"/>
  <c r="D421" i="15"/>
  <c r="D420" i="15"/>
  <c r="D419" i="15"/>
  <c r="D418" i="15"/>
  <c r="D417" i="15"/>
  <c r="D416" i="15"/>
  <c r="D415" i="15"/>
  <c r="D414" i="15"/>
  <c r="D413" i="15"/>
  <c r="D412" i="15"/>
  <c r="D411" i="15"/>
  <c r="D410" i="15"/>
  <c r="D409" i="15"/>
  <c r="D408" i="15"/>
  <c r="D407" i="15"/>
  <c r="D406" i="15"/>
  <c r="D405" i="15"/>
  <c r="D404" i="15"/>
  <c r="D403" i="15"/>
  <c r="D402" i="15"/>
  <c r="D401" i="15"/>
  <c r="D400" i="15"/>
  <c r="D399" i="15"/>
  <c r="D398" i="15"/>
  <c r="D397" i="15"/>
  <c r="D396" i="15"/>
  <c r="D395" i="15"/>
  <c r="D394" i="15"/>
  <c r="D393" i="15"/>
  <c r="D392" i="15"/>
  <c r="D391" i="15"/>
  <c r="D390" i="15"/>
  <c r="D389" i="15"/>
  <c r="D388" i="15"/>
  <c r="D387" i="15"/>
  <c r="D386" i="15"/>
  <c r="D385" i="15"/>
  <c r="D384" i="15"/>
  <c r="D383" i="15"/>
  <c r="D382" i="15"/>
  <c r="D381" i="15"/>
  <c r="D380" i="15"/>
  <c r="D379" i="15"/>
  <c r="D378" i="15"/>
  <c r="D377" i="15"/>
  <c r="D376" i="15"/>
  <c r="D375" i="15"/>
  <c r="D374" i="15"/>
  <c r="D373" i="15"/>
  <c r="D372" i="15"/>
  <c r="D371" i="15"/>
  <c r="D370" i="15"/>
  <c r="D369" i="15"/>
  <c r="D368" i="15"/>
  <c r="D367" i="15"/>
  <c r="D366" i="15"/>
  <c r="D365" i="15"/>
  <c r="D364" i="15"/>
  <c r="D363" i="15"/>
  <c r="D362" i="15"/>
  <c r="D361" i="15"/>
  <c r="D360" i="15"/>
  <c r="D359" i="15"/>
  <c r="D358" i="15"/>
  <c r="D357" i="15"/>
  <c r="D356" i="15"/>
  <c r="D355" i="15"/>
  <c r="D354" i="15"/>
  <c r="D353" i="15"/>
  <c r="D352" i="15"/>
  <c r="D351" i="15"/>
  <c r="D350" i="15"/>
  <c r="D349" i="15"/>
  <c r="D348" i="15"/>
  <c r="D347" i="15"/>
  <c r="D346" i="15"/>
  <c r="D345" i="15"/>
  <c r="D344" i="15"/>
  <c r="D343" i="15"/>
  <c r="D342" i="15"/>
  <c r="D341" i="15"/>
  <c r="D340" i="15"/>
  <c r="D339" i="15"/>
  <c r="D338" i="15"/>
  <c r="D337" i="15"/>
  <c r="D336" i="15"/>
  <c r="D335" i="15"/>
  <c r="D334" i="15"/>
  <c r="D333" i="15"/>
  <c r="D332" i="15"/>
  <c r="D331" i="15"/>
  <c r="D330" i="15"/>
  <c r="D329" i="15"/>
  <c r="D328" i="15"/>
  <c r="D327" i="15"/>
  <c r="D326" i="15"/>
  <c r="D325" i="15"/>
  <c r="D324" i="15"/>
  <c r="D323" i="15"/>
  <c r="D322" i="15"/>
  <c r="D321" i="15"/>
  <c r="D320" i="15"/>
  <c r="D319" i="15"/>
  <c r="D318" i="15"/>
  <c r="D317" i="15"/>
  <c r="D316" i="15"/>
  <c r="D315" i="15"/>
  <c r="D314" i="15"/>
  <c r="D313" i="15"/>
  <c r="D312" i="15"/>
  <c r="D311" i="15"/>
  <c r="D310" i="15"/>
  <c r="D309" i="15"/>
  <c r="D308" i="15"/>
  <c r="D307" i="15"/>
  <c r="D306" i="15"/>
  <c r="D305" i="15"/>
  <c r="D304" i="15"/>
  <c r="D303" i="15"/>
  <c r="D302" i="15"/>
  <c r="D301" i="15"/>
  <c r="D300" i="15"/>
  <c r="D299" i="15"/>
  <c r="D298" i="15"/>
  <c r="D297" i="15"/>
  <c r="D296" i="15"/>
  <c r="D295" i="15"/>
  <c r="D294" i="15"/>
  <c r="D293" i="15"/>
  <c r="D292" i="15"/>
  <c r="D291" i="15"/>
  <c r="D290" i="15"/>
  <c r="D289" i="15"/>
  <c r="D288" i="15"/>
  <c r="D287" i="15"/>
  <c r="D286" i="15"/>
  <c r="D285" i="15"/>
  <c r="D284" i="15"/>
  <c r="D283" i="15"/>
  <c r="D282" i="15"/>
  <c r="D281" i="15"/>
  <c r="D280" i="15"/>
  <c r="D279" i="15"/>
  <c r="D278" i="15"/>
  <c r="D277" i="15"/>
  <c r="D276" i="15"/>
  <c r="D275" i="15"/>
  <c r="D274" i="15"/>
  <c r="D273" i="15"/>
  <c r="D272" i="15"/>
  <c r="D271" i="15"/>
  <c r="D270" i="15"/>
  <c r="D269" i="15"/>
  <c r="D268" i="15"/>
  <c r="D267" i="15"/>
  <c r="D266" i="15"/>
  <c r="D265" i="15"/>
  <c r="D264" i="15"/>
  <c r="D263" i="15"/>
  <c r="D262" i="15"/>
  <c r="D261" i="15"/>
  <c r="D260" i="15"/>
  <c r="D259" i="15"/>
  <c r="D258" i="15"/>
  <c r="D257" i="15"/>
  <c r="D256" i="15"/>
  <c r="D255" i="15"/>
  <c r="D254" i="15"/>
  <c r="D253" i="15"/>
  <c r="D252" i="15"/>
  <c r="D251" i="15"/>
  <c r="D250" i="15"/>
  <c r="D249" i="15"/>
  <c r="D248" i="15"/>
  <c r="D247" i="15"/>
  <c r="D246" i="15"/>
  <c r="D245" i="15"/>
  <c r="D244" i="15"/>
  <c r="D243" i="15"/>
  <c r="D242" i="15"/>
  <c r="D241" i="15"/>
  <c r="D240" i="15"/>
  <c r="D239" i="15"/>
  <c r="D238" i="15"/>
  <c r="D237" i="15"/>
  <c r="D236" i="15"/>
  <c r="D235" i="15"/>
  <c r="D234" i="15"/>
  <c r="D233" i="15"/>
  <c r="D232" i="15"/>
  <c r="D231" i="15"/>
  <c r="D230" i="15"/>
  <c r="D229" i="15"/>
  <c r="D228" i="15"/>
  <c r="D227" i="15"/>
  <c r="D226" i="15"/>
  <c r="D225" i="15"/>
  <c r="D224" i="15"/>
  <c r="D223" i="15"/>
  <c r="D222" i="15"/>
  <c r="D221" i="15"/>
  <c r="D220" i="15"/>
  <c r="D219" i="15"/>
  <c r="D218" i="15"/>
  <c r="D217" i="15"/>
  <c r="D216" i="15"/>
  <c r="D215" i="15"/>
  <c r="D214" i="15"/>
  <c r="D213" i="15"/>
  <c r="D212" i="15"/>
  <c r="D211" i="15"/>
  <c r="D210" i="15"/>
  <c r="D209" i="15"/>
  <c r="D208" i="15"/>
  <c r="D207" i="15"/>
  <c r="D206" i="15"/>
  <c r="D205" i="15"/>
  <c r="D204" i="15"/>
  <c r="D203" i="15"/>
  <c r="D202" i="15"/>
  <c r="D201" i="15"/>
  <c r="D200" i="15"/>
  <c r="D199" i="15"/>
  <c r="D198" i="15"/>
  <c r="D197" i="15"/>
  <c r="D196" i="15"/>
  <c r="D195" i="15"/>
  <c r="D194" i="15"/>
  <c r="D193" i="15"/>
  <c r="D192" i="15"/>
  <c r="D191" i="15"/>
  <c r="D190" i="15"/>
  <c r="D189" i="15"/>
  <c r="D188" i="15"/>
  <c r="D187" i="15"/>
  <c r="D186" i="15"/>
  <c r="D185" i="15"/>
  <c r="D184" i="15"/>
  <c r="D183" i="15"/>
  <c r="D182" i="15"/>
  <c r="D181" i="15"/>
  <c r="D180" i="15"/>
  <c r="D179" i="15"/>
  <c r="D178" i="15"/>
  <c r="D177" i="15"/>
  <c r="D176" i="15"/>
  <c r="D175" i="15"/>
  <c r="D174" i="15"/>
  <c r="D173" i="15"/>
  <c r="D172" i="15"/>
  <c r="D171" i="15"/>
  <c r="D170" i="15"/>
  <c r="D169" i="15"/>
  <c r="D168" i="15"/>
  <c r="D167" i="15"/>
  <c r="D166" i="15"/>
  <c r="D165" i="15"/>
  <c r="D164" i="15"/>
  <c r="D163" i="15"/>
  <c r="D162" i="15"/>
  <c r="D161" i="15"/>
  <c r="D160" i="15"/>
  <c r="D159" i="15"/>
  <c r="D158" i="15"/>
  <c r="D157" i="15"/>
  <c r="D156" i="15"/>
  <c r="D155" i="15"/>
  <c r="D154" i="15"/>
  <c r="D153" i="15"/>
  <c r="D152" i="15"/>
  <c r="D151" i="15"/>
  <c r="D150" i="15"/>
  <c r="D149" i="15"/>
  <c r="D148" i="15"/>
  <c r="D147" i="15"/>
  <c r="D146" i="15"/>
  <c r="D145" i="15"/>
  <c r="D144" i="15"/>
  <c r="D143" i="15"/>
  <c r="D142" i="15"/>
  <c r="D141" i="15"/>
  <c r="D140" i="15"/>
  <c r="D139" i="15"/>
  <c r="D138" i="15"/>
  <c r="D137" i="15"/>
  <c r="D136" i="15"/>
  <c r="D135" i="15"/>
  <c r="D134" i="15"/>
  <c r="D133" i="15"/>
  <c r="D132" i="15"/>
  <c r="D131" i="15"/>
  <c r="D130" i="15"/>
  <c r="D129" i="15"/>
  <c r="D128" i="15"/>
  <c r="D127" i="15"/>
  <c r="D126" i="15"/>
  <c r="D125" i="15"/>
  <c r="D124" i="15"/>
  <c r="D123" i="15"/>
  <c r="D122" i="15"/>
  <c r="D121" i="15"/>
  <c r="D120" i="15"/>
  <c r="D119" i="15"/>
  <c r="D118" i="15"/>
  <c r="D117" i="15"/>
  <c r="D116" i="15"/>
  <c r="D115" i="15"/>
  <c r="D114" i="15"/>
  <c r="D113" i="15"/>
  <c r="D112" i="15"/>
  <c r="D111" i="15"/>
  <c r="D110" i="15"/>
  <c r="D109" i="15"/>
  <c r="D108" i="15"/>
  <c r="D107" i="15"/>
  <c r="D106" i="15"/>
  <c r="D105" i="15"/>
  <c r="D104" i="15"/>
  <c r="D103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2" i="15"/>
  <c r="F57" i="13"/>
  <c r="F56" i="13"/>
  <c r="F55" i="13"/>
  <c r="F54" i="13"/>
  <c r="F53" i="13"/>
  <c r="F52" i="13"/>
  <c r="F51" i="13"/>
  <c r="F50" i="13"/>
  <c r="F49" i="13"/>
  <c r="F48" i="13"/>
  <c r="F47" i="13"/>
  <c r="F46" i="13"/>
  <c r="F45" i="13"/>
  <c r="F44" i="13"/>
  <c r="F43" i="13"/>
  <c r="F42" i="13"/>
  <c r="F41" i="13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6" i="13"/>
  <c r="F5" i="13"/>
  <c r="F4" i="13"/>
  <c r="F3" i="13"/>
  <c r="H4" i="1"/>
  <c r="E4" i="1"/>
  <c r="D4" i="1"/>
  <c r="C4" i="1"/>
  <c r="M4" i="1" s="1"/>
  <c r="B4" i="1"/>
  <c r="J4" i="1" l="1"/>
  <c r="K4" i="1"/>
  <c r="L4" i="1"/>
  <c r="I4" i="1"/>
  <c r="O4" i="1" l="1"/>
  <c r="Q4" i="1" s="1"/>
  <c r="P4" i="1" l="1"/>
</calcChain>
</file>

<file path=xl/sharedStrings.xml><?xml version="1.0" encoding="utf-8"?>
<sst xmlns="http://schemas.openxmlformats.org/spreadsheetml/2006/main" count="1451" uniqueCount="180">
  <si>
    <t>Fonction</t>
  </si>
  <si>
    <t>Groupe</t>
  </si>
  <si>
    <t>Date</t>
  </si>
  <si>
    <t>C. Payés</t>
  </si>
  <si>
    <t>C. Alged</t>
  </si>
  <si>
    <t>C. Ansc.</t>
  </si>
  <si>
    <t>NEGRE Christine</t>
  </si>
  <si>
    <t>ES</t>
  </si>
  <si>
    <t>RDJ</t>
  </si>
  <si>
    <t>Sem. Cycle</t>
  </si>
  <si>
    <t>HOURIEZ Sophie</t>
  </si>
  <si>
    <t>LAMBERET Christine</t>
  </si>
  <si>
    <t>AMP</t>
  </si>
  <si>
    <t>ME</t>
  </si>
  <si>
    <t>H. planning</t>
  </si>
  <si>
    <t>H. Récup</t>
  </si>
  <si>
    <t>H. Comp.</t>
  </si>
  <si>
    <t>Sem. Calen.</t>
  </si>
  <si>
    <t>CLOZEL Yvette</t>
  </si>
  <si>
    <t>Nom Prénom</t>
  </si>
  <si>
    <t>H. Tra.</t>
  </si>
  <si>
    <t>H. Compta.</t>
  </si>
  <si>
    <t>H. Av. 235</t>
  </si>
  <si>
    <t>Étiquettes de lignes</t>
  </si>
  <si>
    <t>Total général</t>
  </si>
  <si>
    <t>ALEXANDRE Claudine</t>
  </si>
  <si>
    <t>CLEMENT Sylviane</t>
  </si>
  <si>
    <t>DELOBEL Cathy</t>
  </si>
  <si>
    <t>DELRIEUX Guy</t>
  </si>
  <si>
    <t>FAVERON Marie</t>
  </si>
  <si>
    <t>GONON Laetitia</t>
  </si>
  <si>
    <t>GRAEFF Bruno</t>
  </si>
  <si>
    <t>LEVEQUE Christine</t>
  </si>
  <si>
    <t>LUCANIA Séverine</t>
  </si>
  <si>
    <t>MONOD Sandrine</t>
  </si>
  <si>
    <t>MORAND Pierre</t>
  </si>
  <si>
    <t>MURE Françoise</t>
  </si>
  <si>
    <t>NOSSEN Jany</t>
  </si>
  <si>
    <t>PONCET Odile</t>
  </si>
  <si>
    <t>YVERNEL Florian</t>
  </si>
  <si>
    <t>NOM Prénom</t>
  </si>
  <si>
    <t>App1</t>
  </si>
  <si>
    <t>FH</t>
  </si>
  <si>
    <t>Glycines</t>
  </si>
  <si>
    <t>FB2</t>
  </si>
  <si>
    <t>FB3</t>
  </si>
  <si>
    <t>Jour</t>
  </si>
  <si>
    <t>Arrêt M.</t>
  </si>
  <si>
    <t>H. Supp</t>
  </si>
  <si>
    <t>lundi</t>
  </si>
  <si>
    <t>mardi</t>
  </si>
  <si>
    <t>mercredi</t>
  </si>
  <si>
    <t>jeudi</t>
  </si>
  <si>
    <t>vendredi</t>
  </si>
  <si>
    <t>samedi</t>
  </si>
  <si>
    <t>dimanche</t>
  </si>
  <si>
    <t>RTT O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</si>
  <si>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</si>
  <si>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</si>
  <si>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</si>
  <si>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</si>
  <si>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</si>
  <si>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</si>
  <si>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</si>
  <si>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</si>
  <si>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</si>
  <si>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</si>
  <si>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</si>
  <si>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</si>
  <si>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</si>
  <si>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Compensatoire</t>
  </si>
  <si>
    <t>a</t>
  </si>
  <si>
    <t>Jour de l'An</t>
  </si>
  <si>
    <t>Service</t>
  </si>
  <si>
    <t>Fhaut</t>
  </si>
  <si>
    <t>Passerelle</t>
  </si>
  <si>
    <t>CHARTIER Carole</t>
  </si>
  <si>
    <t>BAILLACHE-AHMED Vanessa</t>
  </si>
  <si>
    <t>DE CHABALIER Mathieu</t>
  </si>
  <si>
    <t>DELOY Lilian</t>
  </si>
  <si>
    <t>AUDY Catherine</t>
  </si>
  <si>
    <t>GB</t>
  </si>
  <si>
    <t>FDV</t>
  </si>
  <si>
    <t>BRATTI Dominique</t>
  </si>
  <si>
    <t>CAJ</t>
  </si>
  <si>
    <t>CABANTOUS Mathieu</t>
  </si>
  <si>
    <t>CACITTI Florence</t>
  </si>
  <si>
    <t>CARLOT Jocelyne</t>
  </si>
  <si>
    <t>SN</t>
  </si>
  <si>
    <t>CHABANAS Céline</t>
  </si>
  <si>
    <t>GA</t>
  </si>
  <si>
    <t>DEMOURS Anne-Marie</t>
  </si>
  <si>
    <t>IDE</t>
  </si>
  <si>
    <t>DJEBABLI Mona</t>
  </si>
  <si>
    <t>DODE Ophélie</t>
  </si>
  <si>
    <t>DUDA Sébastien</t>
  </si>
  <si>
    <t>GROLET Dominique</t>
  </si>
  <si>
    <t>GUEDG Christine</t>
  </si>
  <si>
    <t>LAFAURY Dominique</t>
  </si>
  <si>
    <t>LAZERT Céline</t>
  </si>
  <si>
    <t>MACIA Marie-Chantal</t>
  </si>
  <si>
    <t>NOUVEL Jacqueline</t>
  </si>
  <si>
    <t>PONCET Michael</t>
  </si>
  <si>
    <t>RIAS Violaine</t>
  </si>
  <si>
    <t>SABATIER Ghislaine</t>
  </si>
  <si>
    <t>SIMONIN Alexandre</t>
  </si>
  <si>
    <t>TETARD Aurélia</t>
  </si>
  <si>
    <t>THEVENET Brigitte</t>
  </si>
  <si>
    <t>THIBONNET Sophie</t>
  </si>
  <si>
    <t>ZELLER Catherine</t>
  </si>
  <si>
    <t>ZMIJEWSKI Janine</t>
  </si>
  <si>
    <t>ZONOU Jennifer</t>
  </si>
  <si>
    <t>H1</t>
  </si>
  <si>
    <t>H2</t>
  </si>
  <si>
    <t>H3</t>
  </si>
  <si>
    <t>H4</t>
  </si>
  <si>
    <t>Horaire réel</t>
  </si>
  <si>
    <t>Somme de H. planning</t>
  </si>
  <si>
    <t>Fhaut05</t>
  </si>
  <si>
    <t>MATIN</t>
  </si>
  <si>
    <t>Formation jours</t>
  </si>
  <si>
    <t>Formation Intitulé</t>
  </si>
  <si>
    <t>GPEC</t>
  </si>
  <si>
    <t>PSC1</t>
  </si>
  <si>
    <t>EXTINCTEUR</t>
  </si>
  <si>
    <t>PSI</t>
  </si>
  <si>
    <t>VASC</t>
  </si>
  <si>
    <t>PP</t>
  </si>
  <si>
    <t>FH1</t>
  </si>
  <si>
    <t>FH07</t>
  </si>
  <si>
    <t>Fériés Tra.</t>
  </si>
  <si>
    <t>APRÈS-MIDI ET SOIR</t>
  </si>
  <si>
    <t>FDV1</t>
  </si>
  <si>
    <t>Diman. Tra.</t>
  </si>
  <si>
    <t>CAJdg</t>
  </si>
  <si>
    <t>CAJcl</t>
  </si>
  <si>
    <t>CAJst</t>
  </si>
  <si>
    <t>CAJcz</t>
  </si>
  <si>
    <t>CAJjz</t>
  </si>
  <si>
    <t>CAJbt</t>
  </si>
  <si>
    <t>FDVgs</t>
  </si>
  <si>
    <t>CAJfc</t>
  </si>
  <si>
    <t>CAJmc</t>
  </si>
  <si>
    <t>LAGNEAU Christina</t>
  </si>
  <si>
    <t>CAJcla</t>
  </si>
  <si>
    <t>C.
Excep.</t>
  </si>
  <si>
    <t>PSC1 Recy.</t>
  </si>
  <si>
    <t>WINDOWS</t>
  </si>
  <si>
    <t>WORD INI</t>
  </si>
  <si>
    <t>WORD PERF</t>
  </si>
  <si>
    <t>WORD INT</t>
  </si>
  <si>
    <t>EXCEL INI</t>
  </si>
  <si>
    <t>EXCEL INT</t>
  </si>
  <si>
    <t>EXCEL PERF</t>
  </si>
  <si>
    <t>RTTs</t>
  </si>
  <si>
    <t>RTTe</t>
  </si>
  <si>
    <t>AMP FAMILLES</t>
  </si>
  <si>
    <t>DUPERRET Frédéric</t>
  </si>
  <si>
    <t>InfAMP</t>
  </si>
  <si>
    <t>BILAN COMP</t>
  </si>
  <si>
    <t>SYNDICALE</t>
  </si>
  <si>
    <t>CARRE Vanessa</t>
  </si>
  <si>
    <t>SPOTO Anne-Sarine</t>
  </si>
  <si>
    <t>Gas</t>
  </si>
  <si>
    <t>GAs</t>
  </si>
  <si>
    <t>Repos Comp.</t>
  </si>
  <si>
    <t>DP
ptt</t>
  </si>
  <si>
    <t>CE
ptt</t>
  </si>
  <si>
    <t>CE
htt</t>
  </si>
  <si>
    <t>DP
htt</t>
  </si>
  <si>
    <t>DS
ptt</t>
  </si>
  <si>
    <t>DS
htt</t>
  </si>
  <si>
    <t>DÉLÉGATIONS</t>
  </si>
  <si>
    <t>DP</t>
  </si>
  <si>
    <t>CE</t>
  </si>
  <si>
    <t>DS</t>
  </si>
  <si>
    <t>MARTIN Guillaume</t>
  </si>
  <si>
    <t>LACHISE Erika</t>
  </si>
  <si>
    <t>Heures de grève</t>
  </si>
  <si>
    <t>Récup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</si>
</sst>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ddd"/>
    <numFmt numFmtId="166" formatCode="dddd\ dd\ mmmm\ yyyy"/>
    <numFmt numFmtId="167" formatCode="[$-F800]dddd\,\ mmmm\ dd\,\ yyyy"/>
  </numFmts>
  <fonts count="26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sz val="10"/>
      <name val="Verdana"/>
      <family val="2"/>
    </font>
    <font>
      <sz val="12"/>
      <color indexed="8"/>
      <name val="Calibri"/>
      <family val="2"/>
    </font>
    <font>
      <sz val="12"/>
      <name val="Calibri"/>
      <family val="2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5" tint="-0.249977111117893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00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89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49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14" fontId="2" fillId="0" borderId="0" xfId="1" applyNumberFormat="1"/>
    <xf numFmtId="2" fontId="2" fillId="0" borderId="0" xfId="1" applyNumberFormat="1"/>
    <xf numFmtId="0" fontId="5" fillId="2" borderId="0" xfId="1" applyNumberFormat="1" applyFont="1" applyFill="1" applyBorder="1" applyAlignment="1">
      <alignment horizontal="center" wrapText="1"/>
    </xf>
    <xf numFmtId="0" fontId="3" fillId="3" borderId="0" xfId="1" applyFont="1" applyFill="1" applyBorder="1"/>
    <xf numFmtId="0" fontId="4" fillId="3" borderId="0" xfId="1" applyFont="1" applyFill="1" applyBorder="1"/>
    <xf numFmtId="166" fontId="3" fillId="3" borderId="0" xfId="1" applyNumberFormat="1" applyFont="1" applyFill="1" applyBorder="1" applyAlignment="1">
      <alignment horizontal="center"/>
    </xf>
    <xf numFmtId="167" fontId="3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6" fillId="0" borderId="0" xfId="2"/>
    <xf numFmtId="0" fontId="6" fillId="0" borderId="0" xfId="2" applyFill="1" applyBorder="1"/>
    <xf numFmtId="0" fontId="6" fillId="0" borderId="0" xfId="2" applyBorder="1"/>
    <xf numFmtId="0" fontId="6" fillId="4" borderId="1" xfId="2" applyNumberFormat="1" applyFont="1" applyFill="1" applyBorder="1" applyAlignment="1"/>
    <xf numFmtId="0" fontId="0" fillId="0" borderId="0" xfId="0" applyAlignment="1" applyProtection="1">
      <alignment horizontal="right"/>
    </xf>
    <xf numFmtId="0" fontId="0" fillId="0" borderId="0" xfId="0" applyProtection="1"/>
    <xf numFmtId="0" fontId="0" fillId="0" borderId="0" xfId="0" applyFont="1" applyProtection="1"/>
    <xf numFmtId="0" fontId="7" fillId="0" borderId="0" xfId="0" applyFont="1" applyAlignment="1">
      <alignment horizontal="center" vertical="center"/>
    </xf>
    <xf numFmtId="0" fontId="0" fillId="0" borderId="0" xfId="0" applyFill="1" applyProtection="1">
      <protection locked="0"/>
    </xf>
    <xf numFmtId="0" fontId="6" fillId="0" borderId="0" xfId="2" applyFont="1" applyFill="1" applyBorder="1"/>
    <xf numFmtId="0" fontId="3" fillId="5" borderId="0" xfId="1" applyFont="1" applyFill="1" applyBorder="1"/>
    <xf numFmtId="0" fontId="4" fillId="5" borderId="0" xfId="1" applyFont="1" applyFill="1" applyBorder="1"/>
    <xf numFmtId="166" fontId="3" fillId="5" borderId="0" xfId="1" applyNumberFormat="1" applyFont="1" applyFill="1" applyBorder="1" applyAlignment="1">
      <alignment horizontal="center"/>
    </xf>
    <xf numFmtId="167" fontId="3" fillId="5" borderId="0" xfId="1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6" borderId="0" xfId="0" applyFill="1"/>
    <xf numFmtId="164" fontId="0" fillId="6" borderId="0" xfId="0" applyNumberFormat="1" applyFill="1"/>
    <xf numFmtId="165" fontId="0" fillId="6" borderId="0" xfId="0" applyNumberFormat="1" applyFill="1"/>
    <xf numFmtId="49" fontId="1" fillId="7" borderId="0" xfId="0" applyNumberFormat="1" applyFont="1" applyFill="1" applyAlignment="1">
      <alignment horizontal="center" vertical="center" wrapText="1"/>
    </xf>
    <xf numFmtId="0" fontId="1" fillId="7" borderId="0" xfId="0" applyFont="1" applyFill="1" applyAlignment="1" applyProtection="1">
      <alignment horizontal="right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164" fontId="1" fillId="8" borderId="0" xfId="0" applyNumberFormat="1" applyFont="1" applyFill="1" applyAlignment="1">
      <alignment horizontal="center" vertical="center" wrapText="1"/>
    </xf>
    <xf numFmtId="165" fontId="1" fillId="8" borderId="0" xfId="0" applyNumberFormat="1" applyFont="1" applyFill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9" borderId="0" xfId="0" applyFont="1" applyFill="1" applyAlignment="1" applyProtection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0" fillId="0" borderId="0" xfId="0" applyFont="1"/>
    <xf numFmtId="0" fontId="14" fillId="11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6" fillId="0" borderId="0" xfId="2" applyFill="1"/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8" fillId="0" borderId="5" xfId="0" applyFont="1" applyFill="1" applyBorder="1"/>
    <xf numFmtId="0" fontId="8" fillId="0" borderId="6" xfId="0" applyFont="1" applyFill="1" applyBorder="1"/>
    <xf numFmtId="0" fontId="10" fillId="0" borderId="4" xfId="0" applyFont="1" applyFill="1" applyBorder="1"/>
    <xf numFmtId="0" fontId="0" fillId="0" borderId="0" xfId="0" applyNumberFormat="1" applyFill="1"/>
    <xf numFmtId="0" fontId="0" fillId="0" borderId="0" xfId="0" applyFill="1"/>
    <xf numFmtId="0" fontId="10" fillId="0" borderId="2" xfId="0" applyFont="1" applyFill="1" applyBorder="1"/>
    <xf numFmtId="0" fontId="8" fillId="0" borderId="5" xfId="0" applyNumberFormat="1" applyFont="1" applyFill="1" applyBorder="1"/>
    <xf numFmtId="0" fontId="15" fillId="0" borderId="0" xfId="0" applyFont="1" applyFill="1" applyBorder="1"/>
    <xf numFmtId="0" fontId="15" fillId="0" borderId="2" xfId="0" applyFont="1" applyFill="1" applyBorder="1"/>
    <xf numFmtId="0" fontId="10" fillId="0" borderId="3" xfId="0" applyFont="1" applyFill="1" applyBorder="1"/>
    <xf numFmtId="0" fontId="1" fillId="14" borderId="0" xfId="0" applyFont="1" applyFill="1" applyAlignment="1">
      <alignment horizontal="center" vertical="center" wrapText="1"/>
    </xf>
    <xf numFmtId="0" fontId="15" fillId="0" borderId="0" xfId="0" applyNumberFormat="1" applyFont="1"/>
    <xf numFmtId="0" fontId="0" fillId="13" borderId="0" xfId="0" applyFill="1" applyProtection="1"/>
    <xf numFmtId="0" fontId="0" fillId="15" borderId="0" xfId="0" applyFill="1" applyProtection="1"/>
    <xf numFmtId="0" fontId="18" fillId="9" borderId="0" xfId="0" applyFont="1" applyFill="1" applyAlignment="1" applyProtection="1">
      <alignment horizontal="center" vertical="center" wrapText="1"/>
    </xf>
    <xf numFmtId="0" fontId="19" fillId="17" borderId="0" xfId="0" applyFont="1" applyFill="1" applyProtection="1"/>
    <xf numFmtId="0" fontId="0" fillId="18" borderId="0" xfId="0" applyFill="1" applyProtection="1"/>
    <xf numFmtId="0" fontId="0" fillId="19" borderId="0" xfId="0" applyFill="1" applyProtection="1"/>
    <xf numFmtId="0" fontId="21" fillId="16" borderId="0" xfId="0" applyFont="1" applyFill="1" applyProtection="1"/>
    <xf numFmtId="0" fontId="22" fillId="9" borderId="0" xfId="0" applyFont="1" applyFill="1" applyAlignment="1" applyProtection="1">
      <alignment horizontal="center" vertical="center" wrapText="1"/>
    </xf>
    <xf numFmtId="0" fontId="23" fillId="20" borderId="0" xfId="0" applyFont="1" applyFill="1" applyAlignment="1" applyProtection="1">
      <alignment horizontal="center" vertical="center" wrapText="1"/>
    </xf>
    <xf numFmtId="0" fontId="1" fillId="23" borderId="0" xfId="0" applyFont="1" applyFill="1" applyAlignment="1">
      <alignment horizontal="center" vertical="center" wrapText="1"/>
    </xf>
    <xf numFmtId="0" fontId="0" fillId="6" borderId="0" xfId="0" applyFill="1" applyProtection="1"/>
    <xf numFmtId="0" fontId="1" fillId="21" borderId="0" xfId="0" applyFont="1" applyFill="1" applyAlignment="1">
      <alignment horizontal="center" vertical="center" wrapText="1"/>
    </xf>
    <xf numFmtId="0" fontId="25" fillId="24" borderId="0" xfId="0" applyFont="1" applyFill="1" applyAlignment="1" applyProtection="1">
      <alignment horizontal="center" vertical="center" wrapText="1"/>
    </xf>
    <xf numFmtId="0" fontId="16" fillId="13" borderId="0" xfId="0" applyFont="1" applyFill="1" applyAlignment="1">
      <alignment horizontal="center" vertical="center" wrapText="1"/>
    </xf>
    <xf numFmtId="0" fontId="20" fillId="13" borderId="7" xfId="0" applyFont="1" applyFill="1" applyBorder="1" applyAlignment="1">
      <alignment horizontal="center" vertical="center"/>
    </xf>
    <xf numFmtId="0" fontId="20" fillId="15" borderId="7" xfId="0" applyFont="1" applyFill="1" applyBorder="1" applyAlignment="1">
      <alignment horizontal="center" vertical="center" wrapText="1"/>
    </xf>
    <xf numFmtId="0" fontId="17" fillId="16" borderId="0" xfId="0" applyFont="1" applyFill="1" applyAlignment="1">
      <alignment horizontal="center" vertical="center"/>
    </xf>
    <xf numFmtId="0" fontId="24" fillId="22" borderId="0" xfId="0" applyFont="1" applyFill="1" applyAlignment="1">
      <alignment horizontal="center" vertical="center"/>
    </xf>
    <xf numFmtId="0" fontId="24" fillId="21" borderId="0" xfId="0" applyFont="1" applyFill="1" applyAlignment="1">
      <alignment horizontal="center" vertical="center"/>
    </xf>
  </cellXfs>
  <cellStyles count="3">
    <cellStyle name="Normal" xfId="0" builtinId="0"/>
    <cellStyle name="Normal 2" xfId="2"/>
    <cellStyle name="Normal_feries" xfId="1"/>
  </cellStyles>
  <dxfs count="64">
    <dxf>
      <fill>
        <patternFill>
          <bgColor indexed="49"/>
        </patternFill>
      </fill>
    </dxf>
    <dxf>
      <fill>
        <patternFill>
          <bgColor indexed="11"/>
        </patternFill>
      </fill>
    </dxf>
    <dxf>
      <fill>
        <patternFill>
          <bgColor indexed="44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9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numFmt numFmtId="0" formatCode="General"/>
      <protection locked="1" hidden="0"/>
    </dxf>
    <dxf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font>
        <b val="0"/>
      </font>
      <numFmt numFmtId="0" formatCode="General"/>
    </dxf>
    <dxf>
      <font>
        <b val="0"/>
      </font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0" formatCode="General"/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protection locked="1" hidden="0"/>
    </dxf>
    <dxf>
      <numFmt numFmtId="0" formatCode="General"/>
    </dxf>
    <dxf>
      <numFmt numFmtId="164" formatCode="dd/mm/yy;@"/>
      <protection locked="0" hidden="0"/>
    </dxf>
    <dxf>
      <protection locked="0" hidden="0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protection locked="0" hidden="0"/>
    </dxf>
    <dxf>
      <numFmt numFmtId="0" formatCode="General"/>
      <alignment horizontal="right" textRotation="0" wrapText="0" indent="0" justifyLastLine="0" shrinkToFit="0" readingOrder="0"/>
      <protection locked="1" hidden="0"/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1" relativeIndent="0" justifyLastLine="0" shrinkToFit="0" readingOrder="0"/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FF00"/>
      <color rgb="FFFF00FF"/>
      <color rgb="FFFF6161"/>
      <color rgb="FFFF2121"/>
      <color rgb="FFFFFF66"/>
      <color rgb="FF3B1C03"/>
      <color rgb="FF743806"/>
      <color rgb="FF753805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121919</xdr:colOff>
      <xdr:row>0</xdr:row>
      <xdr:rowOff>28379</xdr:rowOff>
    </xdr:from>
    <xdr:to>
      <xdr:col>0</xdr:col>
      <xdr:colOff>1248103</xdr:colOff>
      <xdr:row>0</xdr:row>
      <xdr:rowOff>698939</xdr:rowOff>
    </xdr:to>
    <xdr:sp macro="[0]!Supp_colonnes" textlink="">
      <xdr:nvSpPr>
        <xdr:cNvPr id="2" name="Rectangle 1"/>
        <xdr:cNvSpPr/>
      </xdr:nvSpPr>
      <xdr:spPr>
        <a:xfrm>
          <a:off x="121919" y="28379"/>
          <a:ext cx="1126184" cy="670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Supp. colonnes</a:t>
          </a:r>
        </a:p>
      </xdr:txBody>
    </xdr:sp>
    <xdr:clientData/>
  </xdr:twoCellAnchor>
  <xdr:twoCellAnchor>
    <xdr:from>
      <xdr:col>0</xdr:col>
      <xdr:colOff>128451</xdr:colOff>
      <xdr:row>1</xdr:row>
      <xdr:rowOff>43543</xdr:rowOff>
    </xdr:from>
    <xdr:to>
      <xdr:col>0</xdr:col>
      <xdr:colOff>1238250</xdr:colOff>
      <xdr:row>1</xdr:row>
      <xdr:rowOff>708212</xdr:rowOff>
    </xdr:to>
    <xdr:sp macro="[0]!Aff_colone" textlink="">
      <xdr:nvSpPr>
        <xdr:cNvPr id="12" name="Rectangle 11"/>
        <xdr:cNvSpPr/>
      </xdr:nvSpPr>
      <xdr:spPr>
        <a:xfrm>
          <a:off x="128451" y="751114"/>
          <a:ext cx="1109799" cy="664669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 smtClean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uLnTx/>
              <a:uFillTx/>
              <a:latin typeface="Calibri"/>
              <a:ea typeface="+mn-ea"/>
              <a:cs typeface="+mn-cs"/>
            </a:rPr>
            <a:t>Aff. colonnes</a:t>
          </a:r>
        </a:p>
      </xdr:txBody>
    </xdr:sp>
    <xdr:clientData/>
  </xdr:twoCellAnchor>
  <xdr:twoCellAnchor>
    <xdr:from>
      <xdr:col>1</xdr:col>
      <xdr:colOff>0</xdr:colOff>
      <xdr:row>0</xdr:row>
      <xdr:rowOff>31065</xdr:rowOff>
    </xdr:from>
    <xdr:to>
      <xdr:col>6</xdr:col>
      <xdr:colOff>33618</xdr:colOff>
      <xdr:row>1</xdr:row>
      <xdr:rowOff>712384</xdr:rowOff>
    </xdr:to>
    <xdr:sp macro="[0]!Inser_7lignes" textlink="">
      <xdr:nvSpPr>
        <xdr:cNvPr id="4" name="Rectangle 3"/>
        <xdr:cNvSpPr/>
      </xdr:nvSpPr>
      <xdr:spPr>
        <a:xfrm>
          <a:off x="1210235" y="31065"/>
          <a:ext cx="1187824" cy="138729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Insertion</a:t>
          </a:r>
          <a:r>
            <a:rPr lang="fr-FR" sz="16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d'une semaine vierge</a:t>
          </a:r>
          <a:endParaRPr lang="fr-FR" sz="16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472440</xdr:colOff>
      <xdr:row>6</xdr:row>
      <xdr:rowOff>190500</xdr:rowOff>
    </xdr:to>
    <xdr:sp macro="" textlink="">
      <xdr:nvSpPr>
        <xdr:cNvPr id="2" name="Zone de texte 1"/>
        <xdr:cNvSpPr txBox="1">
          <a:spLocks noChangeArrowheads="1"/>
        </xdr:cNvSpPr>
      </xdr:nvSpPr>
      <xdr:spPr bwMode="auto">
        <a:xfrm>
          <a:off x="5021580" y="609600"/>
          <a:ext cx="449580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</xdr:col>
      <xdr:colOff>1440180</xdr:colOff>
      <xdr:row>1</xdr:row>
      <xdr:rowOff>38100</xdr:rowOff>
    </xdr:from>
    <xdr:to>
      <xdr:col>3</xdr:col>
      <xdr:colOff>868680</xdr:colOff>
      <xdr:row>2</xdr:row>
      <xdr:rowOff>76200</xdr:rowOff>
    </xdr:to>
    <xdr:sp macro="" textlink="">
      <xdr:nvSpPr>
        <xdr:cNvPr id="3" name="Forme automatique 3"/>
        <xdr:cNvSpPr>
          <a:spLocks noChangeArrowheads="1"/>
        </xdr:cNvSpPr>
      </xdr:nvSpPr>
      <xdr:spPr bwMode="auto">
        <a:xfrm>
          <a:off x="1615440" y="236220"/>
          <a:ext cx="1615440" cy="236220"/>
        </a:xfrm>
        <a:prstGeom prst="wedgeRoundRectCallout">
          <a:avLst>
            <a:gd name="adj1" fmla="val -63634"/>
            <a:gd name="adj2" fmla="val -7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Cellule nommée An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Copie%20de%20base%20de%20donn&#233;e%20Foru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ezdejardin/Local%20Settings/Temporary%20Internet%20Files/Content.Outlook/CHLP33K7/Exemple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Documents%20and%20Settings\Rezdejardin\Local%20Settings\Temporary%20Internet%20Files\Content.Outlook\CHLP33K7\Exemple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Congés RDJ"/>
      <sheetName val="Personnels"/>
      <sheetName val="Cycles"/>
      <sheetName val="Fériés"/>
    </sheetNames>
    <sheetDataSet>
      <sheetData sheetId="0"/>
      <sheetData sheetId="1" refreshError="1"/>
      <sheetData sheetId="2" refreshError="1"/>
      <sheetData sheetId="3">
        <row r="1">
          <cell r="A1" t="str">
            <v>Groupe</v>
          </cell>
        </row>
        <row r="2">
          <cell r="A2" t="str">
            <v>RDJ</v>
          </cell>
        </row>
        <row r="3">
          <cell r="A3" t="str">
            <v>RDJ</v>
          </cell>
        </row>
        <row r="4">
          <cell r="A4" t="str">
            <v>RDJ</v>
          </cell>
        </row>
        <row r="5">
          <cell r="A5" t="str">
            <v>RDJ</v>
          </cell>
        </row>
        <row r="6">
          <cell r="A6" t="str">
            <v>RDJ</v>
          </cell>
        </row>
        <row r="7">
          <cell r="A7" t="str">
            <v>RDJ</v>
          </cell>
        </row>
        <row r="8">
          <cell r="A8" t="str">
            <v>RDJ</v>
          </cell>
        </row>
        <row r="9">
          <cell r="A9" t="str">
            <v>RDJ</v>
          </cell>
        </row>
        <row r="10">
          <cell r="A10" t="str">
            <v>RDJ</v>
          </cell>
        </row>
        <row r="11">
          <cell r="A11" t="str">
            <v>RDJ</v>
          </cell>
        </row>
        <row r="12">
          <cell r="A12" t="str">
            <v>RDJ</v>
          </cell>
        </row>
        <row r="13">
          <cell r="A13" t="str">
            <v>RDJ</v>
          </cell>
        </row>
        <row r="14">
          <cell r="A14" t="str">
            <v>RDJ</v>
          </cell>
        </row>
        <row r="15">
          <cell r="A15" t="str">
            <v>RDJ</v>
          </cell>
        </row>
        <row r="16">
          <cell r="A16" t="str">
            <v>RDJ</v>
          </cell>
        </row>
        <row r="17">
          <cell r="A17" t="str">
            <v>RDJ</v>
          </cell>
        </row>
        <row r="18">
          <cell r="A18" t="str">
            <v>RDJ</v>
          </cell>
        </row>
        <row r="19">
          <cell r="A19" t="str">
            <v>RDJ</v>
          </cell>
        </row>
        <row r="20">
          <cell r="A20" t="str">
            <v>RDJ</v>
          </cell>
        </row>
        <row r="21">
          <cell r="A21" t="str">
            <v>RDJ</v>
          </cell>
        </row>
        <row r="22">
          <cell r="A22" t="str">
            <v>RDJ</v>
          </cell>
        </row>
        <row r="23">
          <cell r="A23" t="str">
            <v>RDJ</v>
          </cell>
        </row>
        <row r="24">
          <cell r="A24" t="str">
            <v>RDJ</v>
          </cell>
        </row>
        <row r="25">
          <cell r="A25" t="str">
            <v>RDJ</v>
          </cell>
        </row>
        <row r="26">
          <cell r="A26" t="str">
            <v>RDJ</v>
          </cell>
        </row>
        <row r="27">
          <cell r="A27" t="str">
            <v>RDJ</v>
          </cell>
        </row>
        <row r="28">
          <cell r="A28" t="str">
            <v>RDJ</v>
          </cell>
        </row>
        <row r="29">
          <cell r="A29" t="str">
            <v>RDJ</v>
          </cell>
        </row>
        <row r="30">
          <cell r="A30" t="str">
            <v>RDJ</v>
          </cell>
        </row>
        <row r="31">
          <cell r="A31" t="str">
            <v>RDJ</v>
          </cell>
        </row>
        <row r="32">
          <cell r="A32" t="str">
            <v>RDJ</v>
          </cell>
        </row>
        <row r="33">
          <cell r="A33" t="str">
            <v>RDJ</v>
          </cell>
        </row>
        <row r="34">
          <cell r="A34" t="str">
            <v>RDJ</v>
          </cell>
        </row>
        <row r="35">
          <cell r="A35" t="str">
            <v>RDJ</v>
          </cell>
        </row>
        <row r="36">
          <cell r="A36" t="str">
            <v>RDJ</v>
          </cell>
        </row>
        <row r="37">
          <cell r="A37" t="str">
            <v>Glycines</v>
          </cell>
        </row>
        <row r="38">
          <cell r="A38" t="str">
            <v>Glycines</v>
          </cell>
        </row>
        <row r="39">
          <cell r="A39" t="str">
            <v>Glycines</v>
          </cell>
        </row>
        <row r="40">
          <cell r="A40" t="str">
            <v>Glycines</v>
          </cell>
        </row>
        <row r="41">
          <cell r="A41" t="str">
            <v>Glycines</v>
          </cell>
        </row>
        <row r="42">
          <cell r="A42" t="str">
            <v>Glycines</v>
          </cell>
        </row>
        <row r="43">
          <cell r="A43" t="str">
            <v>Glycines</v>
          </cell>
        </row>
        <row r="44">
          <cell r="A44" t="str">
            <v>Glycines</v>
          </cell>
        </row>
        <row r="45">
          <cell r="A45" t="str">
            <v>Glycines</v>
          </cell>
        </row>
        <row r="46">
          <cell r="A46" t="str">
            <v>Glycines</v>
          </cell>
        </row>
        <row r="47">
          <cell r="A47" t="str">
            <v>Glycines</v>
          </cell>
        </row>
        <row r="48">
          <cell r="A48" t="str">
            <v>Glycines</v>
          </cell>
        </row>
        <row r="49">
          <cell r="A49" t="str">
            <v>Glycines</v>
          </cell>
        </row>
        <row r="50">
          <cell r="A50" t="str">
            <v>Glycines</v>
          </cell>
        </row>
        <row r="51">
          <cell r="A51" t="str">
            <v>Glycines</v>
          </cell>
        </row>
        <row r="52">
          <cell r="A52" t="str">
            <v>Glycines</v>
          </cell>
        </row>
        <row r="53">
          <cell r="A53" t="str">
            <v>Glycines</v>
          </cell>
        </row>
        <row r="54">
          <cell r="A54" t="str">
            <v>Glycines</v>
          </cell>
        </row>
        <row r="55">
          <cell r="A55" t="str">
            <v>Glycines</v>
          </cell>
        </row>
        <row r="56">
          <cell r="A56" t="str">
            <v>Glycines</v>
          </cell>
        </row>
        <row r="57">
          <cell r="A57" t="str">
            <v>Glycines</v>
          </cell>
        </row>
        <row r="58">
          <cell r="A58" t="str">
            <v>Glycines</v>
          </cell>
        </row>
        <row r="59">
          <cell r="A59" t="str">
            <v>Glycines</v>
          </cell>
        </row>
        <row r="60">
          <cell r="A60" t="str">
            <v>Glycines</v>
          </cell>
        </row>
        <row r="61">
          <cell r="A61" t="str">
            <v>Glycines</v>
          </cell>
        </row>
        <row r="62">
          <cell r="A62" t="str">
            <v>Glycines</v>
          </cell>
        </row>
        <row r="63">
          <cell r="A63" t="str">
            <v>Glycines</v>
          </cell>
        </row>
        <row r="64">
          <cell r="A64" t="str">
            <v>Glycines</v>
          </cell>
        </row>
        <row r="65">
          <cell r="A65" t="str">
            <v>Glycines</v>
          </cell>
        </row>
        <row r="66">
          <cell r="A66" t="str">
            <v>Glycines</v>
          </cell>
        </row>
        <row r="67">
          <cell r="A67" t="str">
            <v>Glycines</v>
          </cell>
        </row>
        <row r="68">
          <cell r="A68" t="str">
            <v>Glycines</v>
          </cell>
        </row>
        <row r="69">
          <cell r="A69" t="str">
            <v>Glycines</v>
          </cell>
        </row>
        <row r="70">
          <cell r="A70" t="str">
            <v>Glycines</v>
          </cell>
        </row>
        <row r="71">
          <cell r="A71" t="str">
            <v>Glycines</v>
          </cell>
        </row>
        <row r="72">
          <cell r="A72" t="str">
            <v>Glycines</v>
          </cell>
        </row>
        <row r="73">
          <cell r="A73" t="str">
            <v>Glycines</v>
          </cell>
        </row>
        <row r="74">
          <cell r="A74" t="str">
            <v>Glycines</v>
          </cell>
        </row>
        <row r="75">
          <cell r="A75" t="str">
            <v>Glycines</v>
          </cell>
        </row>
        <row r="76">
          <cell r="A76" t="str">
            <v>Glycines</v>
          </cell>
        </row>
        <row r="77">
          <cell r="A77" t="str">
            <v>Glycines</v>
          </cell>
        </row>
        <row r="78">
          <cell r="A78" t="str">
            <v>Glycines</v>
          </cell>
        </row>
        <row r="79">
          <cell r="A79" t="str">
            <v>Glycines</v>
          </cell>
        </row>
        <row r="80">
          <cell r="A80" t="str">
            <v>Glycines</v>
          </cell>
        </row>
        <row r="81">
          <cell r="A81" t="str">
            <v>Glycines</v>
          </cell>
        </row>
        <row r="82">
          <cell r="A82" t="str">
            <v>Glycines</v>
          </cell>
        </row>
        <row r="83">
          <cell r="A83" t="str">
            <v>Glycines</v>
          </cell>
        </row>
        <row r="84">
          <cell r="A84" t="str">
            <v>Glycines</v>
          </cell>
        </row>
        <row r="85">
          <cell r="A85" t="str">
            <v>Glycines</v>
          </cell>
        </row>
        <row r="86">
          <cell r="A86" t="str">
            <v>Glycines</v>
          </cell>
        </row>
        <row r="87">
          <cell r="A87" t="str">
            <v>Glycines</v>
          </cell>
        </row>
        <row r="88">
          <cell r="A88" t="str">
            <v>Glycines</v>
          </cell>
        </row>
        <row r="89">
          <cell r="A89" t="str">
            <v>Glycines</v>
          </cell>
        </row>
        <row r="90">
          <cell r="A90" t="str">
            <v>Glycines</v>
          </cell>
        </row>
        <row r="91">
          <cell r="A91" t="str">
            <v>Glycines</v>
          </cell>
        </row>
        <row r="92">
          <cell r="A92" t="str">
            <v>Glycines</v>
          </cell>
        </row>
        <row r="93">
          <cell r="A93" t="str">
            <v>Glycines</v>
          </cell>
        </row>
        <row r="94">
          <cell r="A94" t="str">
            <v>Glycines</v>
          </cell>
        </row>
        <row r="95">
          <cell r="A95" t="str">
            <v>Glycines</v>
          </cell>
        </row>
        <row r="96">
          <cell r="A96" t="str">
            <v>Glycines</v>
          </cell>
        </row>
        <row r="97">
          <cell r="A97" t="str">
            <v>Glycines</v>
          </cell>
        </row>
        <row r="98">
          <cell r="A98" t="str">
            <v>Glycines</v>
          </cell>
        </row>
        <row r="99">
          <cell r="A99" t="str">
            <v>Glycines</v>
          </cell>
        </row>
        <row r="100">
          <cell r="A100" t="str">
            <v>Glycines</v>
          </cell>
        </row>
        <row r="101">
          <cell r="A101" t="str">
            <v>Glycines</v>
          </cell>
        </row>
        <row r="102">
          <cell r="A102" t="str">
            <v>Glycines</v>
          </cell>
        </row>
        <row r="103">
          <cell r="A103" t="str">
            <v>Glycines</v>
          </cell>
        </row>
        <row r="104">
          <cell r="A104" t="str">
            <v>Glycines</v>
          </cell>
        </row>
        <row r="105">
          <cell r="A105" t="str">
            <v>Glycines</v>
          </cell>
        </row>
        <row r="106">
          <cell r="A106" t="str">
            <v>Glycines</v>
          </cell>
        </row>
        <row r="107">
          <cell r="A107" t="str">
            <v>Glycines</v>
          </cell>
        </row>
        <row r="108">
          <cell r="A108" t="str">
            <v>Glycines</v>
          </cell>
        </row>
        <row r="109">
          <cell r="A109" t="str">
            <v>Glycines</v>
          </cell>
        </row>
        <row r="110">
          <cell r="A110" t="str">
            <v>Glycines</v>
          </cell>
        </row>
        <row r="111">
          <cell r="A111" t="str">
            <v>Glycines</v>
          </cell>
        </row>
        <row r="112">
          <cell r="A112" t="str">
            <v>Glycines</v>
          </cell>
        </row>
        <row r="113">
          <cell r="A113" t="str">
            <v>Glycines</v>
          </cell>
        </row>
        <row r="114">
          <cell r="A114" t="str">
            <v>FH</v>
          </cell>
        </row>
        <row r="115">
          <cell r="A115" t="str">
            <v>FH</v>
          </cell>
        </row>
        <row r="116">
          <cell r="A116" t="str">
            <v>FH</v>
          </cell>
        </row>
        <row r="117">
          <cell r="A117" t="str">
            <v>FH</v>
          </cell>
        </row>
        <row r="118">
          <cell r="A118" t="str">
            <v>FH</v>
          </cell>
        </row>
        <row r="119">
          <cell r="A119" t="str">
            <v>FH</v>
          </cell>
        </row>
        <row r="120">
          <cell r="A120" t="str">
            <v>FH</v>
          </cell>
        </row>
        <row r="121">
          <cell r="A121" t="str">
            <v>FH</v>
          </cell>
        </row>
        <row r="122">
          <cell r="A122" t="str">
            <v>FH</v>
          </cell>
        </row>
        <row r="123">
          <cell r="A123" t="str">
            <v>FH</v>
          </cell>
        </row>
        <row r="124">
          <cell r="A124" t="str">
            <v>FH</v>
          </cell>
        </row>
        <row r="125">
          <cell r="A125" t="str">
            <v>FH</v>
          </cell>
        </row>
        <row r="126">
          <cell r="A126" t="str">
            <v>FH</v>
          </cell>
        </row>
        <row r="127">
          <cell r="A127" t="str">
            <v>FH</v>
          </cell>
        </row>
        <row r="128">
          <cell r="A128" t="str">
            <v>FH</v>
          </cell>
        </row>
        <row r="129">
          <cell r="A129" t="str">
            <v>FH</v>
          </cell>
        </row>
        <row r="130">
          <cell r="A130" t="str">
            <v>FH</v>
          </cell>
        </row>
        <row r="131">
          <cell r="A131" t="str">
            <v>FH</v>
          </cell>
        </row>
        <row r="132">
          <cell r="A132" t="str">
            <v>FH</v>
          </cell>
        </row>
        <row r="133">
          <cell r="A133" t="str">
            <v>FH</v>
          </cell>
        </row>
        <row r="134">
          <cell r="A134" t="str">
            <v>FH</v>
          </cell>
        </row>
        <row r="135">
          <cell r="A135" t="str">
            <v>FH</v>
          </cell>
        </row>
        <row r="136">
          <cell r="A136" t="str">
            <v>FH</v>
          </cell>
        </row>
        <row r="137">
          <cell r="A137" t="str">
            <v>FH</v>
          </cell>
        </row>
        <row r="138">
          <cell r="A138" t="str">
            <v>FH</v>
          </cell>
        </row>
        <row r="139">
          <cell r="A139" t="str">
            <v>FH</v>
          </cell>
        </row>
        <row r="140">
          <cell r="A140" t="str">
            <v>FH</v>
          </cell>
        </row>
        <row r="141">
          <cell r="A141" t="str">
            <v>FH</v>
          </cell>
        </row>
        <row r="142">
          <cell r="A142" t="str">
            <v>FH</v>
          </cell>
        </row>
        <row r="143">
          <cell r="A143" t="str">
            <v>FH</v>
          </cell>
        </row>
        <row r="144">
          <cell r="A144" t="str">
            <v>FH</v>
          </cell>
        </row>
        <row r="145">
          <cell r="A145" t="str">
            <v>FH</v>
          </cell>
        </row>
        <row r="146">
          <cell r="A146" t="str">
            <v>FH</v>
          </cell>
        </row>
        <row r="147">
          <cell r="A147" t="str">
            <v>FH</v>
          </cell>
        </row>
        <row r="148">
          <cell r="A148" t="str">
            <v>FH</v>
          </cell>
        </row>
        <row r="149">
          <cell r="A149" t="str">
            <v>FH</v>
          </cell>
        </row>
        <row r="150">
          <cell r="A150" t="str">
            <v>FH</v>
          </cell>
        </row>
        <row r="151">
          <cell r="A151" t="str">
            <v>FH</v>
          </cell>
        </row>
        <row r="152">
          <cell r="A152" t="str">
            <v>FH</v>
          </cell>
        </row>
        <row r="153">
          <cell r="A153" t="str">
            <v>FH</v>
          </cell>
        </row>
        <row r="154">
          <cell r="A154" t="str">
            <v>FH</v>
          </cell>
        </row>
        <row r="155">
          <cell r="A155" t="str">
            <v>FH</v>
          </cell>
        </row>
        <row r="156">
          <cell r="A156" t="str">
            <v>FB3</v>
          </cell>
        </row>
        <row r="157">
          <cell r="A157" t="str">
            <v>FB3</v>
          </cell>
        </row>
        <row r="158">
          <cell r="A158" t="str">
            <v>FB3</v>
          </cell>
        </row>
        <row r="159">
          <cell r="A159" t="str">
            <v>FB3</v>
          </cell>
        </row>
        <row r="160">
          <cell r="A160" t="str">
            <v>FB3</v>
          </cell>
        </row>
        <row r="161">
          <cell r="A161" t="str">
            <v>FB3</v>
          </cell>
        </row>
        <row r="162">
          <cell r="A162" t="str">
            <v>FB3</v>
          </cell>
        </row>
        <row r="163">
          <cell r="A163" t="str">
            <v>FB3</v>
          </cell>
        </row>
        <row r="164">
          <cell r="A164" t="str">
            <v>FB3</v>
          </cell>
        </row>
        <row r="165">
          <cell r="A165" t="str">
            <v>FB3</v>
          </cell>
        </row>
        <row r="166">
          <cell r="A166" t="str">
            <v>FB3</v>
          </cell>
        </row>
        <row r="167">
          <cell r="A167" t="str">
            <v>FB3</v>
          </cell>
        </row>
        <row r="168">
          <cell r="A168" t="str">
            <v>FB3</v>
          </cell>
        </row>
        <row r="169">
          <cell r="A169" t="str">
            <v>FB3</v>
          </cell>
        </row>
        <row r="170">
          <cell r="A170" t="str">
            <v>FB3</v>
          </cell>
        </row>
        <row r="171">
          <cell r="A171" t="str">
            <v>FB3</v>
          </cell>
        </row>
        <row r="172">
          <cell r="A172" t="str">
            <v>FB3</v>
          </cell>
        </row>
        <row r="173">
          <cell r="A173" t="str">
            <v>FB3</v>
          </cell>
        </row>
        <row r="174">
          <cell r="A174" t="str">
            <v>FB3</v>
          </cell>
        </row>
        <row r="175">
          <cell r="A175" t="str">
            <v>FB3</v>
          </cell>
        </row>
        <row r="176">
          <cell r="A176" t="str">
            <v>FB3</v>
          </cell>
        </row>
        <row r="177">
          <cell r="A177" t="str">
            <v>FB3</v>
          </cell>
        </row>
        <row r="178">
          <cell r="A178" t="str">
            <v>FB3</v>
          </cell>
        </row>
        <row r="179">
          <cell r="A179" t="str">
            <v>FB3</v>
          </cell>
        </row>
        <row r="180">
          <cell r="A180" t="str">
            <v>FB3</v>
          </cell>
        </row>
        <row r="181">
          <cell r="A181" t="str">
            <v>FB3</v>
          </cell>
        </row>
        <row r="182">
          <cell r="A182" t="str">
            <v>FB3</v>
          </cell>
        </row>
        <row r="183">
          <cell r="A183" t="str">
            <v>FB3</v>
          </cell>
        </row>
        <row r="184">
          <cell r="A184" t="str">
            <v>FB3</v>
          </cell>
        </row>
        <row r="185">
          <cell r="A185" t="str">
            <v>FB3</v>
          </cell>
        </row>
        <row r="186">
          <cell r="A186" t="str">
            <v>FB3</v>
          </cell>
        </row>
        <row r="187">
          <cell r="A187" t="str">
            <v>FB3</v>
          </cell>
        </row>
        <row r="188">
          <cell r="A188" t="str">
            <v>FB3</v>
          </cell>
        </row>
        <row r="189">
          <cell r="A189" t="str">
            <v>FB3</v>
          </cell>
        </row>
        <row r="190">
          <cell r="A190" t="str">
            <v>FB3</v>
          </cell>
        </row>
        <row r="191">
          <cell r="A191" t="str">
            <v>FB3</v>
          </cell>
        </row>
        <row r="192">
          <cell r="A192" t="str">
            <v>FB3</v>
          </cell>
        </row>
        <row r="193">
          <cell r="A193" t="str">
            <v>FB3</v>
          </cell>
        </row>
        <row r="194">
          <cell r="A194" t="str">
            <v>FB3</v>
          </cell>
        </row>
        <row r="195">
          <cell r="A195" t="str">
            <v>FB3</v>
          </cell>
        </row>
        <row r="196">
          <cell r="A196" t="str">
            <v>FB3</v>
          </cell>
        </row>
        <row r="197">
          <cell r="A197" t="str">
            <v>FB3</v>
          </cell>
        </row>
        <row r="198">
          <cell r="A198" t="str">
            <v>FB3</v>
          </cell>
        </row>
        <row r="199">
          <cell r="A199" t="str">
            <v>FB3</v>
          </cell>
        </row>
        <row r="200">
          <cell r="A200" t="str">
            <v>FB3</v>
          </cell>
        </row>
        <row r="201">
          <cell r="A201" t="str">
            <v>FB3</v>
          </cell>
        </row>
        <row r="202">
          <cell r="A202" t="str">
            <v>FB3</v>
          </cell>
        </row>
        <row r="203">
          <cell r="A203" t="str">
            <v>FB3</v>
          </cell>
        </row>
        <row r="204">
          <cell r="A204" t="str">
            <v>FB3</v>
          </cell>
        </row>
        <row r="205">
          <cell r="A205" t="str">
            <v>FB3</v>
          </cell>
        </row>
        <row r="206">
          <cell r="A206" t="str">
            <v>FB3</v>
          </cell>
        </row>
        <row r="207">
          <cell r="A207" t="str">
            <v>FB3</v>
          </cell>
        </row>
        <row r="208">
          <cell r="A208" t="str">
            <v>FB3</v>
          </cell>
        </row>
        <row r="209">
          <cell r="A209" t="str">
            <v>FB3</v>
          </cell>
        </row>
        <row r="210">
          <cell r="A210" t="str">
            <v>FB3</v>
          </cell>
        </row>
        <row r="211">
          <cell r="A211" t="str">
            <v>FB3</v>
          </cell>
        </row>
        <row r="212">
          <cell r="A212" t="str">
            <v>FB3</v>
          </cell>
        </row>
        <row r="213">
          <cell r="A213" t="str">
            <v>FB3</v>
          </cell>
        </row>
        <row r="214">
          <cell r="A214" t="str">
            <v>FB3</v>
          </cell>
        </row>
        <row r="215">
          <cell r="A215" t="str">
            <v>FB3</v>
          </cell>
        </row>
        <row r="216">
          <cell r="A216" t="str">
            <v>FB3</v>
          </cell>
        </row>
        <row r="217">
          <cell r="A217" t="str">
            <v>FB3</v>
          </cell>
        </row>
        <row r="218">
          <cell r="A218" t="str">
            <v>FB3</v>
          </cell>
        </row>
        <row r="219">
          <cell r="A219" t="str">
            <v>FB3</v>
          </cell>
        </row>
        <row r="220">
          <cell r="A220" t="str">
            <v>FB3</v>
          </cell>
        </row>
        <row r="221">
          <cell r="A221" t="str">
            <v>FB3</v>
          </cell>
        </row>
        <row r="222">
          <cell r="A222" t="str">
            <v>FB3</v>
          </cell>
        </row>
        <row r="223">
          <cell r="A223" t="str">
            <v>FB3</v>
          </cell>
        </row>
        <row r="224">
          <cell r="A224" t="str">
            <v>FB3</v>
          </cell>
        </row>
        <row r="225">
          <cell r="A225" t="str">
            <v>FB3</v>
          </cell>
        </row>
        <row r="226">
          <cell r="A226" t="str">
            <v>FB3</v>
          </cell>
        </row>
        <row r="227">
          <cell r="A227" t="str">
            <v>FB3</v>
          </cell>
        </row>
        <row r="228">
          <cell r="A228" t="str">
            <v>FB3</v>
          </cell>
        </row>
        <row r="229">
          <cell r="A229" t="str">
            <v>FB3</v>
          </cell>
        </row>
        <row r="230">
          <cell r="A230" t="str">
            <v>FB3</v>
          </cell>
        </row>
        <row r="231">
          <cell r="A231" t="str">
            <v>FB3</v>
          </cell>
        </row>
        <row r="232">
          <cell r="A232" t="str">
            <v>FB3</v>
          </cell>
        </row>
        <row r="233">
          <cell r="A233" t="str">
            <v>FB2</v>
          </cell>
        </row>
        <row r="234">
          <cell r="A234" t="str">
            <v>FB2</v>
          </cell>
        </row>
        <row r="235">
          <cell r="A235" t="str">
            <v>FB2</v>
          </cell>
        </row>
        <row r="236">
          <cell r="A236" t="str">
            <v>FB2</v>
          </cell>
        </row>
        <row r="237">
          <cell r="A237" t="str">
            <v>FB2</v>
          </cell>
        </row>
        <row r="238">
          <cell r="A238" t="str">
            <v>FB2</v>
          </cell>
        </row>
        <row r="239">
          <cell r="A239" t="str">
            <v>FB2</v>
          </cell>
        </row>
        <row r="240">
          <cell r="A240" t="str">
            <v>FB2</v>
          </cell>
        </row>
        <row r="241">
          <cell r="A241" t="str">
            <v>FB2</v>
          </cell>
        </row>
        <row r="242">
          <cell r="A242" t="str">
            <v>FB2</v>
          </cell>
        </row>
        <row r="243">
          <cell r="A243" t="str">
            <v>FB2</v>
          </cell>
        </row>
        <row r="244">
          <cell r="A244" t="str">
            <v>FB2</v>
          </cell>
        </row>
        <row r="245">
          <cell r="A245" t="str">
            <v>FB2</v>
          </cell>
        </row>
        <row r="246">
          <cell r="A246" t="str">
            <v>FB2</v>
          </cell>
        </row>
        <row r="247">
          <cell r="A247" t="str">
            <v>FB2</v>
          </cell>
        </row>
        <row r="248">
          <cell r="A248" t="str">
            <v>FB2</v>
          </cell>
        </row>
        <row r="249">
          <cell r="A249" t="str">
            <v>FB2</v>
          </cell>
        </row>
        <row r="250">
          <cell r="A250" t="str">
            <v>FB2</v>
          </cell>
        </row>
        <row r="251">
          <cell r="A251" t="str">
            <v>FB2</v>
          </cell>
        </row>
        <row r="252">
          <cell r="A252" t="str">
            <v>FB2</v>
          </cell>
        </row>
        <row r="253">
          <cell r="A253" t="str">
            <v>FB2</v>
          </cell>
        </row>
        <row r="254">
          <cell r="A254" t="str">
            <v>FB2</v>
          </cell>
        </row>
        <row r="255">
          <cell r="A255" t="str">
            <v>FB2</v>
          </cell>
        </row>
        <row r="256">
          <cell r="A256" t="str">
            <v>FB2</v>
          </cell>
        </row>
        <row r="257">
          <cell r="A257" t="str">
            <v>FB2</v>
          </cell>
        </row>
        <row r="258">
          <cell r="A258" t="str">
            <v>FB2</v>
          </cell>
        </row>
        <row r="259">
          <cell r="A259" t="str">
            <v>FB2</v>
          </cell>
        </row>
        <row r="260">
          <cell r="A260" t="str">
            <v>FB2</v>
          </cell>
        </row>
        <row r="261">
          <cell r="A261" t="str">
            <v>FB2</v>
          </cell>
        </row>
        <row r="262">
          <cell r="A262" t="str">
            <v>FB2</v>
          </cell>
        </row>
        <row r="263">
          <cell r="A263" t="str">
            <v>FB2</v>
          </cell>
        </row>
        <row r="264">
          <cell r="A264" t="str">
            <v>FB2</v>
          </cell>
        </row>
        <row r="265">
          <cell r="A265" t="str">
            <v>FB2</v>
          </cell>
        </row>
        <row r="266">
          <cell r="A266" t="str">
            <v>FB2</v>
          </cell>
        </row>
        <row r="267">
          <cell r="A267" t="str">
            <v>FB2</v>
          </cell>
        </row>
        <row r="268">
          <cell r="A268" t="str">
            <v>FB2</v>
          </cell>
        </row>
        <row r="269">
          <cell r="A269" t="str">
            <v>FB2</v>
          </cell>
        </row>
        <row r="270">
          <cell r="A270" t="str">
            <v>FB2</v>
          </cell>
        </row>
        <row r="271">
          <cell r="A271" t="str">
            <v>FB2</v>
          </cell>
        </row>
        <row r="272">
          <cell r="A272" t="str">
            <v>FB2</v>
          </cell>
        </row>
        <row r="273">
          <cell r="A273" t="str">
            <v>FB2</v>
          </cell>
        </row>
        <row r="274">
          <cell r="A274" t="str">
            <v>FB2</v>
          </cell>
        </row>
        <row r="275">
          <cell r="A275" t="str">
            <v>FB2</v>
          </cell>
        </row>
        <row r="276">
          <cell r="A276" t="str">
            <v>FB2</v>
          </cell>
        </row>
        <row r="277">
          <cell r="A277" t="str">
            <v>FB2</v>
          </cell>
        </row>
        <row r="278">
          <cell r="A278" t="str">
            <v>FB2</v>
          </cell>
        </row>
        <row r="279">
          <cell r="A279" t="str">
            <v>FB2</v>
          </cell>
        </row>
        <row r="280">
          <cell r="A280" t="str">
            <v>FB2</v>
          </cell>
        </row>
        <row r="281">
          <cell r="A281" t="str">
            <v>FB2</v>
          </cell>
        </row>
        <row r="282">
          <cell r="A282" t="str">
            <v>FB2</v>
          </cell>
        </row>
        <row r="283">
          <cell r="A283" t="str">
            <v>FB2</v>
          </cell>
        </row>
        <row r="284">
          <cell r="A284" t="str">
            <v>FB2</v>
          </cell>
        </row>
        <row r="285">
          <cell r="A285" t="str">
            <v>FB2</v>
          </cell>
        </row>
        <row r="286">
          <cell r="A286" t="str">
            <v>FB2</v>
          </cell>
        </row>
        <row r="287">
          <cell r="A287" t="str">
            <v>FB2</v>
          </cell>
        </row>
        <row r="288">
          <cell r="A288" t="str">
            <v>FB2</v>
          </cell>
        </row>
        <row r="289">
          <cell r="A289" t="str">
            <v>FB2</v>
          </cell>
        </row>
        <row r="290">
          <cell r="A290" t="str">
            <v>FB2</v>
          </cell>
        </row>
        <row r="291">
          <cell r="A291" t="str">
            <v>FB2</v>
          </cell>
        </row>
        <row r="292">
          <cell r="A292" t="str">
            <v>FB2</v>
          </cell>
        </row>
        <row r="293">
          <cell r="A293" t="str">
            <v>FB2</v>
          </cell>
        </row>
        <row r="294">
          <cell r="A294" t="str">
            <v>FB2</v>
          </cell>
        </row>
        <row r="295">
          <cell r="A295" t="str">
            <v>FB2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mple"/>
      <sheetName val="Fériés2"/>
      <sheetName val="Personnels"/>
      <sheetName val="Cycles"/>
    </sheetNames>
    <sheetDataSet>
      <sheetData sheetId="0" refreshError="1"/>
      <sheetData sheetId="1"/>
      <sheetData sheetId="2">
        <row r="3">
          <cell r="B3" t="str">
            <v>Claudine</v>
          </cell>
          <cell r="C3" t="str">
            <v>ME</v>
          </cell>
          <cell r="D3" t="str">
            <v>App1</v>
          </cell>
        </row>
        <row r="4">
          <cell r="B4" t="str">
            <v>Lucie</v>
          </cell>
          <cell r="C4" t="str">
            <v>ME</v>
          </cell>
          <cell r="D4" t="str">
            <v>FH</v>
          </cell>
        </row>
        <row r="5">
          <cell r="B5" t="str">
            <v>Sylviane</v>
          </cell>
          <cell r="C5" t="str">
            <v>ES</v>
          </cell>
          <cell r="D5" t="str">
            <v>App1</v>
          </cell>
        </row>
        <row r="6">
          <cell r="B6" t="str">
            <v>Yvette</v>
          </cell>
          <cell r="C6" t="str">
            <v>AMP</v>
          </cell>
          <cell r="D6" t="str">
            <v>RDJ</v>
          </cell>
        </row>
        <row r="7">
          <cell r="B7" t="str">
            <v>Basile</v>
          </cell>
          <cell r="C7" t="str">
            <v>Stagiaire</v>
          </cell>
          <cell r="D7" t="str">
            <v>FH</v>
          </cell>
        </row>
        <row r="8">
          <cell r="B8" t="str">
            <v>Franck</v>
          </cell>
          <cell r="C8" t="str">
            <v>ES</v>
          </cell>
          <cell r="D8" t="str">
            <v>RDJ</v>
          </cell>
        </row>
        <row r="9">
          <cell r="B9" t="str">
            <v>Cathy</v>
          </cell>
          <cell r="C9" t="str">
            <v>ME</v>
          </cell>
          <cell r="D9" t="str">
            <v>FB3</v>
          </cell>
        </row>
        <row r="10">
          <cell r="B10" t="str">
            <v>Guy</v>
          </cell>
          <cell r="C10" t="str">
            <v>ME</v>
          </cell>
          <cell r="D10" t="str">
            <v>FH</v>
          </cell>
        </row>
        <row r="11">
          <cell r="B11" t="str">
            <v>Marie</v>
          </cell>
          <cell r="C11" t="str">
            <v>ES</v>
          </cell>
          <cell r="D11" t="str">
            <v>FH</v>
          </cell>
        </row>
        <row r="12">
          <cell r="B12" t="str">
            <v>Laetitia</v>
          </cell>
          <cell r="C12" t="str">
            <v>ME</v>
          </cell>
          <cell r="D12" t="str">
            <v>Glycines</v>
          </cell>
        </row>
        <row r="13">
          <cell r="B13" t="str">
            <v>Bruno</v>
          </cell>
          <cell r="C13" t="str">
            <v>ES</v>
          </cell>
          <cell r="D13" t="str">
            <v>FB3</v>
          </cell>
        </row>
        <row r="14">
          <cell r="B14" t="str">
            <v>Fabien</v>
          </cell>
          <cell r="C14" t="str">
            <v>AMP</v>
          </cell>
          <cell r="D14" t="str">
            <v>App1</v>
          </cell>
        </row>
        <row r="15">
          <cell r="B15" t="str">
            <v>Sophie</v>
          </cell>
          <cell r="C15" t="str">
            <v>ME</v>
          </cell>
          <cell r="D15" t="str">
            <v>RDJ</v>
          </cell>
        </row>
        <row r="16">
          <cell r="B16" t="str">
            <v>Christine1</v>
          </cell>
          <cell r="C16" t="str">
            <v>AMP</v>
          </cell>
          <cell r="D16" t="str">
            <v>RDJ</v>
          </cell>
        </row>
        <row r="17">
          <cell r="B17" t="str">
            <v>Christine2</v>
          </cell>
          <cell r="C17" t="str">
            <v>ME</v>
          </cell>
          <cell r="D17" t="str">
            <v>App1</v>
          </cell>
        </row>
        <row r="18">
          <cell r="B18" t="str">
            <v>Séverine</v>
          </cell>
          <cell r="C18" t="str">
            <v>ME</v>
          </cell>
          <cell r="D18" t="str">
            <v>FB2</v>
          </cell>
        </row>
        <row r="19">
          <cell r="B19" t="str">
            <v>Sandrine</v>
          </cell>
          <cell r="C19" t="str">
            <v>ME</v>
          </cell>
          <cell r="D19" t="str">
            <v>FB3</v>
          </cell>
        </row>
        <row r="20">
          <cell r="B20" t="str">
            <v>Pierre</v>
          </cell>
          <cell r="C20" t="str">
            <v>ES</v>
          </cell>
          <cell r="D20" t="str">
            <v>FB2</v>
          </cell>
        </row>
        <row r="21">
          <cell r="B21" t="str">
            <v>Françoise</v>
          </cell>
          <cell r="C21" t="str">
            <v>ME</v>
          </cell>
          <cell r="D21" t="str">
            <v>FB2</v>
          </cell>
        </row>
        <row r="22">
          <cell r="B22" t="str">
            <v>Christine3</v>
          </cell>
          <cell r="C22" t="str">
            <v>ES</v>
          </cell>
          <cell r="D22" t="str">
            <v>RDJ</v>
          </cell>
        </row>
        <row r="23">
          <cell r="B23" t="str">
            <v>Jany</v>
          </cell>
          <cell r="C23" t="str">
            <v>AMP</v>
          </cell>
          <cell r="D23" t="str">
            <v>Glycines</v>
          </cell>
        </row>
        <row r="24">
          <cell r="B24" t="str">
            <v>Odile</v>
          </cell>
          <cell r="C24" t="str">
            <v>AMP</v>
          </cell>
          <cell r="D24" t="str">
            <v>App1</v>
          </cell>
        </row>
        <row r="25">
          <cell r="B25" t="str">
            <v>Florian</v>
          </cell>
          <cell r="C25" t="str">
            <v>ES</v>
          </cell>
          <cell r="D25" t="str">
            <v>Glycines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mple"/>
      <sheetName val="Fériés2"/>
      <sheetName val="Personnels"/>
      <sheetName val="Cycles"/>
    </sheetNames>
    <sheetDataSet>
      <sheetData sheetId="0" refreshError="1"/>
      <sheetData sheetId="1"/>
      <sheetData sheetId="2">
        <row r="3">
          <cell r="B3" t="str">
            <v>Claudine</v>
          </cell>
        </row>
        <row r="4">
          <cell r="B4" t="str">
            <v>Lucie</v>
          </cell>
        </row>
        <row r="5">
          <cell r="B5" t="str">
            <v>Sylviane</v>
          </cell>
        </row>
        <row r="6">
          <cell r="B6" t="str">
            <v>Yvette</v>
          </cell>
        </row>
        <row r="7">
          <cell r="B7" t="str">
            <v>Basile</v>
          </cell>
        </row>
        <row r="8">
          <cell r="B8" t="str">
            <v>Franck</v>
          </cell>
        </row>
        <row r="9">
          <cell r="B9" t="str">
            <v>Cathy</v>
          </cell>
        </row>
        <row r="10">
          <cell r="B10" t="str">
            <v>Guy</v>
          </cell>
        </row>
        <row r="11">
          <cell r="B11" t="str">
            <v>Marie</v>
          </cell>
        </row>
        <row r="12">
          <cell r="B12" t="str">
            <v>Laetitia</v>
          </cell>
        </row>
        <row r="13">
          <cell r="B13" t="str">
            <v>Bruno</v>
          </cell>
        </row>
        <row r="14">
          <cell r="B14" t="str">
            <v>Fabien</v>
          </cell>
        </row>
        <row r="15">
          <cell r="B15" t="str">
            <v>Sophie</v>
          </cell>
        </row>
        <row r="16">
          <cell r="B16" t="str">
            <v>Christine1</v>
          </cell>
        </row>
        <row r="17">
          <cell r="B17" t="str">
            <v>Christine2</v>
          </cell>
        </row>
        <row r="18">
          <cell r="B18" t="str">
            <v>Séverine</v>
          </cell>
        </row>
        <row r="19">
          <cell r="B19" t="str">
            <v>Sandrine</v>
          </cell>
        </row>
        <row r="20">
          <cell r="B20" t="str">
            <v>Pierre</v>
          </cell>
        </row>
        <row r="21">
          <cell r="B21" t="str">
            <v>Françoise</v>
          </cell>
        </row>
        <row r="22">
          <cell r="B22" t="str">
            <v>Christine3</v>
          </cell>
        </row>
        <row r="23">
          <cell r="B23" t="str">
            <v>Jany</v>
          </cell>
        </row>
        <row r="24">
          <cell r="B24" t="str">
            <v>Odile</v>
          </cell>
        </row>
        <row r="25">
          <cell r="B25" t="str">
            <v>Florian</v>
          </cell>
        </row>
      </sheetData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CURIEN" refreshedDate="40903.639915277781" createdVersion="4" refreshedVersion="4" minRefreshableVersion="3" recordCount="434">
  <cacheSource type="worksheet">
    <worksheetSource name="Tableau3"/>
  </cacheSource>
  <cacheFields count="10">
    <cacheField name="Groupe" numFmtId="0">
      <sharedItems count="17">
        <s v="RDJ"/>
        <s v="FH07"/>
        <s v="FH1"/>
        <s v="CAJmc"/>
        <s v="FDV"/>
        <s v="Passerelle"/>
        <s v="App1"/>
        <s v="GA"/>
        <s v="GAs"/>
        <s v="GB"/>
        <s v="Glycines"/>
        <s v="Fhaut"/>
        <s v="Fhaut05"/>
        <s v="FB3"/>
        <s v="FB2"/>
        <s v="FH" u="1"/>
        <s v="Fhaut1/2" u="1"/>
      </sharedItems>
    </cacheField>
    <cacheField name="Sem. Cycl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Jour" numFmtId="0">
      <sharedItems count="7">
        <s v="lundi"/>
        <s v="mardi"/>
        <s v="mercredi"/>
        <s v="jeudi"/>
        <s v="vendredi"/>
        <s v="samedi"/>
        <s v="dimanche"/>
      </sharedItems>
    </cacheField>
    <cacheField name="H. planning" numFmtId="0">
      <sharedItems containsSemiMixedTypes="0" containsString="0" containsNumber="1" minValue="0" maxValue="12"/>
    </cacheField>
    <cacheField name="Heures Compensatoire" numFmtId="0">
      <sharedItems containsNonDate="0" containsString="0" containsBlank="1"/>
    </cacheField>
    <cacheField name="RTT O" numFmtId="0">
      <sharedItems containsString="0" containsBlank="1" containsNumber="1" containsInteger="1" minValue="4" maxValue="6"/>
    </cacheField>
    <cacheField name="H1" numFmtId="0">
      <sharedItems containsString="0" containsBlank="1" containsNumber="1" minValue="0" maxValue="11.5"/>
    </cacheField>
    <cacheField name="H2" numFmtId="0">
      <sharedItems containsString="0" containsBlank="1" containsNumber="1" minValue="7.16" maxValue="14"/>
    </cacheField>
    <cacheField name="H3" numFmtId="0">
      <sharedItems containsString="0" containsBlank="1" containsNumber="1" minValue="8" maxValue="22.91"/>
    </cacheField>
    <cacheField name="H4" numFmtId="0">
      <sharedItems containsString="0" containsBlank="1" containsNumber="1" minValue="13.5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4">
  <r>
    <x v="0"/>
    <x v="0"/>
    <x v="0"/>
    <n v="8.5"/>
    <m/>
    <m/>
    <m/>
    <m/>
    <n v="14"/>
    <n v="22.5"/>
  </r>
  <r>
    <x v="0"/>
    <x v="0"/>
    <x v="1"/>
    <n v="9"/>
    <m/>
    <m/>
    <n v="9.5"/>
    <n v="12.5"/>
    <n v="16.5"/>
    <n v="22.5"/>
  </r>
  <r>
    <x v="0"/>
    <x v="0"/>
    <x v="2"/>
    <n v="0"/>
    <m/>
    <m/>
    <m/>
    <m/>
    <m/>
    <m/>
  </r>
  <r>
    <x v="0"/>
    <x v="0"/>
    <x v="3"/>
    <n v="0"/>
    <m/>
    <m/>
    <m/>
    <m/>
    <m/>
    <m/>
  </r>
  <r>
    <x v="0"/>
    <x v="0"/>
    <x v="4"/>
    <n v="0"/>
    <m/>
    <m/>
    <m/>
    <m/>
    <m/>
    <m/>
  </r>
  <r>
    <x v="0"/>
    <x v="0"/>
    <x v="5"/>
    <n v="12"/>
    <m/>
    <m/>
    <m/>
    <m/>
    <n v="10"/>
    <n v="22"/>
  </r>
  <r>
    <x v="0"/>
    <x v="0"/>
    <x v="6"/>
    <n v="12"/>
    <m/>
    <m/>
    <m/>
    <m/>
    <n v="10"/>
    <n v="22"/>
  </r>
  <r>
    <x v="0"/>
    <x v="1"/>
    <x v="0"/>
    <n v="0"/>
    <m/>
    <m/>
    <m/>
    <m/>
    <m/>
    <m/>
  </r>
  <r>
    <x v="0"/>
    <x v="1"/>
    <x v="1"/>
    <n v="6.5"/>
    <m/>
    <m/>
    <n v="9.5"/>
    <n v="12.5"/>
    <n v="16.5"/>
    <n v="20"/>
  </r>
  <r>
    <x v="0"/>
    <x v="1"/>
    <x v="2"/>
    <n v="8"/>
    <m/>
    <m/>
    <n v="7"/>
    <n v="9.5"/>
    <n v="16.5"/>
    <n v="22"/>
  </r>
  <r>
    <x v="0"/>
    <x v="1"/>
    <x v="3"/>
    <n v="6"/>
    <m/>
    <m/>
    <m/>
    <m/>
    <n v="14"/>
    <n v="20"/>
  </r>
  <r>
    <x v="0"/>
    <x v="1"/>
    <x v="4"/>
    <n v="9.5"/>
    <m/>
    <m/>
    <n v="7"/>
    <n v="12"/>
    <n v="12"/>
    <n v="16.5"/>
  </r>
  <r>
    <x v="0"/>
    <x v="1"/>
    <x v="5"/>
    <n v="0"/>
    <m/>
    <m/>
    <m/>
    <m/>
    <m/>
    <m/>
  </r>
  <r>
    <x v="0"/>
    <x v="1"/>
    <x v="6"/>
    <n v="0"/>
    <m/>
    <m/>
    <m/>
    <m/>
    <m/>
    <m/>
  </r>
  <r>
    <x v="0"/>
    <x v="2"/>
    <x v="0"/>
    <n v="10.5"/>
    <m/>
    <m/>
    <n v="7"/>
    <n v="9.5"/>
    <n v="14"/>
    <n v="22"/>
  </r>
  <r>
    <x v="0"/>
    <x v="2"/>
    <x v="1"/>
    <n v="9"/>
    <m/>
    <m/>
    <n v="9.5"/>
    <n v="12.5"/>
    <n v="16.5"/>
    <n v="22.5"/>
  </r>
  <r>
    <x v="0"/>
    <x v="2"/>
    <x v="2"/>
    <n v="6"/>
    <m/>
    <m/>
    <m/>
    <m/>
    <n v="16.5"/>
    <n v="22.5"/>
  </r>
  <r>
    <x v="0"/>
    <x v="2"/>
    <x v="3"/>
    <n v="8.5"/>
    <m/>
    <m/>
    <m/>
    <m/>
    <n v="14"/>
    <n v="22.5"/>
  </r>
  <r>
    <x v="0"/>
    <x v="2"/>
    <x v="4"/>
    <n v="0"/>
    <m/>
    <m/>
    <m/>
    <m/>
    <m/>
    <m/>
  </r>
  <r>
    <x v="0"/>
    <x v="2"/>
    <x v="5"/>
    <n v="0"/>
    <m/>
    <m/>
    <m/>
    <m/>
    <m/>
    <m/>
  </r>
  <r>
    <x v="0"/>
    <x v="2"/>
    <x v="6"/>
    <n v="0"/>
    <m/>
    <m/>
    <m/>
    <m/>
    <m/>
    <m/>
  </r>
  <r>
    <x v="0"/>
    <x v="3"/>
    <x v="0"/>
    <n v="8.5"/>
    <m/>
    <m/>
    <m/>
    <m/>
    <n v="14"/>
    <n v="22.5"/>
  </r>
  <r>
    <x v="0"/>
    <x v="3"/>
    <x v="1"/>
    <n v="8.5"/>
    <m/>
    <m/>
    <n v="9.5"/>
    <n v="12.5"/>
    <n v="16.5"/>
    <n v="22"/>
  </r>
  <r>
    <x v="0"/>
    <x v="3"/>
    <x v="2"/>
    <n v="0"/>
    <m/>
    <m/>
    <m/>
    <m/>
    <m/>
    <m/>
  </r>
  <r>
    <x v="0"/>
    <x v="3"/>
    <x v="3"/>
    <n v="0"/>
    <m/>
    <m/>
    <m/>
    <m/>
    <m/>
    <m/>
  </r>
  <r>
    <x v="0"/>
    <x v="3"/>
    <x v="4"/>
    <n v="0"/>
    <m/>
    <m/>
    <m/>
    <m/>
    <m/>
    <m/>
  </r>
  <r>
    <x v="0"/>
    <x v="3"/>
    <x v="5"/>
    <n v="12"/>
    <m/>
    <m/>
    <m/>
    <m/>
    <n v="8"/>
    <n v="20"/>
  </r>
  <r>
    <x v="0"/>
    <x v="3"/>
    <x v="6"/>
    <n v="12"/>
    <m/>
    <m/>
    <m/>
    <m/>
    <n v="8"/>
    <n v="20"/>
  </r>
  <r>
    <x v="0"/>
    <x v="4"/>
    <x v="0"/>
    <n v="0"/>
    <m/>
    <m/>
    <m/>
    <m/>
    <m/>
    <m/>
  </r>
  <r>
    <x v="0"/>
    <x v="4"/>
    <x v="1"/>
    <n v="11.5"/>
    <m/>
    <m/>
    <n v="7"/>
    <n v="12.5"/>
    <n v="16.5"/>
    <n v="22.5"/>
  </r>
  <r>
    <x v="0"/>
    <x v="4"/>
    <x v="2"/>
    <n v="8.5"/>
    <m/>
    <m/>
    <m/>
    <m/>
    <n v="14"/>
    <n v="22.5"/>
  </r>
  <r>
    <x v="0"/>
    <x v="4"/>
    <x v="3"/>
    <n v="8.5"/>
    <m/>
    <m/>
    <m/>
    <m/>
    <n v="14"/>
    <n v="22.5"/>
  </r>
  <r>
    <x v="0"/>
    <x v="4"/>
    <x v="4"/>
    <n v="7.5"/>
    <m/>
    <m/>
    <m/>
    <m/>
    <n v="15.5"/>
    <n v="23"/>
  </r>
  <r>
    <x v="0"/>
    <x v="4"/>
    <x v="5"/>
    <n v="0"/>
    <m/>
    <m/>
    <m/>
    <m/>
    <m/>
    <m/>
  </r>
  <r>
    <x v="0"/>
    <x v="4"/>
    <x v="6"/>
    <n v="0"/>
    <m/>
    <m/>
    <m/>
    <m/>
    <m/>
    <m/>
  </r>
  <r>
    <x v="0"/>
    <x v="5"/>
    <x v="0"/>
    <n v="8"/>
    <m/>
    <m/>
    <m/>
    <m/>
    <n v="14"/>
    <n v="22"/>
  </r>
  <r>
    <x v="0"/>
    <x v="5"/>
    <x v="1"/>
    <n v="8.5"/>
    <m/>
    <m/>
    <n v="9.5"/>
    <n v="12.5"/>
    <n v="16.5"/>
    <n v="22"/>
  </r>
  <r>
    <x v="0"/>
    <x v="5"/>
    <x v="2"/>
    <n v="6"/>
    <m/>
    <n v="6"/>
    <m/>
    <m/>
    <n v="16"/>
    <n v="22"/>
  </r>
  <r>
    <x v="0"/>
    <x v="5"/>
    <x v="3"/>
    <n v="10.5"/>
    <m/>
    <m/>
    <n v="7"/>
    <n v="9.5"/>
    <n v="14"/>
    <n v="22"/>
  </r>
  <r>
    <x v="0"/>
    <x v="5"/>
    <x v="4"/>
    <n v="6.5"/>
    <m/>
    <m/>
    <m/>
    <m/>
    <n v="15.5"/>
    <n v="22"/>
  </r>
  <r>
    <x v="0"/>
    <x v="5"/>
    <x v="5"/>
    <n v="0"/>
    <m/>
    <m/>
    <m/>
    <m/>
    <m/>
    <m/>
  </r>
  <r>
    <x v="0"/>
    <x v="5"/>
    <x v="6"/>
    <n v="0"/>
    <m/>
    <m/>
    <m/>
    <m/>
    <m/>
    <m/>
  </r>
  <r>
    <x v="1"/>
    <x v="0"/>
    <x v="0"/>
    <n v="8.75"/>
    <m/>
    <m/>
    <n v="0"/>
    <n v="7.16"/>
    <n v="22.41"/>
    <n v="24"/>
  </r>
  <r>
    <x v="1"/>
    <x v="0"/>
    <x v="1"/>
    <n v="7.16"/>
    <m/>
    <m/>
    <n v="0"/>
    <n v="7.16"/>
    <m/>
    <m/>
  </r>
  <r>
    <x v="1"/>
    <x v="0"/>
    <x v="2"/>
    <n v="0"/>
    <m/>
    <m/>
    <m/>
    <m/>
    <m/>
    <m/>
  </r>
  <r>
    <x v="1"/>
    <x v="0"/>
    <x v="3"/>
    <n v="0"/>
    <m/>
    <m/>
    <m/>
    <m/>
    <m/>
    <m/>
  </r>
  <r>
    <x v="1"/>
    <x v="0"/>
    <x v="4"/>
    <n v="0"/>
    <m/>
    <m/>
    <m/>
    <m/>
    <m/>
    <m/>
  </r>
  <r>
    <x v="1"/>
    <x v="0"/>
    <x v="5"/>
    <n v="1.0899999999999999"/>
    <m/>
    <m/>
    <m/>
    <m/>
    <n v="22.91"/>
    <n v="24"/>
  </r>
  <r>
    <x v="1"/>
    <x v="0"/>
    <x v="6"/>
    <n v="9.25"/>
    <m/>
    <m/>
    <n v="0"/>
    <n v="8.16"/>
    <n v="22.91"/>
    <n v="24"/>
  </r>
  <r>
    <x v="2"/>
    <x v="0"/>
    <x v="0"/>
    <n v="0"/>
    <m/>
    <m/>
    <m/>
    <m/>
    <m/>
    <m/>
  </r>
  <r>
    <x v="2"/>
    <x v="0"/>
    <x v="1"/>
    <n v="1.75"/>
    <m/>
    <m/>
    <m/>
    <m/>
    <n v="22.25"/>
    <n v="24"/>
  </r>
  <r>
    <x v="2"/>
    <x v="0"/>
    <x v="2"/>
    <n v="9"/>
    <m/>
    <m/>
    <n v="0"/>
    <n v="7.25"/>
    <n v="22.25"/>
    <n v="24"/>
  </r>
  <r>
    <x v="2"/>
    <x v="0"/>
    <x v="3"/>
    <n v="9"/>
    <m/>
    <m/>
    <n v="0"/>
    <n v="7.25"/>
    <n v="22.25"/>
    <n v="24"/>
  </r>
  <r>
    <x v="2"/>
    <x v="0"/>
    <x v="4"/>
    <n v="8.5"/>
    <m/>
    <m/>
    <n v="0"/>
    <n v="7.25"/>
    <n v="22.75"/>
    <n v="24"/>
  </r>
  <r>
    <x v="2"/>
    <x v="0"/>
    <x v="5"/>
    <n v="8.25"/>
    <m/>
    <m/>
    <n v="0"/>
    <n v="8.25"/>
    <m/>
    <m/>
  </r>
  <r>
    <x v="2"/>
    <x v="0"/>
    <x v="6"/>
    <n v="0"/>
    <m/>
    <m/>
    <m/>
    <m/>
    <m/>
    <m/>
  </r>
  <r>
    <x v="3"/>
    <x v="0"/>
    <x v="0"/>
    <n v="4"/>
    <m/>
    <m/>
    <m/>
    <m/>
    <n v="15"/>
    <n v="19"/>
  </r>
  <r>
    <x v="3"/>
    <x v="0"/>
    <x v="1"/>
    <n v="6"/>
    <m/>
    <m/>
    <n v="10"/>
    <n v="12"/>
    <n v="12"/>
    <n v="16"/>
  </r>
  <r>
    <x v="3"/>
    <x v="0"/>
    <x v="2"/>
    <n v="7.5"/>
    <m/>
    <m/>
    <n v="9.25"/>
    <n v="12"/>
    <n v="12"/>
    <n v="16.75"/>
  </r>
  <r>
    <x v="3"/>
    <x v="0"/>
    <x v="3"/>
    <n v="0"/>
    <m/>
    <m/>
    <m/>
    <m/>
    <m/>
    <m/>
  </r>
  <r>
    <x v="3"/>
    <x v="0"/>
    <x v="4"/>
    <n v="0"/>
    <m/>
    <m/>
    <m/>
    <m/>
    <m/>
    <m/>
  </r>
  <r>
    <x v="3"/>
    <x v="0"/>
    <x v="5"/>
    <n v="0"/>
    <m/>
    <m/>
    <m/>
    <m/>
    <m/>
    <m/>
  </r>
  <r>
    <x v="3"/>
    <x v="0"/>
    <x v="6"/>
    <n v="0"/>
    <m/>
    <m/>
    <m/>
    <m/>
    <m/>
    <m/>
  </r>
  <r>
    <x v="3"/>
    <x v="1"/>
    <x v="0"/>
    <n v="4"/>
    <m/>
    <m/>
    <m/>
    <m/>
    <n v="12"/>
    <n v="16"/>
  </r>
  <r>
    <x v="3"/>
    <x v="1"/>
    <x v="1"/>
    <n v="6"/>
    <m/>
    <m/>
    <n v="10"/>
    <n v="12"/>
    <n v="12"/>
    <n v="16"/>
  </r>
  <r>
    <x v="3"/>
    <x v="1"/>
    <x v="2"/>
    <n v="7.5"/>
    <m/>
    <m/>
    <n v="9.25"/>
    <n v="12"/>
    <n v="12"/>
    <n v="16.75"/>
  </r>
  <r>
    <x v="3"/>
    <x v="1"/>
    <x v="3"/>
    <n v="0"/>
    <m/>
    <m/>
    <m/>
    <m/>
    <m/>
    <m/>
  </r>
  <r>
    <x v="3"/>
    <x v="1"/>
    <x v="4"/>
    <n v="0"/>
    <m/>
    <m/>
    <m/>
    <m/>
    <m/>
    <m/>
  </r>
  <r>
    <x v="3"/>
    <x v="1"/>
    <x v="5"/>
    <n v="0"/>
    <m/>
    <m/>
    <m/>
    <m/>
    <m/>
    <m/>
  </r>
  <r>
    <x v="3"/>
    <x v="1"/>
    <x v="6"/>
    <n v="0"/>
    <m/>
    <m/>
    <m/>
    <m/>
    <m/>
    <m/>
  </r>
  <r>
    <x v="4"/>
    <x v="0"/>
    <x v="0"/>
    <n v="7.25"/>
    <m/>
    <m/>
    <n v="0"/>
    <n v="7.25"/>
    <m/>
    <m/>
  </r>
  <r>
    <x v="4"/>
    <x v="0"/>
    <x v="1"/>
    <n v="0"/>
    <m/>
    <m/>
    <m/>
    <m/>
    <m/>
    <m/>
  </r>
  <r>
    <x v="4"/>
    <x v="0"/>
    <x v="2"/>
    <n v="2.75"/>
    <m/>
    <m/>
    <m/>
    <m/>
    <n v="21.25"/>
    <n v="24"/>
  </r>
  <r>
    <x v="4"/>
    <x v="0"/>
    <x v="3"/>
    <n v="10"/>
    <m/>
    <m/>
    <n v="0"/>
    <n v="7.25"/>
    <n v="21.25"/>
    <n v="24"/>
  </r>
  <r>
    <x v="4"/>
    <x v="0"/>
    <x v="4"/>
    <n v="9.5"/>
    <m/>
    <m/>
    <n v="0"/>
    <n v="7.25"/>
    <n v="21.75"/>
    <n v="24"/>
  </r>
  <r>
    <x v="4"/>
    <x v="0"/>
    <x v="5"/>
    <n v="8.25"/>
    <m/>
    <m/>
    <n v="0"/>
    <n v="8.25"/>
    <m/>
    <m/>
  </r>
  <r>
    <x v="4"/>
    <x v="0"/>
    <x v="6"/>
    <n v="0"/>
    <m/>
    <m/>
    <m/>
    <m/>
    <m/>
    <m/>
  </r>
  <r>
    <x v="4"/>
    <x v="1"/>
    <x v="0"/>
    <n v="2.75"/>
    <m/>
    <m/>
    <m/>
    <m/>
    <n v="21.25"/>
    <n v="24"/>
  </r>
  <r>
    <x v="4"/>
    <x v="1"/>
    <x v="1"/>
    <n v="10"/>
    <m/>
    <m/>
    <n v="0"/>
    <n v="7.25"/>
    <n v="21.25"/>
    <n v="24"/>
  </r>
  <r>
    <x v="4"/>
    <x v="1"/>
    <x v="2"/>
    <n v="7.25"/>
    <m/>
    <m/>
    <n v="0"/>
    <n v="7.25"/>
    <m/>
    <m/>
  </r>
  <r>
    <x v="4"/>
    <x v="1"/>
    <x v="3"/>
    <n v="0"/>
    <m/>
    <m/>
    <m/>
    <m/>
    <m/>
    <m/>
  </r>
  <r>
    <x v="4"/>
    <x v="1"/>
    <x v="4"/>
    <n v="0"/>
    <m/>
    <m/>
    <m/>
    <m/>
    <m/>
    <m/>
  </r>
  <r>
    <x v="4"/>
    <x v="1"/>
    <x v="5"/>
    <n v="2.25"/>
    <m/>
    <m/>
    <m/>
    <m/>
    <n v="21.75"/>
    <n v="24"/>
  </r>
  <r>
    <x v="4"/>
    <x v="1"/>
    <x v="6"/>
    <n v="11"/>
    <m/>
    <m/>
    <n v="0"/>
    <n v="8.25"/>
    <n v="21.25"/>
    <n v="24"/>
  </r>
  <r>
    <x v="5"/>
    <x v="0"/>
    <x v="0"/>
    <n v="10"/>
    <m/>
    <m/>
    <n v="7"/>
    <n v="12"/>
    <n v="12"/>
    <n v="17"/>
  </r>
  <r>
    <x v="5"/>
    <x v="0"/>
    <x v="1"/>
    <n v="3"/>
    <m/>
    <m/>
    <n v="9.5"/>
    <n v="12.5"/>
    <m/>
    <m/>
  </r>
  <r>
    <x v="5"/>
    <x v="0"/>
    <x v="2"/>
    <n v="0"/>
    <m/>
    <m/>
    <m/>
    <m/>
    <m/>
    <m/>
  </r>
  <r>
    <x v="5"/>
    <x v="0"/>
    <x v="3"/>
    <n v="0"/>
    <m/>
    <m/>
    <m/>
    <m/>
    <m/>
    <m/>
  </r>
  <r>
    <x v="5"/>
    <x v="0"/>
    <x v="4"/>
    <n v="0"/>
    <m/>
    <m/>
    <m/>
    <m/>
    <m/>
    <m/>
  </r>
  <r>
    <x v="5"/>
    <x v="0"/>
    <x v="5"/>
    <n v="12"/>
    <m/>
    <m/>
    <n v="8.5"/>
    <n v="12"/>
    <n v="12"/>
    <n v="20.5"/>
  </r>
  <r>
    <x v="5"/>
    <x v="0"/>
    <x v="6"/>
    <n v="12"/>
    <m/>
    <m/>
    <n v="8.5"/>
    <n v="12"/>
    <n v="12"/>
    <n v="20.5"/>
  </r>
  <r>
    <x v="5"/>
    <x v="1"/>
    <x v="0"/>
    <n v="0"/>
    <m/>
    <m/>
    <m/>
    <m/>
    <m/>
    <m/>
  </r>
  <r>
    <x v="5"/>
    <x v="1"/>
    <x v="1"/>
    <n v="9.5"/>
    <m/>
    <n v="4"/>
    <n v="7"/>
    <n v="12.5"/>
    <n v="16.5"/>
    <n v="20.5"/>
  </r>
  <r>
    <x v="5"/>
    <x v="1"/>
    <x v="2"/>
    <n v="10"/>
    <m/>
    <m/>
    <n v="7"/>
    <n v="12"/>
    <n v="12"/>
    <n v="17"/>
  </r>
  <r>
    <x v="5"/>
    <x v="1"/>
    <x v="3"/>
    <n v="7"/>
    <m/>
    <m/>
    <n v="7"/>
    <n v="12"/>
    <n v="12"/>
    <n v="14"/>
  </r>
  <r>
    <x v="5"/>
    <x v="1"/>
    <x v="4"/>
    <n v="9"/>
    <m/>
    <m/>
    <n v="7"/>
    <n v="12"/>
    <n v="12"/>
    <n v="16"/>
  </r>
  <r>
    <x v="5"/>
    <x v="1"/>
    <x v="5"/>
    <n v="0"/>
    <m/>
    <m/>
    <m/>
    <m/>
    <m/>
    <m/>
  </r>
  <r>
    <x v="5"/>
    <x v="1"/>
    <x v="6"/>
    <n v="0"/>
    <m/>
    <m/>
    <m/>
    <m/>
    <m/>
    <m/>
  </r>
  <r>
    <x v="5"/>
    <x v="2"/>
    <x v="0"/>
    <n v="5.5"/>
    <m/>
    <m/>
    <m/>
    <m/>
    <n v="16.5"/>
    <n v="22"/>
  </r>
  <r>
    <x v="5"/>
    <x v="2"/>
    <x v="1"/>
    <n v="12"/>
    <m/>
    <m/>
    <n v="9.5"/>
    <n v="12.5"/>
    <n v="12.5"/>
    <n v="21.5"/>
  </r>
  <r>
    <x v="5"/>
    <x v="2"/>
    <x v="2"/>
    <n v="6"/>
    <m/>
    <m/>
    <m/>
    <m/>
    <n v="16.5"/>
    <n v="22.5"/>
  </r>
  <r>
    <x v="5"/>
    <x v="2"/>
    <x v="3"/>
    <n v="8.5"/>
    <m/>
    <m/>
    <m/>
    <m/>
    <n v="13.5"/>
    <n v="22"/>
  </r>
  <r>
    <x v="5"/>
    <x v="2"/>
    <x v="4"/>
    <n v="6.5"/>
    <m/>
    <m/>
    <m/>
    <m/>
    <n v="15.5"/>
    <n v="22"/>
  </r>
  <r>
    <x v="5"/>
    <x v="2"/>
    <x v="5"/>
    <n v="0"/>
    <m/>
    <m/>
    <m/>
    <m/>
    <m/>
    <m/>
  </r>
  <r>
    <x v="5"/>
    <x v="2"/>
    <x v="6"/>
    <n v="0"/>
    <m/>
    <m/>
    <m/>
    <m/>
    <m/>
    <m/>
  </r>
  <r>
    <x v="5"/>
    <x v="3"/>
    <x v="0"/>
    <n v="7.5"/>
    <m/>
    <m/>
    <n v="10"/>
    <n v="12"/>
    <n v="12"/>
    <n v="17.5"/>
  </r>
  <r>
    <x v="5"/>
    <x v="3"/>
    <x v="1"/>
    <n v="7.5"/>
    <m/>
    <m/>
    <n v="9.5"/>
    <n v="12"/>
    <n v="12"/>
    <n v="17"/>
  </r>
  <r>
    <x v="5"/>
    <x v="3"/>
    <x v="2"/>
    <n v="7.5"/>
    <m/>
    <m/>
    <n v="10"/>
    <n v="12"/>
    <n v="12"/>
    <n v="17.5"/>
  </r>
  <r>
    <x v="5"/>
    <x v="3"/>
    <x v="3"/>
    <n v="7.5"/>
    <m/>
    <m/>
    <n v="10"/>
    <n v="12"/>
    <n v="12"/>
    <n v="17.5"/>
  </r>
  <r>
    <x v="5"/>
    <x v="3"/>
    <x v="4"/>
    <n v="7"/>
    <m/>
    <m/>
    <n v="9.5"/>
    <n v="12"/>
    <n v="12"/>
    <n v="16.5"/>
  </r>
  <r>
    <x v="5"/>
    <x v="3"/>
    <x v="5"/>
    <n v="0"/>
    <m/>
    <m/>
    <m/>
    <m/>
    <m/>
    <m/>
  </r>
  <r>
    <x v="5"/>
    <x v="3"/>
    <x v="6"/>
    <n v="0"/>
    <m/>
    <m/>
    <m/>
    <m/>
    <m/>
    <m/>
  </r>
  <r>
    <x v="6"/>
    <x v="0"/>
    <x v="0"/>
    <n v="8.5"/>
    <m/>
    <m/>
    <m/>
    <m/>
    <n v="14"/>
    <n v="22.5"/>
  </r>
  <r>
    <x v="6"/>
    <x v="0"/>
    <x v="1"/>
    <n v="9"/>
    <m/>
    <m/>
    <n v="9.5"/>
    <n v="12.5"/>
    <n v="16.5"/>
    <n v="22.5"/>
  </r>
  <r>
    <x v="6"/>
    <x v="0"/>
    <x v="2"/>
    <n v="0"/>
    <m/>
    <m/>
    <m/>
    <m/>
    <m/>
    <m/>
  </r>
  <r>
    <x v="6"/>
    <x v="0"/>
    <x v="3"/>
    <n v="0"/>
    <m/>
    <m/>
    <m/>
    <m/>
    <m/>
    <m/>
  </r>
  <r>
    <x v="6"/>
    <x v="0"/>
    <x v="4"/>
    <n v="0"/>
    <m/>
    <m/>
    <m/>
    <m/>
    <m/>
    <m/>
  </r>
  <r>
    <x v="6"/>
    <x v="0"/>
    <x v="5"/>
    <n v="12"/>
    <m/>
    <m/>
    <m/>
    <m/>
    <n v="10"/>
    <n v="22"/>
  </r>
  <r>
    <x v="6"/>
    <x v="0"/>
    <x v="6"/>
    <n v="12"/>
    <m/>
    <m/>
    <m/>
    <m/>
    <n v="10"/>
    <n v="22"/>
  </r>
  <r>
    <x v="6"/>
    <x v="1"/>
    <x v="0"/>
    <n v="0"/>
    <m/>
    <m/>
    <m/>
    <m/>
    <m/>
    <m/>
  </r>
  <r>
    <x v="6"/>
    <x v="1"/>
    <x v="1"/>
    <n v="6.5"/>
    <m/>
    <m/>
    <n v="9.5"/>
    <n v="12.5"/>
    <n v="16.5"/>
    <n v="20"/>
  </r>
  <r>
    <x v="6"/>
    <x v="1"/>
    <x v="2"/>
    <n v="8"/>
    <m/>
    <m/>
    <n v="7"/>
    <n v="9.5"/>
    <n v="16.5"/>
    <n v="22"/>
  </r>
  <r>
    <x v="6"/>
    <x v="1"/>
    <x v="3"/>
    <n v="6"/>
    <m/>
    <m/>
    <m/>
    <m/>
    <n v="14"/>
    <n v="20"/>
  </r>
  <r>
    <x v="6"/>
    <x v="1"/>
    <x v="4"/>
    <n v="9.5"/>
    <m/>
    <m/>
    <n v="7"/>
    <n v="12"/>
    <n v="12"/>
    <n v="16.5"/>
  </r>
  <r>
    <x v="6"/>
    <x v="1"/>
    <x v="5"/>
    <n v="0"/>
    <m/>
    <m/>
    <m/>
    <m/>
    <m/>
    <m/>
  </r>
  <r>
    <x v="6"/>
    <x v="1"/>
    <x v="6"/>
    <n v="0"/>
    <m/>
    <m/>
    <m/>
    <m/>
    <m/>
    <m/>
  </r>
  <r>
    <x v="6"/>
    <x v="2"/>
    <x v="0"/>
    <n v="10.5"/>
    <m/>
    <m/>
    <n v="7"/>
    <n v="9.5"/>
    <n v="14"/>
    <n v="22"/>
  </r>
  <r>
    <x v="6"/>
    <x v="2"/>
    <x v="1"/>
    <n v="9"/>
    <m/>
    <m/>
    <n v="9.5"/>
    <n v="12.5"/>
    <n v="16.5"/>
    <n v="22.5"/>
  </r>
  <r>
    <x v="6"/>
    <x v="2"/>
    <x v="2"/>
    <n v="6"/>
    <m/>
    <m/>
    <m/>
    <m/>
    <n v="16.5"/>
    <n v="22.5"/>
  </r>
  <r>
    <x v="6"/>
    <x v="2"/>
    <x v="3"/>
    <n v="8.5"/>
    <m/>
    <m/>
    <m/>
    <m/>
    <n v="14"/>
    <n v="22.5"/>
  </r>
  <r>
    <x v="6"/>
    <x v="2"/>
    <x v="4"/>
    <n v="0"/>
    <m/>
    <m/>
    <m/>
    <m/>
    <m/>
    <m/>
  </r>
  <r>
    <x v="6"/>
    <x v="2"/>
    <x v="5"/>
    <n v="0"/>
    <m/>
    <m/>
    <m/>
    <m/>
    <m/>
    <m/>
  </r>
  <r>
    <x v="6"/>
    <x v="2"/>
    <x v="6"/>
    <n v="0"/>
    <m/>
    <m/>
    <m/>
    <m/>
    <m/>
    <m/>
  </r>
  <r>
    <x v="6"/>
    <x v="3"/>
    <x v="0"/>
    <n v="8.5"/>
    <m/>
    <m/>
    <m/>
    <m/>
    <n v="14"/>
    <n v="22.5"/>
  </r>
  <r>
    <x v="6"/>
    <x v="3"/>
    <x v="1"/>
    <n v="8.5"/>
    <m/>
    <m/>
    <n v="9.5"/>
    <n v="12.5"/>
    <n v="16.5"/>
    <n v="22"/>
  </r>
  <r>
    <x v="6"/>
    <x v="3"/>
    <x v="2"/>
    <n v="0"/>
    <m/>
    <m/>
    <m/>
    <m/>
    <m/>
    <m/>
  </r>
  <r>
    <x v="6"/>
    <x v="3"/>
    <x v="3"/>
    <n v="0"/>
    <m/>
    <m/>
    <m/>
    <m/>
    <m/>
    <m/>
  </r>
  <r>
    <x v="6"/>
    <x v="3"/>
    <x v="4"/>
    <n v="0"/>
    <m/>
    <m/>
    <m/>
    <m/>
    <m/>
    <m/>
  </r>
  <r>
    <x v="6"/>
    <x v="3"/>
    <x v="5"/>
    <n v="12"/>
    <m/>
    <m/>
    <m/>
    <m/>
    <n v="8"/>
    <n v="20"/>
  </r>
  <r>
    <x v="6"/>
    <x v="3"/>
    <x v="6"/>
    <n v="12"/>
    <m/>
    <m/>
    <m/>
    <m/>
    <n v="8"/>
    <n v="20"/>
  </r>
  <r>
    <x v="6"/>
    <x v="4"/>
    <x v="0"/>
    <n v="0"/>
    <m/>
    <m/>
    <m/>
    <m/>
    <m/>
    <m/>
  </r>
  <r>
    <x v="6"/>
    <x v="4"/>
    <x v="1"/>
    <n v="11.5"/>
    <m/>
    <m/>
    <n v="7"/>
    <n v="12.5"/>
    <n v="16.5"/>
    <n v="22.5"/>
  </r>
  <r>
    <x v="6"/>
    <x v="4"/>
    <x v="2"/>
    <n v="8"/>
    <m/>
    <m/>
    <m/>
    <m/>
    <n v="14.5"/>
    <n v="22.5"/>
  </r>
  <r>
    <x v="6"/>
    <x v="4"/>
    <x v="3"/>
    <n v="8.5"/>
    <m/>
    <m/>
    <m/>
    <m/>
    <n v="14"/>
    <n v="22.5"/>
  </r>
  <r>
    <x v="6"/>
    <x v="4"/>
    <x v="4"/>
    <n v="7.5"/>
    <m/>
    <m/>
    <m/>
    <m/>
    <n v="15.5"/>
    <n v="23"/>
  </r>
  <r>
    <x v="6"/>
    <x v="4"/>
    <x v="5"/>
    <n v="0"/>
    <m/>
    <m/>
    <m/>
    <m/>
    <m/>
    <m/>
  </r>
  <r>
    <x v="6"/>
    <x v="4"/>
    <x v="6"/>
    <n v="0"/>
    <m/>
    <m/>
    <m/>
    <m/>
    <m/>
    <m/>
  </r>
  <r>
    <x v="6"/>
    <x v="5"/>
    <x v="0"/>
    <n v="8"/>
    <m/>
    <m/>
    <m/>
    <m/>
    <n v="14"/>
    <n v="22"/>
  </r>
  <r>
    <x v="6"/>
    <x v="5"/>
    <x v="1"/>
    <n v="8.5"/>
    <m/>
    <m/>
    <n v="9.5"/>
    <n v="12.5"/>
    <n v="16.5"/>
    <n v="22"/>
  </r>
  <r>
    <x v="6"/>
    <x v="5"/>
    <x v="2"/>
    <n v="6"/>
    <m/>
    <n v="6"/>
    <m/>
    <m/>
    <n v="16"/>
    <n v="22"/>
  </r>
  <r>
    <x v="6"/>
    <x v="5"/>
    <x v="3"/>
    <n v="10.5"/>
    <m/>
    <m/>
    <n v="7"/>
    <n v="9.5"/>
    <n v="14"/>
    <n v="22"/>
  </r>
  <r>
    <x v="6"/>
    <x v="5"/>
    <x v="4"/>
    <n v="6.5"/>
    <m/>
    <m/>
    <m/>
    <m/>
    <n v="15.5"/>
    <n v="22"/>
  </r>
  <r>
    <x v="6"/>
    <x v="5"/>
    <x v="5"/>
    <n v="0"/>
    <m/>
    <m/>
    <m/>
    <m/>
    <m/>
    <m/>
  </r>
  <r>
    <x v="6"/>
    <x v="5"/>
    <x v="6"/>
    <n v="0"/>
    <m/>
    <m/>
    <m/>
    <m/>
    <m/>
    <m/>
  </r>
  <r>
    <x v="7"/>
    <x v="0"/>
    <x v="0"/>
    <n v="7"/>
    <m/>
    <m/>
    <n v="9"/>
    <n v="12"/>
    <n v="12"/>
    <n v="16"/>
  </r>
  <r>
    <x v="7"/>
    <x v="0"/>
    <x v="1"/>
    <n v="10"/>
    <m/>
    <m/>
    <n v="7"/>
    <n v="12"/>
    <n v="12"/>
    <n v="17"/>
  </r>
  <r>
    <x v="7"/>
    <x v="0"/>
    <x v="2"/>
    <n v="0"/>
    <m/>
    <m/>
    <m/>
    <m/>
    <m/>
    <m/>
  </r>
  <r>
    <x v="7"/>
    <x v="0"/>
    <x v="3"/>
    <n v="0"/>
    <m/>
    <m/>
    <m/>
    <m/>
    <m/>
    <m/>
  </r>
  <r>
    <x v="7"/>
    <x v="0"/>
    <x v="4"/>
    <n v="0"/>
    <m/>
    <m/>
    <m/>
    <m/>
    <m/>
    <m/>
  </r>
  <r>
    <x v="7"/>
    <x v="0"/>
    <x v="5"/>
    <n v="12"/>
    <m/>
    <m/>
    <n v="9"/>
    <n v="12"/>
    <n v="12"/>
    <n v="21"/>
  </r>
  <r>
    <x v="7"/>
    <x v="0"/>
    <x v="6"/>
    <n v="12"/>
    <m/>
    <m/>
    <n v="9"/>
    <n v="12"/>
    <n v="12"/>
    <n v="21"/>
  </r>
  <r>
    <x v="7"/>
    <x v="1"/>
    <x v="0"/>
    <n v="0"/>
    <m/>
    <m/>
    <m/>
    <m/>
    <m/>
    <m/>
  </r>
  <r>
    <x v="7"/>
    <x v="1"/>
    <x v="1"/>
    <n v="6.5"/>
    <m/>
    <m/>
    <m/>
    <m/>
    <n v="13.5"/>
    <n v="20"/>
  </r>
  <r>
    <x v="7"/>
    <x v="1"/>
    <x v="2"/>
    <n v="10"/>
    <m/>
    <m/>
    <n v="7"/>
    <n v="12"/>
    <n v="12"/>
    <n v="17"/>
  </r>
  <r>
    <x v="7"/>
    <x v="1"/>
    <x v="3"/>
    <n v="10"/>
    <m/>
    <m/>
    <n v="7"/>
    <n v="12"/>
    <n v="12"/>
    <n v="17"/>
  </r>
  <r>
    <x v="7"/>
    <x v="1"/>
    <x v="4"/>
    <n v="10"/>
    <m/>
    <m/>
    <n v="7"/>
    <n v="12"/>
    <n v="12"/>
    <n v="17"/>
  </r>
  <r>
    <x v="7"/>
    <x v="1"/>
    <x v="5"/>
    <n v="0"/>
    <m/>
    <m/>
    <m/>
    <m/>
    <m/>
    <m/>
  </r>
  <r>
    <x v="7"/>
    <x v="1"/>
    <x v="6"/>
    <n v="0"/>
    <m/>
    <m/>
    <m/>
    <m/>
    <m/>
    <m/>
  </r>
  <r>
    <x v="7"/>
    <x v="2"/>
    <x v="0"/>
    <n v="8.5"/>
    <m/>
    <m/>
    <m/>
    <m/>
    <n v="13.5"/>
    <n v="22"/>
  </r>
  <r>
    <x v="7"/>
    <x v="2"/>
    <x v="1"/>
    <n v="8.5"/>
    <m/>
    <m/>
    <m/>
    <m/>
    <n v="13.5"/>
    <n v="22"/>
  </r>
  <r>
    <x v="7"/>
    <x v="2"/>
    <x v="2"/>
    <n v="7.5"/>
    <m/>
    <m/>
    <m/>
    <m/>
    <n v="13.5"/>
    <n v="21"/>
  </r>
  <r>
    <x v="7"/>
    <x v="2"/>
    <x v="3"/>
    <n v="8"/>
    <m/>
    <m/>
    <n v="8"/>
    <n v="12"/>
    <n v="12"/>
    <n v="16"/>
  </r>
  <r>
    <x v="7"/>
    <x v="2"/>
    <x v="4"/>
    <n v="0"/>
    <m/>
    <m/>
    <m/>
    <m/>
    <m/>
    <m/>
  </r>
  <r>
    <x v="7"/>
    <x v="2"/>
    <x v="5"/>
    <n v="0"/>
    <m/>
    <m/>
    <m/>
    <m/>
    <m/>
    <m/>
  </r>
  <r>
    <x v="7"/>
    <x v="2"/>
    <x v="6"/>
    <n v="0"/>
    <m/>
    <m/>
    <m/>
    <m/>
    <m/>
    <m/>
  </r>
  <r>
    <x v="7"/>
    <x v="3"/>
    <x v="0"/>
    <n v="9"/>
    <m/>
    <m/>
    <n v="7"/>
    <n v="12"/>
    <n v="12"/>
    <n v="16"/>
  </r>
  <r>
    <x v="7"/>
    <x v="3"/>
    <x v="1"/>
    <n v="8"/>
    <m/>
    <m/>
    <n v="9"/>
    <n v="12"/>
    <n v="12"/>
    <n v="17"/>
  </r>
  <r>
    <x v="7"/>
    <x v="3"/>
    <x v="2"/>
    <n v="4"/>
    <m/>
    <n v="4"/>
    <m/>
    <m/>
    <n v="14"/>
    <n v="18"/>
  </r>
  <r>
    <x v="7"/>
    <x v="3"/>
    <x v="3"/>
    <n v="8.5"/>
    <m/>
    <m/>
    <m/>
    <m/>
    <n v="13.5"/>
    <n v="22"/>
  </r>
  <r>
    <x v="7"/>
    <x v="3"/>
    <x v="4"/>
    <n v="8.5"/>
    <m/>
    <m/>
    <m/>
    <m/>
    <n v="13.5"/>
    <n v="22"/>
  </r>
  <r>
    <x v="7"/>
    <x v="3"/>
    <x v="5"/>
    <n v="0"/>
    <m/>
    <m/>
    <m/>
    <m/>
    <m/>
    <m/>
  </r>
  <r>
    <x v="7"/>
    <x v="3"/>
    <x v="6"/>
    <n v="0"/>
    <m/>
    <m/>
    <m/>
    <m/>
    <m/>
    <m/>
  </r>
  <r>
    <x v="8"/>
    <x v="0"/>
    <x v="0"/>
    <n v="8.5"/>
    <m/>
    <m/>
    <m/>
    <m/>
    <n v="13.5"/>
    <n v="22"/>
  </r>
  <r>
    <x v="8"/>
    <x v="0"/>
    <x v="1"/>
    <n v="8.5"/>
    <m/>
    <m/>
    <m/>
    <m/>
    <n v="13.5"/>
    <n v="22"/>
  </r>
  <r>
    <x v="8"/>
    <x v="0"/>
    <x v="2"/>
    <n v="0"/>
    <m/>
    <m/>
    <m/>
    <m/>
    <m/>
    <m/>
  </r>
  <r>
    <x v="8"/>
    <x v="0"/>
    <x v="3"/>
    <n v="0"/>
    <m/>
    <m/>
    <m/>
    <m/>
    <m/>
    <m/>
  </r>
  <r>
    <x v="8"/>
    <x v="0"/>
    <x v="4"/>
    <n v="0"/>
    <m/>
    <m/>
    <m/>
    <m/>
    <m/>
    <m/>
  </r>
  <r>
    <x v="8"/>
    <x v="0"/>
    <x v="5"/>
    <n v="10"/>
    <m/>
    <m/>
    <n v="8"/>
    <n v="12"/>
    <n v="12"/>
    <n v="18"/>
  </r>
  <r>
    <x v="8"/>
    <x v="0"/>
    <x v="6"/>
    <n v="10"/>
    <m/>
    <m/>
    <n v="8"/>
    <n v="12"/>
    <n v="12"/>
    <n v="18"/>
  </r>
  <r>
    <x v="8"/>
    <x v="1"/>
    <x v="0"/>
    <n v="0"/>
    <m/>
    <m/>
    <m/>
    <m/>
    <m/>
    <m/>
  </r>
  <r>
    <x v="8"/>
    <x v="1"/>
    <x v="1"/>
    <n v="10"/>
    <m/>
    <m/>
    <n v="7"/>
    <n v="12"/>
    <n v="12"/>
    <n v="17"/>
  </r>
  <r>
    <x v="8"/>
    <x v="1"/>
    <x v="2"/>
    <n v="6.5"/>
    <m/>
    <m/>
    <n v="7"/>
    <n v="12"/>
    <n v="12"/>
    <n v="13.5"/>
  </r>
  <r>
    <x v="8"/>
    <x v="1"/>
    <x v="3"/>
    <n v="8.5"/>
    <m/>
    <m/>
    <m/>
    <m/>
    <n v="13.5"/>
    <n v="22"/>
  </r>
  <r>
    <x v="8"/>
    <x v="1"/>
    <x v="4"/>
    <n v="8.5"/>
    <m/>
    <m/>
    <m/>
    <m/>
    <n v="13.5"/>
    <n v="22"/>
  </r>
  <r>
    <x v="8"/>
    <x v="1"/>
    <x v="5"/>
    <n v="0"/>
    <m/>
    <m/>
    <m/>
    <m/>
    <m/>
    <m/>
  </r>
  <r>
    <x v="8"/>
    <x v="1"/>
    <x v="6"/>
    <n v="0"/>
    <m/>
    <m/>
    <m/>
    <m/>
    <m/>
    <m/>
  </r>
  <r>
    <x v="8"/>
    <x v="2"/>
    <x v="0"/>
    <n v="7.5"/>
    <m/>
    <m/>
    <m/>
    <m/>
    <n v="13.5"/>
    <n v="21"/>
  </r>
  <r>
    <x v="8"/>
    <x v="2"/>
    <x v="1"/>
    <n v="9"/>
    <m/>
    <m/>
    <n v="8"/>
    <n v="12"/>
    <n v="12"/>
    <n v="17"/>
  </r>
  <r>
    <x v="8"/>
    <x v="2"/>
    <x v="2"/>
    <n v="8"/>
    <m/>
    <m/>
    <n v="7"/>
    <n v="12"/>
    <n v="12"/>
    <n v="15"/>
  </r>
  <r>
    <x v="8"/>
    <x v="2"/>
    <x v="3"/>
    <n v="10"/>
    <m/>
    <m/>
    <n v="8"/>
    <n v="12"/>
    <n v="12"/>
    <n v="18"/>
  </r>
  <r>
    <x v="8"/>
    <x v="2"/>
    <x v="4"/>
    <n v="0"/>
    <m/>
    <m/>
    <m/>
    <m/>
    <m/>
    <m/>
  </r>
  <r>
    <x v="8"/>
    <x v="2"/>
    <x v="5"/>
    <n v="0"/>
    <m/>
    <m/>
    <m/>
    <m/>
    <m/>
    <m/>
  </r>
  <r>
    <x v="8"/>
    <x v="2"/>
    <x v="6"/>
    <n v="0"/>
    <m/>
    <m/>
    <m/>
    <m/>
    <m/>
    <m/>
  </r>
  <r>
    <x v="9"/>
    <x v="0"/>
    <x v="0"/>
    <n v="6"/>
    <m/>
    <m/>
    <n v="8"/>
    <n v="12"/>
    <n v="12"/>
    <n v="14"/>
  </r>
  <r>
    <x v="9"/>
    <x v="0"/>
    <x v="1"/>
    <n v="10"/>
    <m/>
    <m/>
    <n v="7"/>
    <n v="12"/>
    <n v="12"/>
    <n v="17"/>
  </r>
  <r>
    <x v="9"/>
    <x v="0"/>
    <x v="2"/>
    <n v="0"/>
    <m/>
    <m/>
    <m/>
    <m/>
    <m/>
    <m/>
  </r>
  <r>
    <x v="9"/>
    <x v="0"/>
    <x v="3"/>
    <n v="0"/>
    <m/>
    <m/>
    <m/>
    <m/>
    <m/>
    <m/>
  </r>
  <r>
    <x v="9"/>
    <x v="0"/>
    <x v="4"/>
    <n v="0"/>
    <m/>
    <m/>
    <m/>
    <m/>
    <m/>
    <m/>
  </r>
  <r>
    <x v="9"/>
    <x v="0"/>
    <x v="5"/>
    <n v="12"/>
    <m/>
    <m/>
    <n v="7.5"/>
    <n v="12"/>
    <n v="12"/>
    <n v="19.5"/>
  </r>
  <r>
    <x v="9"/>
    <x v="0"/>
    <x v="6"/>
    <n v="12"/>
    <m/>
    <m/>
    <n v="8"/>
    <n v="12"/>
    <n v="12"/>
    <n v="20"/>
  </r>
  <r>
    <x v="9"/>
    <x v="1"/>
    <x v="0"/>
    <n v="0"/>
    <m/>
    <m/>
    <m/>
    <m/>
    <m/>
    <m/>
  </r>
  <r>
    <x v="9"/>
    <x v="1"/>
    <x v="1"/>
    <n v="9"/>
    <m/>
    <m/>
    <n v="8"/>
    <n v="12"/>
    <n v="12"/>
    <n v="17"/>
  </r>
  <r>
    <x v="9"/>
    <x v="1"/>
    <x v="2"/>
    <n v="10"/>
    <m/>
    <m/>
    <n v="7"/>
    <n v="12"/>
    <n v="12"/>
    <n v="17"/>
  </r>
  <r>
    <x v="9"/>
    <x v="1"/>
    <x v="3"/>
    <n v="8"/>
    <m/>
    <m/>
    <n v="7"/>
    <n v="12"/>
    <n v="12"/>
    <n v="15"/>
  </r>
  <r>
    <x v="9"/>
    <x v="1"/>
    <x v="4"/>
    <n v="10"/>
    <m/>
    <m/>
    <n v="8"/>
    <n v="12"/>
    <n v="12"/>
    <n v="18"/>
  </r>
  <r>
    <x v="9"/>
    <x v="1"/>
    <x v="5"/>
    <n v="0"/>
    <m/>
    <m/>
    <m/>
    <m/>
    <m/>
    <m/>
  </r>
  <r>
    <x v="9"/>
    <x v="1"/>
    <x v="6"/>
    <n v="0"/>
    <m/>
    <m/>
    <m/>
    <m/>
    <m/>
    <m/>
  </r>
  <r>
    <x v="9"/>
    <x v="2"/>
    <x v="0"/>
    <n v="8.5"/>
    <m/>
    <m/>
    <m/>
    <m/>
    <n v="13.5"/>
    <n v="22"/>
  </r>
  <r>
    <x v="9"/>
    <x v="2"/>
    <x v="1"/>
    <n v="7.5"/>
    <m/>
    <m/>
    <m/>
    <m/>
    <n v="13.5"/>
    <n v="21"/>
  </r>
  <r>
    <x v="9"/>
    <x v="2"/>
    <x v="2"/>
    <n v="10"/>
    <m/>
    <m/>
    <n v="8"/>
    <n v="12"/>
    <n v="12"/>
    <n v="18"/>
  </r>
  <r>
    <x v="9"/>
    <x v="2"/>
    <x v="3"/>
    <n v="5"/>
    <m/>
    <n v="5"/>
    <m/>
    <m/>
    <n v="14"/>
    <n v="19"/>
  </r>
  <r>
    <x v="9"/>
    <x v="2"/>
    <x v="4"/>
    <n v="7"/>
    <m/>
    <m/>
    <n v="7"/>
    <n v="14"/>
    <m/>
    <m/>
  </r>
  <r>
    <x v="9"/>
    <x v="2"/>
    <x v="5"/>
    <n v="0"/>
    <m/>
    <m/>
    <m/>
    <m/>
    <m/>
    <m/>
  </r>
  <r>
    <x v="9"/>
    <x v="2"/>
    <x v="6"/>
    <n v="0"/>
    <m/>
    <m/>
    <m/>
    <m/>
    <m/>
    <m/>
  </r>
  <r>
    <x v="9"/>
    <x v="3"/>
    <x v="0"/>
    <n v="10"/>
    <m/>
    <m/>
    <n v="7"/>
    <n v="12"/>
    <n v="12"/>
    <n v="17"/>
  </r>
  <r>
    <x v="9"/>
    <x v="3"/>
    <x v="1"/>
    <n v="6.5"/>
    <m/>
    <m/>
    <m/>
    <m/>
    <n v="13.5"/>
    <n v="20"/>
  </r>
  <r>
    <x v="9"/>
    <x v="3"/>
    <x v="2"/>
    <n v="0"/>
    <m/>
    <m/>
    <m/>
    <m/>
    <m/>
    <m/>
  </r>
  <r>
    <x v="9"/>
    <x v="3"/>
    <x v="3"/>
    <n v="0"/>
    <m/>
    <m/>
    <m/>
    <m/>
    <m/>
    <m/>
  </r>
  <r>
    <x v="9"/>
    <x v="3"/>
    <x v="4"/>
    <n v="0"/>
    <m/>
    <m/>
    <m/>
    <m/>
    <m/>
    <m/>
  </r>
  <r>
    <x v="9"/>
    <x v="3"/>
    <x v="5"/>
    <n v="12"/>
    <m/>
    <m/>
    <n v="10"/>
    <n v="12"/>
    <n v="12"/>
    <n v="22"/>
  </r>
  <r>
    <x v="9"/>
    <x v="3"/>
    <x v="6"/>
    <n v="12"/>
    <m/>
    <m/>
    <n v="10"/>
    <n v="12"/>
    <n v="12"/>
    <n v="22"/>
  </r>
  <r>
    <x v="9"/>
    <x v="4"/>
    <x v="0"/>
    <n v="0"/>
    <m/>
    <m/>
    <m/>
    <m/>
    <m/>
    <m/>
  </r>
  <r>
    <x v="9"/>
    <x v="4"/>
    <x v="1"/>
    <n v="3.5"/>
    <m/>
    <m/>
    <m/>
    <m/>
    <n v="13.5"/>
    <n v="17"/>
  </r>
  <r>
    <x v="9"/>
    <x v="4"/>
    <x v="2"/>
    <n v="8.5"/>
    <m/>
    <m/>
    <m/>
    <m/>
    <n v="13.5"/>
    <n v="22"/>
  </r>
  <r>
    <x v="9"/>
    <x v="4"/>
    <x v="3"/>
    <n v="10"/>
    <m/>
    <m/>
    <n v="11.5"/>
    <n v="12"/>
    <n v="12"/>
    <n v="21.5"/>
  </r>
  <r>
    <x v="9"/>
    <x v="4"/>
    <x v="4"/>
    <n v="7.5"/>
    <m/>
    <m/>
    <m/>
    <m/>
    <n v="13.5"/>
    <n v="21"/>
  </r>
  <r>
    <x v="9"/>
    <x v="4"/>
    <x v="5"/>
    <n v="0"/>
    <m/>
    <m/>
    <m/>
    <m/>
    <m/>
    <m/>
  </r>
  <r>
    <x v="9"/>
    <x v="4"/>
    <x v="6"/>
    <n v="0"/>
    <m/>
    <m/>
    <m/>
    <m/>
    <m/>
    <m/>
  </r>
  <r>
    <x v="10"/>
    <x v="0"/>
    <x v="0"/>
    <n v="8.5"/>
    <m/>
    <m/>
    <m/>
    <m/>
    <n v="14"/>
    <n v="22.5"/>
  </r>
  <r>
    <x v="10"/>
    <x v="0"/>
    <x v="1"/>
    <n v="9"/>
    <m/>
    <m/>
    <n v="9.5"/>
    <n v="12.5"/>
    <n v="16.5"/>
    <n v="22.5"/>
  </r>
  <r>
    <x v="10"/>
    <x v="0"/>
    <x v="2"/>
    <n v="0"/>
    <m/>
    <m/>
    <m/>
    <m/>
    <m/>
    <m/>
  </r>
  <r>
    <x v="10"/>
    <x v="0"/>
    <x v="3"/>
    <n v="0"/>
    <m/>
    <m/>
    <m/>
    <m/>
    <m/>
    <m/>
  </r>
  <r>
    <x v="10"/>
    <x v="0"/>
    <x v="4"/>
    <n v="0"/>
    <m/>
    <m/>
    <m/>
    <m/>
    <m/>
    <m/>
  </r>
  <r>
    <x v="10"/>
    <x v="0"/>
    <x v="5"/>
    <n v="12"/>
    <m/>
    <m/>
    <n v="11"/>
    <n v="12"/>
    <n v="12"/>
    <n v="23"/>
  </r>
  <r>
    <x v="10"/>
    <x v="0"/>
    <x v="6"/>
    <n v="12"/>
    <m/>
    <m/>
    <n v="11"/>
    <n v="12"/>
    <n v="12"/>
    <n v="23"/>
  </r>
  <r>
    <x v="10"/>
    <x v="1"/>
    <x v="0"/>
    <n v="0"/>
    <m/>
    <m/>
    <m/>
    <m/>
    <m/>
    <m/>
  </r>
  <r>
    <x v="10"/>
    <x v="1"/>
    <x v="1"/>
    <n v="9"/>
    <m/>
    <n v="6"/>
    <n v="9.5"/>
    <n v="12.5"/>
    <n v="16.5"/>
    <n v="22.5"/>
  </r>
  <r>
    <x v="10"/>
    <x v="1"/>
    <x v="2"/>
    <n v="8"/>
    <m/>
    <m/>
    <m/>
    <m/>
    <n v="14.5"/>
    <n v="22.5"/>
  </r>
  <r>
    <x v="10"/>
    <x v="1"/>
    <x v="3"/>
    <n v="6"/>
    <m/>
    <m/>
    <m/>
    <m/>
    <n v="14"/>
    <n v="20"/>
  </r>
  <r>
    <x v="10"/>
    <x v="1"/>
    <x v="4"/>
    <n v="10"/>
    <m/>
    <m/>
    <n v="7"/>
    <n v="9.5"/>
    <n v="15.5"/>
    <n v="23"/>
  </r>
  <r>
    <x v="10"/>
    <x v="1"/>
    <x v="5"/>
    <n v="0"/>
    <m/>
    <m/>
    <m/>
    <m/>
    <m/>
    <m/>
  </r>
  <r>
    <x v="10"/>
    <x v="1"/>
    <x v="6"/>
    <n v="0"/>
    <m/>
    <m/>
    <m/>
    <m/>
    <m/>
    <m/>
  </r>
  <r>
    <x v="10"/>
    <x v="2"/>
    <x v="0"/>
    <n v="8"/>
    <m/>
    <m/>
    <m/>
    <m/>
    <n v="14"/>
    <n v="22"/>
  </r>
  <r>
    <x v="10"/>
    <x v="2"/>
    <x v="1"/>
    <n v="7.5"/>
    <m/>
    <m/>
    <n v="9.5"/>
    <n v="12.5"/>
    <n v="16.5"/>
    <n v="21"/>
  </r>
  <r>
    <x v="10"/>
    <x v="2"/>
    <x v="2"/>
    <n v="10"/>
    <m/>
    <m/>
    <n v="9"/>
    <n v="12"/>
    <n v="12"/>
    <n v="19"/>
  </r>
  <r>
    <x v="10"/>
    <x v="2"/>
    <x v="3"/>
    <n v="11"/>
    <m/>
    <m/>
    <n v="7"/>
    <n v="9.5"/>
    <n v="14"/>
    <n v="22.5"/>
  </r>
  <r>
    <x v="10"/>
    <x v="2"/>
    <x v="4"/>
    <n v="0"/>
    <m/>
    <m/>
    <m/>
    <m/>
    <m/>
    <m/>
  </r>
  <r>
    <x v="10"/>
    <x v="2"/>
    <x v="5"/>
    <n v="0"/>
    <m/>
    <m/>
    <m/>
    <m/>
    <m/>
    <m/>
  </r>
  <r>
    <x v="10"/>
    <x v="2"/>
    <x v="6"/>
    <n v="0"/>
    <m/>
    <m/>
    <m/>
    <m/>
    <m/>
    <m/>
  </r>
  <r>
    <x v="10"/>
    <x v="3"/>
    <x v="0"/>
    <n v="8.5"/>
    <m/>
    <m/>
    <m/>
    <m/>
    <n v="14"/>
    <n v="22.5"/>
  </r>
  <r>
    <x v="10"/>
    <x v="3"/>
    <x v="1"/>
    <n v="9"/>
    <m/>
    <m/>
    <n v="9.5"/>
    <n v="12.5"/>
    <n v="16.5"/>
    <n v="22.5"/>
  </r>
  <r>
    <x v="10"/>
    <x v="3"/>
    <x v="2"/>
    <n v="0"/>
    <m/>
    <m/>
    <m/>
    <m/>
    <m/>
    <m/>
  </r>
  <r>
    <x v="10"/>
    <x v="3"/>
    <x v="3"/>
    <n v="0"/>
    <m/>
    <m/>
    <m/>
    <m/>
    <m/>
    <m/>
  </r>
  <r>
    <x v="10"/>
    <x v="3"/>
    <x v="4"/>
    <n v="0"/>
    <m/>
    <m/>
    <m/>
    <m/>
    <m/>
    <m/>
  </r>
  <r>
    <x v="10"/>
    <x v="3"/>
    <x v="5"/>
    <n v="12"/>
    <m/>
    <m/>
    <n v="11"/>
    <n v="12"/>
    <n v="12"/>
    <n v="23"/>
  </r>
  <r>
    <x v="10"/>
    <x v="3"/>
    <x v="6"/>
    <n v="12"/>
    <m/>
    <m/>
    <n v="11"/>
    <n v="12"/>
    <n v="12"/>
    <n v="23"/>
  </r>
  <r>
    <x v="10"/>
    <x v="4"/>
    <x v="0"/>
    <n v="0"/>
    <m/>
    <m/>
    <m/>
    <m/>
    <m/>
    <m/>
  </r>
  <r>
    <x v="10"/>
    <x v="4"/>
    <x v="1"/>
    <n v="8.5"/>
    <m/>
    <m/>
    <n v="9.5"/>
    <n v="12.5"/>
    <n v="16.5"/>
    <n v="22"/>
  </r>
  <r>
    <x v="10"/>
    <x v="4"/>
    <x v="2"/>
    <n v="8.5"/>
    <m/>
    <m/>
    <m/>
    <m/>
    <n v="14"/>
    <n v="22.5"/>
  </r>
  <r>
    <x v="10"/>
    <x v="4"/>
    <x v="3"/>
    <n v="6"/>
    <m/>
    <m/>
    <m/>
    <m/>
    <n v="14"/>
    <n v="20"/>
  </r>
  <r>
    <x v="10"/>
    <x v="4"/>
    <x v="4"/>
    <n v="10"/>
    <m/>
    <m/>
    <n v="7"/>
    <n v="9.5"/>
    <n v="15.5"/>
    <n v="23"/>
  </r>
  <r>
    <x v="10"/>
    <x v="4"/>
    <x v="5"/>
    <n v="0"/>
    <m/>
    <m/>
    <m/>
    <m/>
    <m/>
    <m/>
  </r>
  <r>
    <x v="10"/>
    <x v="4"/>
    <x v="6"/>
    <n v="0"/>
    <m/>
    <m/>
    <m/>
    <m/>
    <m/>
    <m/>
  </r>
  <r>
    <x v="10"/>
    <x v="5"/>
    <x v="0"/>
    <n v="8"/>
    <m/>
    <m/>
    <m/>
    <m/>
    <n v="14"/>
    <n v="22"/>
  </r>
  <r>
    <x v="10"/>
    <x v="5"/>
    <x v="1"/>
    <n v="7.5"/>
    <m/>
    <m/>
    <n v="9.5"/>
    <n v="12.5"/>
    <n v="16.5"/>
    <n v="21"/>
  </r>
  <r>
    <x v="10"/>
    <x v="5"/>
    <x v="2"/>
    <n v="10"/>
    <m/>
    <m/>
    <n v="9"/>
    <n v="12"/>
    <n v="12"/>
    <n v="19"/>
  </r>
  <r>
    <x v="10"/>
    <x v="5"/>
    <x v="3"/>
    <n v="11"/>
    <m/>
    <m/>
    <n v="7"/>
    <n v="9.5"/>
    <n v="14"/>
    <n v="22.5"/>
  </r>
  <r>
    <x v="10"/>
    <x v="5"/>
    <x v="4"/>
    <n v="0"/>
    <m/>
    <m/>
    <m/>
    <m/>
    <m/>
    <m/>
  </r>
  <r>
    <x v="10"/>
    <x v="5"/>
    <x v="5"/>
    <n v="0"/>
    <m/>
    <m/>
    <m/>
    <m/>
    <m/>
    <m/>
  </r>
  <r>
    <x v="10"/>
    <x v="5"/>
    <x v="6"/>
    <n v="0"/>
    <m/>
    <m/>
    <m/>
    <m/>
    <m/>
    <m/>
  </r>
  <r>
    <x v="11"/>
    <x v="0"/>
    <x v="0"/>
    <n v="8.5"/>
    <m/>
    <m/>
    <m/>
    <m/>
    <n v="14"/>
    <n v="22.5"/>
  </r>
  <r>
    <x v="11"/>
    <x v="0"/>
    <x v="1"/>
    <n v="9"/>
    <m/>
    <m/>
    <n v="9.5"/>
    <n v="12.5"/>
    <n v="16.5"/>
    <n v="22.5"/>
  </r>
  <r>
    <x v="11"/>
    <x v="0"/>
    <x v="2"/>
    <n v="0"/>
    <m/>
    <m/>
    <m/>
    <m/>
    <m/>
    <m/>
  </r>
  <r>
    <x v="11"/>
    <x v="0"/>
    <x v="3"/>
    <n v="0"/>
    <m/>
    <m/>
    <m/>
    <m/>
    <m/>
    <m/>
  </r>
  <r>
    <x v="11"/>
    <x v="0"/>
    <x v="4"/>
    <n v="0"/>
    <m/>
    <m/>
    <m/>
    <m/>
    <m/>
    <m/>
  </r>
  <r>
    <x v="11"/>
    <x v="0"/>
    <x v="5"/>
    <n v="12"/>
    <m/>
    <m/>
    <n v="9"/>
    <n v="12"/>
    <n v="12"/>
    <n v="21"/>
  </r>
  <r>
    <x v="11"/>
    <x v="0"/>
    <x v="6"/>
    <n v="12"/>
    <m/>
    <m/>
    <n v="9"/>
    <n v="12"/>
    <n v="12"/>
    <n v="21"/>
  </r>
  <r>
    <x v="11"/>
    <x v="1"/>
    <x v="0"/>
    <n v="0"/>
    <m/>
    <m/>
    <m/>
    <m/>
    <m/>
    <m/>
  </r>
  <r>
    <x v="11"/>
    <x v="1"/>
    <x v="1"/>
    <n v="11.5"/>
    <m/>
    <n v="6"/>
    <n v="7"/>
    <n v="12.5"/>
    <n v="16.5"/>
    <n v="22.5"/>
  </r>
  <r>
    <x v="11"/>
    <x v="1"/>
    <x v="2"/>
    <n v="5.5"/>
    <m/>
    <m/>
    <m/>
    <m/>
    <n v="16.5"/>
    <n v="22"/>
  </r>
  <r>
    <x v="11"/>
    <x v="1"/>
    <x v="3"/>
    <n v="10"/>
    <m/>
    <m/>
    <n v="9"/>
    <n v="12"/>
    <n v="12"/>
    <n v="19"/>
  </r>
  <r>
    <x v="11"/>
    <x v="1"/>
    <x v="4"/>
    <n v="10"/>
    <m/>
    <m/>
    <n v="7"/>
    <n v="9.5"/>
    <n v="15.5"/>
    <n v="23"/>
  </r>
  <r>
    <x v="11"/>
    <x v="1"/>
    <x v="5"/>
    <n v="0"/>
    <m/>
    <m/>
    <m/>
    <m/>
    <m/>
    <m/>
  </r>
  <r>
    <x v="11"/>
    <x v="1"/>
    <x v="6"/>
    <n v="0"/>
    <m/>
    <m/>
    <m/>
    <m/>
    <m/>
    <m/>
  </r>
  <r>
    <x v="11"/>
    <x v="2"/>
    <x v="0"/>
    <n v="9.5"/>
    <m/>
    <m/>
    <n v="7"/>
    <n v="9.5"/>
    <n v="14"/>
    <n v="21"/>
  </r>
  <r>
    <x v="11"/>
    <x v="2"/>
    <x v="1"/>
    <n v="6"/>
    <m/>
    <m/>
    <n v="9.5"/>
    <n v="12.5"/>
    <n v="16.5"/>
    <n v="19.5"/>
  </r>
  <r>
    <x v="11"/>
    <x v="2"/>
    <x v="2"/>
    <n v="8.5"/>
    <m/>
    <m/>
    <n v="7"/>
    <n v="9.5"/>
    <n v="16.5"/>
    <n v="22.5"/>
  </r>
  <r>
    <x v="11"/>
    <x v="2"/>
    <x v="3"/>
    <n v="8.5"/>
    <m/>
    <m/>
    <m/>
    <m/>
    <n v="14"/>
    <n v="22.5"/>
  </r>
  <r>
    <x v="11"/>
    <x v="2"/>
    <x v="4"/>
    <n v="0"/>
    <m/>
    <m/>
    <m/>
    <m/>
    <m/>
    <m/>
  </r>
  <r>
    <x v="11"/>
    <x v="2"/>
    <x v="5"/>
    <n v="0"/>
    <m/>
    <m/>
    <m/>
    <m/>
    <m/>
    <m/>
  </r>
  <r>
    <x v="11"/>
    <x v="2"/>
    <x v="6"/>
    <n v="0"/>
    <m/>
    <m/>
    <m/>
    <m/>
    <m/>
    <m/>
  </r>
  <r>
    <x v="11"/>
    <x v="3"/>
    <x v="0"/>
    <n v="8.5"/>
    <m/>
    <m/>
    <m/>
    <m/>
    <n v="14"/>
    <n v="22.5"/>
  </r>
  <r>
    <x v="11"/>
    <x v="3"/>
    <x v="1"/>
    <n v="9"/>
    <m/>
    <m/>
    <n v="9.5"/>
    <n v="12.5"/>
    <n v="16.5"/>
    <n v="22.5"/>
  </r>
  <r>
    <x v="11"/>
    <x v="3"/>
    <x v="2"/>
    <n v="0"/>
    <m/>
    <m/>
    <m/>
    <m/>
    <m/>
    <m/>
  </r>
  <r>
    <x v="11"/>
    <x v="3"/>
    <x v="3"/>
    <n v="0"/>
    <m/>
    <m/>
    <m/>
    <m/>
    <m/>
    <m/>
  </r>
  <r>
    <x v="11"/>
    <x v="3"/>
    <x v="4"/>
    <n v="0"/>
    <m/>
    <m/>
    <m/>
    <m/>
    <m/>
    <m/>
  </r>
  <r>
    <x v="11"/>
    <x v="3"/>
    <x v="5"/>
    <n v="12"/>
    <m/>
    <m/>
    <n v="9"/>
    <n v="12"/>
    <n v="12"/>
    <n v="21"/>
  </r>
  <r>
    <x v="11"/>
    <x v="3"/>
    <x v="6"/>
    <n v="12"/>
    <m/>
    <m/>
    <n v="9"/>
    <n v="12"/>
    <n v="12"/>
    <n v="21"/>
  </r>
  <r>
    <x v="11"/>
    <x v="4"/>
    <x v="0"/>
    <n v="0"/>
    <m/>
    <m/>
    <m/>
    <m/>
    <m/>
    <m/>
  </r>
  <r>
    <x v="11"/>
    <x v="4"/>
    <x v="1"/>
    <n v="11"/>
    <m/>
    <m/>
    <n v="7"/>
    <n v="12.5"/>
    <n v="16.5"/>
    <n v="22"/>
  </r>
  <r>
    <x v="11"/>
    <x v="4"/>
    <x v="2"/>
    <n v="5.5"/>
    <m/>
    <m/>
    <m/>
    <m/>
    <n v="16.5"/>
    <n v="22"/>
  </r>
  <r>
    <x v="11"/>
    <x v="4"/>
    <x v="3"/>
    <n v="10"/>
    <m/>
    <m/>
    <n v="9"/>
    <n v="12"/>
    <n v="12"/>
    <n v="19"/>
  </r>
  <r>
    <x v="11"/>
    <x v="4"/>
    <x v="4"/>
    <n v="10"/>
    <m/>
    <m/>
    <n v="7"/>
    <n v="9.5"/>
    <n v="15.5"/>
    <n v="23"/>
  </r>
  <r>
    <x v="11"/>
    <x v="4"/>
    <x v="5"/>
    <n v="0"/>
    <m/>
    <m/>
    <m/>
    <m/>
    <m/>
    <m/>
  </r>
  <r>
    <x v="11"/>
    <x v="4"/>
    <x v="6"/>
    <n v="0"/>
    <m/>
    <m/>
    <m/>
    <m/>
    <m/>
    <m/>
  </r>
  <r>
    <x v="11"/>
    <x v="5"/>
    <x v="0"/>
    <n v="9.5"/>
    <m/>
    <m/>
    <n v="7"/>
    <n v="9.5"/>
    <n v="14"/>
    <n v="21"/>
  </r>
  <r>
    <x v="11"/>
    <x v="5"/>
    <x v="1"/>
    <n v="6.5"/>
    <m/>
    <m/>
    <n v="9.5"/>
    <n v="12.5"/>
    <n v="16.5"/>
    <n v="20"/>
  </r>
  <r>
    <x v="11"/>
    <x v="5"/>
    <x v="2"/>
    <n v="8.5"/>
    <m/>
    <m/>
    <n v="7"/>
    <n v="9.5"/>
    <n v="16.5"/>
    <n v="22.5"/>
  </r>
  <r>
    <x v="11"/>
    <x v="5"/>
    <x v="3"/>
    <n v="8.5"/>
    <m/>
    <m/>
    <m/>
    <m/>
    <n v="14"/>
    <n v="22.5"/>
  </r>
  <r>
    <x v="11"/>
    <x v="5"/>
    <x v="4"/>
    <n v="0"/>
    <m/>
    <m/>
    <m/>
    <m/>
    <m/>
    <m/>
  </r>
  <r>
    <x v="11"/>
    <x v="5"/>
    <x v="5"/>
    <n v="0"/>
    <m/>
    <m/>
    <m/>
    <m/>
    <m/>
    <m/>
  </r>
  <r>
    <x v="11"/>
    <x v="5"/>
    <x v="6"/>
    <n v="0"/>
    <m/>
    <m/>
    <m/>
    <m/>
    <m/>
    <m/>
  </r>
  <r>
    <x v="12"/>
    <x v="0"/>
    <x v="0"/>
    <n v="0"/>
    <m/>
    <m/>
    <m/>
    <m/>
    <m/>
    <m/>
  </r>
  <r>
    <x v="12"/>
    <x v="0"/>
    <x v="1"/>
    <n v="3"/>
    <m/>
    <m/>
    <n v="9.5"/>
    <n v="12.5"/>
    <m/>
    <m/>
  </r>
  <r>
    <x v="12"/>
    <x v="0"/>
    <x v="2"/>
    <n v="0"/>
    <m/>
    <m/>
    <m/>
    <m/>
    <m/>
    <m/>
  </r>
  <r>
    <x v="12"/>
    <x v="0"/>
    <x v="3"/>
    <n v="2.5"/>
    <m/>
    <m/>
    <n v="7"/>
    <n v="9.5"/>
    <m/>
    <m/>
  </r>
  <r>
    <x v="12"/>
    <x v="0"/>
    <x v="4"/>
    <n v="0"/>
    <m/>
    <m/>
    <m/>
    <m/>
    <m/>
    <m/>
  </r>
  <r>
    <x v="12"/>
    <x v="0"/>
    <x v="5"/>
    <n v="8"/>
    <m/>
    <m/>
    <n v="11"/>
    <n v="12"/>
    <n v="12"/>
    <n v="19"/>
  </r>
  <r>
    <x v="12"/>
    <x v="0"/>
    <x v="6"/>
    <n v="8"/>
    <m/>
    <m/>
    <n v="11"/>
    <n v="12"/>
    <n v="12"/>
    <n v="19"/>
  </r>
  <r>
    <x v="12"/>
    <x v="1"/>
    <x v="0"/>
    <n v="7"/>
    <m/>
    <m/>
    <m/>
    <m/>
    <n v="14"/>
    <n v="21"/>
  </r>
  <r>
    <x v="12"/>
    <x v="1"/>
    <x v="1"/>
    <n v="4.5"/>
    <m/>
    <m/>
    <m/>
    <m/>
    <n v="16.5"/>
    <n v="21"/>
  </r>
  <r>
    <x v="12"/>
    <x v="1"/>
    <x v="2"/>
    <n v="0"/>
    <m/>
    <m/>
    <m/>
    <m/>
    <m/>
    <m/>
  </r>
  <r>
    <x v="12"/>
    <x v="1"/>
    <x v="3"/>
    <n v="2.5"/>
    <m/>
    <m/>
    <n v="7"/>
    <n v="9.5"/>
    <m/>
    <m/>
  </r>
  <r>
    <x v="12"/>
    <x v="1"/>
    <x v="4"/>
    <n v="5.5"/>
    <m/>
    <m/>
    <m/>
    <m/>
    <n v="15.5"/>
    <n v="21"/>
  </r>
  <r>
    <x v="12"/>
    <x v="1"/>
    <x v="5"/>
    <n v="0"/>
    <m/>
    <m/>
    <m/>
    <m/>
    <m/>
    <m/>
  </r>
  <r>
    <x v="12"/>
    <x v="1"/>
    <x v="6"/>
    <n v="0"/>
    <m/>
    <m/>
    <m/>
    <m/>
    <m/>
    <m/>
  </r>
  <r>
    <x v="12"/>
    <x v="2"/>
    <x v="0"/>
    <n v="0"/>
    <m/>
    <m/>
    <m/>
    <m/>
    <m/>
    <m/>
  </r>
  <r>
    <x v="12"/>
    <x v="2"/>
    <x v="1"/>
    <n v="3"/>
    <m/>
    <m/>
    <n v="9.5"/>
    <n v="12.5"/>
    <m/>
    <m/>
  </r>
  <r>
    <x v="12"/>
    <x v="2"/>
    <x v="2"/>
    <n v="0"/>
    <m/>
    <m/>
    <m/>
    <m/>
    <m/>
    <m/>
  </r>
  <r>
    <x v="12"/>
    <x v="2"/>
    <x v="3"/>
    <n v="9.5"/>
    <m/>
    <m/>
    <n v="7"/>
    <n v="9.5"/>
    <n v="14"/>
    <n v="21"/>
  </r>
  <r>
    <x v="12"/>
    <x v="2"/>
    <x v="4"/>
    <n v="0"/>
    <m/>
    <m/>
    <m/>
    <m/>
    <m/>
    <m/>
  </r>
  <r>
    <x v="12"/>
    <x v="2"/>
    <x v="5"/>
    <n v="0"/>
    <m/>
    <m/>
    <m/>
    <m/>
    <m/>
    <m/>
  </r>
  <r>
    <x v="12"/>
    <x v="2"/>
    <x v="6"/>
    <n v="0"/>
    <m/>
    <m/>
    <m/>
    <m/>
    <m/>
    <m/>
  </r>
  <r>
    <x v="12"/>
    <x v="3"/>
    <x v="0"/>
    <n v="5"/>
    <m/>
    <m/>
    <m/>
    <m/>
    <n v="16.5"/>
    <n v="21.5"/>
  </r>
  <r>
    <x v="12"/>
    <x v="3"/>
    <x v="1"/>
    <n v="4.5"/>
    <m/>
    <m/>
    <m/>
    <m/>
    <n v="16.5"/>
    <n v="21"/>
  </r>
  <r>
    <x v="12"/>
    <x v="3"/>
    <x v="2"/>
    <n v="0"/>
    <m/>
    <m/>
    <m/>
    <m/>
    <m/>
    <m/>
  </r>
  <r>
    <x v="12"/>
    <x v="3"/>
    <x v="3"/>
    <n v="7"/>
    <m/>
    <m/>
    <n v="7"/>
    <n v="9.5"/>
    <n v="16.5"/>
    <n v="21"/>
  </r>
  <r>
    <x v="12"/>
    <x v="3"/>
    <x v="4"/>
    <n v="0"/>
    <m/>
    <m/>
    <m/>
    <m/>
    <m/>
    <m/>
  </r>
  <r>
    <x v="12"/>
    <x v="3"/>
    <x v="5"/>
    <n v="0"/>
    <m/>
    <m/>
    <m/>
    <m/>
    <m/>
    <m/>
  </r>
  <r>
    <x v="12"/>
    <x v="3"/>
    <x v="6"/>
    <n v="0"/>
    <m/>
    <m/>
    <m/>
    <m/>
    <m/>
    <m/>
  </r>
  <r>
    <x v="13"/>
    <x v="0"/>
    <x v="0"/>
    <n v="10"/>
    <m/>
    <m/>
    <n v="7"/>
    <n v="12"/>
    <n v="12"/>
    <n v="17"/>
  </r>
  <r>
    <x v="13"/>
    <x v="0"/>
    <x v="1"/>
    <n v="8"/>
    <m/>
    <m/>
    <n v="9.5"/>
    <n v="12.5"/>
    <n v="16.5"/>
    <n v="21.5"/>
  </r>
  <r>
    <x v="13"/>
    <x v="0"/>
    <x v="2"/>
    <n v="0"/>
    <m/>
    <m/>
    <m/>
    <m/>
    <m/>
    <m/>
  </r>
  <r>
    <x v="13"/>
    <x v="0"/>
    <x v="3"/>
    <n v="0"/>
    <m/>
    <m/>
    <m/>
    <m/>
    <m/>
    <m/>
  </r>
  <r>
    <x v="13"/>
    <x v="0"/>
    <x v="4"/>
    <n v="0"/>
    <m/>
    <m/>
    <m/>
    <m/>
    <m/>
    <m/>
  </r>
  <r>
    <x v="13"/>
    <x v="0"/>
    <x v="5"/>
    <n v="12"/>
    <m/>
    <m/>
    <n v="9"/>
    <n v="12"/>
    <n v="12"/>
    <n v="21"/>
  </r>
  <r>
    <x v="13"/>
    <x v="0"/>
    <x v="6"/>
    <n v="12"/>
    <m/>
    <m/>
    <n v="9"/>
    <n v="12"/>
    <n v="12"/>
    <n v="21"/>
  </r>
  <r>
    <x v="13"/>
    <x v="1"/>
    <x v="0"/>
    <n v="0"/>
    <m/>
    <m/>
    <m/>
    <m/>
    <m/>
    <m/>
  </r>
  <r>
    <x v="13"/>
    <x v="1"/>
    <x v="1"/>
    <n v="11.5"/>
    <m/>
    <n v="6"/>
    <n v="7"/>
    <n v="12.5"/>
    <n v="16"/>
    <n v="22"/>
  </r>
  <r>
    <x v="13"/>
    <x v="1"/>
    <x v="2"/>
    <n v="8.5"/>
    <m/>
    <m/>
    <n v="7"/>
    <n v="9.5"/>
    <n v="16.5"/>
    <n v="22.5"/>
  </r>
  <r>
    <x v="13"/>
    <x v="1"/>
    <x v="3"/>
    <n v="8.5"/>
    <m/>
    <m/>
    <m/>
    <m/>
    <n v="14"/>
    <n v="22.5"/>
  </r>
  <r>
    <x v="13"/>
    <x v="1"/>
    <x v="4"/>
    <n v="7.5"/>
    <m/>
    <m/>
    <m/>
    <m/>
    <n v="15.5"/>
    <n v="23"/>
  </r>
  <r>
    <x v="13"/>
    <x v="1"/>
    <x v="5"/>
    <n v="0"/>
    <m/>
    <m/>
    <m/>
    <m/>
    <m/>
    <m/>
  </r>
  <r>
    <x v="13"/>
    <x v="1"/>
    <x v="6"/>
    <n v="0"/>
    <m/>
    <m/>
    <m/>
    <m/>
    <m/>
    <m/>
  </r>
  <r>
    <x v="13"/>
    <x v="2"/>
    <x v="0"/>
    <n v="8.5"/>
    <m/>
    <m/>
    <m/>
    <m/>
    <n v="14"/>
    <n v="22.5"/>
  </r>
  <r>
    <x v="13"/>
    <x v="2"/>
    <x v="1"/>
    <n v="9"/>
    <m/>
    <m/>
    <n v="9.5"/>
    <n v="12.5"/>
    <n v="16.5"/>
    <n v="22.5"/>
  </r>
  <r>
    <x v="13"/>
    <x v="2"/>
    <x v="2"/>
    <n v="6"/>
    <m/>
    <m/>
    <m/>
    <m/>
    <n v="14"/>
    <n v="20"/>
  </r>
  <r>
    <x v="13"/>
    <x v="2"/>
    <x v="3"/>
    <n v="10.5"/>
    <m/>
    <m/>
    <n v="7"/>
    <n v="9.5"/>
    <n v="14"/>
    <n v="22"/>
  </r>
  <r>
    <x v="13"/>
    <x v="2"/>
    <x v="4"/>
    <n v="0"/>
    <m/>
    <m/>
    <m/>
    <m/>
    <m/>
    <m/>
  </r>
  <r>
    <x v="13"/>
    <x v="2"/>
    <x v="5"/>
    <n v="0"/>
    <m/>
    <m/>
    <m/>
    <m/>
    <m/>
    <m/>
  </r>
  <r>
    <x v="13"/>
    <x v="2"/>
    <x v="6"/>
    <n v="0"/>
    <m/>
    <m/>
    <m/>
    <m/>
    <m/>
    <m/>
  </r>
  <r>
    <x v="13"/>
    <x v="3"/>
    <x v="0"/>
    <n v="10"/>
    <m/>
    <m/>
    <n v="7"/>
    <n v="12"/>
    <n v="12"/>
    <n v="17"/>
  </r>
  <r>
    <x v="13"/>
    <x v="3"/>
    <x v="1"/>
    <n v="8.5"/>
    <m/>
    <m/>
    <n v="9.5"/>
    <n v="12.5"/>
    <n v="16.5"/>
    <n v="22"/>
  </r>
  <r>
    <x v="13"/>
    <x v="3"/>
    <x v="2"/>
    <n v="0"/>
    <m/>
    <m/>
    <m/>
    <m/>
    <m/>
    <m/>
  </r>
  <r>
    <x v="13"/>
    <x v="3"/>
    <x v="3"/>
    <n v="0"/>
    <m/>
    <m/>
    <m/>
    <m/>
    <m/>
    <m/>
  </r>
  <r>
    <x v="13"/>
    <x v="3"/>
    <x v="4"/>
    <n v="0"/>
    <m/>
    <m/>
    <m/>
    <m/>
    <m/>
    <m/>
  </r>
  <r>
    <x v="13"/>
    <x v="3"/>
    <x v="5"/>
    <n v="12"/>
    <m/>
    <m/>
    <n v="9"/>
    <n v="12"/>
    <n v="12"/>
    <n v="21"/>
  </r>
  <r>
    <x v="13"/>
    <x v="3"/>
    <x v="6"/>
    <n v="12"/>
    <m/>
    <m/>
    <n v="9"/>
    <n v="12"/>
    <n v="12"/>
    <n v="21"/>
  </r>
  <r>
    <x v="13"/>
    <x v="4"/>
    <x v="0"/>
    <n v="0"/>
    <m/>
    <m/>
    <m/>
    <m/>
    <m/>
    <m/>
  </r>
  <r>
    <x v="13"/>
    <x v="4"/>
    <x v="1"/>
    <n v="9"/>
    <m/>
    <m/>
    <n v="7"/>
    <n v="12.5"/>
    <n v="16.5"/>
    <n v="20"/>
  </r>
  <r>
    <x v="13"/>
    <x v="4"/>
    <x v="2"/>
    <n v="8.5"/>
    <m/>
    <m/>
    <n v="7"/>
    <n v="9.5"/>
    <n v="16.5"/>
    <n v="22.5"/>
  </r>
  <r>
    <x v="13"/>
    <x v="4"/>
    <x v="3"/>
    <n v="8.5"/>
    <m/>
    <m/>
    <m/>
    <m/>
    <n v="14"/>
    <n v="22.5"/>
  </r>
  <r>
    <x v="13"/>
    <x v="4"/>
    <x v="4"/>
    <n v="7.5"/>
    <m/>
    <m/>
    <m/>
    <m/>
    <n v="15.5"/>
    <n v="23"/>
  </r>
  <r>
    <x v="13"/>
    <x v="4"/>
    <x v="5"/>
    <n v="0"/>
    <m/>
    <m/>
    <m/>
    <m/>
    <m/>
    <m/>
  </r>
  <r>
    <x v="13"/>
    <x v="4"/>
    <x v="6"/>
    <n v="0"/>
    <m/>
    <m/>
    <m/>
    <m/>
    <m/>
    <m/>
  </r>
  <r>
    <x v="13"/>
    <x v="5"/>
    <x v="0"/>
    <n v="8.5"/>
    <m/>
    <m/>
    <m/>
    <m/>
    <n v="14"/>
    <n v="22.5"/>
  </r>
  <r>
    <x v="13"/>
    <x v="5"/>
    <x v="1"/>
    <n v="9"/>
    <m/>
    <m/>
    <n v="9.5"/>
    <n v="12.5"/>
    <n v="16.5"/>
    <n v="22.5"/>
  </r>
  <r>
    <x v="13"/>
    <x v="5"/>
    <x v="2"/>
    <n v="6"/>
    <m/>
    <m/>
    <m/>
    <m/>
    <n v="14"/>
    <n v="20"/>
  </r>
  <r>
    <x v="13"/>
    <x v="5"/>
    <x v="3"/>
    <n v="10.5"/>
    <m/>
    <m/>
    <n v="7"/>
    <n v="9.5"/>
    <n v="14"/>
    <n v="22"/>
  </r>
  <r>
    <x v="13"/>
    <x v="5"/>
    <x v="4"/>
    <n v="0"/>
    <m/>
    <m/>
    <m/>
    <m/>
    <m/>
    <m/>
  </r>
  <r>
    <x v="13"/>
    <x v="5"/>
    <x v="5"/>
    <n v="0"/>
    <m/>
    <m/>
    <m/>
    <m/>
    <m/>
    <m/>
  </r>
  <r>
    <x v="13"/>
    <x v="5"/>
    <x v="6"/>
    <n v="0"/>
    <m/>
    <m/>
    <m/>
    <m/>
    <m/>
    <m/>
  </r>
  <r>
    <x v="14"/>
    <x v="0"/>
    <x v="0"/>
    <n v="8.5"/>
    <m/>
    <m/>
    <m/>
    <m/>
    <n v="14"/>
    <n v="22.5"/>
  </r>
  <r>
    <x v="14"/>
    <x v="0"/>
    <x v="1"/>
    <n v="9"/>
    <m/>
    <m/>
    <n v="9.5"/>
    <n v="12.5"/>
    <n v="16.5"/>
    <n v="22.5"/>
  </r>
  <r>
    <x v="14"/>
    <x v="0"/>
    <x v="2"/>
    <n v="0"/>
    <m/>
    <m/>
    <m/>
    <m/>
    <m/>
    <m/>
  </r>
  <r>
    <x v="14"/>
    <x v="0"/>
    <x v="3"/>
    <n v="0"/>
    <m/>
    <m/>
    <m/>
    <m/>
    <m/>
    <m/>
  </r>
  <r>
    <x v="14"/>
    <x v="0"/>
    <x v="4"/>
    <n v="0"/>
    <m/>
    <m/>
    <m/>
    <m/>
    <m/>
    <m/>
  </r>
  <r>
    <x v="14"/>
    <x v="0"/>
    <x v="5"/>
    <n v="12"/>
    <m/>
    <m/>
    <n v="8"/>
    <n v="12"/>
    <n v="12"/>
    <n v="20"/>
  </r>
  <r>
    <x v="14"/>
    <x v="0"/>
    <x v="6"/>
    <n v="12"/>
    <m/>
    <m/>
    <n v="8"/>
    <n v="12"/>
    <n v="12"/>
    <n v="20"/>
  </r>
  <r>
    <x v="14"/>
    <x v="1"/>
    <x v="0"/>
    <n v="0"/>
    <m/>
    <m/>
    <m/>
    <m/>
    <m/>
    <m/>
  </r>
  <r>
    <x v="14"/>
    <x v="1"/>
    <x v="1"/>
    <n v="11.5"/>
    <m/>
    <n v="6"/>
    <n v="7"/>
    <n v="12.5"/>
    <n v="16.5"/>
    <n v="22.5"/>
  </r>
  <r>
    <x v="14"/>
    <x v="1"/>
    <x v="2"/>
    <n v="6"/>
    <m/>
    <m/>
    <m/>
    <m/>
    <n v="16.5"/>
    <n v="22.5"/>
  </r>
  <r>
    <x v="14"/>
    <x v="1"/>
    <x v="3"/>
    <n v="6"/>
    <m/>
    <m/>
    <m/>
    <m/>
    <n v="14"/>
    <n v="20"/>
  </r>
  <r>
    <x v="14"/>
    <x v="1"/>
    <x v="4"/>
    <n v="10"/>
    <m/>
    <m/>
    <n v="7"/>
    <n v="9.5"/>
    <n v="15.5"/>
    <n v="23"/>
  </r>
  <r>
    <x v="14"/>
    <x v="1"/>
    <x v="5"/>
    <n v="0"/>
    <m/>
    <m/>
    <m/>
    <m/>
    <m/>
    <m/>
  </r>
  <r>
    <x v="14"/>
    <x v="1"/>
    <x v="6"/>
    <n v="0"/>
    <m/>
    <m/>
    <m/>
    <m/>
    <m/>
    <m/>
  </r>
  <r>
    <x v="14"/>
    <x v="2"/>
    <x v="0"/>
    <n v="9.5"/>
    <m/>
    <m/>
    <n v="7"/>
    <n v="9.5"/>
    <n v="14"/>
    <n v="21"/>
  </r>
  <r>
    <x v="14"/>
    <x v="2"/>
    <x v="1"/>
    <n v="10"/>
    <m/>
    <m/>
    <n v="9"/>
    <n v="12"/>
    <n v="12"/>
    <n v="19"/>
  </r>
  <r>
    <x v="14"/>
    <x v="2"/>
    <x v="2"/>
    <n v="8"/>
    <m/>
    <m/>
    <n v="7"/>
    <n v="9.5"/>
    <n v="16.5"/>
    <n v="22"/>
  </r>
  <r>
    <x v="14"/>
    <x v="2"/>
    <x v="3"/>
    <n v="8.5"/>
    <m/>
    <m/>
    <m/>
    <m/>
    <n v="14"/>
    <n v="22.5"/>
  </r>
  <r>
    <x v="14"/>
    <x v="2"/>
    <x v="4"/>
    <n v="0"/>
    <m/>
    <m/>
    <m/>
    <m/>
    <m/>
    <m/>
  </r>
  <r>
    <x v="14"/>
    <x v="2"/>
    <x v="5"/>
    <n v="0"/>
    <m/>
    <m/>
    <m/>
    <m/>
    <m/>
    <m/>
  </r>
  <r>
    <x v="14"/>
    <x v="2"/>
    <x v="6"/>
    <n v="0"/>
    <m/>
    <m/>
    <m/>
    <m/>
    <m/>
    <m/>
  </r>
  <r>
    <x v="14"/>
    <x v="3"/>
    <x v="0"/>
    <n v="8.5"/>
    <m/>
    <m/>
    <m/>
    <m/>
    <n v="14"/>
    <n v="22.5"/>
  </r>
  <r>
    <x v="14"/>
    <x v="3"/>
    <x v="1"/>
    <n v="9"/>
    <m/>
    <m/>
    <n v="9.5"/>
    <n v="12.5"/>
    <n v="16.5"/>
    <n v="22.5"/>
  </r>
  <r>
    <x v="14"/>
    <x v="3"/>
    <x v="2"/>
    <n v="0"/>
    <m/>
    <m/>
    <m/>
    <m/>
    <m/>
    <m/>
  </r>
  <r>
    <x v="14"/>
    <x v="3"/>
    <x v="3"/>
    <n v="0"/>
    <m/>
    <m/>
    <m/>
    <m/>
    <m/>
    <m/>
  </r>
  <r>
    <x v="14"/>
    <x v="3"/>
    <x v="4"/>
    <n v="0"/>
    <m/>
    <m/>
    <m/>
    <m/>
    <m/>
    <m/>
  </r>
  <r>
    <x v="14"/>
    <x v="3"/>
    <x v="5"/>
    <n v="12"/>
    <m/>
    <m/>
    <n v="8"/>
    <n v="12"/>
    <n v="12"/>
    <n v="20"/>
  </r>
  <r>
    <x v="14"/>
    <x v="3"/>
    <x v="6"/>
    <n v="12"/>
    <m/>
    <m/>
    <n v="8"/>
    <n v="12"/>
    <n v="12"/>
    <n v="20"/>
  </r>
  <r>
    <x v="14"/>
    <x v="4"/>
    <x v="0"/>
    <n v="0"/>
    <m/>
    <m/>
    <m/>
    <m/>
    <m/>
    <m/>
  </r>
  <r>
    <x v="14"/>
    <x v="4"/>
    <x v="1"/>
    <n v="11.5"/>
    <m/>
    <m/>
    <n v="7"/>
    <n v="12.5"/>
    <n v="16.5"/>
    <n v="22.5"/>
  </r>
  <r>
    <x v="14"/>
    <x v="4"/>
    <x v="2"/>
    <n v="5.5"/>
    <m/>
    <m/>
    <m/>
    <m/>
    <n v="16.5"/>
    <n v="22"/>
  </r>
  <r>
    <x v="14"/>
    <x v="4"/>
    <x v="3"/>
    <n v="6"/>
    <m/>
    <m/>
    <m/>
    <m/>
    <n v="14"/>
    <n v="20"/>
  </r>
  <r>
    <x v="14"/>
    <x v="4"/>
    <x v="4"/>
    <n v="10"/>
    <m/>
    <m/>
    <n v="7"/>
    <n v="9.5"/>
    <n v="15.5"/>
    <n v="23"/>
  </r>
  <r>
    <x v="14"/>
    <x v="4"/>
    <x v="5"/>
    <n v="0"/>
    <m/>
    <m/>
    <m/>
    <m/>
    <m/>
    <m/>
  </r>
  <r>
    <x v="14"/>
    <x v="4"/>
    <x v="6"/>
    <n v="0"/>
    <m/>
    <m/>
    <m/>
    <m/>
    <m/>
    <m/>
  </r>
  <r>
    <x v="14"/>
    <x v="5"/>
    <x v="0"/>
    <n v="10"/>
    <m/>
    <m/>
    <n v="7"/>
    <n v="9.5"/>
    <n v="14"/>
    <n v="21.5"/>
  </r>
  <r>
    <x v="14"/>
    <x v="5"/>
    <x v="1"/>
    <n v="10"/>
    <m/>
    <m/>
    <n v="9"/>
    <n v="12"/>
    <n v="12"/>
    <n v="19"/>
  </r>
  <r>
    <x v="14"/>
    <x v="5"/>
    <x v="2"/>
    <n v="8"/>
    <m/>
    <m/>
    <n v="7"/>
    <n v="9.5"/>
    <n v="16.5"/>
    <n v="22"/>
  </r>
  <r>
    <x v="14"/>
    <x v="5"/>
    <x v="3"/>
    <n v="8.5"/>
    <m/>
    <m/>
    <m/>
    <m/>
    <n v="14"/>
    <n v="22.5"/>
  </r>
  <r>
    <x v="14"/>
    <x v="5"/>
    <x v="4"/>
    <n v="0"/>
    <m/>
    <m/>
    <m/>
    <m/>
    <m/>
    <m/>
  </r>
  <r>
    <x v="14"/>
    <x v="5"/>
    <x v="5"/>
    <n v="0"/>
    <m/>
    <m/>
    <m/>
    <m/>
    <m/>
    <m/>
  </r>
  <r>
    <x v="14"/>
    <x v="5"/>
    <x v="6"/>
    <n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9" firstHeaderRow="1" firstDataRow="1" firstDataCol="1"/>
  <pivotFields count="10">
    <pivotField axis="axisRow" showAll="0">
      <items count="18">
        <item sd="0" x="6"/>
        <item sd="0" x="14"/>
        <item sd="0" x="13"/>
        <item sd="0" m="1" x="15"/>
        <item sd="0" x="7"/>
        <item sd="0" x="9"/>
        <item sd="0" x="10"/>
        <item sd="0" x="0"/>
        <item sd="0" x="5"/>
        <item sd="0" x="11"/>
        <item sd="0" m="1" x="16"/>
        <item sd="0" x="12"/>
        <item sd="0" x="1"/>
        <item sd="0" x="2"/>
        <item sd="0" x="4"/>
        <item sd="0" x="3"/>
        <item sd="0" x="8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 sd="0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</pivotFields>
  <rowFields count="3">
    <field x="0"/>
    <field x="1"/>
    <field x="2"/>
  </rowFields>
  <rowItems count="16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Somme de H. planning" fld="3" baseField="0" baseItem="11"/>
  </dataFields>
  <formats count="1">
    <format dxfId="19">
      <pivotArea collapsedLevelsAreSubtotals="1" fieldPosition="0">
        <references count="1">
          <reference field="0" count="1">
            <x v="1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GestionPersonnelRDJ" displayName="GestionPersonnelRDJ" ref="A3:AM151" headerRowDxfId="61">
  <autoFilter ref="A3:AM151"/>
  <sortState ref="A222:AD899">
    <sortCondition ref="G3:G1039"/>
  </sortState>
  <tableColumns count="39">
    <tableColumn id="1" name="Nom Prénom" totalsRowLabel="Total" dataDxfId="60"/>
    <tableColumn id="2" name="Fonction" dataDxfId="59">
      <calculatedColumnFormula>VLOOKUP(GestionPersonnelRDJ[[#This Row],[Nom Prénom]],Personnels!Personnels,2,0)</calculatedColumnFormula>
    </tableColumn>
    <tableColumn id="3" name="Groupe" dataDxfId="58">
      <calculatedColumnFormula>VLOOKUP(GestionPersonnelRDJ[[#This Row],[Nom Prénom]],Personnels!Personnels,3,0)</calculatedColumnFormula>
    </tableColumn>
    <tableColumn id="7" name="Service" dataDxfId="57">
      <calculatedColumnFormula>VLOOKUP(GestionPersonnelRDJ[[#This Row],[Nom Prénom]],Personnels!Personnels,4,0)</calculatedColumnFormula>
    </tableColumn>
    <tableColumn id="16" name="Sem. Calen." dataDxfId="56">
      <calculatedColumnFormula>INT(MOD(INT((GestionPersonnelRDJ[[#This Row],[Date]]-2)/7)+0.6,52+5/28))+1</calculatedColumnFormula>
    </tableColumn>
    <tableColumn id="4" name="Sem. Cycle" dataDxfId="55"/>
    <tableColumn id="5" name="Date" dataDxfId="54"/>
    <tableColumn id="19" name="Jour" dataDxfId="53">
      <calculatedColumnFormula>TEXT(WEEKDAY(G4),"jjjj")</calculatedColumnFormula>
    </tableColumn>
    <tableColumn id="14" name="H. planning" totalsRowFunction="sum" dataDxfId="52">
      <calculatedColumnFormula>SUMPRODUCT((groupe='Base de donnée'!C4)*(OFFSET(groupe,,1)='Base de donnée'!F4)*(OFFSET(groupe,,2)='Base de donnée'!H4)*(OFFSET(groupe,,3)))</calculatedColumnFormula>
    </tableColumn>
    <tableColumn id="22" name="H1" dataDxfId="51">
      <calculatedColumnFormula>SUMPRODUCT((groupe='Base de donnée'!C4)*(OFFSET(groupe,,1)='Base de donnée'!F4)*(OFFSET(groupe,,2)='Base de donnée'!H4)*(OFFSET(groupe,,6)))</calculatedColumnFormula>
    </tableColumn>
    <tableColumn id="23" name="H2" dataDxfId="50">
      <calculatedColumnFormula>SUMPRODUCT((groupe='Base de donnée'!C4)*(OFFSET(groupe,,1)='Base de donnée'!F4)*(OFFSET(groupe,,2)='Base de donnée'!H4)*(OFFSET(groupe,,7)))</calculatedColumnFormula>
    </tableColumn>
    <tableColumn id="6" name="H3" dataDxfId="49">
      <calculatedColumnFormula>SUMPRODUCT((groupe='Base de donnée'!C4)*(OFFSET(groupe,,1)='Base de donnée'!F4)*(OFFSET(groupe,,2)='Base de donnée'!H4)*(OFFSET(groupe,,8)))</calculatedColumnFormula>
    </tableColumn>
    <tableColumn id="24" name="H4" dataDxfId="48">
      <calculatedColumnFormula>SUMPRODUCT((groupe='Base de donnée'!C4)*(OFFSET(groupe,,1)='Base de donnée'!F4)*(OFFSET(groupe,,2)='Base de donnée'!H4)*(OFFSET(groupe,,9)))</calculatedColumnFormula>
    </tableColumn>
    <tableColumn id="8" name="H. Tra." totalsRowFunction="sum" dataDxfId="47">
      <calculatedColumnFormula>IF(AF4=1,7,IF(OR(AB4=1,AND(AB4=0,NOT(ISBLANK(AB4))),Z4=1,AND(Z4=0,NOT(ISBLANK(Z4))),AA4=1,AND(AA4=0,NOT(ISBLANK(AA4))),AD4=1,AND(AD4=0,NOT(ISBLANK(AD4))),AC4=1,AND(AC4=0,NOT(ISBLANK(AC4)))),0,IF(COUNTIF(Fériés2010,G4),((M4-L4+K4-J4)),(M4-L4+K4-J4)-(W4+X4)-Y4-AE4+(AI4+AK4+AM4))))</calculatedColumnFormula>
    </tableColumn>
    <tableColumn id="17" name="H. Compta." totalsRowFunction="sum" dataDxfId="46">
      <calculatedColumnFormula>IF(OR(AB4=1,AND(AB4=0,NOT(ISBLANK(AB4))),Z4=1,AND(Z4=0,NOT(ISBLANK(Z4))),AA4=1,AND(AA4=0,NOT(ISBLANK(AA4))),AD4=1,AND(AD4=0,NOT(ISBLANK(AD4))),AC4=1,AND(AC4=0,NOT(ISBLANK(AC4)))),I4,IF(COUNTIF(Fériés2010,G4)&gt;0,N4*2+R4+(W4+X4),N4+R4+(W4+X4)+Y4+AE4))</calculatedColumnFormula>
    </tableColumn>
    <tableColumn id="9" name="H. Récup" dataDxfId="45">
      <calculatedColumnFormula>IF(I4-O4-(W4+X4)&lt;=0,0,I4-O4-(W4+X4))</calculatedColumnFormula>
    </tableColumn>
    <tableColumn id="21" name="H. Supp" dataDxfId="44">
      <calculatedColumnFormula>IF(O4-I4-(W4+X4)&lt;=0,0,O4-I4-(W4+X4))</calculatedColumnFormula>
    </tableColumn>
    <tableColumn id="15" name="H. Comp." dataDxfId="43">
      <calculatedColumnFormula>IF(OR(Z4=1,AA4=1,AB4=1,AC4=1),0,(SUMPRODUCT((groupe='Base de donnée'!C4)*(OFFSET(groupe,,1)='Base de donnée'!F4)*(OFFSET(groupe,,2)='Base de donnée'!H4)*(OFFSET(groupe,,4)))))</calculatedColumnFormula>
    </tableColumn>
    <tableColumn id="18" name="H. Av. 235" dataDxfId="42">
      <calculatedColumnFormula>IF((Z4=1),"",IF(OR(WEEKDAY(G4)=1,COUNTIF(Fériés2010,G4)&gt;0),N4,""))</calculatedColumnFormula>
    </tableColumn>
    <tableColumn id="39" name="Récup Fériés" dataDxfId="41"/>
    <tableColumn id="28" name="Fériés Tra." dataDxfId="40">
      <calculatedColumnFormula>IF(COUNTIF(Fériés2010,G4),N4,"")</calculatedColumnFormula>
    </tableColumn>
    <tableColumn id="27" name="Diman. Tra." dataDxfId="39">
      <calculatedColumnFormula>IF(WEEKDAY(G4)=1,N4,"")</calculatedColumnFormula>
    </tableColumn>
    <tableColumn id="30" name="RTTs" dataDxfId="38"/>
    <tableColumn id="10" name="RTTe" dataDxfId="37">
      <calculatedColumnFormula>IF(OR(Z4=1,AA4=1,AB4=1,AC4=1,AD4=1),0,(SUMPRODUCT((groupe='Base de donnée'!C4)*(OFFSET(groupe,,1)='Base de donnée'!F4)*(OFFSET(groupe,,2)='Base de donnée'!H4)*(OFFSET(groupe,,5)))))</calculatedColumnFormula>
    </tableColumn>
    <tableColumn id="31" name="Repos Comp." dataDxfId="36"/>
    <tableColumn id="20" name="Arrêt M." dataDxfId="35"/>
    <tableColumn id="11" name="C. Payés" dataDxfId="34"/>
    <tableColumn id="12" name="C. Alged" dataDxfId="33"/>
    <tableColumn id="13" name="C. Ansc." totalsRowFunction="count" dataDxfId="32"/>
    <tableColumn id="29" name="C._x000a_Excep." dataDxfId="31"/>
    <tableColumn id="38" name="Heures de grève" dataDxfId="30"/>
    <tableColumn id="25" name="Formation jours" dataDxfId="29"/>
    <tableColumn id="26" name="Formation Intitulé" dataDxfId="28"/>
    <tableColumn id="32" name="DP_x000a_ptt" dataDxfId="27"/>
    <tableColumn id="33" name="DP_x000a_htt" dataDxfId="26"/>
    <tableColumn id="34" name="CE_x000a_ptt" dataDxfId="25"/>
    <tableColumn id="35" name="CE_x000a_htt" dataDxfId="24"/>
    <tableColumn id="36" name="DS_x000a_ptt" dataDxfId="23"/>
    <tableColumn id="37" name="DS_x000a_htt" dataDxfId="22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" displayName="Table" ref="B2:E57" insertRowShift="1">
  <sortState ref="B3:E51">
    <sortCondition ref="B3:B51"/>
  </sortState>
  <tableColumns count="4">
    <tableColumn id="1" name="NOM Prénom" totalsRowLabel="Total" dataDxfId="21"/>
    <tableColumn id="3" name="Fonction" dataDxfId="20"/>
    <tableColumn id="2" name="Groupe" totalsRowFunction="count"/>
    <tableColumn id="4" name="Service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J435" totalsRowShown="0" headerRowDxfId="18" dataDxfId="17">
  <autoFilter ref="A1:J435"/>
  <tableColumns count="10">
    <tableColumn id="1" name="Groupe" dataDxfId="16"/>
    <tableColumn id="2" name="Sem. Cycle" dataDxfId="15"/>
    <tableColumn id="3" name="Jour" dataDxfId="14"/>
    <tableColumn id="4" name="H. planning" dataDxfId="13"/>
    <tableColumn id="5" name="Heures Compensatoire" dataDxfId="12"/>
    <tableColumn id="6" name="RTT O" dataDxfId="11"/>
    <tableColumn id="7" name="H1" dataDxfId="10"/>
    <tableColumn id="8" name="H2" dataDxfId="9"/>
    <tableColumn id="9" name="H3" dataDxfId="8"/>
    <tableColumn id="10" name="H4" dataDxfId="7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  <pageSetUpPr fitToPage="1"/>
  </sheetPr>
  <dimension ref="A1:AM151"/>
  <sheetViews>
    <sheetView tabSelected="1" zoomScale="85" zoomScaleNormal="85" workbookViewId="0">
      <pane ySplit="3" topLeftCell="A4" activePane="bottomLeft" state="frozen"/>
      <selection pane="bottomLeft" activeCell="S9" sqref="S9"/>
    </sheetView>
  </sheetViews>
  <sheetFormatPr baseColWidth="10" defaultRowHeight="15" x14ac:dyDescent="0.25"/>
  <cols>
    <col min="1" max="1" width="20.140625" customWidth="1"/>
    <col min="2" max="2" width="9.85546875" hidden="1" customWidth="1"/>
    <col min="3" max="4" width="11.7109375" hidden="1" customWidth="1"/>
    <col min="5" max="5" width="8.42578125" customWidth="1"/>
    <col min="6" max="6" width="8.85546875" customWidth="1"/>
    <col min="7" max="7" width="10.28515625" style="1" customWidth="1"/>
    <col min="8" max="8" width="10.140625" style="5" customWidth="1"/>
    <col min="9" max="9" width="10.28515625" customWidth="1"/>
    <col min="10" max="10" width="9.140625" customWidth="1"/>
    <col min="11" max="13" width="9.7109375" customWidth="1"/>
    <col min="14" max="14" width="9" customWidth="1"/>
    <col min="15" max="15" width="9.28515625" customWidth="1"/>
    <col min="16" max="17" width="7.5703125" hidden="1" customWidth="1"/>
    <col min="18" max="30" width="7.5703125" customWidth="1"/>
    <col min="31" max="31" width="9.7109375" customWidth="1"/>
    <col min="34" max="39" width="6.7109375" customWidth="1"/>
  </cols>
  <sheetData>
    <row r="1" spans="1:39" ht="55.9" customHeight="1" x14ac:dyDescent="0.25">
      <c r="A1" s="37"/>
      <c r="B1" s="37"/>
      <c r="C1" s="37"/>
      <c r="D1" s="37"/>
      <c r="E1" s="37"/>
      <c r="F1" s="37"/>
      <c r="G1" s="38"/>
      <c r="H1" s="39"/>
      <c r="I1" s="37"/>
      <c r="J1" s="83" t="s">
        <v>116</v>
      </c>
      <c r="K1" s="83"/>
      <c r="L1" s="83"/>
      <c r="M1" s="83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87" t="s">
        <v>172</v>
      </c>
      <c r="AI1" s="87"/>
      <c r="AJ1" s="87"/>
      <c r="AK1" s="87"/>
      <c r="AL1" s="87"/>
      <c r="AM1" s="87"/>
    </row>
    <row r="2" spans="1:39" ht="61.15" customHeight="1" x14ac:dyDescent="0.25">
      <c r="A2" s="37"/>
      <c r="B2" s="37"/>
      <c r="C2" s="37"/>
      <c r="D2" s="37"/>
      <c r="E2" s="37"/>
      <c r="F2" s="37"/>
      <c r="G2" s="38"/>
      <c r="H2" s="39"/>
      <c r="I2" s="37"/>
      <c r="J2" s="84" t="s">
        <v>119</v>
      </c>
      <c r="K2" s="84"/>
      <c r="L2" s="85" t="s">
        <v>131</v>
      </c>
      <c r="M2" s="85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86" t="s">
        <v>122</v>
      </c>
      <c r="AG2" s="86"/>
      <c r="AH2" s="88" t="s">
        <v>173</v>
      </c>
      <c r="AI2" s="88"/>
      <c r="AJ2" s="88" t="s">
        <v>174</v>
      </c>
      <c r="AK2" s="88"/>
      <c r="AL2" s="88" t="s">
        <v>175</v>
      </c>
      <c r="AM2" s="88"/>
    </row>
    <row r="3" spans="1:39" s="36" customFormat="1" ht="36" customHeight="1" x14ac:dyDescent="0.25">
      <c r="A3" s="40" t="s">
        <v>19</v>
      </c>
      <c r="B3" s="41" t="s">
        <v>0</v>
      </c>
      <c r="C3" s="42" t="s">
        <v>1</v>
      </c>
      <c r="D3" s="42" t="s">
        <v>73</v>
      </c>
      <c r="E3" s="43" t="s">
        <v>17</v>
      </c>
      <c r="F3" s="43" t="s">
        <v>9</v>
      </c>
      <c r="G3" s="44" t="s">
        <v>2</v>
      </c>
      <c r="H3" s="45" t="s">
        <v>46</v>
      </c>
      <c r="I3" s="46" t="s">
        <v>14</v>
      </c>
      <c r="J3" s="46" t="s">
        <v>112</v>
      </c>
      <c r="K3" s="46" t="s">
        <v>113</v>
      </c>
      <c r="L3" s="46" t="s">
        <v>114</v>
      </c>
      <c r="M3" s="46" t="s">
        <v>115</v>
      </c>
      <c r="N3" s="47" t="s">
        <v>20</v>
      </c>
      <c r="O3" s="46" t="s">
        <v>21</v>
      </c>
      <c r="P3" s="51" t="s">
        <v>15</v>
      </c>
      <c r="Q3" s="51" t="s">
        <v>48</v>
      </c>
      <c r="R3" s="46" t="s">
        <v>16</v>
      </c>
      <c r="S3" s="47" t="s">
        <v>22</v>
      </c>
      <c r="T3" s="82" t="s">
        <v>179</v>
      </c>
      <c r="U3" s="72" t="s">
        <v>130</v>
      </c>
      <c r="V3" s="72" t="s">
        <v>133</v>
      </c>
      <c r="W3" s="77" t="s">
        <v>154</v>
      </c>
      <c r="X3" s="77" t="s">
        <v>155</v>
      </c>
      <c r="Y3" s="78" t="s">
        <v>165</v>
      </c>
      <c r="Z3" s="48" t="s">
        <v>47</v>
      </c>
      <c r="AA3" s="50" t="s">
        <v>3</v>
      </c>
      <c r="AB3" s="50" t="s">
        <v>4</v>
      </c>
      <c r="AC3" s="50" t="s">
        <v>5</v>
      </c>
      <c r="AD3" s="50" t="s">
        <v>145</v>
      </c>
      <c r="AE3" s="81" t="s">
        <v>178</v>
      </c>
      <c r="AF3" s="68" t="s">
        <v>120</v>
      </c>
      <c r="AG3" s="68" t="s">
        <v>121</v>
      </c>
      <c r="AH3" s="79" t="s">
        <v>166</v>
      </c>
      <c r="AI3" s="79" t="s">
        <v>169</v>
      </c>
      <c r="AJ3" s="79" t="s">
        <v>167</v>
      </c>
      <c r="AK3" s="79" t="s">
        <v>168</v>
      </c>
      <c r="AL3" s="79" t="s">
        <v>170</v>
      </c>
      <c r="AM3" s="79" t="s">
        <v>171</v>
      </c>
    </row>
    <row r="4" spans="1:39" s="30" customFormat="1" x14ac:dyDescent="0.25">
      <c r="A4" s="6" t="s">
        <v>18</v>
      </c>
      <c r="B4" s="26" t="str">
        <f>VLOOKUP(GestionPersonnelRDJ[[#This Row],[Nom Prénom]],Personnels!Personnels,2,0)</f>
        <v>AMP</v>
      </c>
      <c r="C4" s="21" t="str">
        <f>VLOOKUP(GestionPersonnelRDJ[[#This Row],[Nom Prénom]],Personnels!Personnels,3,0)</f>
        <v>Passerelle</v>
      </c>
      <c r="D4" s="21" t="str">
        <f>VLOOKUP(GestionPersonnelRDJ[[#This Row],[Nom Prénom]],Personnels!Personnels,4,0)</f>
        <v>FH</v>
      </c>
      <c r="E4" s="2">
        <f>INT(MOD(INT((GestionPersonnelRDJ[[#This Row],[Date]]-2)/7)+0.6,52+5/28))+1</f>
        <v>27</v>
      </c>
      <c r="F4" s="7">
        <v>2</v>
      </c>
      <c r="G4" s="8">
        <v>40728</v>
      </c>
      <c r="H4" s="5" t="str">
        <f>TEXT(WEEKDAY(G4),"jjjj")</f>
        <v>lundi</v>
      </c>
      <c r="I4" s="27">
        <f ca="1">SUMPRODUCT((groupe='Base de donnée'!C4)*(OFFSET(groupe,,1)='Base de donnée'!F4)*(OFFSET(groupe,,2)='Base de donnée'!H4)*(OFFSET(groupe,,3)))</f>
        <v>0</v>
      </c>
      <c r="J4" s="70">
        <f ca="1">SUMPRODUCT((groupe='Base de donnée'!C4)*(OFFSET(groupe,,1)='Base de donnée'!F4)*(OFFSET(groupe,,2)='Base de donnée'!H4)*(OFFSET(groupe,,6)))</f>
        <v>0</v>
      </c>
      <c r="K4" s="70">
        <f ca="1">SUMPRODUCT((groupe='Base de donnée'!C4)*(OFFSET(groupe,,1)='Base de donnée'!F4)*(OFFSET(groupe,,2)='Base de donnée'!H4)*(OFFSET(groupe,,7)))</f>
        <v>0</v>
      </c>
      <c r="L4" s="71">
        <f ca="1">SUMPRODUCT((groupe='Base de donnée'!C4)*(OFFSET(groupe,,1)='Base de donnée'!F4)*(OFFSET(groupe,,2)='Base de donnée'!H4)*(OFFSET(groupe,,8)))</f>
        <v>0</v>
      </c>
      <c r="M4" s="71">
        <f ca="1">SUMPRODUCT((groupe='Base de donnée'!C4)*(OFFSET(groupe,,1)='Base de donnée'!F4)*(OFFSET(groupe,,2)='Base de donnée'!H4)*(OFFSET(groupe,,9)))</f>
        <v>0</v>
      </c>
      <c r="N4" s="27">
        <f t="shared" ref="N4:N105" si="0">IF(AF4=1,7,IF(OR(AB4=1,AND(AB4=0,NOT(ISBLANK(AB4))),Z4=1,AND(Z4=0,NOT(ISBLANK(Z4))),AA4=1,AND(AA4=0,NOT(ISBLANK(AA4))),AD4=1,AND(AD4=0,NOT(ISBLANK(AD4))),AC4=1,AND(AC4=0,NOT(ISBLANK(AC4)))),0,IF(COUNTIF(Fériés2010,G4),((M4-L4+K4-J4)),(M4-L4+K4-J4)-(W4+X4)-Y4-AE4+(AI4+AK4+AM4))))</f>
        <v>0</v>
      </c>
      <c r="O4" s="27">
        <f t="shared" ref="O4:O105" ca="1" si="1">IF(OR(AB4=1,AND(AB4=0,NOT(ISBLANK(AB4))),Z4=1,AND(Z4=0,NOT(ISBLANK(Z4))),AA4=1,AND(AA4=0,NOT(ISBLANK(AA4))),AD4=1,AND(AD4=0,NOT(ISBLANK(AD4))),AC4=1,AND(AC4=0,NOT(ISBLANK(AC4)))),I4,IF(COUNTIF(Fériés2010,G4)&gt;0,N4*2+R4+(W4+X4),N4+R4+(W4+X4)+Y4+AE4))</f>
        <v>0</v>
      </c>
      <c r="P4" s="49">
        <f ca="1">IF(I4-O4-(W4+X4)&lt;=0,0,I4-O4-(W4+X4))</f>
        <v>0</v>
      </c>
      <c r="Q4" s="49">
        <f ca="1">IF(O4-I4-(W4+X4)&lt;=0,0,O4-I4-(W4+X4))</f>
        <v>0</v>
      </c>
      <c r="R4" s="27"/>
      <c r="S4" s="27" t="str">
        <f t="shared" ref="S4:S35" si="2">IF((Z4=1),"",IF(OR(WEEKDAY(G4)=1,COUNTIF(Fériés2010,G4)&gt;0),N4,""))</f>
        <v/>
      </c>
      <c r="T4" s="27"/>
      <c r="U4" s="27" t="str">
        <f t="shared" ref="U4:U35" si="3">IF(COUNTIF(Fériés2010,G4),N4,"")</f>
        <v/>
      </c>
      <c r="V4" s="27" t="str">
        <f t="shared" ref="V4:V67" si="4">IF(WEEKDAY(G4)=1,N4,"")</f>
        <v/>
      </c>
      <c r="W4" s="27"/>
      <c r="X4" s="28">
        <f ca="1">IF(OR(Z4=1,AA4=1,AB4=1,AC4=1,AD4=1),0,(SUMPRODUCT((groupe='Base de donnée'!C4)*(OFFSET(groupe,,1)='Base de donnée'!F4)*(OFFSET(groupe,,2)='Base de donnée'!H4)*(OFFSET(groupe,,5)))))</f>
        <v>0</v>
      </c>
      <c r="Y4" s="28"/>
      <c r="Z4" s="7"/>
      <c r="AA4" s="7">
        <v>1</v>
      </c>
      <c r="AB4" s="7"/>
      <c r="AC4" s="7"/>
      <c r="AD4" s="7"/>
      <c r="AE4" s="7"/>
    </row>
    <row r="5" spans="1:39" s="30" customFormat="1" x14ac:dyDescent="0.25">
      <c r="A5" s="6" t="s">
        <v>157</v>
      </c>
      <c r="B5" s="26" t="str">
        <f>VLOOKUP(GestionPersonnelRDJ[[#This Row],[Nom Prénom]],Personnels!Personnels,2,0)</f>
        <v>AMP</v>
      </c>
      <c r="C5" s="21" t="str">
        <f>VLOOKUP(GestionPersonnelRDJ[[#This Row],[Nom Prénom]],Personnels!Personnels,3,0)</f>
        <v>GB</v>
      </c>
      <c r="D5" s="21" t="str">
        <f>VLOOKUP(GestionPersonnelRDJ[[#This Row],[Nom Prénom]],Personnels!Personnels,4,0)</f>
        <v>FDV</v>
      </c>
      <c r="E5" s="2">
        <f>INT(MOD(INT((GestionPersonnelRDJ[[#This Row],[Date]]-2)/7)+0.6,52+5/28))+1</f>
        <v>51</v>
      </c>
      <c r="F5" s="7">
        <v>2</v>
      </c>
      <c r="G5" s="8">
        <v>40896</v>
      </c>
      <c r="H5" s="5" t="str">
        <f t="shared" ref="H5:H11" si="5">TEXT(WEEKDAY(G5),"jjjj")</f>
        <v>lundi</v>
      </c>
      <c r="I5" s="27">
        <f ca="1">SUMPRODUCT((groupe='Base de donnée'!C5)*(OFFSET(groupe,,1)='Base de donnée'!F5)*(OFFSET(groupe,,2)='Base de donnée'!H5)*(OFFSET(groupe,,3)))</f>
        <v>0</v>
      </c>
      <c r="J5" s="70">
        <f ca="1">SUMPRODUCT((groupe='Base de donnée'!C5)*(OFFSET(groupe,,1)='Base de donnée'!F5)*(OFFSET(groupe,,2)='Base de donnée'!H5)*(OFFSET(groupe,,6)))</f>
        <v>0</v>
      </c>
      <c r="K5" s="70">
        <f ca="1">SUMPRODUCT((groupe='Base de donnée'!C5)*(OFFSET(groupe,,1)='Base de donnée'!F5)*(OFFSET(groupe,,2)='Base de donnée'!H5)*(OFFSET(groupe,,7)))</f>
        <v>0</v>
      </c>
      <c r="L5" s="71">
        <f ca="1">SUMPRODUCT((groupe='Base de donnée'!C5)*(OFFSET(groupe,,1)='Base de donnée'!F5)*(OFFSET(groupe,,2)='Base de donnée'!H5)*(OFFSET(groupe,,8)))</f>
        <v>0</v>
      </c>
      <c r="M5" s="71">
        <f ca="1">SUMPRODUCT((groupe='Base de donnée'!C5)*(OFFSET(groupe,,1)='Base de donnée'!F5)*(OFFSET(groupe,,2)='Base de donnée'!H5)*(OFFSET(groupe,,9)))</f>
        <v>0</v>
      </c>
      <c r="N5" s="27">
        <f t="shared" ref="N5:N17" ca="1" si="6">IF(AF5=1,7,IF(OR(AB5=1,AND(AB5=0,NOT(ISBLANK(AB5))),Z5=1,AND(Z5=0,NOT(ISBLANK(Z5))),AA5=1,AND(AA5=0,NOT(ISBLANK(AA5))),AD5=1,AND(AD5=0,NOT(ISBLANK(AD5))),AC5=1,AND(AC5=0,NOT(ISBLANK(AC5)))),0,IF(COUNTIF(Fériés2010,G5),((M5-L5+K5-J5)),(M5-L5+K5-J5)-(W5+X5)-Y5-AE5+(AI5+AK5+AM5))))</f>
        <v>0</v>
      </c>
      <c r="O5" s="27">
        <f t="shared" ref="O5:O17" ca="1" si="7">IF(OR(AB5=1,AND(AB5=0,NOT(ISBLANK(AB5))),Z5=1,AND(Z5=0,NOT(ISBLANK(Z5))),AA5=1,AND(AA5=0,NOT(ISBLANK(AA5))),AD5=1,AND(AD5=0,NOT(ISBLANK(AD5))),AC5=1,AND(AC5=0,NOT(ISBLANK(AC5)))),I5,IF(COUNTIF(Fériés2010,G5)&gt;0,N5*2+R5+(W5+X5),N5+R5+(W5+X5)+Y5+AE5))</f>
        <v>0</v>
      </c>
      <c r="P5" s="49">
        <f t="shared" ref="P5:P11" ca="1" si="8">IF(I5-O5-(W5+X5)&lt;=0,0,I5-O5-(W5+X5))</f>
        <v>0</v>
      </c>
      <c r="Q5" s="49">
        <f t="shared" ref="Q5:Q11" ca="1" si="9">IF(O5-I5-(W5+X5)&lt;=0,0,O5-I5-(W5+X5))</f>
        <v>0</v>
      </c>
      <c r="R5" s="27"/>
      <c r="S5" s="27" t="str">
        <f t="shared" si="2"/>
        <v/>
      </c>
      <c r="T5" s="27"/>
      <c r="U5" s="27" t="str">
        <f t="shared" si="3"/>
        <v/>
      </c>
      <c r="V5" s="27" t="str">
        <f t="shared" si="4"/>
        <v/>
      </c>
      <c r="W5" s="27"/>
      <c r="X5" s="28">
        <f ca="1">IF(OR(Z5=1,AA5=1,AB5=1,AC5=1,AD5=1),0,(SUMPRODUCT((groupe='Base de donnée'!C5)*(OFFSET(groupe,,1)='Base de donnée'!F5)*(OFFSET(groupe,,2)='Base de donnée'!H5)*(OFFSET(groupe,,5)))))</f>
        <v>0</v>
      </c>
      <c r="Y5" s="28"/>
      <c r="Z5" s="7"/>
      <c r="AA5" s="7"/>
      <c r="AB5" s="7"/>
      <c r="AC5" s="7"/>
      <c r="AD5" s="7"/>
      <c r="AE5" s="7"/>
    </row>
    <row r="6" spans="1:39" s="30" customFormat="1" x14ac:dyDescent="0.25">
      <c r="A6" s="6" t="s">
        <v>157</v>
      </c>
      <c r="B6" s="26" t="str">
        <f>VLOOKUP(GestionPersonnelRDJ[[#This Row],[Nom Prénom]],Personnels!Personnels,2,0)</f>
        <v>AMP</v>
      </c>
      <c r="C6" s="21" t="str">
        <f>VLOOKUP(GestionPersonnelRDJ[[#This Row],[Nom Prénom]],Personnels!Personnels,3,0)</f>
        <v>GB</v>
      </c>
      <c r="D6" s="21" t="str">
        <f>VLOOKUP(GestionPersonnelRDJ[[#This Row],[Nom Prénom]],Personnels!Personnels,4,0)</f>
        <v>FDV</v>
      </c>
      <c r="E6" s="2">
        <f>INT(MOD(INT((GestionPersonnelRDJ[[#This Row],[Date]]-2)/7)+0.6,52+5/28))+1</f>
        <v>51</v>
      </c>
      <c r="F6" s="7">
        <v>2</v>
      </c>
      <c r="G6" s="8">
        <v>40897</v>
      </c>
      <c r="H6" s="5" t="str">
        <f t="shared" si="5"/>
        <v>mardi</v>
      </c>
      <c r="I6" s="27">
        <f ca="1">SUMPRODUCT((groupe='Base de donnée'!C6)*(OFFSET(groupe,,1)='Base de donnée'!F6)*(OFFSET(groupe,,2)='Base de donnée'!H6)*(OFFSET(groupe,,3)))</f>
        <v>9</v>
      </c>
      <c r="J6" s="70">
        <f ca="1">SUMPRODUCT((groupe='Base de donnée'!C6)*(OFFSET(groupe,,1)='Base de donnée'!F6)*(OFFSET(groupe,,2)='Base de donnée'!H6)*(OFFSET(groupe,,6)))</f>
        <v>8</v>
      </c>
      <c r="K6" s="70">
        <f ca="1">SUMPRODUCT((groupe='Base de donnée'!C6)*(OFFSET(groupe,,1)='Base de donnée'!F6)*(OFFSET(groupe,,2)='Base de donnée'!H6)*(OFFSET(groupe,,7)))</f>
        <v>12</v>
      </c>
      <c r="L6" s="71">
        <f ca="1">SUMPRODUCT((groupe='Base de donnée'!C6)*(OFFSET(groupe,,1)='Base de donnée'!F6)*(OFFSET(groupe,,2)='Base de donnée'!H6)*(OFFSET(groupe,,8)))</f>
        <v>12</v>
      </c>
      <c r="M6" s="71">
        <f ca="1">SUMPRODUCT((groupe='Base de donnée'!C6)*(OFFSET(groupe,,1)='Base de donnée'!F6)*(OFFSET(groupe,,2)='Base de donnée'!H6)*(OFFSET(groupe,,9)))</f>
        <v>17</v>
      </c>
      <c r="N6" s="27">
        <f t="shared" ca="1" si="6"/>
        <v>9</v>
      </c>
      <c r="O6" s="27">
        <f t="shared" ca="1" si="7"/>
        <v>9</v>
      </c>
      <c r="P6" s="49">
        <f t="shared" ca="1" si="8"/>
        <v>0</v>
      </c>
      <c r="Q6" s="49">
        <f t="shared" ca="1" si="9"/>
        <v>0</v>
      </c>
      <c r="R6" s="27"/>
      <c r="S6" s="27" t="str">
        <f t="shared" si="2"/>
        <v/>
      </c>
      <c r="T6" s="27"/>
      <c r="U6" s="27" t="str">
        <f t="shared" si="3"/>
        <v/>
      </c>
      <c r="V6" s="27" t="str">
        <f t="shared" si="4"/>
        <v/>
      </c>
      <c r="W6" s="27"/>
      <c r="X6" s="28">
        <f ca="1">IF(OR(Z6=1,AA6=1,AB6=1,AC6=1,AD6=1),0,(SUMPRODUCT((groupe='Base de donnée'!C6)*(OFFSET(groupe,,1)='Base de donnée'!F6)*(OFFSET(groupe,,2)='Base de donnée'!H6)*(OFFSET(groupe,,5)))))</f>
        <v>0</v>
      </c>
      <c r="Y6" s="28"/>
      <c r="Z6" s="7"/>
      <c r="AA6" s="7"/>
      <c r="AB6" s="7"/>
      <c r="AC6" s="7"/>
      <c r="AD6" s="7"/>
      <c r="AE6" s="7"/>
    </row>
    <row r="7" spans="1:39" s="30" customFormat="1" x14ac:dyDescent="0.25">
      <c r="A7" s="6" t="s">
        <v>157</v>
      </c>
      <c r="B7" s="26" t="str">
        <f>VLOOKUP(GestionPersonnelRDJ[[#This Row],[Nom Prénom]],Personnels!Personnels,2,0)</f>
        <v>AMP</v>
      </c>
      <c r="C7" s="21" t="str">
        <f>VLOOKUP(GestionPersonnelRDJ[[#This Row],[Nom Prénom]],Personnels!Personnels,3,0)</f>
        <v>GB</v>
      </c>
      <c r="D7" s="21" t="str">
        <f>VLOOKUP(GestionPersonnelRDJ[[#This Row],[Nom Prénom]],Personnels!Personnels,4,0)</f>
        <v>FDV</v>
      </c>
      <c r="E7" s="2">
        <f>INT(MOD(INT((GestionPersonnelRDJ[[#This Row],[Date]]-2)/7)+0.6,52+5/28))+1</f>
        <v>51</v>
      </c>
      <c r="F7" s="7">
        <v>2</v>
      </c>
      <c r="G7" s="8">
        <v>40898</v>
      </c>
      <c r="H7" s="5" t="str">
        <f t="shared" si="5"/>
        <v>mercredi</v>
      </c>
      <c r="I7" s="27">
        <f ca="1">SUMPRODUCT((groupe='Base de donnée'!C7)*(OFFSET(groupe,,1)='Base de donnée'!F7)*(OFFSET(groupe,,2)='Base de donnée'!H7)*(OFFSET(groupe,,3)))</f>
        <v>10</v>
      </c>
      <c r="J7" s="70">
        <f ca="1">SUMPRODUCT((groupe='Base de donnée'!C7)*(OFFSET(groupe,,1)='Base de donnée'!F7)*(OFFSET(groupe,,2)='Base de donnée'!H7)*(OFFSET(groupe,,6)))</f>
        <v>7</v>
      </c>
      <c r="K7" s="70">
        <f ca="1">SUMPRODUCT((groupe='Base de donnée'!C7)*(OFFSET(groupe,,1)='Base de donnée'!F7)*(OFFSET(groupe,,2)='Base de donnée'!H7)*(OFFSET(groupe,,7)))</f>
        <v>12</v>
      </c>
      <c r="L7" s="71">
        <f ca="1">SUMPRODUCT((groupe='Base de donnée'!C7)*(OFFSET(groupe,,1)='Base de donnée'!F7)*(OFFSET(groupe,,2)='Base de donnée'!H7)*(OFFSET(groupe,,8)))</f>
        <v>12</v>
      </c>
      <c r="M7" s="71">
        <f ca="1">SUMPRODUCT((groupe='Base de donnée'!C7)*(OFFSET(groupe,,1)='Base de donnée'!F7)*(OFFSET(groupe,,2)='Base de donnée'!H7)*(OFFSET(groupe,,9)))</f>
        <v>17</v>
      </c>
      <c r="N7" s="27">
        <f t="shared" ca="1" si="6"/>
        <v>10</v>
      </c>
      <c r="O7" s="27">
        <f t="shared" ca="1" si="7"/>
        <v>10</v>
      </c>
      <c r="P7" s="49">
        <f t="shared" ca="1" si="8"/>
        <v>0</v>
      </c>
      <c r="Q7" s="49">
        <f t="shared" ca="1" si="9"/>
        <v>0</v>
      </c>
      <c r="R7" s="27"/>
      <c r="S7" s="27" t="str">
        <f t="shared" si="2"/>
        <v/>
      </c>
      <c r="T7" s="27"/>
      <c r="U7" s="27" t="str">
        <f t="shared" si="3"/>
        <v/>
      </c>
      <c r="V7" s="27" t="str">
        <f t="shared" si="4"/>
        <v/>
      </c>
      <c r="W7" s="27"/>
      <c r="X7" s="28">
        <f ca="1">IF(OR(Z7=1,AA7=1,AB7=1,AC7=1,AD7=1),0,(SUMPRODUCT((groupe='Base de donnée'!C7)*(OFFSET(groupe,,1)='Base de donnée'!F7)*(OFFSET(groupe,,2)='Base de donnée'!H7)*(OFFSET(groupe,,5)))))</f>
        <v>0</v>
      </c>
      <c r="Y7" s="28"/>
      <c r="Z7" s="7"/>
      <c r="AA7" s="7"/>
      <c r="AB7" s="7"/>
      <c r="AC7" s="7"/>
      <c r="AD7" s="7"/>
      <c r="AE7" s="7"/>
    </row>
    <row r="8" spans="1:39" s="30" customFormat="1" x14ac:dyDescent="0.25">
      <c r="A8" s="6" t="s">
        <v>157</v>
      </c>
      <c r="B8" s="26" t="str">
        <f>VLOOKUP(GestionPersonnelRDJ[[#This Row],[Nom Prénom]],Personnels!Personnels,2,0)</f>
        <v>AMP</v>
      </c>
      <c r="C8" s="21" t="str">
        <f>VLOOKUP(GestionPersonnelRDJ[[#This Row],[Nom Prénom]],Personnels!Personnels,3,0)</f>
        <v>GB</v>
      </c>
      <c r="D8" s="21" t="str">
        <f>VLOOKUP(GestionPersonnelRDJ[[#This Row],[Nom Prénom]],Personnels!Personnels,4,0)</f>
        <v>FDV</v>
      </c>
      <c r="E8" s="2">
        <f>INT(MOD(INT((GestionPersonnelRDJ[[#This Row],[Date]]-2)/7)+0.6,52+5/28))+1</f>
        <v>51</v>
      </c>
      <c r="F8" s="7">
        <v>2</v>
      </c>
      <c r="G8" s="8">
        <v>40899</v>
      </c>
      <c r="H8" s="5" t="str">
        <f t="shared" si="5"/>
        <v>jeudi</v>
      </c>
      <c r="I8" s="27">
        <f ca="1">SUMPRODUCT((groupe='Base de donnée'!C8)*(OFFSET(groupe,,1)='Base de donnée'!F8)*(OFFSET(groupe,,2)='Base de donnée'!H8)*(OFFSET(groupe,,3)))</f>
        <v>8</v>
      </c>
      <c r="J8" s="70">
        <f ca="1">SUMPRODUCT((groupe='Base de donnée'!C8)*(OFFSET(groupe,,1)='Base de donnée'!F8)*(OFFSET(groupe,,2)='Base de donnée'!H8)*(OFFSET(groupe,,6)))</f>
        <v>7</v>
      </c>
      <c r="K8" s="70">
        <f ca="1">SUMPRODUCT((groupe='Base de donnée'!C8)*(OFFSET(groupe,,1)='Base de donnée'!F8)*(OFFSET(groupe,,2)='Base de donnée'!H8)*(OFFSET(groupe,,7)))</f>
        <v>12</v>
      </c>
      <c r="L8" s="71">
        <f ca="1">SUMPRODUCT((groupe='Base de donnée'!C8)*(OFFSET(groupe,,1)='Base de donnée'!F8)*(OFFSET(groupe,,2)='Base de donnée'!H8)*(OFFSET(groupe,,8)))</f>
        <v>12</v>
      </c>
      <c r="M8" s="71">
        <f ca="1">SUMPRODUCT((groupe='Base de donnée'!C8)*(OFFSET(groupe,,1)='Base de donnée'!F8)*(OFFSET(groupe,,2)='Base de donnée'!H8)*(OFFSET(groupe,,9)))</f>
        <v>15</v>
      </c>
      <c r="N8" s="27">
        <f t="shared" ca="1" si="6"/>
        <v>8</v>
      </c>
      <c r="O8" s="27">
        <f t="shared" ca="1" si="7"/>
        <v>8</v>
      </c>
      <c r="P8" s="49">
        <f t="shared" ca="1" si="8"/>
        <v>0</v>
      </c>
      <c r="Q8" s="49">
        <f t="shared" ca="1" si="9"/>
        <v>0</v>
      </c>
      <c r="R8" s="27"/>
      <c r="S8" s="27" t="str">
        <f t="shared" si="2"/>
        <v/>
      </c>
      <c r="T8" s="27"/>
      <c r="U8" s="27" t="str">
        <f t="shared" si="3"/>
        <v/>
      </c>
      <c r="V8" s="27" t="str">
        <f t="shared" si="4"/>
        <v/>
      </c>
      <c r="W8" s="27"/>
      <c r="X8" s="28">
        <f ca="1">IF(OR(Z8=1,AA8=1,AB8=1,AC8=1,AD8=1),0,(SUMPRODUCT((groupe='Base de donnée'!C8)*(OFFSET(groupe,,1)='Base de donnée'!F8)*(OFFSET(groupe,,2)='Base de donnée'!H8)*(OFFSET(groupe,,5)))))</f>
        <v>0</v>
      </c>
      <c r="Y8" s="28"/>
      <c r="Z8" s="7"/>
      <c r="AA8" s="7"/>
      <c r="AB8" s="7"/>
      <c r="AC8" s="7"/>
      <c r="AD8" s="7"/>
      <c r="AE8" s="7"/>
    </row>
    <row r="9" spans="1:39" s="30" customFormat="1" x14ac:dyDescent="0.25">
      <c r="A9" s="6" t="s">
        <v>157</v>
      </c>
      <c r="B9" s="26" t="str">
        <f>VLOOKUP(GestionPersonnelRDJ[[#This Row],[Nom Prénom]],Personnels!Personnels,2,0)</f>
        <v>AMP</v>
      </c>
      <c r="C9" s="21" t="str">
        <f>VLOOKUP(GestionPersonnelRDJ[[#This Row],[Nom Prénom]],Personnels!Personnels,3,0)</f>
        <v>GB</v>
      </c>
      <c r="D9" s="21" t="str">
        <f>VLOOKUP(GestionPersonnelRDJ[[#This Row],[Nom Prénom]],Personnels!Personnels,4,0)</f>
        <v>FDV</v>
      </c>
      <c r="E9" s="2">
        <f>INT(MOD(INT((GestionPersonnelRDJ[[#This Row],[Date]]-2)/7)+0.6,52+5/28))+1</f>
        <v>51</v>
      </c>
      <c r="F9" s="7">
        <v>2</v>
      </c>
      <c r="G9" s="8">
        <v>40900</v>
      </c>
      <c r="H9" s="5" t="str">
        <f t="shared" si="5"/>
        <v>vendredi</v>
      </c>
      <c r="I9" s="27">
        <f ca="1">SUMPRODUCT((groupe='Base de donnée'!C9)*(OFFSET(groupe,,1)='Base de donnée'!F9)*(OFFSET(groupe,,2)='Base de donnée'!H9)*(OFFSET(groupe,,3)))</f>
        <v>10</v>
      </c>
      <c r="J9" s="74"/>
      <c r="K9" s="74"/>
      <c r="L9" s="74"/>
      <c r="M9" s="74"/>
      <c r="N9" s="27">
        <f t="shared" ca="1" si="6"/>
        <v>0</v>
      </c>
      <c r="O9" s="27">
        <f t="shared" ca="1" si="7"/>
        <v>0</v>
      </c>
      <c r="P9" s="49">
        <f t="shared" ca="1" si="8"/>
        <v>10</v>
      </c>
      <c r="Q9" s="49">
        <f t="shared" ca="1" si="9"/>
        <v>0</v>
      </c>
      <c r="R9" s="27"/>
      <c r="S9" s="27" t="str">
        <f t="shared" si="2"/>
        <v/>
      </c>
      <c r="T9" s="27"/>
      <c r="U9" s="27" t="str">
        <f t="shared" si="3"/>
        <v/>
      </c>
      <c r="V9" s="27" t="str">
        <f t="shared" si="4"/>
        <v/>
      </c>
      <c r="W9" s="27"/>
      <c r="X9" s="28">
        <f ca="1">IF(OR(Z9=1,AA9=1,AB9=1,AC9=1,AD9=1),0,(SUMPRODUCT((groupe='Base de donnée'!C9)*(OFFSET(groupe,,1)='Base de donnée'!F9)*(OFFSET(groupe,,2)='Base de donnée'!H9)*(OFFSET(groupe,,5)))))</f>
        <v>0</v>
      </c>
      <c r="Y9" s="28"/>
      <c r="Z9" s="7"/>
      <c r="AA9" s="7"/>
      <c r="AB9" s="7"/>
      <c r="AC9" s="7"/>
      <c r="AD9" s="7"/>
      <c r="AE9" s="7"/>
    </row>
    <row r="10" spans="1:39" s="30" customFormat="1" x14ac:dyDescent="0.25">
      <c r="A10" s="6" t="s">
        <v>157</v>
      </c>
      <c r="B10" s="26" t="str">
        <f>VLOOKUP(GestionPersonnelRDJ[[#This Row],[Nom Prénom]],Personnels!Personnels,2,0)</f>
        <v>AMP</v>
      </c>
      <c r="C10" s="21" t="str">
        <f>VLOOKUP(GestionPersonnelRDJ[[#This Row],[Nom Prénom]],Personnels!Personnels,3,0)</f>
        <v>GB</v>
      </c>
      <c r="D10" s="21" t="str">
        <f>VLOOKUP(GestionPersonnelRDJ[[#This Row],[Nom Prénom]],Personnels!Personnels,4,0)</f>
        <v>FDV</v>
      </c>
      <c r="E10" s="2">
        <f>INT(MOD(INT((GestionPersonnelRDJ[[#This Row],[Date]]-2)/7)+0.6,52+5/28))+1</f>
        <v>51</v>
      </c>
      <c r="F10" s="7">
        <v>2</v>
      </c>
      <c r="G10" s="8">
        <v>40901</v>
      </c>
      <c r="H10" s="5" t="str">
        <f t="shared" si="5"/>
        <v>samedi</v>
      </c>
      <c r="I10" s="27">
        <f ca="1">SUMPRODUCT((groupe='Base de donnée'!C10)*(OFFSET(groupe,,1)='Base de donnée'!F10)*(OFFSET(groupe,,2)='Base de donnée'!H10)*(OFFSET(groupe,,3)))</f>
        <v>0</v>
      </c>
      <c r="J10" s="70">
        <f ca="1">SUMPRODUCT((groupe='Base de donnée'!C10)*(OFFSET(groupe,,1)='Base de donnée'!F10)*(OFFSET(groupe,,2)='Base de donnée'!H10)*(OFFSET(groupe,,6)))</f>
        <v>0</v>
      </c>
      <c r="K10" s="70">
        <f ca="1">SUMPRODUCT((groupe='Base de donnée'!C10)*(OFFSET(groupe,,1)='Base de donnée'!F10)*(OFFSET(groupe,,2)='Base de donnée'!H10)*(OFFSET(groupe,,7)))</f>
        <v>0</v>
      </c>
      <c r="L10" s="71">
        <f ca="1">SUMPRODUCT((groupe='Base de donnée'!C10)*(OFFSET(groupe,,1)='Base de donnée'!F10)*(OFFSET(groupe,,2)='Base de donnée'!H10)*(OFFSET(groupe,,8)))</f>
        <v>0</v>
      </c>
      <c r="M10" s="71">
        <f ca="1">SUMPRODUCT((groupe='Base de donnée'!C10)*(OFFSET(groupe,,1)='Base de donnée'!F10)*(OFFSET(groupe,,2)='Base de donnée'!H10)*(OFFSET(groupe,,9)))</f>
        <v>0</v>
      </c>
      <c r="N10" s="27">
        <f t="shared" ca="1" si="6"/>
        <v>0</v>
      </c>
      <c r="O10" s="27">
        <f t="shared" ca="1" si="7"/>
        <v>0</v>
      </c>
      <c r="P10" s="49">
        <f t="shared" ca="1" si="8"/>
        <v>0</v>
      </c>
      <c r="Q10" s="49">
        <f t="shared" ca="1" si="9"/>
        <v>0</v>
      </c>
      <c r="R10" s="27"/>
      <c r="S10" s="27" t="str">
        <f t="shared" si="2"/>
        <v/>
      </c>
      <c r="T10" s="27"/>
      <c r="U10" s="27" t="str">
        <f t="shared" si="3"/>
        <v/>
      </c>
      <c r="V10" s="27" t="str">
        <f t="shared" si="4"/>
        <v/>
      </c>
      <c r="W10" s="27"/>
      <c r="X10" s="28">
        <f ca="1">IF(OR(Z10=1,AA10=1,AB10=1,AC10=1,AD10=1),0,(SUMPRODUCT((groupe='Base de donnée'!C10)*(OFFSET(groupe,,1)='Base de donnée'!F10)*(OFFSET(groupe,,2)='Base de donnée'!H10)*(OFFSET(groupe,,5)))))</f>
        <v>0</v>
      </c>
      <c r="Y10" s="28"/>
      <c r="Z10" s="7"/>
      <c r="AA10" s="7"/>
      <c r="AB10" s="7"/>
      <c r="AC10" s="7"/>
      <c r="AD10" s="7"/>
      <c r="AE10" s="7"/>
    </row>
    <row r="11" spans="1:39" s="30" customFormat="1" x14ac:dyDescent="0.25">
      <c r="A11" s="6" t="s">
        <v>157</v>
      </c>
      <c r="B11" s="26" t="str">
        <f>VLOOKUP(GestionPersonnelRDJ[[#This Row],[Nom Prénom]],Personnels!Personnels,2,0)</f>
        <v>AMP</v>
      </c>
      <c r="C11" s="21" t="str">
        <f>VLOOKUP(GestionPersonnelRDJ[[#This Row],[Nom Prénom]],Personnels!Personnels,3,0)</f>
        <v>GB</v>
      </c>
      <c r="D11" s="21" t="str">
        <f>VLOOKUP(GestionPersonnelRDJ[[#This Row],[Nom Prénom]],Personnels!Personnels,4,0)</f>
        <v>FDV</v>
      </c>
      <c r="E11" s="2">
        <f>INT(MOD(INT((GestionPersonnelRDJ[[#This Row],[Date]]-2)/7)+0.6,52+5/28))+1</f>
        <v>51</v>
      </c>
      <c r="F11" s="7">
        <v>2</v>
      </c>
      <c r="G11" s="8">
        <v>40902</v>
      </c>
      <c r="H11" s="5" t="str">
        <f t="shared" si="5"/>
        <v>dimanche</v>
      </c>
      <c r="I11" s="27">
        <f ca="1">SUMPRODUCT((groupe='Base de donnée'!C11)*(OFFSET(groupe,,1)='Base de donnée'!F11)*(OFFSET(groupe,,2)='Base de donnée'!H11)*(OFFSET(groupe,,3)))</f>
        <v>0</v>
      </c>
      <c r="J11" s="73">
        <v>10</v>
      </c>
      <c r="K11" s="73">
        <v>12</v>
      </c>
      <c r="L11" s="73">
        <v>12</v>
      </c>
      <c r="M11" s="73">
        <v>22</v>
      </c>
      <c r="N11" s="27">
        <f t="shared" si="6"/>
        <v>12</v>
      </c>
      <c r="O11" s="27">
        <f t="shared" ca="1" si="7"/>
        <v>24</v>
      </c>
      <c r="P11" s="49">
        <f t="shared" ca="1" si="8"/>
        <v>0</v>
      </c>
      <c r="Q11" s="49">
        <f t="shared" ca="1" si="9"/>
        <v>24</v>
      </c>
      <c r="R11" s="27"/>
      <c r="S11" s="27">
        <f t="shared" si="2"/>
        <v>12</v>
      </c>
      <c r="T11" s="27"/>
      <c r="U11" s="27">
        <f t="shared" si="3"/>
        <v>12</v>
      </c>
      <c r="V11" s="27">
        <f t="shared" si="4"/>
        <v>12</v>
      </c>
      <c r="W11" s="27"/>
      <c r="X11" s="28">
        <f ca="1">IF(OR(Z11=1,AA11=1,AB11=1,AC11=1,AD11=1),0,(SUMPRODUCT((groupe='Base de donnée'!C11)*(OFFSET(groupe,,1)='Base de donnée'!F11)*(OFFSET(groupe,,2)='Base de donnée'!H11)*(OFFSET(groupe,,5)))))</f>
        <v>0</v>
      </c>
      <c r="Y11" s="28"/>
      <c r="Z11" s="7"/>
      <c r="AA11" s="7"/>
      <c r="AB11" s="7"/>
      <c r="AC11" s="7"/>
      <c r="AD11" s="7"/>
      <c r="AE11" s="7"/>
    </row>
    <row r="12" spans="1:39" s="30" customFormat="1" x14ac:dyDescent="0.25">
      <c r="A12" s="6" t="s">
        <v>106</v>
      </c>
      <c r="B12" s="26" t="str">
        <f>VLOOKUP(GestionPersonnelRDJ[[#This Row],[Nom Prénom]],Personnels!Personnels,2,0)</f>
        <v>AMP</v>
      </c>
      <c r="C12" s="21" t="str">
        <f>VLOOKUP(GestionPersonnelRDJ[[#This Row],[Nom Prénom]],Personnels!Personnels,3,0)</f>
        <v>GB</v>
      </c>
      <c r="D12" s="21" t="str">
        <f>VLOOKUP(GestionPersonnelRDJ[[#This Row],[Nom Prénom]],Personnels!Personnels,4,0)</f>
        <v>FDV</v>
      </c>
      <c r="E12" s="2">
        <f>INT(MOD(INT((GestionPersonnelRDJ[[#This Row],[Date]]-2)/7)+0.6,52+5/28))+1</f>
        <v>51</v>
      </c>
      <c r="F12" s="7">
        <v>1</v>
      </c>
      <c r="G12" s="8">
        <v>40896</v>
      </c>
      <c r="H12" s="5" t="str">
        <f t="shared" ref="H12:H18" si="10">TEXT(WEEKDAY(G12),"jjjj")</f>
        <v>lundi</v>
      </c>
      <c r="I12" s="27">
        <f ca="1">SUMPRODUCT((groupe='Base de donnée'!C12)*(OFFSET(groupe,,1)='Base de donnée'!F12)*(OFFSET(groupe,,2)='Base de donnée'!H12)*(OFFSET(groupe,,3)))</f>
        <v>6</v>
      </c>
      <c r="J12" s="70">
        <f ca="1">SUMPRODUCT((groupe='Base de donnée'!C12)*(OFFSET(groupe,,1)='Base de donnée'!F12)*(OFFSET(groupe,,2)='Base de donnée'!H12)*(OFFSET(groupe,,6)))</f>
        <v>8</v>
      </c>
      <c r="K12" s="70">
        <f ca="1">SUMPRODUCT((groupe='Base de donnée'!C12)*(OFFSET(groupe,,1)='Base de donnée'!F12)*(OFFSET(groupe,,2)='Base de donnée'!H12)*(OFFSET(groupe,,7)))</f>
        <v>12</v>
      </c>
      <c r="L12" s="71">
        <f ca="1">SUMPRODUCT((groupe='Base de donnée'!C12)*(OFFSET(groupe,,1)='Base de donnée'!F12)*(OFFSET(groupe,,2)='Base de donnée'!H12)*(OFFSET(groupe,,8)))</f>
        <v>12</v>
      </c>
      <c r="M12" s="71">
        <f ca="1">SUMPRODUCT((groupe='Base de donnée'!C12)*(OFFSET(groupe,,1)='Base de donnée'!F12)*(OFFSET(groupe,,2)='Base de donnée'!H12)*(OFFSET(groupe,,9)))</f>
        <v>14</v>
      </c>
      <c r="N12" s="27">
        <f t="shared" ca="1" si="6"/>
        <v>6</v>
      </c>
      <c r="O12" s="27">
        <f t="shared" ca="1" si="7"/>
        <v>6</v>
      </c>
      <c r="P12" s="49">
        <f t="shared" ref="P12:P18" ca="1" si="11">IF(I12-O12-(W12+X12)&lt;=0,0,I12-O12-(W12+X12))</f>
        <v>0</v>
      </c>
      <c r="Q12" s="49">
        <f t="shared" ref="Q12:Q18" ca="1" si="12">IF(O12-I12-(W12+X12)&lt;=0,0,O12-I12-(W12+X12))</f>
        <v>0</v>
      </c>
      <c r="R12" s="27"/>
      <c r="S12" s="27" t="str">
        <f t="shared" si="2"/>
        <v/>
      </c>
      <c r="T12" s="27"/>
      <c r="U12" s="27" t="str">
        <f t="shared" si="3"/>
        <v/>
      </c>
      <c r="V12" s="27" t="str">
        <f t="shared" si="4"/>
        <v/>
      </c>
      <c r="W12" s="27"/>
      <c r="X12" s="28">
        <f ca="1">IF(OR(Z12=1,AA12=1,AB12=1,AC12=1,AD12=1),0,(SUMPRODUCT((groupe='Base de donnée'!C12)*(OFFSET(groupe,,1)='Base de donnée'!F12)*(OFFSET(groupe,,2)='Base de donnée'!H12)*(OFFSET(groupe,,5)))))</f>
        <v>0</v>
      </c>
      <c r="Y12" s="28"/>
      <c r="Z12" s="7"/>
      <c r="AA12" s="7"/>
      <c r="AB12" s="7"/>
      <c r="AC12" s="7"/>
      <c r="AD12" s="7"/>
      <c r="AE12" s="7"/>
    </row>
    <row r="13" spans="1:39" s="30" customFormat="1" x14ac:dyDescent="0.25">
      <c r="A13" s="6" t="s">
        <v>106</v>
      </c>
      <c r="B13" s="26" t="str">
        <f>VLOOKUP(GestionPersonnelRDJ[[#This Row],[Nom Prénom]],Personnels!Personnels,2,0)</f>
        <v>AMP</v>
      </c>
      <c r="C13" s="21" t="str">
        <f>VLOOKUP(GestionPersonnelRDJ[[#This Row],[Nom Prénom]],Personnels!Personnels,3,0)</f>
        <v>GB</v>
      </c>
      <c r="D13" s="21" t="str">
        <f>VLOOKUP(GestionPersonnelRDJ[[#This Row],[Nom Prénom]],Personnels!Personnels,4,0)</f>
        <v>FDV</v>
      </c>
      <c r="E13" s="2">
        <f>INT(MOD(INT((GestionPersonnelRDJ[[#This Row],[Date]]-2)/7)+0.6,52+5/28))+1</f>
        <v>51</v>
      </c>
      <c r="F13" s="7">
        <v>1</v>
      </c>
      <c r="G13" s="8">
        <v>40897</v>
      </c>
      <c r="H13" s="5" t="str">
        <f t="shared" si="10"/>
        <v>mardi</v>
      </c>
      <c r="I13" s="27">
        <f ca="1">SUMPRODUCT((groupe='Base de donnée'!C13)*(OFFSET(groupe,,1)='Base de donnée'!F13)*(OFFSET(groupe,,2)='Base de donnée'!H13)*(OFFSET(groupe,,3)))</f>
        <v>10</v>
      </c>
      <c r="J13" s="70">
        <f ca="1">SUMPRODUCT((groupe='Base de donnée'!C13)*(OFFSET(groupe,,1)='Base de donnée'!F13)*(OFFSET(groupe,,2)='Base de donnée'!H13)*(OFFSET(groupe,,6)))</f>
        <v>7</v>
      </c>
      <c r="K13" s="70">
        <f ca="1">SUMPRODUCT((groupe='Base de donnée'!C13)*(OFFSET(groupe,,1)='Base de donnée'!F13)*(OFFSET(groupe,,2)='Base de donnée'!H13)*(OFFSET(groupe,,7)))</f>
        <v>12</v>
      </c>
      <c r="L13" s="71">
        <f ca="1">SUMPRODUCT((groupe='Base de donnée'!C13)*(OFFSET(groupe,,1)='Base de donnée'!F13)*(OFFSET(groupe,,2)='Base de donnée'!H13)*(OFFSET(groupe,,8)))</f>
        <v>12</v>
      </c>
      <c r="M13" s="71">
        <f ca="1">SUMPRODUCT((groupe='Base de donnée'!C13)*(OFFSET(groupe,,1)='Base de donnée'!F13)*(OFFSET(groupe,,2)='Base de donnée'!H13)*(OFFSET(groupe,,9)))</f>
        <v>17</v>
      </c>
      <c r="N13" s="27">
        <f t="shared" ca="1" si="6"/>
        <v>10</v>
      </c>
      <c r="O13" s="27">
        <f t="shared" ca="1" si="7"/>
        <v>10</v>
      </c>
      <c r="P13" s="49">
        <f t="shared" ca="1" si="11"/>
        <v>0</v>
      </c>
      <c r="Q13" s="49">
        <f t="shared" ca="1" si="12"/>
        <v>0</v>
      </c>
      <c r="R13" s="27"/>
      <c r="S13" s="27" t="str">
        <f t="shared" si="2"/>
        <v/>
      </c>
      <c r="T13" s="27"/>
      <c r="U13" s="27" t="str">
        <f t="shared" si="3"/>
        <v/>
      </c>
      <c r="V13" s="27" t="str">
        <f t="shared" si="4"/>
        <v/>
      </c>
      <c r="W13" s="27"/>
      <c r="X13" s="28">
        <f ca="1">IF(OR(Z13=1,AA13=1,AB13=1,AC13=1,AD13=1),0,(SUMPRODUCT((groupe='Base de donnée'!C13)*(OFFSET(groupe,,1)='Base de donnée'!F13)*(OFFSET(groupe,,2)='Base de donnée'!H13)*(OFFSET(groupe,,5)))))</f>
        <v>0</v>
      </c>
      <c r="Y13" s="28"/>
      <c r="Z13" s="7"/>
      <c r="AA13" s="7"/>
      <c r="AB13" s="7"/>
      <c r="AC13" s="7"/>
      <c r="AD13" s="7"/>
      <c r="AE13" s="7"/>
    </row>
    <row r="14" spans="1:39" s="30" customFormat="1" x14ac:dyDescent="0.25">
      <c r="A14" s="6" t="s">
        <v>106</v>
      </c>
      <c r="B14" s="26" t="str">
        <f>VLOOKUP(GestionPersonnelRDJ[[#This Row],[Nom Prénom]],Personnels!Personnels,2,0)</f>
        <v>AMP</v>
      </c>
      <c r="C14" s="21" t="str">
        <f>VLOOKUP(GestionPersonnelRDJ[[#This Row],[Nom Prénom]],Personnels!Personnels,3,0)</f>
        <v>GB</v>
      </c>
      <c r="D14" s="21" t="str">
        <f>VLOOKUP(GestionPersonnelRDJ[[#This Row],[Nom Prénom]],Personnels!Personnels,4,0)</f>
        <v>FDV</v>
      </c>
      <c r="E14" s="2">
        <f>INT(MOD(INT((GestionPersonnelRDJ[[#This Row],[Date]]-2)/7)+0.6,52+5/28))+1</f>
        <v>51</v>
      </c>
      <c r="F14" s="7">
        <v>1</v>
      </c>
      <c r="G14" s="8">
        <v>40898</v>
      </c>
      <c r="H14" s="5" t="str">
        <f t="shared" si="10"/>
        <v>mercredi</v>
      </c>
      <c r="I14" s="27">
        <f ca="1">SUMPRODUCT((groupe='Base de donnée'!C14)*(OFFSET(groupe,,1)='Base de donnée'!F14)*(OFFSET(groupe,,2)='Base de donnée'!H14)*(OFFSET(groupe,,3)))</f>
        <v>0</v>
      </c>
      <c r="J14" s="70">
        <f ca="1">SUMPRODUCT((groupe='Base de donnée'!C14)*(OFFSET(groupe,,1)='Base de donnée'!F14)*(OFFSET(groupe,,2)='Base de donnée'!H14)*(OFFSET(groupe,,6)))</f>
        <v>0</v>
      </c>
      <c r="K14" s="70">
        <f ca="1">SUMPRODUCT((groupe='Base de donnée'!C14)*(OFFSET(groupe,,1)='Base de donnée'!F14)*(OFFSET(groupe,,2)='Base de donnée'!H14)*(OFFSET(groupe,,7)))</f>
        <v>0</v>
      </c>
      <c r="L14" s="71">
        <f ca="1">SUMPRODUCT((groupe='Base de donnée'!C14)*(OFFSET(groupe,,1)='Base de donnée'!F14)*(OFFSET(groupe,,2)='Base de donnée'!H14)*(OFFSET(groupe,,8)))</f>
        <v>0</v>
      </c>
      <c r="M14" s="71">
        <f ca="1">SUMPRODUCT((groupe='Base de donnée'!C14)*(OFFSET(groupe,,1)='Base de donnée'!F14)*(OFFSET(groupe,,2)='Base de donnée'!H14)*(OFFSET(groupe,,9)))</f>
        <v>0</v>
      </c>
      <c r="N14" s="27">
        <f t="shared" ca="1" si="6"/>
        <v>0</v>
      </c>
      <c r="O14" s="27">
        <f t="shared" ca="1" si="7"/>
        <v>0</v>
      </c>
      <c r="P14" s="49">
        <f t="shared" ca="1" si="11"/>
        <v>0</v>
      </c>
      <c r="Q14" s="49">
        <f t="shared" ca="1" si="12"/>
        <v>0</v>
      </c>
      <c r="R14" s="27"/>
      <c r="S14" s="27" t="str">
        <f t="shared" si="2"/>
        <v/>
      </c>
      <c r="T14" s="27"/>
      <c r="U14" s="27" t="str">
        <f t="shared" si="3"/>
        <v/>
      </c>
      <c r="V14" s="27" t="str">
        <f t="shared" si="4"/>
        <v/>
      </c>
      <c r="W14" s="27"/>
      <c r="X14" s="28">
        <f ca="1">IF(OR(Z14=1,AA14=1,AB14=1,AC14=1,AD14=1),0,(SUMPRODUCT((groupe='Base de donnée'!C14)*(OFFSET(groupe,,1)='Base de donnée'!F14)*(OFFSET(groupe,,2)='Base de donnée'!H14)*(OFFSET(groupe,,5)))))</f>
        <v>0</v>
      </c>
      <c r="Y14" s="28"/>
      <c r="Z14" s="7"/>
      <c r="AA14" s="7"/>
      <c r="AB14" s="7"/>
      <c r="AC14" s="7"/>
      <c r="AD14" s="7"/>
      <c r="AE14" s="7"/>
    </row>
    <row r="15" spans="1:39" s="30" customFormat="1" x14ac:dyDescent="0.25">
      <c r="A15" s="6" t="s">
        <v>106</v>
      </c>
      <c r="B15" s="26" t="str">
        <f>VLOOKUP(GestionPersonnelRDJ[[#This Row],[Nom Prénom]],Personnels!Personnels,2,0)</f>
        <v>AMP</v>
      </c>
      <c r="C15" s="21" t="str">
        <f>VLOOKUP(GestionPersonnelRDJ[[#This Row],[Nom Prénom]],Personnels!Personnels,3,0)</f>
        <v>GB</v>
      </c>
      <c r="D15" s="21" t="str">
        <f>VLOOKUP(GestionPersonnelRDJ[[#This Row],[Nom Prénom]],Personnels!Personnels,4,0)</f>
        <v>FDV</v>
      </c>
      <c r="E15" s="2">
        <f>INT(MOD(INT((GestionPersonnelRDJ[[#This Row],[Date]]-2)/7)+0.6,52+5/28))+1</f>
        <v>51</v>
      </c>
      <c r="F15" s="7">
        <v>1</v>
      </c>
      <c r="G15" s="8">
        <v>40899</v>
      </c>
      <c r="H15" s="5" t="str">
        <f t="shared" si="10"/>
        <v>jeudi</v>
      </c>
      <c r="I15" s="27">
        <f ca="1">SUMPRODUCT((groupe='Base de donnée'!C15)*(OFFSET(groupe,,1)='Base de donnée'!F15)*(OFFSET(groupe,,2)='Base de donnée'!H15)*(OFFSET(groupe,,3)))</f>
        <v>0</v>
      </c>
      <c r="J15" s="70">
        <f ca="1">SUMPRODUCT((groupe='Base de donnée'!C15)*(OFFSET(groupe,,1)='Base de donnée'!F15)*(OFFSET(groupe,,2)='Base de donnée'!H15)*(OFFSET(groupe,,6)))</f>
        <v>0</v>
      </c>
      <c r="K15" s="70">
        <f ca="1">SUMPRODUCT((groupe='Base de donnée'!C15)*(OFFSET(groupe,,1)='Base de donnée'!F15)*(OFFSET(groupe,,2)='Base de donnée'!H15)*(OFFSET(groupe,,7)))</f>
        <v>0</v>
      </c>
      <c r="L15" s="71">
        <f ca="1">SUMPRODUCT((groupe='Base de donnée'!C15)*(OFFSET(groupe,,1)='Base de donnée'!F15)*(OFFSET(groupe,,2)='Base de donnée'!H15)*(OFFSET(groupe,,8)))</f>
        <v>0</v>
      </c>
      <c r="M15" s="71">
        <f ca="1">SUMPRODUCT((groupe='Base de donnée'!C15)*(OFFSET(groupe,,1)='Base de donnée'!F15)*(OFFSET(groupe,,2)='Base de donnée'!H15)*(OFFSET(groupe,,9)))</f>
        <v>0</v>
      </c>
      <c r="N15" s="27">
        <f t="shared" ca="1" si="6"/>
        <v>0</v>
      </c>
      <c r="O15" s="27">
        <f t="shared" ca="1" si="7"/>
        <v>0</v>
      </c>
      <c r="P15" s="49">
        <f t="shared" ca="1" si="11"/>
        <v>0</v>
      </c>
      <c r="Q15" s="49">
        <f t="shared" ca="1" si="12"/>
        <v>0</v>
      </c>
      <c r="R15" s="27"/>
      <c r="S15" s="27" t="str">
        <f t="shared" si="2"/>
        <v/>
      </c>
      <c r="T15" s="27"/>
      <c r="U15" s="27" t="str">
        <f t="shared" si="3"/>
        <v/>
      </c>
      <c r="V15" s="27" t="str">
        <f t="shared" si="4"/>
        <v/>
      </c>
      <c r="W15" s="27"/>
      <c r="X15" s="28">
        <f ca="1">IF(OR(Z15=1,AA15=1,AB15=1,AC15=1,AD15=1),0,(SUMPRODUCT((groupe='Base de donnée'!C15)*(OFFSET(groupe,,1)='Base de donnée'!F15)*(OFFSET(groupe,,2)='Base de donnée'!H15)*(OFFSET(groupe,,5)))))</f>
        <v>0</v>
      </c>
      <c r="Y15" s="28"/>
      <c r="Z15" s="7"/>
      <c r="AA15" s="7"/>
      <c r="AB15" s="7"/>
      <c r="AC15" s="7"/>
      <c r="AD15" s="7"/>
      <c r="AE15" s="7"/>
    </row>
    <row r="16" spans="1:39" s="30" customFormat="1" x14ac:dyDescent="0.25">
      <c r="A16" s="6" t="s">
        <v>106</v>
      </c>
      <c r="B16" s="26" t="str">
        <f>VLOOKUP(GestionPersonnelRDJ[[#This Row],[Nom Prénom]],Personnels!Personnels,2,0)</f>
        <v>AMP</v>
      </c>
      <c r="C16" s="21" t="str">
        <f>VLOOKUP(GestionPersonnelRDJ[[#This Row],[Nom Prénom]],Personnels!Personnels,3,0)</f>
        <v>GB</v>
      </c>
      <c r="D16" s="21" t="str">
        <f>VLOOKUP(GestionPersonnelRDJ[[#This Row],[Nom Prénom]],Personnels!Personnels,4,0)</f>
        <v>FDV</v>
      </c>
      <c r="E16" s="2">
        <f>INT(MOD(INT((GestionPersonnelRDJ[[#This Row],[Date]]-2)/7)+0.6,52+5/28))+1</f>
        <v>51</v>
      </c>
      <c r="F16" s="7">
        <v>1</v>
      </c>
      <c r="G16" s="8">
        <v>40900</v>
      </c>
      <c r="H16" s="5" t="str">
        <f t="shared" si="10"/>
        <v>vendredi</v>
      </c>
      <c r="I16" s="27">
        <f ca="1">SUMPRODUCT((groupe='Base de donnée'!C16)*(OFFSET(groupe,,1)='Base de donnée'!F16)*(OFFSET(groupe,,2)='Base de donnée'!H16)*(OFFSET(groupe,,3)))</f>
        <v>0</v>
      </c>
      <c r="J16" s="70">
        <f ca="1">SUMPRODUCT((groupe='Base de donnée'!C16)*(OFFSET(groupe,,1)='Base de donnée'!F16)*(OFFSET(groupe,,2)='Base de donnée'!H16)*(OFFSET(groupe,,6)))</f>
        <v>0</v>
      </c>
      <c r="K16" s="70">
        <f ca="1">SUMPRODUCT((groupe='Base de donnée'!C16)*(OFFSET(groupe,,1)='Base de donnée'!F16)*(OFFSET(groupe,,2)='Base de donnée'!H16)*(OFFSET(groupe,,7)))</f>
        <v>0</v>
      </c>
      <c r="L16" s="71">
        <f ca="1">SUMPRODUCT((groupe='Base de donnée'!C16)*(OFFSET(groupe,,1)='Base de donnée'!F16)*(OFFSET(groupe,,2)='Base de donnée'!H16)*(OFFSET(groupe,,8)))</f>
        <v>0</v>
      </c>
      <c r="M16" s="71">
        <f ca="1">SUMPRODUCT((groupe='Base de donnée'!C16)*(OFFSET(groupe,,1)='Base de donnée'!F16)*(OFFSET(groupe,,2)='Base de donnée'!H16)*(OFFSET(groupe,,9)))</f>
        <v>0</v>
      </c>
      <c r="N16" s="27">
        <f t="shared" ca="1" si="6"/>
        <v>0</v>
      </c>
      <c r="O16" s="27">
        <f t="shared" ca="1" si="7"/>
        <v>0</v>
      </c>
      <c r="P16" s="49">
        <f t="shared" ca="1" si="11"/>
        <v>0</v>
      </c>
      <c r="Q16" s="49">
        <f t="shared" ca="1" si="12"/>
        <v>0</v>
      </c>
      <c r="R16" s="27"/>
      <c r="S16" s="27" t="str">
        <f t="shared" si="2"/>
        <v/>
      </c>
      <c r="T16" s="27"/>
      <c r="U16" s="27" t="str">
        <f t="shared" si="3"/>
        <v/>
      </c>
      <c r="V16" s="27" t="str">
        <f t="shared" si="4"/>
        <v/>
      </c>
      <c r="W16" s="27"/>
      <c r="X16" s="28">
        <f ca="1">IF(OR(Z16=1,AA16=1,AB16=1,AC16=1,AD16=1),0,(SUMPRODUCT((groupe='Base de donnée'!C16)*(OFFSET(groupe,,1)='Base de donnée'!F16)*(OFFSET(groupe,,2)='Base de donnée'!H16)*(OFFSET(groupe,,5)))))</f>
        <v>0</v>
      </c>
      <c r="Y16" s="28"/>
      <c r="Z16" s="7"/>
      <c r="AA16" s="7"/>
      <c r="AB16" s="7"/>
      <c r="AC16" s="7"/>
      <c r="AD16" s="7"/>
      <c r="AE16" s="7"/>
    </row>
    <row r="17" spans="1:31" s="30" customFormat="1" x14ac:dyDescent="0.25">
      <c r="A17" s="6" t="s">
        <v>106</v>
      </c>
      <c r="B17" s="26" t="str">
        <f>VLOOKUP(GestionPersonnelRDJ[[#This Row],[Nom Prénom]],Personnels!Personnels,2,0)</f>
        <v>AMP</v>
      </c>
      <c r="C17" s="21" t="str">
        <f>VLOOKUP(GestionPersonnelRDJ[[#This Row],[Nom Prénom]],Personnels!Personnels,3,0)</f>
        <v>GB</v>
      </c>
      <c r="D17" s="21" t="str">
        <f>VLOOKUP(GestionPersonnelRDJ[[#This Row],[Nom Prénom]],Personnels!Personnels,4,0)</f>
        <v>FDV</v>
      </c>
      <c r="E17" s="2">
        <f>INT(MOD(INT((GestionPersonnelRDJ[[#This Row],[Date]]-2)/7)+0.6,52+5/28))+1</f>
        <v>51</v>
      </c>
      <c r="F17" s="7">
        <v>1</v>
      </c>
      <c r="G17" s="8">
        <v>40901</v>
      </c>
      <c r="H17" s="5" t="str">
        <f t="shared" si="10"/>
        <v>samedi</v>
      </c>
      <c r="I17" s="27">
        <f ca="1">SUMPRODUCT((groupe='Base de donnée'!C17)*(OFFSET(groupe,,1)='Base de donnée'!F17)*(OFFSET(groupe,,2)='Base de donnée'!H17)*(OFFSET(groupe,,3)))</f>
        <v>12</v>
      </c>
      <c r="J17" s="70">
        <f ca="1">SUMPRODUCT((groupe='Base de donnée'!C17)*(OFFSET(groupe,,1)='Base de donnée'!F17)*(OFFSET(groupe,,2)='Base de donnée'!H17)*(OFFSET(groupe,,6)))</f>
        <v>7.5</v>
      </c>
      <c r="K17" s="70">
        <f ca="1">SUMPRODUCT((groupe='Base de donnée'!C17)*(OFFSET(groupe,,1)='Base de donnée'!F17)*(OFFSET(groupe,,2)='Base de donnée'!H17)*(OFFSET(groupe,,7)))</f>
        <v>12</v>
      </c>
      <c r="L17" s="71">
        <f ca="1">SUMPRODUCT((groupe='Base de donnée'!C17)*(OFFSET(groupe,,1)='Base de donnée'!F17)*(OFFSET(groupe,,2)='Base de donnée'!H17)*(OFFSET(groupe,,8)))</f>
        <v>12</v>
      </c>
      <c r="M17" s="71">
        <f ca="1">SUMPRODUCT((groupe='Base de donnée'!C17)*(OFFSET(groupe,,1)='Base de donnée'!F17)*(OFFSET(groupe,,2)='Base de donnée'!H17)*(OFFSET(groupe,,9)))</f>
        <v>19.5</v>
      </c>
      <c r="N17" s="27">
        <f t="shared" ca="1" si="6"/>
        <v>12</v>
      </c>
      <c r="O17" s="27">
        <f t="shared" ca="1" si="7"/>
        <v>12</v>
      </c>
      <c r="P17" s="49">
        <f t="shared" ca="1" si="11"/>
        <v>0</v>
      </c>
      <c r="Q17" s="49">
        <f t="shared" ca="1" si="12"/>
        <v>0</v>
      </c>
      <c r="R17" s="27"/>
      <c r="S17" s="27" t="str">
        <f t="shared" si="2"/>
        <v/>
      </c>
      <c r="T17" s="27"/>
      <c r="U17" s="27" t="str">
        <f t="shared" si="3"/>
        <v/>
      </c>
      <c r="V17" s="27" t="str">
        <f t="shared" si="4"/>
        <v/>
      </c>
      <c r="W17" s="27"/>
      <c r="X17" s="28">
        <f ca="1">IF(OR(Z17=1,AA17=1,AB17=1,AC17=1,AD17=1),0,(SUMPRODUCT((groupe='Base de donnée'!C17)*(OFFSET(groupe,,1)='Base de donnée'!F17)*(OFFSET(groupe,,2)='Base de donnée'!H17)*(OFFSET(groupe,,5)))))</f>
        <v>0</v>
      </c>
      <c r="Y17" s="28"/>
      <c r="Z17" s="7"/>
      <c r="AA17" s="7"/>
      <c r="AB17" s="7"/>
      <c r="AC17" s="7"/>
      <c r="AD17" s="7"/>
      <c r="AE17" s="7"/>
    </row>
    <row r="18" spans="1:31" s="30" customFormat="1" x14ac:dyDescent="0.25">
      <c r="A18" s="6" t="s">
        <v>106</v>
      </c>
      <c r="B18" s="26" t="str">
        <f>VLOOKUP(GestionPersonnelRDJ[[#This Row],[Nom Prénom]],Personnels!Personnels,2,0)</f>
        <v>AMP</v>
      </c>
      <c r="C18" s="21" t="str">
        <f>VLOOKUP(GestionPersonnelRDJ[[#This Row],[Nom Prénom]],Personnels!Personnels,3,0)</f>
        <v>GB</v>
      </c>
      <c r="D18" s="21" t="str">
        <f>VLOOKUP(GestionPersonnelRDJ[[#This Row],[Nom Prénom]],Personnels!Personnels,4,0)</f>
        <v>FDV</v>
      </c>
      <c r="E18" s="2">
        <f>INT(MOD(INT((GestionPersonnelRDJ[[#This Row],[Date]]-2)/7)+0.6,52+5/28))+1</f>
        <v>51</v>
      </c>
      <c r="F18" s="7">
        <v>1</v>
      </c>
      <c r="G18" s="8">
        <v>40902</v>
      </c>
      <c r="H18" s="5" t="str">
        <f t="shared" si="10"/>
        <v>dimanche</v>
      </c>
      <c r="I18" s="27">
        <f ca="1">SUMPRODUCT((groupe='Base de donnée'!C18)*(OFFSET(groupe,,1)='Base de donnée'!F18)*(OFFSET(groupe,,2)='Base de donnée'!H18)*(OFFSET(groupe,,3)))</f>
        <v>12</v>
      </c>
      <c r="J18" s="70">
        <f ca="1">SUMPRODUCT((groupe='Base de donnée'!C18)*(OFFSET(groupe,,1)='Base de donnée'!F18)*(OFFSET(groupe,,2)='Base de donnée'!H18)*(OFFSET(groupe,,6)))</f>
        <v>8</v>
      </c>
      <c r="K18" s="70">
        <f ca="1">SUMPRODUCT((groupe='Base de donnée'!C18)*(OFFSET(groupe,,1)='Base de donnée'!F18)*(OFFSET(groupe,,2)='Base de donnée'!H18)*(OFFSET(groupe,,7)))</f>
        <v>12</v>
      </c>
      <c r="L18" s="71">
        <f ca="1">SUMPRODUCT((groupe='Base de donnée'!C18)*(OFFSET(groupe,,1)='Base de donnée'!F18)*(OFFSET(groupe,,2)='Base de donnée'!H18)*(OFFSET(groupe,,8)))</f>
        <v>12</v>
      </c>
      <c r="M18" s="71">
        <f ca="1">SUMPRODUCT((groupe='Base de donnée'!C18)*(OFFSET(groupe,,1)='Base de donnée'!F18)*(OFFSET(groupe,,2)='Base de donnée'!H18)*(OFFSET(groupe,,9)))</f>
        <v>20</v>
      </c>
      <c r="N18" s="27">
        <v>0</v>
      </c>
      <c r="O18" s="27">
        <v>12</v>
      </c>
      <c r="P18" s="49">
        <f t="shared" ca="1" si="11"/>
        <v>0</v>
      </c>
      <c r="Q18" s="49">
        <f t="shared" ca="1" si="12"/>
        <v>0</v>
      </c>
      <c r="R18" s="27"/>
      <c r="S18" s="27">
        <f t="shared" si="2"/>
        <v>0</v>
      </c>
      <c r="T18" s="27"/>
      <c r="U18" s="27">
        <f t="shared" si="3"/>
        <v>0</v>
      </c>
      <c r="V18" s="27">
        <f t="shared" si="4"/>
        <v>0</v>
      </c>
      <c r="W18" s="27"/>
      <c r="X18" s="28">
        <f ca="1">IF(OR(Z18=1,AA18=1,AB18=1,AC18=1,AD18=1),0,(SUMPRODUCT((groupe='Base de donnée'!C18)*(OFFSET(groupe,,1)='Base de donnée'!F18)*(OFFSET(groupe,,2)='Base de donnée'!H18)*(OFFSET(groupe,,5)))))</f>
        <v>0</v>
      </c>
      <c r="Y18" s="28"/>
      <c r="Z18" s="7"/>
      <c r="AA18" s="7"/>
      <c r="AB18" s="7"/>
      <c r="AC18" s="7"/>
      <c r="AD18" s="7"/>
      <c r="AE18" s="7"/>
    </row>
    <row r="19" spans="1:31" s="30" customFormat="1" x14ac:dyDescent="0.25">
      <c r="A19" s="6" t="s">
        <v>93</v>
      </c>
      <c r="B19" s="26" t="str">
        <f>VLOOKUP(GestionPersonnelRDJ[[#This Row],[Nom Prénom]],Personnels!Personnels,2,0)</f>
        <v>AMP</v>
      </c>
      <c r="C19" s="21" t="str">
        <f>VLOOKUP(GestionPersonnelRDJ[[#This Row],[Nom Prénom]],Personnels!Personnels,3,0)</f>
        <v>GB</v>
      </c>
      <c r="D19" s="21" t="str">
        <f>VLOOKUP(GestionPersonnelRDJ[[#This Row],[Nom Prénom]],Personnels!Personnels,4,0)</f>
        <v>FDV</v>
      </c>
      <c r="E19" s="2">
        <f>INT(MOD(INT((GestionPersonnelRDJ[[#This Row],[Date]]-2)/7)+0.6,52+5/28))+1</f>
        <v>51</v>
      </c>
      <c r="F19" s="7">
        <v>5</v>
      </c>
      <c r="G19" s="8">
        <v>40896</v>
      </c>
      <c r="H19" s="5" t="str">
        <f t="shared" ref="H19:H25" si="13">TEXT(WEEKDAY(G19),"jjjj")</f>
        <v>lundi</v>
      </c>
      <c r="I19" s="27">
        <f ca="1">SUMPRODUCT((groupe='Base de donnée'!C19)*(OFFSET(groupe,,1)='Base de donnée'!F19)*(OFFSET(groupe,,2)='Base de donnée'!H19)*(OFFSET(groupe,,3)))</f>
        <v>0</v>
      </c>
      <c r="J19" s="70">
        <f ca="1">SUMPRODUCT((groupe='Base de donnée'!C19)*(OFFSET(groupe,,1)='Base de donnée'!F19)*(OFFSET(groupe,,2)='Base de donnée'!H19)*(OFFSET(groupe,,6)))</f>
        <v>0</v>
      </c>
      <c r="K19" s="70">
        <f ca="1">SUMPRODUCT((groupe='Base de donnée'!C19)*(OFFSET(groupe,,1)='Base de donnée'!F19)*(OFFSET(groupe,,2)='Base de donnée'!H19)*(OFFSET(groupe,,7)))</f>
        <v>0</v>
      </c>
      <c r="L19" s="71">
        <f ca="1">SUMPRODUCT((groupe='Base de donnée'!C19)*(OFFSET(groupe,,1)='Base de donnée'!F19)*(OFFSET(groupe,,2)='Base de donnée'!H19)*(OFFSET(groupe,,8)))</f>
        <v>0</v>
      </c>
      <c r="M19" s="71">
        <f ca="1">SUMPRODUCT((groupe='Base de donnée'!C19)*(OFFSET(groupe,,1)='Base de donnée'!F19)*(OFFSET(groupe,,2)='Base de donnée'!H19)*(OFFSET(groupe,,9)))</f>
        <v>0</v>
      </c>
      <c r="N19" s="27">
        <f t="shared" ref="N19:N31" ca="1" si="14">IF(AF19=1,7,IF(OR(AB19=1,AND(AB19=0,NOT(ISBLANK(AB19))),Z19=1,AND(Z19=0,NOT(ISBLANK(Z19))),AA19=1,AND(AA19=0,NOT(ISBLANK(AA19))),AD19=1,AND(AD19=0,NOT(ISBLANK(AD19))),AC19=1,AND(AC19=0,NOT(ISBLANK(AC19)))),0,IF(COUNTIF(Fériés2010,G19),((M19-L19+K19-J19)),(M19-L19+K19-J19)-(W19+X19)-Y19-AE19+(AI19+AK19+AM19))))</f>
        <v>0</v>
      </c>
      <c r="O19" s="27">
        <f t="shared" ref="O19:O31" ca="1" si="15">IF(OR(AB19=1,AND(AB19=0,NOT(ISBLANK(AB19))),Z19=1,AND(Z19=0,NOT(ISBLANK(Z19))),AA19=1,AND(AA19=0,NOT(ISBLANK(AA19))),AD19=1,AND(AD19=0,NOT(ISBLANK(AD19))),AC19=1,AND(AC19=0,NOT(ISBLANK(AC19)))),I19,IF(COUNTIF(Fériés2010,G19)&gt;0,N19*2+R19+(W19+X19),N19+R19+(W19+X19)+Y19+AE19))</f>
        <v>0</v>
      </c>
      <c r="P19" s="49">
        <f t="shared" ref="P19:P25" ca="1" si="16">IF(I19-O19-(W19+X19)&lt;=0,0,I19-O19-(W19+X19))</f>
        <v>0</v>
      </c>
      <c r="Q19" s="49">
        <f t="shared" ref="Q19:Q25" ca="1" si="17">IF(O19-I19-(W19+X19)&lt;=0,0,O19-I19-(W19+X19))</f>
        <v>0</v>
      </c>
      <c r="R19" s="27"/>
      <c r="S19" s="27" t="str">
        <f t="shared" si="2"/>
        <v/>
      </c>
      <c r="T19" s="27"/>
      <c r="U19" s="27" t="str">
        <f t="shared" si="3"/>
        <v/>
      </c>
      <c r="V19" s="27" t="str">
        <f t="shared" si="4"/>
        <v/>
      </c>
      <c r="W19" s="27"/>
      <c r="X19" s="28">
        <f ca="1">IF(OR(Z19=1,AA19=1,AB19=1,AC19=1,AD19=1),0,(SUMPRODUCT((groupe='Base de donnée'!C19)*(OFFSET(groupe,,1)='Base de donnée'!F19)*(OFFSET(groupe,,2)='Base de donnée'!H19)*(OFFSET(groupe,,5)))))</f>
        <v>0</v>
      </c>
      <c r="Y19" s="28"/>
      <c r="Z19" s="7"/>
      <c r="AA19" s="7"/>
      <c r="AB19" s="7"/>
      <c r="AC19" s="7"/>
      <c r="AD19" s="7"/>
      <c r="AE19" s="7"/>
    </row>
    <row r="20" spans="1:31" s="30" customFormat="1" x14ac:dyDescent="0.25">
      <c r="A20" s="6" t="s">
        <v>93</v>
      </c>
      <c r="B20" s="26" t="str">
        <f>VLOOKUP(GestionPersonnelRDJ[[#This Row],[Nom Prénom]],Personnels!Personnels,2,0)</f>
        <v>AMP</v>
      </c>
      <c r="C20" s="21" t="str">
        <f>VLOOKUP(GestionPersonnelRDJ[[#This Row],[Nom Prénom]],Personnels!Personnels,3,0)</f>
        <v>GB</v>
      </c>
      <c r="D20" s="21" t="str">
        <f>VLOOKUP(GestionPersonnelRDJ[[#This Row],[Nom Prénom]],Personnels!Personnels,4,0)</f>
        <v>FDV</v>
      </c>
      <c r="E20" s="2">
        <f>INT(MOD(INT((GestionPersonnelRDJ[[#This Row],[Date]]-2)/7)+0.6,52+5/28))+1</f>
        <v>51</v>
      </c>
      <c r="F20" s="7">
        <v>5</v>
      </c>
      <c r="G20" s="8">
        <v>40897</v>
      </c>
      <c r="H20" s="5" t="str">
        <f t="shared" si="13"/>
        <v>mardi</v>
      </c>
      <c r="I20" s="27">
        <f ca="1">SUMPRODUCT((groupe='Base de donnée'!C20)*(OFFSET(groupe,,1)='Base de donnée'!F20)*(OFFSET(groupe,,2)='Base de donnée'!H20)*(OFFSET(groupe,,3)))</f>
        <v>3.5</v>
      </c>
      <c r="J20" s="70">
        <f ca="1">SUMPRODUCT((groupe='Base de donnée'!C20)*(OFFSET(groupe,,1)='Base de donnée'!F20)*(OFFSET(groupe,,2)='Base de donnée'!H20)*(OFFSET(groupe,,6)))</f>
        <v>0</v>
      </c>
      <c r="K20" s="70">
        <f ca="1">SUMPRODUCT((groupe='Base de donnée'!C20)*(OFFSET(groupe,,1)='Base de donnée'!F20)*(OFFSET(groupe,,2)='Base de donnée'!H20)*(OFFSET(groupe,,7)))</f>
        <v>0</v>
      </c>
      <c r="L20" s="71">
        <f ca="1">SUMPRODUCT((groupe='Base de donnée'!C20)*(OFFSET(groupe,,1)='Base de donnée'!F20)*(OFFSET(groupe,,2)='Base de donnée'!H20)*(OFFSET(groupe,,8)))</f>
        <v>13.5</v>
      </c>
      <c r="M20" s="71">
        <f ca="1">SUMPRODUCT((groupe='Base de donnée'!C20)*(OFFSET(groupe,,1)='Base de donnée'!F20)*(OFFSET(groupe,,2)='Base de donnée'!H20)*(OFFSET(groupe,,9)))</f>
        <v>17</v>
      </c>
      <c r="N20" s="27">
        <f t="shared" ca="1" si="14"/>
        <v>3.5</v>
      </c>
      <c r="O20" s="27">
        <f t="shared" ca="1" si="15"/>
        <v>3.5</v>
      </c>
      <c r="P20" s="49">
        <f t="shared" ca="1" si="16"/>
        <v>0</v>
      </c>
      <c r="Q20" s="49">
        <f t="shared" ca="1" si="17"/>
        <v>0</v>
      </c>
      <c r="R20" s="27"/>
      <c r="S20" s="27" t="str">
        <f t="shared" si="2"/>
        <v/>
      </c>
      <c r="T20" s="27"/>
      <c r="U20" s="27" t="str">
        <f t="shared" si="3"/>
        <v/>
      </c>
      <c r="V20" s="27" t="str">
        <f t="shared" si="4"/>
        <v/>
      </c>
      <c r="W20" s="27"/>
      <c r="X20" s="28">
        <f ca="1">IF(OR(Z20=1,AA20=1,AB20=1,AC20=1,AD20=1),0,(SUMPRODUCT((groupe='Base de donnée'!C20)*(OFFSET(groupe,,1)='Base de donnée'!F20)*(OFFSET(groupe,,2)='Base de donnée'!H20)*(OFFSET(groupe,,5)))))</f>
        <v>0</v>
      </c>
      <c r="Y20" s="28"/>
      <c r="Z20" s="7"/>
      <c r="AA20" s="7"/>
      <c r="AB20" s="7"/>
      <c r="AC20" s="7"/>
      <c r="AD20" s="7"/>
      <c r="AE20" s="7"/>
    </row>
    <row r="21" spans="1:31" s="30" customFormat="1" x14ac:dyDescent="0.25">
      <c r="A21" s="6" t="s">
        <v>93</v>
      </c>
      <c r="B21" s="26" t="str">
        <f>VLOOKUP(GestionPersonnelRDJ[[#This Row],[Nom Prénom]],Personnels!Personnels,2,0)</f>
        <v>AMP</v>
      </c>
      <c r="C21" s="21" t="str">
        <f>VLOOKUP(GestionPersonnelRDJ[[#This Row],[Nom Prénom]],Personnels!Personnels,3,0)</f>
        <v>GB</v>
      </c>
      <c r="D21" s="21" t="str">
        <f>VLOOKUP(GestionPersonnelRDJ[[#This Row],[Nom Prénom]],Personnels!Personnels,4,0)</f>
        <v>FDV</v>
      </c>
      <c r="E21" s="2">
        <f>INT(MOD(INT((GestionPersonnelRDJ[[#This Row],[Date]]-2)/7)+0.6,52+5/28))+1</f>
        <v>51</v>
      </c>
      <c r="F21" s="7">
        <v>5</v>
      </c>
      <c r="G21" s="8">
        <v>40898</v>
      </c>
      <c r="H21" s="5" t="str">
        <f t="shared" si="13"/>
        <v>mercredi</v>
      </c>
      <c r="I21" s="27">
        <f ca="1">SUMPRODUCT((groupe='Base de donnée'!C21)*(OFFSET(groupe,,1)='Base de donnée'!F21)*(OFFSET(groupe,,2)='Base de donnée'!H21)*(OFFSET(groupe,,3)))</f>
        <v>8.5</v>
      </c>
      <c r="J21" s="70">
        <f ca="1">SUMPRODUCT((groupe='Base de donnée'!C21)*(OFFSET(groupe,,1)='Base de donnée'!F21)*(OFFSET(groupe,,2)='Base de donnée'!H21)*(OFFSET(groupe,,6)))</f>
        <v>0</v>
      </c>
      <c r="K21" s="70">
        <f ca="1">SUMPRODUCT((groupe='Base de donnée'!C21)*(OFFSET(groupe,,1)='Base de donnée'!F21)*(OFFSET(groupe,,2)='Base de donnée'!H21)*(OFFSET(groupe,,7)))</f>
        <v>0</v>
      </c>
      <c r="L21" s="71">
        <f ca="1">SUMPRODUCT((groupe='Base de donnée'!C21)*(OFFSET(groupe,,1)='Base de donnée'!F21)*(OFFSET(groupe,,2)='Base de donnée'!H21)*(OFFSET(groupe,,8)))</f>
        <v>13.5</v>
      </c>
      <c r="M21" s="71">
        <f ca="1">SUMPRODUCT((groupe='Base de donnée'!C21)*(OFFSET(groupe,,1)='Base de donnée'!F21)*(OFFSET(groupe,,2)='Base de donnée'!H21)*(OFFSET(groupe,,9)))</f>
        <v>22</v>
      </c>
      <c r="N21" s="27">
        <f t="shared" si="14"/>
        <v>0</v>
      </c>
      <c r="O21" s="27">
        <f t="shared" ca="1" si="15"/>
        <v>8.5</v>
      </c>
      <c r="P21" s="49">
        <f t="shared" ca="1" si="16"/>
        <v>0</v>
      </c>
      <c r="Q21" s="49">
        <f t="shared" ca="1" si="17"/>
        <v>0</v>
      </c>
      <c r="R21" s="27"/>
      <c r="S21" s="27" t="str">
        <f t="shared" si="2"/>
        <v/>
      </c>
      <c r="T21" s="27"/>
      <c r="U21" s="27" t="str">
        <f t="shared" si="3"/>
        <v/>
      </c>
      <c r="V21" s="27" t="str">
        <f t="shared" si="4"/>
        <v/>
      </c>
      <c r="W21" s="27"/>
      <c r="X21" s="28">
        <f ca="1">IF(OR(Z21=1,AA21=1,AB21=1,AC21=1,AD21=1),0,(SUMPRODUCT((groupe='Base de donnée'!C21)*(OFFSET(groupe,,1)='Base de donnée'!F21)*(OFFSET(groupe,,2)='Base de donnée'!H21)*(OFFSET(groupe,,5)))))</f>
        <v>0</v>
      </c>
      <c r="Y21" s="28"/>
      <c r="Z21" s="7"/>
      <c r="AA21" s="7"/>
      <c r="AB21" s="7">
        <v>1</v>
      </c>
      <c r="AC21" s="7"/>
      <c r="AD21" s="7"/>
      <c r="AE21" s="7"/>
    </row>
    <row r="22" spans="1:31" s="30" customFormat="1" x14ac:dyDescent="0.25">
      <c r="A22" s="6" t="s">
        <v>93</v>
      </c>
      <c r="B22" s="26" t="str">
        <f>VLOOKUP(GestionPersonnelRDJ[[#This Row],[Nom Prénom]],Personnels!Personnels,2,0)</f>
        <v>AMP</v>
      </c>
      <c r="C22" s="21" t="str">
        <f>VLOOKUP(GestionPersonnelRDJ[[#This Row],[Nom Prénom]],Personnels!Personnels,3,0)</f>
        <v>GB</v>
      </c>
      <c r="D22" s="21" t="str">
        <f>VLOOKUP(GestionPersonnelRDJ[[#This Row],[Nom Prénom]],Personnels!Personnels,4,0)</f>
        <v>FDV</v>
      </c>
      <c r="E22" s="2">
        <f>INT(MOD(INT((GestionPersonnelRDJ[[#This Row],[Date]]-2)/7)+0.6,52+5/28))+1</f>
        <v>51</v>
      </c>
      <c r="F22" s="7">
        <v>5</v>
      </c>
      <c r="G22" s="8">
        <v>40899</v>
      </c>
      <c r="H22" s="5" t="str">
        <f t="shared" si="13"/>
        <v>jeudi</v>
      </c>
      <c r="I22" s="27">
        <f ca="1">SUMPRODUCT((groupe='Base de donnée'!C22)*(OFFSET(groupe,,1)='Base de donnée'!F22)*(OFFSET(groupe,,2)='Base de donnée'!H22)*(OFFSET(groupe,,3)))</f>
        <v>10</v>
      </c>
      <c r="J22" s="70">
        <f ca="1">SUMPRODUCT((groupe='Base de donnée'!C22)*(OFFSET(groupe,,1)='Base de donnée'!F22)*(OFFSET(groupe,,2)='Base de donnée'!H22)*(OFFSET(groupe,,6)))</f>
        <v>11.5</v>
      </c>
      <c r="K22" s="70">
        <f ca="1">SUMPRODUCT((groupe='Base de donnée'!C22)*(OFFSET(groupe,,1)='Base de donnée'!F22)*(OFFSET(groupe,,2)='Base de donnée'!H22)*(OFFSET(groupe,,7)))</f>
        <v>12</v>
      </c>
      <c r="L22" s="71">
        <f ca="1">SUMPRODUCT((groupe='Base de donnée'!C22)*(OFFSET(groupe,,1)='Base de donnée'!F22)*(OFFSET(groupe,,2)='Base de donnée'!H22)*(OFFSET(groupe,,8)))</f>
        <v>12</v>
      </c>
      <c r="M22" s="71">
        <f ca="1">SUMPRODUCT((groupe='Base de donnée'!C22)*(OFFSET(groupe,,1)='Base de donnée'!F22)*(OFFSET(groupe,,2)='Base de donnée'!H22)*(OFFSET(groupe,,9)))</f>
        <v>21.5</v>
      </c>
      <c r="N22" s="27">
        <f t="shared" si="14"/>
        <v>0</v>
      </c>
      <c r="O22" s="27">
        <f t="shared" ca="1" si="15"/>
        <v>10</v>
      </c>
      <c r="P22" s="49">
        <f t="shared" ca="1" si="16"/>
        <v>0</v>
      </c>
      <c r="Q22" s="49">
        <f t="shared" ca="1" si="17"/>
        <v>0</v>
      </c>
      <c r="R22" s="27"/>
      <c r="S22" s="27" t="str">
        <f t="shared" si="2"/>
        <v/>
      </c>
      <c r="T22" s="27"/>
      <c r="U22" s="27" t="str">
        <f t="shared" si="3"/>
        <v/>
      </c>
      <c r="V22" s="27" t="str">
        <f t="shared" si="4"/>
        <v/>
      </c>
      <c r="W22" s="27"/>
      <c r="X22" s="28">
        <f ca="1">IF(OR(Z22=1,AA22=1,AB22=1,AC22=1,AD22=1),0,(SUMPRODUCT((groupe='Base de donnée'!C22)*(OFFSET(groupe,,1)='Base de donnée'!F22)*(OFFSET(groupe,,2)='Base de donnée'!H22)*(OFFSET(groupe,,5)))))</f>
        <v>0</v>
      </c>
      <c r="Y22" s="28"/>
      <c r="Z22" s="7"/>
      <c r="AA22" s="7"/>
      <c r="AB22" s="7">
        <v>1</v>
      </c>
      <c r="AC22" s="7"/>
      <c r="AD22" s="7"/>
      <c r="AE22" s="7"/>
    </row>
    <row r="23" spans="1:31" s="30" customFormat="1" x14ac:dyDescent="0.25">
      <c r="A23" s="6" t="s">
        <v>93</v>
      </c>
      <c r="B23" s="26" t="str">
        <f>VLOOKUP(GestionPersonnelRDJ[[#This Row],[Nom Prénom]],Personnels!Personnels,2,0)</f>
        <v>AMP</v>
      </c>
      <c r="C23" s="21" t="str">
        <f>VLOOKUP(GestionPersonnelRDJ[[#This Row],[Nom Prénom]],Personnels!Personnels,3,0)</f>
        <v>GB</v>
      </c>
      <c r="D23" s="21" t="str">
        <f>VLOOKUP(GestionPersonnelRDJ[[#This Row],[Nom Prénom]],Personnels!Personnels,4,0)</f>
        <v>FDV</v>
      </c>
      <c r="E23" s="2">
        <f>INT(MOD(INT((GestionPersonnelRDJ[[#This Row],[Date]]-2)/7)+0.6,52+5/28))+1</f>
        <v>51</v>
      </c>
      <c r="F23" s="7">
        <v>5</v>
      </c>
      <c r="G23" s="8">
        <v>40900</v>
      </c>
      <c r="H23" s="5" t="str">
        <f t="shared" si="13"/>
        <v>vendredi</v>
      </c>
      <c r="I23" s="27">
        <f ca="1">SUMPRODUCT((groupe='Base de donnée'!C23)*(OFFSET(groupe,,1)='Base de donnée'!F23)*(OFFSET(groupe,,2)='Base de donnée'!H23)*(OFFSET(groupe,,3)))</f>
        <v>7.5</v>
      </c>
      <c r="J23" s="70">
        <f ca="1">SUMPRODUCT((groupe='Base de donnée'!C23)*(OFFSET(groupe,,1)='Base de donnée'!F23)*(OFFSET(groupe,,2)='Base de donnée'!H23)*(OFFSET(groupe,,6)))</f>
        <v>0</v>
      </c>
      <c r="K23" s="70">
        <f ca="1">SUMPRODUCT((groupe='Base de donnée'!C23)*(OFFSET(groupe,,1)='Base de donnée'!F23)*(OFFSET(groupe,,2)='Base de donnée'!H23)*(OFFSET(groupe,,7)))</f>
        <v>0</v>
      </c>
      <c r="L23" s="71">
        <f ca="1">SUMPRODUCT((groupe='Base de donnée'!C23)*(OFFSET(groupe,,1)='Base de donnée'!F23)*(OFFSET(groupe,,2)='Base de donnée'!H23)*(OFFSET(groupe,,8)))</f>
        <v>13.5</v>
      </c>
      <c r="M23" s="71">
        <f ca="1">SUMPRODUCT((groupe='Base de donnée'!C23)*(OFFSET(groupe,,1)='Base de donnée'!F23)*(OFFSET(groupe,,2)='Base de donnée'!H23)*(OFFSET(groupe,,9)))</f>
        <v>21</v>
      </c>
      <c r="N23" s="27">
        <f t="shared" si="14"/>
        <v>0</v>
      </c>
      <c r="O23" s="27">
        <f t="shared" ca="1" si="15"/>
        <v>7.5</v>
      </c>
      <c r="P23" s="49">
        <f t="shared" ca="1" si="16"/>
        <v>0</v>
      </c>
      <c r="Q23" s="49">
        <f t="shared" ca="1" si="17"/>
        <v>0</v>
      </c>
      <c r="R23" s="27"/>
      <c r="S23" s="27" t="str">
        <f t="shared" si="2"/>
        <v/>
      </c>
      <c r="T23" s="27"/>
      <c r="U23" s="27" t="str">
        <f t="shared" si="3"/>
        <v/>
      </c>
      <c r="V23" s="27" t="str">
        <f t="shared" si="4"/>
        <v/>
      </c>
      <c r="W23" s="27"/>
      <c r="X23" s="28">
        <f ca="1">IF(OR(Z23=1,AA23=1,AB23=1,AC23=1,AD23=1),0,(SUMPRODUCT((groupe='Base de donnée'!C23)*(OFFSET(groupe,,1)='Base de donnée'!F23)*(OFFSET(groupe,,2)='Base de donnée'!H23)*(OFFSET(groupe,,5)))))</f>
        <v>0</v>
      </c>
      <c r="Y23" s="28"/>
      <c r="Z23" s="7"/>
      <c r="AA23" s="7"/>
      <c r="AB23" s="7">
        <v>1</v>
      </c>
      <c r="AC23" s="7"/>
      <c r="AD23" s="7"/>
      <c r="AE23" s="7"/>
    </row>
    <row r="24" spans="1:31" s="30" customFormat="1" x14ac:dyDescent="0.25">
      <c r="A24" s="6" t="s">
        <v>93</v>
      </c>
      <c r="B24" s="26" t="str">
        <f>VLOOKUP(GestionPersonnelRDJ[[#This Row],[Nom Prénom]],Personnels!Personnels,2,0)</f>
        <v>AMP</v>
      </c>
      <c r="C24" s="21" t="str">
        <f>VLOOKUP(GestionPersonnelRDJ[[#This Row],[Nom Prénom]],Personnels!Personnels,3,0)</f>
        <v>GB</v>
      </c>
      <c r="D24" s="21" t="str">
        <f>VLOOKUP(GestionPersonnelRDJ[[#This Row],[Nom Prénom]],Personnels!Personnels,4,0)</f>
        <v>FDV</v>
      </c>
      <c r="E24" s="2">
        <f>INT(MOD(INT((GestionPersonnelRDJ[[#This Row],[Date]]-2)/7)+0.6,52+5/28))+1</f>
        <v>51</v>
      </c>
      <c r="F24" s="7">
        <v>5</v>
      </c>
      <c r="G24" s="8">
        <v>40901</v>
      </c>
      <c r="H24" s="5" t="str">
        <f t="shared" si="13"/>
        <v>samedi</v>
      </c>
      <c r="I24" s="27">
        <f ca="1">SUMPRODUCT((groupe='Base de donnée'!C24)*(OFFSET(groupe,,1)='Base de donnée'!F24)*(OFFSET(groupe,,2)='Base de donnée'!H24)*(OFFSET(groupe,,3)))</f>
        <v>0</v>
      </c>
      <c r="J24" s="70">
        <f ca="1">SUMPRODUCT((groupe='Base de donnée'!C24)*(OFFSET(groupe,,1)='Base de donnée'!F24)*(OFFSET(groupe,,2)='Base de donnée'!H24)*(OFFSET(groupe,,6)))</f>
        <v>0</v>
      </c>
      <c r="K24" s="70">
        <f ca="1">SUMPRODUCT((groupe='Base de donnée'!C24)*(OFFSET(groupe,,1)='Base de donnée'!F24)*(OFFSET(groupe,,2)='Base de donnée'!H24)*(OFFSET(groupe,,7)))</f>
        <v>0</v>
      </c>
      <c r="L24" s="71">
        <f ca="1">SUMPRODUCT((groupe='Base de donnée'!C24)*(OFFSET(groupe,,1)='Base de donnée'!F24)*(OFFSET(groupe,,2)='Base de donnée'!H24)*(OFFSET(groupe,,8)))</f>
        <v>0</v>
      </c>
      <c r="M24" s="71">
        <f ca="1">SUMPRODUCT((groupe='Base de donnée'!C24)*(OFFSET(groupe,,1)='Base de donnée'!F24)*(OFFSET(groupe,,2)='Base de donnée'!H24)*(OFFSET(groupe,,9)))</f>
        <v>0</v>
      </c>
      <c r="N24" s="27">
        <f t="shared" ca="1" si="14"/>
        <v>0</v>
      </c>
      <c r="O24" s="27">
        <f t="shared" ca="1" si="15"/>
        <v>0</v>
      </c>
      <c r="P24" s="49">
        <f t="shared" ca="1" si="16"/>
        <v>0</v>
      </c>
      <c r="Q24" s="49">
        <f t="shared" ca="1" si="17"/>
        <v>0</v>
      </c>
      <c r="R24" s="27"/>
      <c r="S24" s="27" t="str">
        <f t="shared" si="2"/>
        <v/>
      </c>
      <c r="T24" s="27"/>
      <c r="U24" s="27" t="str">
        <f t="shared" si="3"/>
        <v/>
      </c>
      <c r="V24" s="27" t="str">
        <f t="shared" si="4"/>
        <v/>
      </c>
      <c r="W24" s="27"/>
      <c r="X24" s="28">
        <f ca="1">IF(OR(Z24=1,AA24=1,AB24=1,AC24=1,AD24=1),0,(SUMPRODUCT((groupe='Base de donnée'!C24)*(OFFSET(groupe,,1)='Base de donnée'!F24)*(OFFSET(groupe,,2)='Base de donnée'!H24)*(OFFSET(groupe,,5)))))</f>
        <v>0</v>
      </c>
      <c r="Y24" s="28"/>
      <c r="Z24" s="7"/>
      <c r="AA24" s="7"/>
      <c r="AB24" s="7"/>
      <c r="AC24" s="7"/>
      <c r="AD24" s="7"/>
      <c r="AE24" s="7"/>
    </row>
    <row r="25" spans="1:31" s="30" customFormat="1" x14ac:dyDescent="0.25">
      <c r="A25" s="6" t="s">
        <v>93</v>
      </c>
      <c r="B25" s="26" t="str">
        <f>VLOOKUP(GestionPersonnelRDJ[[#This Row],[Nom Prénom]],Personnels!Personnels,2,0)</f>
        <v>AMP</v>
      </c>
      <c r="C25" s="21" t="str">
        <f>VLOOKUP(GestionPersonnelRDJ[[#This Row],[Nom Prénom]],Personnels!Personnels,3,0)</f>
        <v>GB</v>
      </c>
      <c r="D25" s="21" t="str">
        <f>VLOOKUP(GestionPersonnelRDJ[[#This Row],[Nom Prénom]],Personnels!Personnels,4,0)</f>
        <v>FDV</v>
      </c>
      <c r="E25" s="2">
        <f>INT(MOD(INT((GestionPersonnelRDJ[[#This Row],[Date]]-2)/7)+0.6,52+5/28))+1</f>
        <v>51</v>
      </c>
      <c r="F25" s="7">
        <v>5</v>
      </c>
      <c r="G25" s="8">
        <v>40902</v>
      </c>
      <c r="H25" s="5" t="str">
        <f t="shared" si="13"/>
        <v>dimanche</v>
      </c>
      <c r="I25" s="27">
        <f ca="1">SUMPRODUCT((groupe='Base de donnée'!C25)*(OFFSET(groupe,,1)='Base de donnée'!F25)*(OFFSET(groupe,,2)='Base de donnée'!H25)*(OFFSET(groupe,,3)))</f>
        <v>0</v>
      </c>
      <c r="J25" s="70">
        <f ca="1">SUMPRODUCT((groupe='Base de donnée'!C25)*(OFFSET(groupe,,1)='Base de donnée'!F25)*(OFFSET(groupe,,2)='Base de donnée'!H25)*(OFFSET(groupe,,6)))</f>
        <v>0</v>
      </c>
      <c r="K25" s="70">
        <f ca="1">SUMPRODUCT((groupe='Base de donnée'!C25)*(OFFSET(groupe,,1)='Base de donnée'!F25)*(OFFSET(groupe,,2)='Base de donnée'!H25)*(OFFSET(groupe,,7)))</f>
        <v>0</v>
      </c>
      <c r="L25" s="71">
        <f ca="1">SUMPRODUCT((groupe='Base de donnée'!C25)*(OFFSET(groupe,,1)='Base de donnée'!F25)*(OFFSET(groupe,,2)='Base de donnée'!H25)*(OFFSET(groupe,,8)))</f>
        <v>0</v>
      </c>
      <c r="M25" s="71">
        <f ca="1">SUMPRODUCT((groupe='Base de donnée'!C25)*(OFFSET(groupe,,1)='Base de donnée'!F25)*(OFFSET(groupe,,2)='Base de donnée'!H25)*(OFFSET(groupe,,9)))</f>
        <v>0</v>
      </c>
      <c r="N25" s="27">
        <f t="shared" ca="1" si="14"/>
        <v>0</v>
      </c>
      <c r="O25" s="27">
        <f t="shared" ca="1" si="15"/>
        <v>0</v>
      </c>
      <c r="P25" s="49">
        <f t="shared" ca="1" si="16"/>
        <v>0</v>
      </c>
      <c r="Q25" s="49">
        <f t="shared" ca="1" si="17"/>
        <v>0</v>
      </c>
      <c r="R25" s="27"/>
      <c r="S25" s="27">
        <f t="shared" ca="1" si="2"/>
        <v>0</v>
      </c>
      <c r="T25" s="27"/>
      <c r="U25" s="27">
        <f t="shared" ca="1" si="3"/>
        <v>0</v>
      </c>
      <c r="V25" s="27">
        <f t="shared" ca="1" si="4"/>
        <v>0</v>
      </c>
      <c r="W25" s="27"/>
      <c r="X25" s="28">
        <f ca="1">IF(OR(Z25=1,AA25=1,AB25=1,AC25=1,AD25=1),0,(SUMPRODUCT((groupe='Base de donnée'!C25)*(OFFSET(groupe,,1)='Base de donnée'!F25)*(OFFSET(groupe,,2)='Base de donnée'!H25)*(OFFSET(groupe,,5)))))</f>
        <v>0</v>
      </c>
      <c r="Y25" s="28"/>
      <c r="Z25" s="7"/>
      <c r="AA25" s="7"/>
      <c r="AB25" s="7"/>
      <c r="AC25" s="7"/>
      <c r="AD25" s="7"/>
      <c r="AE25" s="7"/>
    </row>
    <row r="26" spans="1:31" s="30" customFormat="1" x14ac:dyDescent="0.25">
      <c r="A26" s="6" t="s">
        <v>94</v>
      </c>
      <c r="B26" s="26" t="str">
        <f>VLOOKUP(GestionPersonnelRDJ[[#This Row],[Nom Prénom]],Personnels!Personnels,2,0)</f>
        <v>ME</v>
      </c>
      <c r="C26" s="21" t="str">
        <f>VLOOKUP(GestionPersonnelRDJ[[#This Row],[Nom Prénom]],Personnels!Personnels,3,0)</f>
        <v>GB</v>
      </c>
      <c r="D26" s="21" t="str">
        <f>VLOOKUP(GestionPersonnelRDJ[[#This Row],[Nom Prénom]],Personnels!Personnels,4,0)</f>
        <v>FDV</v>
      </c>
      <c r="E26" s="2">
        <f>INT(MOD(INT((GestionPersonnelRDJ[[#This Row],[Date]]-2)/7)+0.6,52+5/28))+1</f>
        <v>51</v>
      </c>
      <c r="F26" s="7">
        <v>4</v>
      </c>
      <c r="G26" s="8">
        <v>40896</v>
      </c>
      <c r="H26" s="5" t="str">
        <f t="shared" ref="H26:H32" si="18">TEXT(WEEKDAY(G26),"jjjj")</f>
        <v>lundi</v>
      </c>
      <c r="I26" s="27">
        <f ca="1">SUMPRODUCT((groupe='Base de donnée'!C26)*(OFFSET(groupe,,1)='Base de donnée'!F26)*(OFFSET(groupe,,2)='Base de donnée'!H26)*(OFFSET(groupe,,3)))</f>
        <v>10</v>
      </c>
      <c r="J26" s="70">
        <f ca="1">SUMPRODUCT((groupe='Base de donnée'!C26)*(OFFSET(groupe,,1)='Base de donnée'!F26)*(OFFSET(groupe,,2)='Base de donnée'!H26)*(OFFSET(groupe,,6)))</f>
        <v>7</v>
      </c>
      <c r="K26" s="70">
        <f ca="1">SUMPRODUCT((groupe='Base de donnée'!C26)*(OFFSET(groupe,,1)='Base de donnée'!F26)*(OFFSET(groupe,,2)='Base de donnée'!H26)*(OFFSET(groupe,,7)))</f>
        <v>12</v>
      </c>
      <c r="L26" s="71">
        <f ca="1">SUMPRODUCT((groupe='Base de donnée'!C26)*(OFFSET(groupe,,1)='Base de donnée'!F26)*(OFFSET(groupe,,2)='Base de donnée'!H26)*(OFFSET(groupe,,8)))</f>
        <v>12</v>
      </c>
      <c r="M26" s="74">
        <v>13</v>
      </c>
      <c r="N26" s="27">
        <f t="shared" ca="1" si="14"/>
        <v>6</v>
      </c>
      <c r="O26" s="27">
        <f t="shared" ca="1" si="15"/>
        <v>6</v>
      </c>
      <c r="P26" s="49">
        <f t="shared" ref="P26:P32" ca="1" si="19">IF(I26-O26-(W26+X26)&lt;=0,0,I26-O26-(W26+X26))</f>
        <v>4</v>
      </c>
      <c r="Q26" s="49">
        <f t="shared" ref="Q26:Q32" ca="1" si="20">IF(O26-I26-(W26+X26)&lt;=0,0,O26-I26-(W26+X26))</f>
        <v>0</v>
      </c>
      <c r="R26" s="27"/>
      <c r="S26" s="27" t="str">
        <f t="shared" si="2"/>
        <v/>
      </c>
      <c r="T26" s="27"/>
      <c r="U26" s="27" t="str">
        <f t="shared" si="3"/>
        <v/>
      </c>
      <c r="V26" s="27" t="str">
        <f t="shared" si="4"/>
        <v/>
      </c>
      <c r="W26" s="27"/>
      <c r="X26" s="28">
        <f ca="1">IF(OR(Z26=1,AA26=1,AB26=1,AC26=1,AD26=1),0,(SUMPRODUCT((groupe='Base de donnée'!C26)*(OFFSET(groupe,,1)='Base de donnée'!F26)*(OFFSET(groupe,,2)='Base de donnée'!H26)*(OFFSET(groupe,,5)))))</f>
        <v>0</v>
      </c>
      <c r="Y26" s="28"/>
      <c r="Z26" s="7"/>
      <c r="AA26" s="7"/>
      <c r="AB26" s="7"/>
      <c r="AC26" s="7"/>
      <c r="AD26" s="7"/>
      <c r="AE26" s="7"/>
    </row>
    <row r="27" spans="1:31" s="30" customFormat="1" x14ac:dyDescent="0.25">
      <c r="A27" s="6" t="s">
        <v>94</v>
      </c>
      <c r="B27" s="26" t="str">
        <f>VLOOKUP(GestionPersonnelRDJ[[#This Row],[Nom Prénom]],Personnels!Personnels,2,0)</f>
        <v>ME</v>
      </c>
      <c r="C27" s="21" t="str">
        <f>VLOOKUP(GestionPersonnelRDJ[[#This Row],[Nom Prénom]],Personnels!Personnels,3,0)</f>
        <v>GB</v>
      </c>
      <c r="D27" s="21" t="str">
        <f>VLOOKUP(GestionPersonnelRDJ[[#This Row],[Nom Prénom]],Personnels!Personnels,4,0)</f>
        <v>FDV</v>
      </c>
      <c r="E27" s="2">
        <f>INT(MOD(INT((GestionPersonnelRDJ[[#This Row],[Date]]-2)/7)+0.6,52+5/28))+1</f>
        <v>51</v>
      </c>
      <c r="F27" s="7">
        <v>4</v>
      </c>
      <c r="G27" s="8">
        <v>40897</v>
      </c>
      <c r="H27" s="5" t="str">
        <f t="shared" si="18"/>
        <v>mardi</v>
      </c>
      <c r="I27" s="27">
        <f ca="1">SUMPRODUCT((groupe='Base de donnée'!C27)*(OFFSET(groupe,,1)='Base de donnée'!F27)*(OFFSET(groupe,,2)='Base de donnée'!H27)*(OFFSET(groupe,,3)))</f>
        <v>6.5</v>
      </c>
      <c r="J27" s="70">
        <f ca="1">SUMPRODUCT((groupe='Base de donnée'!C27)*(OFFSET(groupe,,1)='Base de donnée'!F27)*(OFFSET(groupe,,2)='Base de donnée'!H27)*(OFFSET(groupe,,6)))</f>
        <v>0</v>
      </c>
      <c r="K27" s="70">
        <f ca="1">SUMPRODUCT((groupe='Base de donnée'!C27)*(OFFSET(groupe,,1)='Base de donnée'!F27)*(OFFSET(groupe,,2)='Base de donnée'!H27)*(OFFSET(groupe,,7)))</f>
        <v>0</v>
      </c>
      <c r="L27" s="71">
        <f ca="1">SUMPRODUCT((groupe='Base de donnée'!C27)*(OFFSET(groupe,,1)='Base de donnée'!F27)*(OFFSET(groupe,,2)='Base de donnée'!H27)*(OFFSET(groupe,,8)))</f>
        <v>13.5</v>
      </c>
      <c r="M27" s="71">
        <f ca="1">SUMPRODUCT((groupe='Base de donnée'!C27)*(OFFSET(groupe,,1)='Base de donnée'!F27)*(OFFSET(groupe,,2)='Base de donnée'!H27)*(OFFSET(groupe,,9)))</f>
        <v>20</v>
      </c>
      <c r="N27" s="27">
        <f t="shared" ca="1" si="14"/>
        <v>6.5</v>
      </c>
      <c r="O27" s="27">
        <f t="shared" ca="1" si="15"/>
        <v>6.5</v>
      </c>
      <c r="P27" s="49">
        <f t="shared" ca="1" si="19"/>
        <v>0</v>
      </c>
      <c r="Q27" s="49">
        <f t="shared" ca="1" si="20"/>
        <v>0</v>
      </c>
      <c r="R27" s="27"/>
      <c r="S27" s="27" t="str">
        <f t="shared" si="2"/>
        <v/>
      </c>
      <c r="T27" s="27"/>
      <c r="U27" s="27" t="str">
        <f t="shared" si="3"/>
        <v/>
      </c>
      <c r="V27" s="27" t="str">
        <f t="shared" si="4"/>
        <v/>
      </c>
      <c r="W27" s="27"/>
      <c r="X27" s="28">
        <f ca="1">IF(OR(Z27=1,AA27=1,AB27=1,AC27=1,AD27=1),0,(SUMPRODUCT((groupe='Base de donnée'!C27)*(OFFSET(groupe,,1)='Base de donnée'!F27)*(OFFSET(groupe,,2)='Base de donnée'!H27)*(OFFSET(groupe,,5)))))</f>
        <v>0</v>
      </c>
      <c r="Y27" s="28"/>
      <c r="Z27" s="7"/>
      <c r="AA27" s="7"/>
      <c r="AB27" s="7"/>
      <c r="AC27" s="7"/>
      <c r="AD27" s="7"/>
      <c r="AE27" s="7"/>
    </row>
    <row r="28" spans="1:31" s="30" customFormat="1" x14ac:dyDescent="0.25">
      <c r="A28" s="6" t="s">
        <v>94</v>
      </c>
      <c r="B28" s="26" t="str">
        <f>VLOOKUP(GestionPersonnelRDJ[[#This Row],[Nom Prénom]],Personnels!Personnels,2,0)</f>
        <v>ME</v>
      </c>
      <c r="C28" s="21" t="str">
        <f>VLOOKUP(GestionPersonnelRDJ[[#This Row],[Nom Prénom]],Personnels!Personnels,3,0)</f>
        <v>GB</v>
      </c>
      <c r="D28" s="21" t="str">
        <f>VLOOKUP(GestionPersonnelRDJ[[#This Row],[Nom Prénom]],Personnels!Personnels,4,0)</f>
        <v>FDV</v>
      </c>
      <c r="E28" s="2">
        <f>INT(MOD(INT((GestionPersonnelRDJ[[#This Row],[Date]]-2)/7)+0.6,52+5/28))+1</f>
        <v>51</v>
      </c>
      <c r="F28" s="7">
        <v>4</v>
      </c>
      <c r="G28" s="8">
        <v>40898</v>
      </c>
      <c r="H28" s="5" t="str">
        <f t="shared" si="18"/>
        <v>mercredi</v>
      </c>
      <c r="I28" s="27">
        <f ca="1">SUMPRODUCT((groupe='Base de donnée'!C28)*(OFFSET(groupe,,1)='Base de donnée'!F28)*(OFFSET(groupe,,2)='Base de donnée'!H28)*(OFFSET(groupe,,3)))</f>
        <v>0</v>
      </c>
      <c r="J28" s="70">
        <f ca="1">SUMPRODUCT((groupe='Base de donnée'!C28)*(OFFSET(groupe,,1)='Base de donnée'!F28)*(OFFSET(groupe,,2)='Base de donnée'!H28)*(OFFSET(groupe,,6)))</f>
        <v>0</v>
      </c>
      <c r="K28" s="70">
        <f ca="1">SUMPRODUCT((groupe='Base de donnée'!C28)*(OFFSET(groupe,,1)='Base de donnée'!F28)*(OFFSET(groupe,,2)='Base de donnée'!H28)*(OFFSET(groupe,,7)))</f>
        <v>0</v>
      </c>
      <c r="L28" s="71">
        <f ca="1">SUMPRODUCT((groupe='Base de donnée'!C28)*(OFFSET(groupe,,1)='Base de donnée'!F28)*(OFFSET(groupe,,2)='Base de donnée'!H28)*(OFFSET(groupe,,8)))</f>
        <v>0</v>
      </c>
      <c r="M28" s="71">
        <f ca="1">SUMPRODUCT((groupe='Base de donnée'!C28)*(OFFSET(groupe,,1)='Base de donnée'!F28)*(OFFSET(groupe,,2)='Base de donnée'!H28)*(OFFSET(groupe,,9)))</f>
        <v>0</v>
      </c>
      <c r="N28" s="27">
        <f t="shared" ca="1" si="14"/>
        <v>0</v>
      </c>
      <c r="O28" s="27">
        <f t="shared" ca="1" si="15"/>
        <v>0</v>
      </c>
      <c r="P28" s="49">
        <f t="shared" ca="1" si="19"/>
        <v>0</v>
      </c>
      <c r="Q28" s="49">
        <f t="shared" ca="1" si="20"/>
        <v>0</v>
      </c>
      <c r="R28" s="27"/>
      <c r="S28" s="27" t="str">
        <f t="shared" si="2"/>
        <v/>
      </c>
      <c r="T28" s="27"/>
      <c r="U28" s="27" t="str">
        <f t="shared" si="3"/>
        <v/>
      </c>
      <c r="V28" s="27" t="str">
        <f t="shared" si="4"/>
        <v/>
      </c>
      <c r="W28" s="27"/>
      <c r="X28" s="28">
        <f ca="1">IF(OR(Z28=1,AA28=1,AB28=1,AC28=1,AD28=1),0,(SUMPRODUCT((groupe='Base de donnée'!C28)*(OFFSET(groupe,,1)='Base de donnée'!F28)*(OFFSET(groupe,,2)='Base de donnée'!H28)*(OFFSET(groupe,,5)))))</f>
        <v>0</v>
      </c>
      <c r="Y28" s="28"/>
      <c r="Z28" s="7"/>
      <c r="AA28" s="7"/>
      <c r="AB28" s="7"/>
      <c r="AC28" s="7"/>
      <c r="AD28" s="7"/>
      <c r="AE28" s="7"/>
    </row>
    <row r="29" spans="1:31" s="30" customFormat="1" x14ac:dyDescent="0.25">
      <c r="A29" s="6" t="s">
        <v>94</v>
      </c>
      <c r="B29" s="26" t="str">
        <f>VLOOKUP(GestionPersonnelRDJ[[#This Row],[Nom Prénom]],Personnels!Personnels,2,0)</f>
        <v>ME</v>
      </c>
      <c r="C29" s="21" t="str">
        <f>VLOOKUP(GestionPersonnelRDJ[[#This Row],[Nom Prénom]],Personnels!Personnels,3,0)</f>
        <v>GB</v>
      </c>
      <c r="D29" s="21" t="str">
        <f>VLOOKUP(GestionPersonnelRDJ[[#This Row],[Nom Prénom]],Personnels!Personnels,4,0)</f>
        <v>FDV</v>
      </c>
      <c r="E29" s="2">
        <f>INT(MOD(INT((GestionPersonnelRDJ[[#This Row],[Date]]-2)/7)+0.6,52+5/28))+1</f>
        <v>51</v>
      </c>
      <c r="F29" s="7">
        <v>4</v>
      </c>
      <c r="G29" s="8">
        <v>40899</v>
      </c>
      <c r="H29" s="5" t="str">
        <f t="shared" si="18"/>
        <v>jeudi</v>
      </c>
      <c r="I29" s="27">
        <f ca="1">SUMPRODUCT((groupe='Base de donnée'!C29)*(OFFSET(groupe,,1)='Base de donnée'!F29)*(OFFSET(groupe,,2)='Base de donnée'!H29)*(OFFSET(groupe,,3)))</f>
        <v>0</v>
      </c>
      <c r="J29" s="70">
        <f ca="1">SUMPRODUCT((groupe='Base de donnée'!C29)*(OFFSET(groupe,,1)='Base de donnée'!F29)*(OFFSET(groupe,,2)='Base de donnée'!H29)*(OFFSET(groupe,,6)))</f>
        <v>0</v>
      </c>
      <c r="K29" s="70">
        <f ca="1">SUMPRODUCT((groupe='Base de donnée'!C29)*(OFFSET(groupe,,1)='Base de donnée'!F29)*(OFFSET(groupe,,2)='Base de donnée'!H29)*(OFFSET(groupe,,7)))</f>
        <v>0</v>
      </c>
      <c r="L29" s="71">
        <f ca="1">SUMPRODUCT((groupe='Base de donnée'!C29)*(OFFSET(groupe,,1)='Base de donnée'!F29)*(OFFSET(groupe,,2)='Base de donnée'!H29)*(OFFSET(groupe,,8)))</f>
        <v>0</v>
      </c>
      <c r="M29" s="71">
        <f ca="1">SUMPRODUCT((groupe='Base de donnée'!C29)*(OFFSET(groupe,,1)='Base de donnée'!F29)*(OFFSET(groupe,,2)='Base de donnée'!H29)*(OFFSET(groupe,,9)))</f>
        <v>0</v>
      </c>
      <c r="N29" s="27">
        <f t="shared" ca="1" si="14"/>
        <v>0</v>
      </c>
      <c r="O29" s="27">
        <f t="shared" ca="1" si="15"/>
        <v>0</v>
      </c>
      <c r="P29" s="49">
        <f t="shared" ca="1" si="19"/>
        <v>0</v>
      </c>
      <c r="Q29" s="49">
        <f t="shared" ca="1" si="20"/>
        <v>0</v>
      </c>
      <c r="R29" s="27"/>
      <c r="S29" s="27" t="str">
        <f t="shared" si="2"/>
        <v/>
      </c>
      <c r="T29" s="27"/>
      <c r="U29" s="27" t="str">
        <f t="shared" si="3"/>
        <v/>
      </c>
      <c r="V29" s="27" t="str">
        <f t="shared" si="4"/>
        <v/>
      </c>
      <c r="W29" s="27"/>
      <c r="X29" s="28">
        <f ca="1">IF(OR(Z29=1,AA29=1,AB29=1,AC29=1,AD29=1),0,(SUMPRODUCT((groupe='Base de donnée'!C29)*(OFFSET(groupe,,1)='Base de donnée'!F29)*(OFFSET(groupe,,2)='Base de donnée'!H29)*(OFFSET(groupe,,5)))))</f>
        <v>0</v>
      </c>
      <c r="Y29" s="28"/>
      <c r="Z29" s="7"/>
      <c r="AA29" s="7"/>
      <c r="AB29" s="7"/>
      <c r="AC29" s="7"/>
      <c r="AD29" s="7"/>
      <c r="AE29" s="7"/>
    </row>
    <row r="30" spans="1:31" s="30" customFormat="1" x14ac:dyDescent="0.25">
      <c r="A30" s="6" t="s">
        <v>94</v>
      </c>
      <c r="B30" s="26" t="str">
        <f>VLOOKUP(GestionPersonnelRDJ[[#This Row],[Nom Prénom]],Personnels!Personnels,2,0)</f>
        <v>ME</v>
      </c>
      <c r="C30" s="21" t="str">
        <f>VLOOKUP(GestionPersonnelRDJ[[#This Row],[Nom Prénom]],Personnels!Personnels,3,0)</f>
        <v>GB</v>
      </c>
      <c r="D30" s="21" t="str">
        <f>VLOOKUP(GestionPersonnelRDJ[[#This Row],[Nom Prénom]],Personnels!Personnels,4,0)</f>
        <v>FDV</v>
      </c>
      <c r="E30" s="2">
        <f>INT(MOD(INT((GestionPersonnelRDJ[[#This Row],[Date]]-2)/7)+0.6,52+5/28))+1</f>
        <v>51</v>
      </c>
      <c r="F30" s="7">
        <v>4</v>
      </c>
      <c r="G30" s="8">
        <v>40900</v>
      </c>
      <c r="H30" s="5" t="str">
        <f t="shared" si="18"/>
        <v>vendredi</v>
      </c>
      <c r="I30" s="27">
        <f ca="1">SUMPRODUCT((groupe='Base de donnée'!C30)*(OFFSET(groupe,,1)='Base de donnée'!F30)*(OFFSET(groupe,,2)='Base de donnée'!H30)*(OFFSET(groupe,,3)))</f>
        <v>0</v>
      </c>
      <c r="J30" s="70">
        <f ca="1">SUMPRODUCT((groupe='Base de donnée'!C30)*(OFFSET(groupe,,1)='Base de donnée'!F30)*(OFFSET(groupe,,2)='Base de donnée'!H30)*(OFFSET(groupe,,6)))</f>
        <v>0</v>
      </c>
      <c r="K30" s="70">
        <f ca="1">SUMPRODUCT((groupe='Base de donnée'!C30)*(OFFSET(groupe,,1)='Base de donnée'!F30)*(OFFSET(groupe,,2)='Base de donnée'!H30)*(OFFSET(groupe,,7)))</f>
        <v>0</v>
      </c>
      <c r="L30" s="71">
        <f ca="1">SUMPRODUCT((groupe='Base de donnée'!C30)*(OFFSET(groupe,,1)='Base de donnée'!F30)*(OFFSET(groupe,,2)='Base de donnée'!H30)*(OFFSET(groupe,,8)))</f>
        <v>0</v>
      </c>
      <c r="M30" s="71">
        <f ca="1">SUMPRODUCT((groupe='Base de donnée'!C30)*(OFFSET(groupe,,1)='Base de donnée'!F30)*(OFFSET(groupe,,2)='Base de donnée'!H30)*(OFFSET(groupe,,9)))</f>
        <v>0</v>
      </c>
      <c r="N30" s="27">
        <f t="shared" ca="1" si="14"/>
        <v>0</v>
      </c>
      <c r="O30" s="27">
        <f t="shared" ca="1" si="15"/>
        <v>0</v>
      </c>
      <c r="P30" s="49">
        <f t="shared" ca="1" si="19"/>
        <v>0</v>
      </c>
      <c r="Q30" s="49">
        <f t="shared" ca="1" si="20"/>
        <v>0</v>
      </c>
      <c r="R30" s="27"/>
      <c r="S30" s="27" t="str">
        <f t="shared" si="2"/>
        <v/>
      </c>
      <c r="T30" s="27"/>
      <c r="U30" s="27" t="str">
        <f t="shared" si="3"/>
        <v/>
      </c>
      <c r="V30" s="27" t="str">
        <f t="shared" si="4"/>
        <v/>
      </c>
      <c r="W30" s="27"/>
      <c r="X30" s="28">
        <f ca="1">IF(OR(Z30=1,AA30=1,AB30=1,AC30=1,AD30=1),0,(SUMPRODUCT((groupe='Base de donnée'!C30)*(OFFSET(groupe,,1)='Base de donnée'!F30)*(OFFSET(groupe,,2)='Base de donnée'!H30)*(OFFSET(groupe,,5)))))</f>
        <v>0</v>
      </c>
      <c r="Y30" s="28"/>
      <c r="Z30" s="7"/>
      <c r="AA30" s="7"/>
      <c r="AB30" s="7"/>
      <c r="AC30" s="7"/>
      <c r="AD30" s="7"/>
      <c r="AE30" s="7"/>
    </row>
    <row r="31" spans="1:31" s="30" customFormat="1" x14ac:dyDescent="0.25">
      <c r="A31" s="6" t="s">
        <v>94</v>
      </c>
      <c r="B31" s="26" t="str">
        <f>VLOOKUP(GestionPersonnelRDJ[[#This Row],[Nom Prénom]],Personnels!Personnels,2,0)</f>
        <v>ME</v>
      </c>
      <c r="C31" s="21" t="str">
        <f>VLOOKUP(GestionPersonnelRDJ[[#This Row],[Nom Prénom]],Personnels!Personnels,3,0)</f>
        <v>GB</v>
      </c>
      <c r="D31" s="21" t="str">
        <f>VLOOKUP(GestionPersonnelRDJ[[#This Row],[Nom Prénom]],Personnels!Personnels,4,0)</f>
        <v>FDV</v>
      </c>
      <c r="E31" s="2">
        <f>INT(MOD(INT((GestionPersonnelRDJ[[#This Row],[Date]]-2)/7)+0.6,52+5/28))+1</f>
        <v>51</v>
      </c>
      <c r="F31" s="7">
        <v>4</v>
      </c>
      <c r="G31" s="8">
        <v>40901</v>
      </c>
      <c r="H31" s="5" t="str">
        <f t="shared" si="18"/>
        <v>samedi</v>
      </c>
      <c r="I31" s="27">
        <f ca="1">SUMPRODUCT((groupe='Base de donnée'!C31)*(OFFSET(groupe,,1)='Base de donnée'!F31)*(OFFSET(groupe,,2)='Base de donnée'!H31)*(OFFSET(groupe,,3)))</f>
        <v>12</v>
      </c>
      <c r="J31" s="74"/>
      <c r="K31" s="74"/>
      <c r="L31" s="74"/>
      <c r="M31" s="74"/>
      <c r="N31" s="27">
        <f t="shared" ca="1" si="14"/>
        <v>0</v>
      </c>
      <c r="O31" s="27">
        <f t="shared" ca="1" si="15"/>
        <v>0</v>
      </c>
      <c r="P31" s="49">
        <f t="shared" ca="1" si="19"/>
        <v>12</v>
      </c>
      <c r="Q31" s="49">
        <f t="shared" ca="1" si="20"/>
        <v>0</v>
      </c>
      <c r="R31" s="27"/>
      <c r="S31" s="27" t="str">
        <f t="shared" si="2"/>
        <v/>
      </c>
      <c r="T31" s="27"/>
      <c r="U31" s="27" t="str">
        <f t="shared" si="3"/>
        <v/>
      </c>
      <c r="V31" s="27" t="str">
        <f t="shared" si="4"/>
        <v/>
      </c>
      <c r="W31" s="27"/>
      <c r="X31" s="28">
        <f ca="1">IF(OR(Z31=1,AA31=1,AB31=1,AC31=1,AD31=1),0,(SUMPRODUCT((groupe='Base de donnée'!C31)*(OFFSET(groupe,,1)='Base de donnée'!F31)*(OFFSET(groupe,,2)='Base de donnée'!H31)*(OFFSET(groupe,,5)))))</f>
        <v>0</v>
      </c>
      <c r="Y31" s="28"/>
      <c r="Z31" s="7"/>
      <c r="AA31" s="7"/>
      <c r="AB31" s="7"/>
      <c r="AC31" s="7"/>
      <c r="AD31" s="7"/>
      <c r="AE31" s="7"/>
    </row>
    <row r="32" spans="1:31" s="30" customFormat="1" x14ac:dyDescent="0.25">
      <c r="A32" s="6" t="s">
        <v>94</v>
      </c>
      <c r="B32" s="26" t="str">
        <f>VLOOKUP(GestionPersonnelRDJ[[#This Row],[Nom Prénom]],Personnels!Personnels,2,0)</f>
        <v>ME</v>
      </c>
      <c r="C32" s="21" t="str">
        <f>VLOOKUP(GestionPersonnelRDJ[[#This Row],[Nom Prénom]],Personnels!Personnels,3,0)</f>
        <v>GB</v>
      </c>
      <c r="D32" s="21" t="str">
        <f>VLOOKUP(GestionPersonnelRDJ[[#This Row],[Nom Prénom]],Personnels!Personnels,4,0)</f>
        <v>FDV</v>
      </c>
      <c r="E32" s="2">
        <f>INT(MOD(INT((GestionPersonnelRDJ[[#This Row],[Date]]-2)/7)+0.6,52+5/28))+1</f>
        <v>51</v>
      </c>
      <c r="F32" s="7">
        <v>4</v>
      </c>
      <c r="G32" s="8">
        <v>40902</v>
      </c>
      <c r="H32" s="5" t="str">
        <f t="shared" si="18"/>
        <v>dimanche</v>
      </c>
      <c r="I32" s="27">
        <f ca="1">SUMPRODUCT((groupe='Base de donnée'!C32)*(OFFSET(groupe,,1)='Base de donnée'!F32)*(OFFSET(groupe,,2)='Base de donnée'!H32)*(OFFSET(groupe,,3)))</f>
        <v>12</v>
      </c>
      <c r="J32" s="70">
        <f ca="1">SUMPRODUCT((groupe='Base de donnée'!C32)*(OFFSET(groupe,,1)='Base de donnée'!F32)*(OFFSET(groupe,,2)='Base de donnée'!H32)*(OFFSET(groupe,,6)))</f>
        <v>10</v>
      </c>
      <c r="K32" s="70">
        <f ca="1">SUMPRODUCT((groupe='Base de donnée'!C32)*(OFFSET(groupe,,1)='Base de donnée'!F32)*(OFFSET(groupe,,2)='Base de donnée'!H32)*(OFFSET(groupe,,7)))</f>
        <v>12</v>
      </c>
      <c r="L32" s="71">
        <f ca="1">SUMPRODUCT((groupe='Base de donnée'!C32)*(OFFSET(groupe,,1)='Base de donnée'!F32)*(OFFSET(groupe,,2)='Base de donnée'!H32)*(OFFSET(groupe,,8)))</f>
        <v>12</v>
      </c>
      <c r="M32" s="71">
        <f ca="1">SUMPRODUCT((groupe='Base de donnée'!C32)*(OFFSET(groupe,,1)='Base de donnée'!F32)*(OFFSET(groupe,,2)='Base de donnée'!H32)*(OFFSET(groupe,,9)))</f>
        <v>22</v>
      </c>
      <c r="N32" s="27">
        <v>0</v>
      </c>
      <c r="O32" s="27">
        <v>12</v>
      </c>
      <c r="P32" s="49">
        <f t="shared" ca="1" si="19"/>
        <v>0</v>
      </c>
      <c r="Q32" s="49">
        <f t="shared" ca="1" si="20"/>
        <v>0</v>
      </c>
      <c r="R32" s="27"/>
      <c r="S32" s="27">
        <f t="shared" si="2"/>
        <v>0</v>
      </c>
      <c r="T32" s="27"/>
      <c r="U32" s="27">
        <f t="shared" si="3"/>
        <v>0</v>
      </c>
      <c r="V32" s="27">
        <f t="shared" si="4"/>
        <v>0</v>
      </c>
      <c r="W32" s="27"/>
      <c r="X32" s="28">
        <f ca="1">IF(OR(Z32=1,AA32=1,AB32=1,AC32=1,AD32=1),0,(SUMPRODUCT((groupe='Base de donnée'!C32)*(OFFSET(groupe,,1)='Base de donnée'!F32)*(OFFSET(groupe,,2)='Base de donnée'!H32)*(OFFSET(groupe,,5)))))</f>
        <v>0</v>
      </c>
      <c r="Y32" s="28"/>
      <c r="Z32" s="7"/>
      <c r="AA32" s="7"/>
      <c r="AB32" s="7"/>
      <c r="AC32" s="7"/>
      <c r="AD32" s="7"/>
      <c r="AE32" s="7"/>
    </row>
    <row r="33" spans="1:31" s="30" customFormat="1" x14ac:dyDescent="0.25">
      <c r="A33" s="6" t="s">
        <v>80</v>
      </c>
      <c r="B33" s="26" t="str">
        <f>VLOOKUP(GestionPersonnelRDJ[[#This Row],[Nom Prénom]],Personnels!Personnels,2,0)</f>
        <v>ES</v>
      </c>
      <c r="C33" s="21" t="str">
        <f>VLOOKUP(GestionPersonnelRDJ[[#This Row],[Nom Prénom]],Personnels!Personnels,3,0)</f>
        <v>GB</v>
      </c>
      <c r="D33" s="21" t="str">
        <f>VLOOKUP(GestionPersonnelRDJ[[#This Row],[Nom Prénom]],Personnels!Personnels,4,0)</f>
        <v>FDV</v>
      </c>
      <c r="E33" s="2">
        <f>INT(MOD(INT((GestionPersonnelRDJ[[#This Row],[Date]]-2)/7)+0.6,52+5/28))+1</f>
        <v>51</v>
      </c>
      <c r="F33" s="7">
        <v>3</v>
      </c>
      <c r="G33" s="8">
        <v>40896</v>
      </c>
      <c r="H33" s="5" t="str">
        <f t="shared" ref="H33:H39" si="21">TEXT(WEEKDAY(G33),"jjjj")</f>
        <v>lundi</v>
      </c>
      <c r="I33" s="27">
        <f ca="1">SUMPRODUCT((groupe='Base de donnée'!C33)*(OFFSET(groupe,,1)='Base de donnée'!F33)*(OFFSET(groupe,,2)='Base de donnée'!H33)*(OFFSET(groupe,,3)))</f>
        <v>8.5</v>
      </c>
      <c r="J33" s="70">
        <f ca="1">SUMPRODUCT((groupe='Base de donnée'!C33)*(OFFSET(groupe,,1)='Base de donnée'!F33)*(OFFSET(groupe,,2)='Base de donnée'!H33)*(OFFSET(groupe,,6)))</f>
        <v>0</v>
      </c>
      <c r="K33" s="70">
        <f ca="1">SUMPRODUCT((groupe='Base de donnée'!C33)*(OFFSET(groupe,,1)='Base de donnée'!F33)*(OFFSET(groupe,,2)='Base de donnée'!H33)*(OFFSET(groupe,,7)))</f>
        <v>0</v>
      </c>
      <c r="L33" s="71">
        <f ca="1">SUMPRODUCT((groupe='Base de donnée'!C33)*(OFFSET(groupe,,1)='Base de donnée'!F33)*(OFFSET(groupe,,2)='Base de donnée'!H33)*(OFFSET(groupe,,8)))</f>
        <v>13.5</v>
      </c>
      <c r="M33" s="71">
        <f ca="1">SUMPRODUCT((groupe='Base de donnée'!C33)*(OFFSET(groupe,,1)='Base de donnée'!F33)*(OFFSET(groupe,,2)='Base de donnée'!H33)*(OFFSET(groupe,,9)))</f>
        <v>22</v>
      </c>
      <c r="N33" s="27">
        <f t="shared" ref="N33:N52" ca="1" si="22">IF(AF33=1,7,IF(OR(AB33=1,AND(AB33=0,NOT(ISBLANK(AB33))),Z33=1,AND(Z33=0,NOT(ISBLANK(Z33))),AA33=1,AND(AA33=0,NOT(ISBLANK(AA33))),AD33=1,AND(AD33=0,NOT(ISBLANK(AD33))),AC33=1,AND(AC33=0,NOT(ISBLANK(AC33)))),0,IF(COUNTIF(Fériés2010,G33),((M33-L33+K33-J33)),(M33-L33+K33-J33)-(W33+X33)-Y33-AE33+(AI33+AK33+AM33))))</f>
        <v>8.5</v>
      </c>
      <c r="O33" s="27">
        <f t="shared" ref="O33:O52" ca="1" si="23">IF(OR(AB33=1,AND(AB33=0,NOT(ISBLANK(AB33))),Z33=1,AND(Z33=0,NOT(ISBLANK(Z33))),AA33=1,AND(AA33=0,NOT(ISBLANK(AA33))),AD33=1,AND(AD33=0,NOT(ISBLANK(AD33))),AC33=1,AND(AC33=0,NOT(ISBLANK(AC33)))),I33,IF(COUNTIF(Fériés2010,G33)&gt;0,N33*2+R33+(W33+X33),N33+R33+(W33+X33)+Y33+AE33))</f>
        <v>8.5</v>
      </c>
      <c r="P33" s="49">
        <f t="shared" ref="P33:P39" ca="1" si="24">IF(I33-O33-(W33+X33)&lt;=0,0,I33-O33-(W33+X33))</f>
        <v>0</v>
      </c>
      <c r="Q33" s="49">
        <f t="shared" ref="Q33:Q39" ca="1" si="25">IF(O33-I33-(W33+X33)&lt;=0,0,O33-I33-(W33+X33))</f>
        <v>0</v>
      </c>
      <c r="R33" s="27"/>
      <c r="S33" s="27" t="str">
        <f t="shared" si="2"/>
        <v/>
      </c>
      <c r="T33" s="27"/>
      <c r="U33" s="27" t="str">
        <f t="shared" si="3"/>
        <v/>
      </c>
      <c r="V33" s="27" t="str">
        <f t="shared" si="4"/>
        <v/>
      </c>
      <c r="W33" s="27"/>
      <c r="X33" s="28">
        <f ca="1">IF(OR(Z33=1,AA33=1,AB33=1,AC33=1,AD33=1),0,(SUMPRODUCT((groupe='Base de donnée'!C33)*(OFFSET(groupe,,1)='Base de donnée'!F33)*(OFFSET(groupe,,2)='Base de donnée'!H33)*(OFFSET(groupe,,5)))))</f>
        <v>0</v>
      </c>
      <c r="Y33" s="28"/>
      <c r="Z33" s="7"/>
      <c r="AA33" s="7"/>
      <c r="AB33" s="7"/>
      <c r="AC33" s="7"/>
      <c r="AD33" s="7"/>
      <c r="AE33" s="7"/>
    </row>
    <row r="34" spans="1:31" s="30" customFormat="1" x14ac:dyDescent="0.25">
      <c r="A34" s="6" t="s">
        <v>80</v>
      </c>
      <c r="B34" s="26" t="str">
        <f>VLOOKUP(GestionPersonnelRDJ[[#This Row],[Nom Prénom]],Personnels!Personnels,2,0)</f>
        <v>ES</v>
      </c>
      <c r="C34" s="21" t="str">
        <f>VLOOKUP(GestionPersonnelRDJ[[#This Row],[Nom Prénom]],Personnels!Personnels,3,0)</f>
        <v>GB</v>
      </c>
      <c r="D34" s="21" t="str">
        <f>VLOOKUP(GestionPersonnelRDJ[[#This Row],[Nom Prénom]],Personnels!Personnels,4,0)</f>
        <v>FDV</v>
      </c>
      <c r="E34" s="2">
        <f>INT(MOD(INT((GestionPersonnelRDJ[[#This Row],[Date]]-2)/7)+0.6,52+5/28))+1</f>
        <v>51</v>
      </c>
      <c r="F34" s="7">
        <v>3</v>
      </c>
      <c r="G34" s="8">
        <v>40897</v>
      </c>
      <c r="H34" s="5" t="str">
        <f t="shared" si="21"/>
        <v>mardi</v>
      </c>
      <c r="I34" s="27">
        <f ca="1">SUMPRODUCT((groupe='Base de donnée'!C34)*(OFFSET(groupe,,1)='Base de donnée'!F34)*(OFFSET(groupe,,2)='Base de donnée'!H34)*(OFFSET(groupe,,3)))</f>
        <v>7.5</v>
      </c>
      <c r="J34" s="70">
        <f ca="1">SUMPRODUCT((groupe='Base de donnée'!C34)*(OFFSET(groupe,,1)='Base de donnée'!F34)*(OFFSET(groupe,,2)='Base de donnée'!H34)*(OFFSET(groupe,,6)))</f>
        <v>0</v>
      </c>
      <c r="K34" s="70">
        <f ca="1">SUMPRODUCT((groupe='Base de donnée'!C34)*(OFFSET(groupe,,1)='Base de donnée'!F34)*(OFFSET(groupe,,2)='Base de donnée'!H34)*(OFFSET(groupe,,7)))</f>
        <v>0</v>
      </c>
      <c r="L34" s="71">
        <f ca="1">SUMPRODUCT((groupe='Base de donnée'!C34)*(OFFSET(groupe,,1)='Base de donnée'!F34)*(OFFSET(groupe,,2)='Base de donnée'!H34)*(OFFSET(groupe,,8)))</f>
        <v>13.5</v>
      </c>
      <c r="M34" s="71">
        <f ca="1">SUMPRODUCT((groupe='Base de donnée'!C34)*(OFFSET(groupe,,1)='Base de donnée'!F34)*(OFFSET(groupe,,2)='Base de donnée'!H34)*(OFFSET(groupe,,9)))</f>
        <v>21</v>
      </c>
      <c r="N34" s="27">
        <f t="shared" ca="1" si="22"/>
        <v>7.5</v>
      </c>
      <c r="O34" s="27">
        <f t="shared" ca="1" si="23"/>
        <v>7.5</v>
      </c>
      <c r="P34" s="49">
        <f t="shared" ca="1" si="24"/>
        <v>0</v>
      </c>
      <c r="Q34" s="49">
        <f t="shared" ca="1" si="25"/>
        <v>0</v>
      </c>
      <c r="R34" s="27"/>
      <c r="S34" s="27" t="str">
        <f t="shared" si="2"/>
        <v/>
      </c>
      <c r="T34" s="27"/>
      <c r="U34" s="27" t="str">
        <f t="shared" si="3"/>
        <v/>
      </c>
      <c r="V34" s="27" t="str">
        <f t="shared" si="4"/>
        <v/>
      </c>
      <c r="W34" s="27"/>
      <c r="X34" s="28">
        <f ca="1">IF(OR(Z34=1,AA34=1,AB34=1,AC34=1,AD34=1),0,(SUMPRODUCT((groupe='Base de donnée'!C34)*(OFFSET(groupe,,1)='Base de donnée'!F34)*(OFFSET(groupe,,2)='Base de donnée'!H34)*(OFFSET(groupe,,5)))))</f>
        <v>0</v>
      </c>
      <c r="Y34" s="28"/>
      <c r="Z34" s="7"/>
      <c r="AA34" s="7"/>
      <c r="AB34" s="7"/>
      <c r="AC34" s="7"/>
      <c r="AD34" s="7"/>
      <c r="AE34" s="7"/>
    </row>
    <row r="35" spans="1:31" s="30" customFormat="1" x14ac:dyDescent="0.25">
      <c r="A35" s="6" t="s">
        <v>80</v>
      </c>
      <c r="B35" s="26" t="str">
        <f>VLOOKUP(GestionPersonnelRDJ[[#This Row],[Nom Prénom]],Personnels!Personnels,2,0)</f>
        <v>ES</v>
      </c>
      <c r="C35" s="21" t="str">
        <f>VLOOKUP(GestionPersonnelRDJ[[#This Row],[Nom Prénom]],Personnels!Personnels,3,0)</f>
        <v>GB</v>
      </c>
      <c r="D35" s="21" t="str">
        <f>VLOOKUP(GestionPersonnelRDJ[[#This Row],[Nom Prénom]],Personnels!Personnels,4,0)</f>
        <v>FDV</v>
      </c>
      <c r="E35" s="2">
        <f>INT(MOD(INT((GestionPersonnelRDJ[[#This Row],[Date]]-2)/7)+0.6,52+5/28))+1</f>
        <v>51</v>
      </c>
      <c r="F35" s="7">
        <v>3</v>
      </c>
      <c r="G35" s="8">
        <v>40898</v>
      </c>
      <c r="H35" s="5" t="str">
        <f t="shared" si="21"/>
        <v>mercredi</v>
      </c>
      <c r="I35" s="27">
        <f ca="1">SUMPRODUCT((groupe='Base de donnée'!C35)*(OFFSET(groupe,,1)='Base de donnée'!F35)*(OFFSET(groupe,,2)='Base de donnée'!H35)*(OFFSET(groupe,,3)))</f>
        <v>10</v>
      </c>
      <c r="J35" s="70">
        <f ca="1">SUMPRODUCT((groupe='Base de donnée'!C35)*(OFFSET(groupe,,1)='Base de donnée'!F35)*(OFFSET(groupe,,2)='Base de donnée'!H35)*(OFFSET(groupe,,6)))</f>
        <v>8</v>
      </c>
      <c r="K35" s="70">
        <f ca="1">SUMPRODUCT((groupe='Base de donnée'!C35)*(OFFSET(groupe,,1)='Base de donnée'!F35)*(OFFSET(groupe,,2)='Base de donnée'!H35)*(OFFSET(groupe,,7)))</f>
        <v>12</v>
      </c>
      <c r="L35" s="71">
        <f ca="1">SUMPRODUCT((groupe='Base de donnée'!C35)*(OFFSET(groupe,,1)='Base de donnée'!F35)*(OFFSET(groupe,,2)='Base de donnée'!H35)*(OFFSET(groupe,,8)))</f>
        <v>12</v>
      </c>
      <c r="M35" s="71">
        <f ca="1">SUMPRODUCT((groupe='Base de donnée'!C35)*(OFFSET(groupe,,1)='Base de donnée'!F35)*(OFFSET(groupe,,2)='Base de donnée'!H35)*(OFFSET(groupe,,9)))</f>
        <v>18</v>
      </c>
      <c r="N35" s="27">
        <f t="shared" ca="1" si="22"/>
        <v>10</v>
      </c>
      <c r="O35" s="27">
        <f t="shared" ca="1" si="23"/>
        <v>10</v>
      </c>
      <c r="P35" s="49">
        <f t="shared" ca="1" si="24"/>
        <v>0</v>
      </c>
      <c r="Q35" s="49">
        <f t="shared" ca="1" si="25"/>
        <v>0</v>
      </c>
      <c r="R35" s="27"/>
      <c r="S35" s="27" t="str">
        <f t="shared" si="2"/>
        <v/>
      </c>
      <c r="T35" s="27"/>
      <c r="U35" s="27" t="str">
        <f t="shared" si="3"/>
        <v/>
      </c>
      <c r="V35" s="27" t="str">
        <f t="shared" si="4"/>
        <v/>
      </c>
      <c r="W35" s="27"/>
      <c r="X35" s="28">
        <f ca="1">IF(OR(Z35=1,AA35=1,AB35=1,AC35=1,AD35=1),0,(SUMPRODUCT((groupe='Base de donnée'!C35)*(OFFSET(groupe,,1)='Base de donnée'!F35)*(OFFSET(groupe,,2)='Base de donnée'!H35)*(OFFSET(groupe,,5)))))</f>
        <v>0</v>
      </c>
      <c r="Y35" s="28"/>
      <c r="Z35" s="7"/>
      <c r="AA35" s="7"/>
      <c r="AB35" s="7"/>
      <c r="AC35" s="7"/>
      <c r="AD35" s="7"/>
      <c r="AE35" s="7"/>
    </row>
    <row r="36" spans="1:31" s="30" customFormat="1" x14ac:dyDescent="0.25">
      <c r="A36" s="6" t="s">
        <v>80</v>
      </c>
      <c r="B36" s="26" t="str">
        <f>VLOOKUP(GestionPersonnelRDJ[[#This Row],[Nom Prénom]],Personnels!Personnels,2,0)</f>
        <v>ES</v>
      </c>
      <c r="C36" s="21" t="str">
        <f>VLOOKUP(GestionPersonnelRDJ[[#This Row],[Nom Prénom]],Personnels!Personnels,3,0)</f>
        <v>GB</v>
      </c>
      <c r="D36" s="21" t="str">
        <f>VLOOKUP(GestionPersonnelRDJ[[#This Row],[Nom Prénom]],Personnels!Personnels,4,0)</f>
        <v>FDV</v>
      </c>
      <c r="E36" s="2">
        <f>INT(MOD(INT((GestionPersonnelRDJ[[#This Row],[Date]]-2)/7)+0.6,52+5/28))+1</f>
        <v>51</v>
      </c>
      <c r="F36" s="7">
        <v>3</v>
      </c>
      <c r="G36" s="8">
        <v>40899</v>
      </c>
      <c r="H36" s="5" t="str">
        <f t="shared" si="21"/>
        <v>jeudi</v>
      </c>
      <c r="I36" s="27">
        <f ca="1">SUMPRODUCT((groupe='Base de donnée'!C36)*(OFFSET(groupe,,1)='Base de donnée'!F36)*(OFFSET(groupe,,2)='Base de donnée'!H36)*(OFFSET(groupe,,3)))</f>
        <v>5</v>
      </c>
      <c r="J36" s="70">
        <f ca="1">SUMPRODUCT((groupe='Base de donnée'!C36)*(OFFSET(groupe,,1)='Base de donnée'!F36)*(OFFSET(groupe,,2)='Base de donnée'!H36)*(OFFSET(groupe,,6)))</f>
        <v>0</v>
      </c>
      <c r="K36" s="70">
        <f ca="1">SUMPRODUCT((groupe='Base de donnée'!C36)*(OFFSET(groupe,,1)='Base de donnée'!F36)*(OFFSET(groupe,,2)='Base de donnée'!H36)*(OFFSET(groupe,,7)))</f>
        <v>0</v>
      </c>
      <c r="L36" s="75">
        <f ca="1">SUMPRODUCT((groupe='Base de donnée'!C36)*(OFFSET(groupe,,1)='Base de donnée'!F36)*(OFFSET(groupe,,2)='Base de donnée'!H36)*(OFFSET(groupe,,8)))</f>
        <v>14</v>
      </c>
      <c r="M36" s="75">
        <f ca="1">SUMPRODUCT((groupe='Base de donnée'!C36)*(OFFSET(groupe,,1)='Base de donnée'!F36)*(OFFSET(groupe,,2)='Base de donnée'!H36)*(OFFSET(groupe,,9)))</f>
        <v>19</v>
      </c>
      <c r="N36" s="27">
        <f t="shared" ca="1" si="22"/>
        <v>0</v>
      </c>
      <c r="O36" s="27">
        <f t="shared" ca="1" si="23"/>
        <v>5</v>
      </c>
      <c r="P36" s="49">
        <f t="shared" ca="1" si="24"/>
        <v>0</v>
      </c>
      <c r="Q36" s="49">
        <f t="shared" ca="1" si="25"/>
        <v>0</v>
      </c>
      <c r="R36" s="27"/>
      <c r="S36" s="27" t="str">
        <f t="shared" ref="S36:S67" si="26">IF((Z36=1),"",IF(OR(WEEKDAY(G36)=1,COUNTIF(Fériés2010,G36)&gt;0),N36,""))</f>
        <v/>
      </c>
      <c r="T36" s="27"/>
      <c r="U36" s="27" t="str">
        <f t="shared" ref="U36:U67" si="27">IF(COUNTIF(Fériés2010,G36),N36,"")</f>
        <v/>
      </c>
      <c r="V36" s="27" t="str">
        <f t="shared" si="4"/>
        <v/>
      </c>
      <c r="W36" s="27"/>
      <c r="X36" s="28">
        <f ca="1">IF(OR(Z36=1,AA36=1,AB36=1,AC36=1,AD36=1),0,(SUMPRODUCT((groupe='Base de donnée'!C36)*(OFFSET(groupe,,1)='Base de donnée'!F36)*(OFFSET(groupe,,2)='Base de donnée'!H36)*(OFFSET(groupe,,5)))))</f>
        <v>5</v>
      </c>
      <c r="Y36" s="28"/>
      <c r="Z36" s="7"/>
      <c r="AA36" s="7"/>
      <c r="AB36" s="7"/>
      <c r="AC36" s="7"/>
      <c r="AD36" s="7"/>
      <c r="AE36" s="7"/>
    </row>
    <row r="37" spans="1:31" s="30" customFormat="1" x14ac:dyDescent="0.25">
      <c r="A37" s="6" t="s">
        <v>80</v>
      </c>
      <c r="B37" s="26" t="str">
        <f>VLOOKUP(GestionPersonnelRDJ[[#This Row],[Nom Prénom]],Personnels!Personnels,2,0)</f>
        <v>ES</v>
      </c>
      <c r="C37" s="21" t="str">
        <f>VLOOKUP(GestionPersonnelRDJ[[#This Row],[Nom Prénom]],Personnels!Personnels,3,0)</f>
        <v>GB</v>
      </c>
      <c r="D37" s="21" t="str">
        <f>VLOOKUP(GestionPersonnelRDJ[[#This Row],[Nom Prénom]],Personnels!Personnels,4,0)</f>
        <v>FDV</v>
      </c>
      <c r="E37" s="2">
        <f>INT(MOD(INT((GestionPersonnelRDJ[[#This Row],[Date]]-2)/7)+0.6,52+5/28))+1</f>
        <v>51</v>
      </c>
      <c r="F37" s="7">
        <v>3</v>
      </c>
      <c r="G37" s="8">
        <v>40900</v>
      </c>
      <c r="H37" s="5" t="str">
        <f t="shared" si="21"/>
        <v>vendredi</v>
      </c>
      <c r="I37" s="27">
        <f ca="1">SUMPRODUCT((groupe='Base de donnée'!C37)*(OFFSET(groupe,,1)='Base de donnée'!F37)*(OFFSET(groupe,,2)='Base de donnée'!H37)*(OFFSET(groupe,,3)))</f>
        <v>7</v>
      </c>
      <c r="J37" s="75">
        <f ca="1">SUMPRODUCT((groupe='Base de donnée'!C37)*(OFFSET(groupe,,1)='Base de donnée'!F37)*(OFFSET(groupe,,2)='Base de donnée'!H37)*(OFFSET(groupe,,6)))</f>
        <v>7</v>
      </c>
      <c r="K37" s="75">
        <f ca="1">SUMPRODUCT((groupe='Base de donnée'!C37)*(OFFSET(groupe,,1)='Base de donnée'!F37)*(OFFSET(groupe,,2)='Base de donnée'!H37)*(OFFSET(groupe,,7)))</f>
        <v>14</v>
      </c>
      <c r="L37" s="71">
        <f ca="1">SUMPRODUCT((groupe='Base de donnée'!C37)*(OFFSET(groupe,,1)='Base de donnée'!F37)*(OFFSET(groupe,,2)='Base de donnée'!H37)*(OFFSET(groupe,,8)))</f>
        <v>0</v>
      </c>
      <c r="M37" s="71">
        <f ca="1">SUMPRODUCT((groupe='Base de donnée'!C37)*(OFFSET(groupe,,1)='Base de donnée'!F37)*(OFFSET(groupe,,2)='Base de donnée'!H37)*(OFFSET(groupe,,9)))</f>
        <v>0</v>
      </c>
      <c r="N37" s="27">
        <f t="shared" ca="1" si="22"/>
        <v>0</v>
      </c>
      <c r="O37" s="27">
        <f t="shared" ca="1" si="23"/>
        <v>7</v>
      </c>
      <c r="P37" s="49">
        <f t="shared" ca="1" si="24"/>
        <v>0</v>
      </c>
      <c r="Q37" s="49">
        <f t="shared" ca="1" si="25"/>
        <v>0</v>
      </c>
      <c r="R37" s="27"/>
      <c r="S37" s="27" t="str">
        <f t="shared" si="26"/>
        <v/>
      </c>
      <c r="T37" s="27"/>
      <c r="U37" s="27" t="str">
        <f t="shared" si="27"/>
        <v/>
      </c>
      <c r="V37" s="27" t="str">
        <f t="shared" si="4"/>
        <v/>
      </c>
      <c r="W37" s="27">
        <v>7</v>
      </c>
      <c r="X37" s="28">
        <f ca="1">IF(OR(Z37=1,AA37=1,AB37=1,AC37=1,AD37=1),0,(SUMPRODUCT((groupe='Base de donnée'!C37)*(OFFSET(groupe,,1)='Base de donnée'!F37)*(OFFSET(groupe,,2)='Base de donnée'!H37)*(OFFSET(groupe,,5)))))</f>
        <v>0</v>
      </c>
      <c r="Y37" s="28"/>
      <c r="Z37" s="7"/>
      <c r="AA37" s="7"/>
      <c r="AB37" s="7"/>
      <c r="AC37" s="7"/>
      <c r="AD37" s="7"/>
      <c r="AE37" s="7"/>
    </row>
    <row r="38" spans="1:31" s="30" customFormat="1" x14ac:dyDescent="0.25">
      <c r="A38" s="6" t="s">
        <v>80</v>
      </c>
      <c r="B38" s="26" t="str">
        <f>VLOOKUP(GestionPersonnelRDJ[[#This Row],[Nom Prénom]],Personnels!Personnels,2,0)</f>
        <v>ES</v>
      </c>
      <c r="C38" s="21" t="str">
        <f>VLOOKUP(GestionPersonnelRDJ[[#This Row],[Nom Prénom]],Personnels!Personnels,3,0)</f>
        <v>GB</v>
      </c>
      <c r="D38" s="21" t="str">
        <f>VLOOKUP(GestionPersonnelRDJ[[#This Row],[Nom Prénom]],Personnels!Personnels,4,0)</f>
        <v>FDV</v>
      </c>
      <c r="E38" s="2">
        <f>INT(MOD(INT((GestionPersonnelRDJ[[#This Row],[Date]]-2)/7)+0.6,52+5/28))+1</f>
        <v>51</v>
      </c>
      <c r="F38" s="7">
        <v>3</v>
      </c>
      <c r="G38" s="8">
        <v>40901</v>
      </c>
      <c r="H38" s="5" t="str">
        <f t="shared" si="21"/>
        <v>samedi</v>
      </c>
      <c r="I38" s="27">
        <f ca="1">SUMPRODUCT((groupe='Base de donnée'!C38)*(OFFSET(groupe,,1)='Base de donnée'!F38)*(OFFSET(groupe,,2)='Base de donnée'!H38)*(OFFSET(groupe,,3)))</f>
        <v>0</v>
      </c>
      <c r="J38" s="70">
        <f ca="1">SUMPRODUCT((groupe='Base de donnée'!C38)*(OFFSET(groupe,,1)='Base de donnée'!F38)*(OFFSET(groupe,,2)='Base de donnée'!H38)*(OFFSET(groupe,,6)))</f>
        <v>0</v>
      </c>
      <c r="K38" s="70">
        <f ca="1">SUMPRODUCT((groupe='Base de donnée'!C38)*(OFFSET(groupe,,1)='Base de donnée'!F38)*(OFFSET(groupe,,2)='Base de donnée'!H38)*(OFFSET(groupe,,7)))</f>
        <v>0</v>
      </c>
      <c r="L38" s="71">
        <f ca="1">SUMPRODUCT((groupe='Base de donnée'!C38)*(OFFSET(groupe,,1)='Base de donnée'!F38)*(OFFSET(groupe,,2)='Base de donnée'!H38)*(OFFSET(groupe,,8)))</f>
        <v>0</v>
      </c>
      <c r="M38" s="71">
        <f ca="1">SUMPRODUCT((groupe='Base de donnée'!C38)*(OFFSET(groupe,,1)='Base de donnée'!F38)*(OFFSET(groupe,,2)='Base de donnée'!H38)*(OFFSET(groupe,,9)))</f>
        <v>0</v>
      </c>
      <c r="N38" s="27">
        <f t="shared" ca="1" si="22"/>
        <v>0</v>
      </c>
      <c r="O38" s="27">
        <f t="shared" ca="1" si="23"/>
        <v>0</v>
      </c>
      <c r="P38" s="49">
        <f t="shared" ca="1" si="24"/>
        <v>0</v>
      </c>
      <c r="Q38" s="49">
        <f t="shared" ca="1" si="25"/>
        <v>0</v>
      </c>
      <c r="R38" s="27"/>
      <c r="S38" s="27" t="str">
        <f t="shared" si="26"/>
        <v/>
      </c>
      <c r="T38" s="27"/>
      <c r="U38" s="27" t="str">
        <f t="shared" si="27"/>
        <v/>
      </c>
      <c r="V38" s="27" t="str">
        <f t="shared" si="4"/>
        <v/>
      </c>
      <c r="W38" s="27"/>
      <c r="X38" s="28">
        <f ca="1">IF(OR(Z38=1,AA38=1,AB38=1,AC38=1,AD38=1),0,(SUMPRODUCT((groupe='Base de donnée'!C38)*(OFFSET(groupe,,1)='Base de donnée'!F38)*(OFFSET(groupe,,2)='Base de donnée'!H38)*(OFFSET(groupe,,5)))))</f>
        <v>0</v>
      </c>
      <c r="Y38" s="28"/>
      <c r="Z38" s="7"/>
      <c r="AA38" s="7"/>
      <c r="AB38" s="7"/>
      <c r="AC38" s="7"/>
      <c r="AD38" s="7"/>
      <c r="AE38" s="7"/>
    </row>
    <row r="39" spans="1:31" s="30" customFormat="1" x14ac:dyDescent="0.25">
      <c r="A39" s="6" t="s">
        <v>80</v>
      </c>
      <c r="B39" s="26" t="str">
        <f>VLOOKUP(GestionPersonnelRDJ[[#This Row],[Nom Prénom]],Personnels!Personnels,2,0)</f>
        <v>ES</v>
      </c>
      <c r="C39" s="21" t="str">
        <f>VLOOKUP(GestionPersonnelRDJ[[#This Row],[Nom Prénom]],Personnels!Personnels,3,0)</f>
        <v>GB</v>
      </c>
      <c r="D39" s="21" t="str">
        <f>VLOOKUP(GestionPersonnelRDJ[[#This Row],[Nom Prénom]],Personnels!Personnels,4,0)</f>
        <v>FDV</v>
      </c>
      <c r="E39" s="2">
        <f>INT(MOD(INT((GestionPersonnelRDJ[[#This Row],[Date]]-2)/7)+0.6,52+5/28))+1</f>
        <v>51</v>
      </c>
      <c r="F39" s="7">
        <v>3</v>
      </c>
      <c r="G39" s="8">
        <v>40902</v>
      </c>
      <c r="H39" s="5" t="str">
        <f t="shared" si="21"/>
        <v>dimanche</v>
      </c>
      <c r="I39" s="27">
        <f ca="1">SUMPRODUCT((groupe='Base de donnée'!C39)*(OFFSET(groupe,,1)='Base de donnée'!F39)*(OFFSET(groupe,,2)='Base de donnée'!H39)*(OFFSET(groupe,,3)))</f>
        <v>0</v>
      </c>
      <c r="J39" s="70">
        <f ca="1">SUMPRODUCT((groupe='Base de donnée'!C39)*(OFFSET(groupe,,1)='Base de donnée'!F39)*(OFFSET(groupe,,2)='Base de donnée'!H39)*(OFFSET(groupe,,6)))</f>
        <v>0</v>
      </c>
      <c r="K39" s="70">
        <f ca="1">SUMPRODUCT((groupe='Base de donnée'!C39)*(OFFSET(groupe,,1)='Base de donnée'!F39)*(OFFSET(groupe,,2)='Base de donnée'!H39)*(OFFSET(groupe,,7)))</f>
        <v>0</v>
      </c>
      <c r="L39" s="71">
        <f ca="1">SUMPRODUCT((groupe='Base de donnée'!C39)*(OFFSET(groupe,,1)='Base de donnée'!F39)*(OFFSET(groupe,,2)='Base de donnée'!H39)*(OFFSET(groupe,,8)))</f>
        <v>0</v>
      </c>
      <c r="M39" s="71">
        <f ca="1">SUMPRODUCT((groupe='Base de donnée'!C39)*(OFFSET(groupe,,1)='Base de donnée'!F39)*(OFFSET(groupe,,2)='Base de donnée'!H39)*(OFFSET(groupe,,9)))</f>
        <v>0</v>
      </c>
      <c r="N39" s="27">
        <f t="shared" ca="1" si="22"/>
        <v>0</v>
      </c>
      <c r="O39" s="27">
        <f t="shared" ca="1" si="23"/>
        <v>0</v>
      </c>
      <c r="P39" s="49">
        <f t="shared" ca="1" si="24"/>
        <v>0</v>
      </c>
      <c r="Q39" s="49">
        <f t="shared" ca="1" si="25"/>
        <v>0</v>
      </c>
      <c r="R39" s="27"/>
      <c r="S39" s="27">
        <f t="shared" ca="1" si="26"/>
        <v>0</v>
      </c>
      <c r="T39" s="27"/>
      <c r="U39" s="27">
        <f t="shared" ca="1" si="27"/>
        <v>0</v>
      </c>
      <c r="V39" s="27">
        <f t="shared" ca="1" si="4"/>
        <v>0</v>
      </c>
      <c r="W39" s="27"/>
      <c r="X39" s="28">
        <f ca="1">IF(OR(Z39=1,AA39=1,AB39=1,AC39=1,AD39=1),0,(SUMPRODUCT((groupe='Base de donnée'!C39)*(OFFSET(groupe,,1)='Base de donnée'!F39)*(OFFSET(groupe,,2)='Base de donnée'!H39)*(OFFSET(groupe,,5)))))</f>
        <v>0</v>
      </c>
      <c r="Y39" s="28"/>
      <c r="Z39" s="7"/>
      <c r="AA39" s="7"/>
      <c r="AB39" s="7"/>
      <c r="AC39" s="7"/>
      <c r="AD39" s="7"/>
      <c r="AE39" s="7"/>
    </row>
    <row r="40" spans="1:31" s="30" customFormat="1" x14ac:dyDescent="0.25">
      <c r="A40" s="6" t="s">
        <v>162</v>
      </c>
      <c r="B40" s="26" t="str">
        <f>VLOOKUP(GestionPersonnelRDJ[[#This Row],[Nom Prénom]],Personnels!Personnels,2,0)</f>
        <v>AMP</v>
      </c>
      <c r="C40" s="21" t="str">
        <f>VLOOKUP(GestionPersonnelRDJ[[#This Row],[Nom Prénom]],Personnels!Personnels,3,0)</f>
        <v>Gas</v>
      </c>
      <c r="D40" s="21" t="str">
        <f>VLOOKUP(GestionPersonnelRDJ[[#This Row],[Nom Prénom]],Personnels!Personnels,4,0)</f>
        <v>FDV</v>
      </c>
      <c r="E40" s="2">
        <f>INT(MOD(INT((GestionPersonnelRDJ[[#This Row],[Date]]-2)/7)+0.6,52+5/28))+1</f>
        <v>51</v>
      </c>
      <c r="F40" s="7">
        <v>2</v>
      </c>
      <c r="G40" s="8">
        <v>40896</v>
      </c>
      <c r="H40" s="5" t="str">
        <f t="shared" ref="H40:H46" si="28">TEXT(WEEKDAY(G40),"jjjj")</f>
        <v>lundi</v>
      </c>
      <c r="I40" s="27">
        <f ca="1">SUMPRODUCT((groupe='Base de donnée'!C40)*(OFFSET(groupe,,1)='Base de donnée'!F40)*(OFFSET(groupe,,2)='Base de donnée'!H40)*(OFFSET(groupe,,3)))</f>
        <v>0</v>
      </c>
      <c r="J40" s="70">
        <f ca="1">SUMPRODUCT((groupe='Base de donnée'!C40)*(OFFSET(groupe,,1)='Base de donnée'!F40)*(OFFSET(groupe,,2)='Base de donnée'!H40)*(OFFSET(groupe,,6)))</f>
        <v>0</v>
      </c>
      <c r="K40" s="70">
        <f ca="1">SUMPRODUCT((groupe='Base de donnée'!C40)*(OFFSET(groupe,,1)='Base de donnée'!F40)*(OFFSET(groupe,,2)='Base de donnée'!H40)*(OFFSET(groupe,,7)))</f>
        <v>0</v>
      </c>
      <c r="L40" s="71">
        <f ca="1">SUMPRODUCT((groupe='Base de donnée'!C40)*(OFFSET(groupe,,1)='Base de donnée'!F40)*(OFFSET(groupe,,2)='Base de donnée'!H40)*(OFFSET(groupe,,8)))</f>
        <v>0</v>
      </c>
      <c r="M40" s="71">
        <f ca="1">SUMPRODUCT((groupe='Base de donnée'!C40)*(OFFSET(groupe,,1)='Base de donnée'!F40)*(OFFSET(groupe,,2)='Base de donnée'!H40)*(OFFSET(groupe,,9)))</f>
        <v>0</v>
      </c>
      <c r="N40" s="27">
        <f t="shared" ca="1" si="22"/>
        <v>0</v>
      </c>
      <c r="O40" s="27">
        <f t="shared" ca="1" si="23"/>
        <v>0</v>
      </c>
      <c r="P40" s="49">
        <f t="shared" ref="P40:P46" ca="1" si="29">IF(I40-O40-(W40+X40)&lt;=0,0,I40-O40-(W40+X40))</f>
        <v>0</v>
      </c>
      <c r="Q40" s="49">
        <f t="shared" ref="Q40:Q46" ca="1" si="30">IF(O40-I40-(W40+X40)&lt;=0,0,O40-I40-(W40+X40))</f>
        <v>0</v>
      </c>
      <c r="R40" s="27"/>
      <c r="S40" s="27" t="str">
        <f t="shared" si="26"/>
        <v/>
      </c>
      <c r="T40" s="27"/>
      <c r="U40" s="27" t="str">
        <f t="shared" si="27"/>
        <v/>
      </c>
      <c r="V40" s="27" t="str">
        <f t="shared" si="4"/>
        <v/>
      </c>
      <c r="W40" s="27"/>
      <c r="X40" s="28">
        <f ca="1">IF(OR(Z40=1,AA40=1,AB40=1,AC40=1,AD40=1),0,(SUMPRODUCT((groupe='Base de donnée'!C40)*(OFFSET(groupe,,1)='Base de donnée'!F40)*(OFFSET(groupe,,2)='Base de donnée'!H40)*(OFFSET(groupe,,5)))))</f>
        <v>0</v>
      </c>
      <c r="Y40" s="28"/>
      <c r="Z40" s="7"/>
      <c r="AA40" s="7"/>
      <c r="AB40" s="7"/>
      <c r="AC40" s="7"/>
      <c r="AD40" s="7"/>
      <c r="AE40" s="7"/>
    </row>
    <row r="41" spans="1:31" s="30" customFormat="1" x14ac:dyDescent="0.25">
      <c r="A41" s="6" t="s">
        <v>162</v>
      </c>
      <c r="B41" s="26" t="str">
        <f>VLOOKUP(GestionPersonnelRDJ[[#This Row],[Nom Prénom]],Personnels!Personnels,2,0)</f>
        <v>AMP</v>
      </c>
      <c r="C41" s="21" t="str">
        <f>VLOOKUP(GestionPersonnelRDJ[[#This Row],[Nom Prénom]],Personnels!Personnels,3,0)</f>
        <v>Gas</v>
      </c>
      <c r="D41" s="21" t="str">
        <f>VLOOKUP(GestionPersonnelRDJ[[#This Row],[Nom Prénom]],Personnels!Personnels,4,0)</f>
        <v>FDV</v>
      </c>
      <c r="E41" s="2">
        <f>INT(MOD(INT((GestionPersonnelRDJ[[#This Row],[Date]]-2)/7)+0.6,52+5/28))+1</f>
        <v>51</v>
      </c>
      <c r="F41" s="7">
        <v>2</v>
      </c>
      <c r="G41" s="8">
        <v>40897</v>
      </c>
      <c r="H41" s="5" t="str">
        <f t="shared" si="28"/>
        <v>mardi</v>
      </c>
      <c r="I41" s="27">
        <f ca="1">SUMPRODUCT((groupe='Base de donnée'!C41)*(OFFSET(groupe,,1)='Base de donnée'!F41)*(OFFSET(groupe,,2)='Base de donnée'!H41)*(OFFSET(groupe,,3)))</f>
        <v>10</v>
      </c>
      <c r="J41" s="70">
        <f ca="1">SUMPRODUCT((groupe='Base de donnée'!C41)*(OFFSET(groupe,,1)='Base de donnée'!F41)*(OFFSET(groupe,,2)='Base de donnée'!H41)*(OFFSET(groupe,,6)))</f>
        <v>7</v>
      </c>
      <c r="K41" s="70">
        <f ca="1">SUMPRODUCT((groupe='Base de donnée'!C41)*(OFFSET(groupe,,1)='Base de donnée'!F41)*(OFFSET(groupe,,2)='Base de donnée'!H41)*(OFFSET(groupe,,7)))</f>
        <v>12</v>
      </c>
      <c r="L41" s="71">
        <f ca="1">SUMPRODUCT((groupe='Base de donnée'!C41)*(OFFSET(groupe,,1)='Base de donnée'!F41)*(OFFSET(groupe,,2)='Base de donnée'!H41)*(OFFSET(groupe,,8)))</f>
        <v>12</v>
      </c>
      <c r="M41" s="71">
        <f ca="1">SUMPRODUCT((groupe='Base de donnée'!C41)*(OFFSET(groupe,,1)='Base de donnée'!F41)*(OFFSET(groupe,,2)='Base de donnée'!H41)*(OFFSET(groupe,,9)))</f>
        <v>17</v>
      </c>
      <c r="N41" s="27">
        <f t="shared" ca="1" si="22"/>
        <v>10</v>
      </c>
      <c r="O41" s="27">
        <f t="shared" ca="1" si="23"/>
        <v>10</v>
      </c>
      <c r="P41" s="49">
        <f t="shared" ca="1" si="29"/>
        <v>0</v>
      </c>
      <c r="Q41" s="49">
        <f t="shared" ca="1" si="30"/>
        <v>0</v>
      </c>
      <c r="R41" s="27"/>
      <c r="S41" s="27" t="str">
        <f t="shared" si="26"/>
        <v/>
      </c>
      <c r="T41" s="27"/>
      <c r="U41" s="27" t="str">
        <f t="shared" si="27"/>
        <v/>
      </c>
      <c r="V41" s="27" t="str">
        <f t="shared" si="4"/>
        <v/>
      </c>
      <c r="W41" s="27"/>
      <c r="X41" s="28">
        <f ca="1">IF(OR(Z41=1,AA41=1,AB41=1,AC41=1,AD41=1),0,(SUMPRODUCT((groupe='Base de donnée'!C41)*(OFFSET(groupe,,1)='Base de donnée'!F41)*(OFFSET(groupe,,2)='Base de donnée'!H41)*(OFFSET(groupe,,5)))))</f>
        <v>0</v>
      </c>
      <c r="Y41" s="28"/>
      <c r="Z41" s="7"/>
      <c r="AA41" s="7"/>
      <c r="AB41" s="7"/>
      <c r="AC41" s="7"/>
      <c r="AD41" s="7"/>
      <c r="AE41" s="7"/>
    </row>
    <row r="42" spans="1:31" s="30" customFormat="1" x14ac:dyDescent="0.25">
      <c r="A42" s="6" t="s">
        <v>162</v>
      </c>
      <c r="B42" s="26" t="str">
        <f>VLOOKUP(GestionPersonnelRDJ[[#This Row],[Nom Prénom]],Personnels!Personnels,2,0)</f>
        <v>AMP</v>
      </c>
      <c r="C42" s="21" t="str">
        <f>VLOOKUP(GestionPersonnelRDJ[[#This Row],[Nom Prénom]],Personnels!Personnels,3,0)</f>
        <v>Gas</v>
      </c>
      <c r="D42" s="21" t="str">
        <f>VLOOKUP(GestionPersonnelRDJ[[#This Row],[Nom Prénom]],Personnels!Personnels,4,0)</f>
        <v>FDV</v>
      </c>
      <c r="E42" s="2">
        <f>INT(MOD(INT((GestionPersonnelRDJ[[#This Row],[Date]]-2)/7)+0.6,52+5/28))+1</f>
        <v>51</v>
      </c>
      <c r="F42" s="7">
        <v>2</v>
      </c>
      <c r="G42" s="8">
        <v>40898</v>
      </c>
      <c r="H42" s="5" t="str">
        <f t="shared" si="28"/>
        <v>mercredi</v>
      </c>
      <c r="I42" s="27">
        <f ca="1">SUMPRODUCT((groupe='Base de donnée'!C42)*(OFFSET(groupe,,1)='Base de donnée'!F42)*(OFFSET(groupe,,2)='Base de donnée'!H42)*(OFFSET(groupe,,3)))</f>
        <v>6.5</v>
      </c>
      <c r="J42" s="70">
        <f ca="1">SUMPRODUCT((groupe='Base de donnée'!C42)*(OFFSET(groupe,,1)='Base de donnée'!F42)*(OFFSET(groupe,,2)='Base de donnée'!H42)*(OFFSET(groupe,,6)))</f>
        <v>7</v>
      </c>
      <c r="K42" s="70">
        <f ca="1">SUMPRODUCT((groupe='Base de donnée'!C42)*(OFFSET(groupe,,1)='Base de donnée'!F42)*(OFFSET(groupe,,2)='Base de donnée'!H42)*(OFFSET(groupe,,7)))</f>
        <v>12</v>
      </c>
      <c r="L42" s="71">
        <f ca="1">SUMPRODUCT((groupe='Base de donnée'!C42)*(OFFSET(groupe,,1)='Base de donnée'!F42)*(OFFSET(groupe,,2)='Base de donnée'!H42)*(OFFSET(groupe,,8)))</f>
        <v>12</v>
      </c>
      <c r="M42" s="71">
        <f ca="1">SUMPRODUCT((groupe='Base de donnée'!C42)*(OFFSET(groupe,,1)='Base de donnée'!F42)*(OFFSET(groupe,,2)='Base de donnée'!H42)*(OFFSET(groupe,,9)))</f>
        <v>13.5</v>
      </c>
      <c r="N42" s="27">
        <f t="shared" ca="1" si="22"/>
        <v>6.5</v>
      </c>
      <c r="O42" s="27">
        <f t="shared" ca="1" si="23"/>
        <v>6.5</v>
      </c>
      <c r="P42" s="49">
        <f t="shared" ca="1" si="29"/>
        <v>0</v>
      </c>
      <c r="Q42" s="49">
        <f t="shared" ca="1" si="30"/>
        <v>0</v>
      </c>
      <c r="R42" s="27"/>
      <c r="S42" s="27" t="str">
        <f t="shared" si="26"/>
        <v/>
      </c>
      <c r="T42" s="27"/>
      <c r="U42" s="27" t="str">
        <f t="shared" si="27"/>
        <v/>
      </c>
      <c r="V42" s="27" t="str">
        <f t="shared" si="4"/>
        <v/>
      </c>
      <c r="W42" s="27"/>
      <c r="X42" s="28">
        <f ca="1">IF(OR(Z42=1,AA42=1,AB42=1,AC42=1,AD42=1),0,(SUMPRODUCT((groupe='Base de donnée'!C42)*(OFFSET(groupe,,1)='Base de donnée'!F42)*(OFFSET(groupe,,2)='Base de donnée'!H42)*(OFFSET(groupe,,5)))))</f>
        <v>0</v>
      </c>
      <c r="Y42" s="28"/>
      <c r="Z42" s="7"/>
      <c r="AA42" s="7"/>
      <c r="AB42" s="7"/>
      <c r="AC42" s="7"/>
      <c r="AD42" s="7"/>
      <c r="AE42" s="7"/>
    </row>
    <row r="43" spans="1:31" s="30" customFormat="1" x14ac:dyDescent="0.25">
      <c r="A43" s="6" t="s">
        <v>162</v>
      </c>
      <c r="B43" s="26" t="str">
        <f>VLOOKUP(GestionPersonnelRDJ[[#This Row],[Nom Prénom]],Personnels!Personnels,2,0)</f>
        <v>AMP</v>
      </c>
      <c r="C43" s="21" t="str">
        <f>VLOOKUP(GestionPersonnelRDJ[[#This Row],[Nom Prénom]],Personnels!Personnels,3,0)</f>
        <v>Gas</v>
      </c>
      <c r="D43" s="21" t="str">
        <f>VLOOKUP(GestionPersonnelRDJ[[#This Row],[Nom Prénom]],Personnels!Personnels,4,0)</f>
        <v>FDV</v>
      </c>
      <c r="E43" s="2">
        <f>INT(MOD(INT((GestionPersonnelRDJ[[#This Row],[Date]]-2)/7)+0.6,52+5/28))+1</f>
        <v>51</v>
      </c>
      <c r="F43" s="7">
        <v>2</v>
      </c>
      <c r="G43" s="8">
        <v>40899</v>
      </c>
      <c r="H43" s="5" t="str">
        <f t="shared" si="28"/>
        <v>jeudi</v>
      </c>
      <c r="I43" s="27">
        <f ca="1">SUMPRODUCT((groupe='Base de donnée'!C43)*(OFFSET(groupe,,1)='Base de donnée'!F43)*(OFFSET(groupe,,2)='Base de donnée'!H43)*(OFFSET(groupe,,3)))</f>
        <v>8.5</v>
      </c>
      <c r="J43" s="70">
        <f ca="1">SUMPRODUCT((groupe='Base de donnée'!C43)*(OFFSET(groupe,,1)='Base de donnée'!F43)*(OFFSET(groupe,,2)='Base de donnée'!H43)*(OFFSET(groupe,,6)))</f>
        <v>0</v>
      </c>
      <c r="K43" s="70">
        <f ca="1">SUMPRODUCT((groupe='Base de donnée'!C43)*(OFFSET(groupe,,1)='Base de donnée'!F43)*(OFFSET(groupe,,2)='Base de donnée'!H43)*(OFFSET(groupe,,7)))</f>
        <v>0</v>
      </c>
      <c r="L43" s="71">
        <f ca="1">SUMPRODUCT((groupe='Base de donnée'!C43)*(OFFSET(groupe,,1)='Base de donnée'!F43)*(OFFSET(groupe,,2)='Base de donnée'!H43)*(OFFSET(groupe,,8)))</f>
        <v>13.5</v>
      </c>
      <c r="M43" s="73">
        <v>21</v>
      </c>
      <c r="N43" s="27">
        <f t="shared" ca="1" si="22"/>
        <v>7.5</v>
      </c>
      <c r="O43" s="27">
        <f t="shared" ca="1" si="23"/>
        <v>7.5</v>
      </c>
      <c r="P43" s="49">
        <f t="shared" ca="1" si="29"/>
        <v>1</v>
      </c>
      <c r="Q43" s="49">
        <f t="shared" ca="1" si="30"/>
        <v>0</v>
      </c>
      <c r="R43" s="27"/>
      <c r="S43" s="27" t="str">
        <f t="shared" si="26"/>
        <v/>
      </c>
      <c r="T43" s="27"/>
      <c r="U43" s="27" t="str">
        <f t="shared" si="27"/>
        <v/>
      </c>
      <c r="V43" s="27" t="str">
        <f t="shared" si="4"/>
        <v/>
      </c>
      <c r="W43" s="27"/>
      <c r="X43" s="28">
        <f ca="1">IF(OR(Z43=1,AA43=1,AB43=1,AC43=1,AD43=1),0,(SUMPRODUCT((groupe='Base de donnée'!C43)*(OFFSET(groupe,,1)='Base de donnée'!F43)*(OFFSET(groupe,,2)='Base de donnée'!H43)*(OFFSET(groupe,,5)))))</f>
        <v>0</v>
      </c>
      <c r="Y43" s="28"/>
      <c r="Z43" s="7"/>
      <c r="AA43" s="7"/>
      <c r="AB43" s="7"/>
      <c r="AC43" s="7"/>
      <c r="AD43" s="7"/>
      <c r="AE43" s="7"/>
    </row>
    <row r="44" spans="1:31" s="30" customFormat="1" x14ac:dyDescent="0.25">
      <c r="A44" s="6" t="s">
        <v>162</v>
      </c>
      <c r="B44" s="26" t="str">
        <f>VLOOKUP(GestionPersonnelRDJ[[#This Row],[Nom Prénom]],Personnels!Personnels,2,0)</f>
        <v>AMP</v>
      </c>
      <c r="C44" s="21" t="str">
        <f>VLOOKUP(GestionPersonnelRDJ[[#This Row],[Nom Prénom]],Personnels!Personnels,3,0)</f>
        <v>Gas</v>
      </c>
      <c r="D44" s="21" t="str">
        <f>VLOOKUP(GestionPersonnelRDJ[[#This Row],[Nom Prénom]],Personnels!Personnels,4,0)</f>
        <v>FDV</v>
      </c>
      <c r="E44" s="2">
        <f>INT(MOD(INT((GestionPersonnelRDJ[[#This Row],[Date]]-2)/7)+0.6,52+5/28))+1</f>
        <v>51</v>
      </c>
      <c r="F44" s="7">
        <v>2</v>
      </c>
      <c r="G44" s="8">
        <v>40900</v>
      </c>
      <c r="H44" s="5" t="str">
        <f t="shared" si="28"/>
        <v>vendredi</v>
      </c>
      <c r="I44" s="27">
        <f ca="1">SUMPRODUCT((groupe='Base de donnée'!C44)*(OFFSET(groupe,,1)='Base de donnée'!F44)*(OFFSET(groupe,,2)='Base de donnée'!H44)*(OFFSET(groupe,,3)))</f>
        <v>8.5</v>
      </c>
      <c r="J44" s="73">
        <v>8</v>
      </c>
      <c r="K44" s="73">
        <v>12</v>
      </c>
      <c r="L44" s="73">
        <v>12</v>
      </c>
      <c r="M44" s="73">
        <v>15.5</v>
      </c>
      <c r="N44" s="27">
        <f t="shared" ca="1" si="22"/>
        <v>7.5</v>
      </c>
      <c r="O44" s="27">
        <f t="shared" ca="1" si="23"/>
        <v>7.5</v>
      </c>
      <c r="P44" s="49">
        <f t="shared" ca="1" si="29"/>
        <v>1</v>
      </c>
      <c r="Q44" s="49">
        <f t="shared" ca="1" si="30"/>
        <v>0</v>
      </c>
      <c r="R44" s="27"/>
      <c r="S44" s="27" t="str">
        <f t="shared" si="26"/>
        <v/>
      </c>
      <c r="T44" s="27"/>
      <c r="U44" s="27" t="str">
        <f t="shared" si="27"/>
        <v/>
      </c>
      <c r="V44" s="27" t="str">
        <f t="shared" si="4"/>
        <v/>
      </c>
      <c r="W44" s="27"/>
      <c r="X44" s="28">
        <f ca="1">IF(OR(Z44=1,AA44=1,AB44=1,AC44=1,AD44=1),0,(SUMPRODUCT((groupe='Base de donnée'!C44)*(OFFSET(groupe,,1)='Base de donnée'!F44)*(OFFSET(groupe,,2)='Base de donnée'!H44)*(OFFSET(groupe,,5)))))</f>
        <v>0</v>
      </c>
      <c r="Y44" s="28"/>
      <c r="Z44" s="7"/>
      <c r="AA44" s="7"/>
      <c r="AB44" s="7"/>
      <c r="AC44" s="7"/>
      <c r="AD44" s="7"/>
      <c r="AE44" s="7"/>
    </row>
    <row r="45" spans="1:31" s="30" customFormat="1" x14ac:dyDescent="0.25">
      <c r="A45" s="6" t="s">
        <v>162</v>
      </c>
      <c r="B45" s="26" t="str">
        <f>VLOOKUP(GestionPersonnelRDJ[[#This Row],[Nom Prénom]],Personnels!Personnels,2,0)</f>
        <v>AMP</v>
      </c>
      <c r="C45" s="21" t="str">
        <f>VLOOKUP(GestionPersonnelRDJ[[#This Row],[Nom Prénom]],Personnels!Personnels,3,0)</f>
        <v>Gas</v>
      </c>
      <c r="D45" s="21" t="str">
        <f>VLOOKUP(GestionPersonnelRDJ[[#This Row],[Nom Prénom]],Personnels!Personnels,4,0)</f>
        <v>FDV</v>
      </c>
      <c r="E45" s="2">
        <f>INT(MOD(INT((GestionPersonnelRDJ[[#This Row],[Date]]-2)/7)+0.6,52+5/28))+1</f>
        <v>51</v>
      </c>
      <c r="F45" s="7">
        <v>2</v>
      </c>
      <c r="G45" s="8">
        <v>40901</v>
      </c>
      <c r="H45" s="5" t="str">
        <f t="shared" si="28"/>
        <v>samedi</v>
      </c>
      <c r="I45" s="27">
        <f ca="1">SUMPRODUCT((groupe='Base de donnée'!C45)*(OFFSET(groupe,,1)='Base de donnée'!F45)*(OFFSET(groupe,,2)='Base de donnée'!H45)*(OFFSET(groupe,,3)))</f>
        <v>0</v>
      </c>
      <c r="J45" s="70">
        <f ca="1">SUMPRODUCT((groupe='Base de donnée'!C45)*(OFFSET(groupe,,1)='Base de donnée'!F45)*(OFFSET(groupe,,2)='Base de donnée'!H45)*(OFFSET(groupe,,6)))</f>
        <v>0</v>
      </c>
      <c r="K45" s="70">
        <f ca="1">SUMPRODUCT((groupe='Base de donnée'!C45)*(OFFSET(groupe,,1)='Base de donnée'!F45)*(OFFSET(groupe,,2)='Base de donnée'!H45)*(OFFSET(groupe,,7)))</f>
        <v>0</v>
      </c>
      <c r="L45" s="71">
        <f ca="1">SUMPRODUCT((groupe='Base de donnée'!C45)*(OFFSET(groupe,,1)='Base de donnée'!F45)*(OFFSET(groupe,,2)='Base de donnée'!H45)*(OFFSET(groupe,,8)))</f>
        <v>0</v>
      </c>
      <c r="M45" s="71">
        <f ca="1">SUMPRODUCT((groupe='Base de donnée'!C45)*(OFFSET(groupe,,1)='Base de donnée'!F45)*(OFFSET(groupe,,2)='Base de donnée'!H45)*(OFFSET(groupe,,9)))</f>
        <v>0</v>
      </c>
      <c r="N45" s="27">
        <f t="shared" ca="1" si="22"/>
        <v>0</v>
      </c>
      <c r="O45" s="27">
        <f t="shared" ca="1" si="23"/>
        <v>0</v>
      </c>
      <c r="P45" s="49">
        <f t="shared" ca="1" si="29"/>
        <v>0</v>
      </c>
      <c r="Q45" s="49">
        <f t="shared" ca="1" si="30"/>
        <v>0</v>
      </c>
      <c r="R45" s="27"/>
      <c r="S45" s="27" t="str">
        <f t="shared" si="26"/>
        <v/>
      </c>
      <c r="T45" s="27"/>
      <c r="U45" s="27" t="str">
        <f t="shared" si="27"/>
        <v/>
      </c>
      <c r="V45" s="27" t="str">
        <f t="shared" si="4"/>
        <v/>
      </c>
      <c r="W45" s="27"/>
      <c r="X45" s="28">
        <f ca="1">IF(OR(Z45=1,AA45=1,AB45=1,AC45=1,AD45=1),0,(SUMPRODUCT((groupe='Base de donnée'!C45)*(OFFSET(groupe,,1)='Base de donnée'!F45)*(OFFSET(groupe,,2)='Base de donnée'!H45)*(OFFSET(groupe,,5)))))</f>
        <v>0</v>
      </c>
      <c r="Y45" s="28"/>
      <c r="Z45" s="7"/>
      <c r="AA45" s="7"/>
      <c r="AB45" s="7"/>
      <c r="AC45" s="7"/>
      <c r="AD45" s="7"/>
      <c r="AE45" s="7"/>
    </row>
    <row r="46" spans="1:31" s="30" customFormat="1" x14ac:dyDescent="0.25">
      <c r="A46" s="6" t="s">
        <v>162</v>
      </c>
      <c r="B46" s="26" t="str">
        <f>VLOOKUP(GestionPersonnelRDJ[[#This Row],[Nom Prénom]],Personnels!Personnels,2,0)</f>
        <v>AMP</v>
      </c>
      <c r="C46" s="21" t="str">
        <f>VLOOKUP(GestionPersonnelRDJ[[#This Row],[Nom Prénom]],Personnels!Personnels,3,0)</f>
        <v>Gas</v>
      </c>
      <c r="D46" s="21" t="str">
        <f>VLOOKUP(GestionPersonnelRDJ[[#This Row],[Nom Prénom]],Personnels!Personnels,4,0)</f>
        <v>FDV</v>
      </c>
      <c r="E46" s="2">
        <f>INT(MOD(INT((GestionPersonnelRDJ[[#This Row],[Date]]-2)/7)+0.6,52+5/28))+1</f>
        <v>51</v>
      </c>
      <c r="F46" s="7">
        <v>2</v>
      </c>
      <c r="G46" s="8">
        <v>40902</v>
      </c>
      <c r="H46" s="5" t="str">
        <f t="shared" si="28"/>
        <v>dimanche</v>
      </c>
      <c r="I46" s="27">
        <f ca="1">SUMPRODUCT((groupe='Base de donnée'!C46)*(OFFSET(groupe,,1)='Base de donnée'!F46)*(OFFSET(groupe,,2)='Base de donnée'!H46)*(OFFSET(groupe,,3)))</f>
        <v>0</v>
      </c>
      <c r="J46" s="70">
        <f ca="1">SUMPRODUCT((groupe='Base de donnée'!C46)*(OFFSET(groupe,,1)='Base de donnée'!F46)*(OFFSET(groupe,,2)='Base de donnée'!H46)*(OFFSET(groupe,,6)))</f>
        <v>0</v>
      </c>
      <c r="K46" s="70">
        <f ca="1">SUMPRODUCT((groupe='Base de donnée'!C46)*(OFFSET(groupe,,1)='Base de donnée'!F46)*(OFFSET(groupe,,2)='Base de donnée'!H46)*(OFFSET(groupe,,7)))</f>
        <v>0</v>
      </c>
      <c r="L46" s="71">
        <f ca="1">SUMPRODUCT((groupe='Base de donnée'!C46)*(OFFSET(groupe,,1)='Base de donnée'!F46)*(OFFSET(groupe,,2)='Base de donnée'!H46)*(OFFSET(groupe,,8)))</f>
        <v>0</v>
      </c>
      <c r="M46" s="71">
        <f ca="1">SUMPRODUCT((groupe='Base de donnée'!C46)*(OFFSET(groupe,,1)='Base de donnée'!F46)*(OFFSET(groupe,,2)='Base de donnée'!H46)*(OFFSET(groupe,,9)))</f>
        <v>0</v>
      </c>
      <c r="N46" s="27">
        <f t="shared" ca="1" si="22"/>
        <v>0</v>
      </c>
      <c r="O46" s="27">
        <f t="shared" ca="1" si="23"/>
        <v>0</v>
      </c>
      <c r="P46" s="49">
        <f t="shared" ca="1" si="29"/>
        <v>0</v>
      </c>
      <c r="Q46" s="49">
        <f t="shared" ca="1" si="30"/>
        <v>0</v>
      </c>
      <c r="R46" s="27"/>
      <c r="S46" s="27">
        <f t="shared" ca="1" si="26"/>
        <v>0</v>
      </c>
      <c r="T46" s="27"/>
      <c r="U46" s="27">
        <f t="shared" ca="1" si="27"/>
        <v>0</v>
      </c>
      <c r="V46" s="27">
        <f t="shared" ca="1" si="4"/>
        <v>0</v>
      </c>
      <c r="W46" s="27"/>
      <c r="X46" s="28">
        <f ca="1">IF(OR(Z46=1,AA46=1,AB46=1,AC46=1,AD46=1),0,(SUMPRODUCT((groupe='Base de donnée'!C46)*(OFFSET(groupe,,1)='Base de donnée'!F46)*(OFFSET(groupe,,2)='Base de donnée'!H46)*(OFFSET(groupe,,5)))))</f>
        <v>0</v>
      </c>
      <c r="Y46" s="28"/>
      <c r="Z46" s="7"/>
      <c r="AA46" s="7"/>
      <c r="AB46" s="7"/>
      <c r="AC46" s="7"/>
      <c r="AD46" s="7"/>
      <c r="AE46" s="7"/>
    </row>
    <row r="47" spans="1:31" s="30" customFormat="1" x14ac:dyDescent="0.25">
      <c r="A47" s="6" t="s">
        <v>176</v>
      </c>
      <c r="B47" s="26" t="str">
        <f>VLOOKUP(GestionPersonnelRDJ[[#This Row],[Nom Prénom]],Personnels!Personnels,2,0)</f>
        <v>AMP</v>
      </c>
      <c r="C47" s="21" t="str">
        <f>VLOOKUP(GestionPersonnelRDJ[[#This Row],[Nom Prénom]],Personnels!Personnels,3,0)</f>
        <v>GA</v>
      </c>
      <c r="D47" s="21" t="str">
        <f>VLOOKUP(GestionPersonnelRDJ[[#This Row],[Nom Prénom]],Personnels!Personnels,4,0)</f>
        <v>FDV</v>
      </c>
      <c r="E47" s="2">
        <f>INT(MOD(INT((GestionPersonnelRDJ[[#This Row],[Date]]-2)/7)+0.6,52+5/28))+1</f>
        <v>51</v>
      </c>
      <c r="F47" s="7">
        <v>1</v>
      </c>
      <c r="G47" s="8">
        <v>40896</v>
      </c>
      <c r="H47" s="5" t="str">
        <f t="shared" ref="H47:H53" si="31">TEXT(WEEKDAY(G47),"jjjj")</f>
        <v>lundi</v>
      </c>
      <c r="I47" s="27">
        <f ca="1">SUMPRODUCT((groupe='Base de donnée'!C47)*(OFFSET(groupe,,1)='Base de donnée'!F47)*(OFFSET(groupe,,2)='Base de donnée'!H47)*(OFFSET(groupe,,3)))</f>
        <v>7</v>
      </c>
      <c r="J47" s="70">
        <f ca="1">SUMPRODUCT((groupe='Base de donnée'!C47)*(OFFSET(groupe,,1)='Base de donnée'!F47)*(OFFSET(groupe,,2)='Base de donnée'!H47)*(OFFSET(groupe,,6)))</f>
        <v>9</v>
      </c>
      <c r="K47" s="70">
        <f ca="1">SUMPRODUCT((groupe='Base de donnée'!C47)*(OFFSET(groupe,,1)='Base de donnée'!F47)*(OFFSET(groupe,,2)='Base de donnée'!H47)*(OFFSET(groupe,,7)))</f>
        <v>12</v>
      </c>
      <c r="L47" s="71">
        <f ca="1">SUMPRODUCT((groupe='Base de donnée'!C47)*(OFFSET(groupe,,1)='Base de donnée'!F47)*(OFFSET(groupe,,2)='Base de donnée'!H47)*(OFFSET(groupe,,8)))</f>
        <v>12</v>
      </c>
      <c r="M47" s="71">
        <f ca="1">SUMPRODUCT((groupe='Base de donnée'!C47)*(OFFSET(groupe,,1)='Base de donnée'!F47)*(OFFSET(groupe,,2)='Base de donnée'!H47)*(OFFSET(groupe,,9)))</f>
        <v>16</v>
      </c>
      <c r="N47" s="27">
        <f t="shared" ca="1" si="22"/>
        <v>7</v>
      </c>
      <c r="O47" s="27">
        <f t="shared" ca="1" si="23"/>
        <v>7</v>
      </c>
      <c r="P47" s="49">
        <f t="shared" ref="P47:P53" ca="1" si="32">IF(I47-O47-(W47+X47)&lt;=0,0,I47-O47-(W47+X47))</f>
        <v>0</v>
      </c>
      <c r="Q47" s="49">
        <f t="shared" ref="Q47:Q53" ca="1" si="33">IF(O47-I47-(W47+X47)&lt;=0,0,O47-I47-(W47+X47))</f>
        <v>0</v>
      </c>
      <c r="R47" s="27"/>
      <c r="S47" s="27" t="str">
        <f t="shared" si="26"/>
        <v/>
      </c>
      <c r="T47" s="27"/>
      <c r="U47" s="27" t="str">
        <f t="shared" si="27"/>
        <v/>
      </c>
      <c r="V47" s="27" t="str">
        <f t="shared" si="4"/>
        <v/>
      </c>
      <c r="W47" s="27"/>
      <c r="X47" s="28">
        <f ca="1">IF(OR(Z47=1,AA47=1,AB47=1,AC47=1,AD47=1),0,(SUMPRODUCT((groupe='Base de donnée'!C47)*(OFFSET(groupe,,1)='Base de donnée'!F47)*(OFFSET(groupe,,2)='Base de donnée'!H47)*(OFFSET(groupe,,5)))))</f>
        <v>0</v>
      </c>
      <c r="Y47" s="28"/>
      <c r="Z47" s="7"/>
      <c r="AA47" s="7"/>
      <c r="AB47" s="7"/>
      <c r="AC47" s="7"/>
      <c r="AD47" s="7"/>
      <c r="AE47" s="7"/>
    </row>
    <row r="48" spans="1:31" s="30" customFormat="1" x14ac:dyDescent="0.25">
      <c r="A48" s="6" t="s">
        <v>176</v>
      </c>
      <c r="B48" s="26" t="str">
        <f>VLOOKUP(GestionPersonnelRDJ[[#This Row],[Nom Prénom]],Personnels!Personnels,2,0)</f>
        <v>AMP</v>
      </c>
      <c r="C48" s="21" t="str">
        <f>VLOOKUP(GestionPersonnelRDJ[[#This Row],[Nom Prénom]],Personnels!Personnels,3,0)</f>
        <v>GA</v>
      </c>
      <c r="D48" s="21" t="str">
        <f>VLOOKUP(GestionPersonnelRDJ[[#This Row],[Nom Prénom]],Personnels!Personnels,4,0)</f>
        <v>FDV</v>
      </c>
      <c r="E48" s="2">
        <f>INT(MOD(INT((GestionPersonnelRDJ[[#This Row],[Date]]-2)/7)+0.6,52+5/28))+1</f>
        <v>51</v>
      </c>
      <c r="F48" s="7">
        <v>1</v>
      </c>
      <c r="G48" s="8">
        <v>40897</v>
      </c>
      <c r="H48" s="5" t="str">
        <f t="shared" si="31"/>
        <v>mardi</v>
      </c>
      <c r="I48" s="27">
        <f ca="1">SUMPRODUCT((groupe='Base de donnée'!C48)*(OFFSET(groupe,,1)='Base de donnée'!F48)*(OFFSET(groupe,,2)='Base de donnée'!H48)*(OFFSET(groupe,,3)))</f>
        <v>10</v>
      </c>
      <c r="J48" s="70">
        <f ca="1">SUMPRODUCT((groupe='Base de donnée'!C48)*(OFFSET(groupe,,1)='Base de donnée'!F48)*(OFFSET(groupe,,2)='Base de donnée'!H48)*(OFFSET(groupe,,6)))</f>
        <v>7</v>
      </c>
      <c r="K48" s="70">
        <f ca="1">SUMPRODUCT((groupe='Base de donnée'!C48)*(OFFSET(groupe,,1)='Base de donnée'!F48)*(OFFSET(groupe,,2)='Base de donnée'!H48)*(OFFSET(groupe,,7)))</f>
        <v>12</v>
      </c>
      <c r="L48" s="71">
        <f ca="1">SUMPRODUCT((groupe='Base de donnée'!C48)*(OFFSET(groupe,,1)='Base de donnée'!F48)*(OFFSET(groupe,,2)='Base de donnée'!H48)*(OFFSET(groupe,,8)))</f>
        <v>12</v>
      </c>
      <c r="M48" s="71">
        <f ca="1">SUMPRODUCT((groupe='Base de donnée'!C48)*(OFFSET(groupe,,1)='Base de donnée'!F48)*(OFFSET(groupe,,2)='Base de donnée'!H48)*(OFFSET(groupe,,9)))</f>
        <v>17</v>
      </c>
      <c r="N48" s="27">
        <f t="shared" ca="1" si="22"/>
        <v>10</v>
      </c>
      <c r="O48" s="27">
        <f t="shared" ca="1" si="23"/>
        <v>10</v>
      </c>
      <c r="P48" s="49">
        <f t="shared" ca="1" si="32"/>
        <v>0</v>
      </c>
      <c r="Q48" s="49">
        <f t="shared" ca="1" si="33"/>
        <v>0</v>
      </c>
      <c r="R48" s="27"/>
      <c r="S48" s="27" t="str">
        <f t="shared" si="26"/>
        <v/>
      </c>
      <c r="T48" s="27"/>
      <c r="U48" s="27" t="str">
        <f t="shared" si="27"/>
        <v/>
      </c>
      <c r="V48" s="27" t="str">
        <f t="shared" si="4"/>
        <v/>
      </c>
      <c r="W48" s="27"/>
      <c r="X48" s="28">
        <f ca="1">IF(OR(Z48=1,AA48=1,AB48=1,AC48=1,AD48=1),0,(SUMPRODUCT((groupe='Base de donnée'!C48)*(OFFSET(groupe,,1)='Base de donnée'!F48)*(OFFSET(groupe,,2)='Base de donnée'!H48)*(OFFSET(groupe,,5)))))</f>
        <v>0</v>
      </c>
      <c r="Y48" s="28"/>
      <c r="Z48" s="7"/>
      <c r="AA48" s="7"/>
      <c r="AB48" s="7"/>
      <c r="AC48" s="7"/>
      <c r="AD48" s="7"/>
      <c r="AE48" s="7"/>
    </row>
    <row r="49" spans="1:31" s="30" customFormat="1" x14ac:dyDescent="0.25">
      <c r="A49" s="6" t="s">
        <v>176</v>
      </c>
      <c r="B49" s="26" t="str">
        <f>VLOOKUP(GestionPersonnelRDJ[[#This Row],[Nom Prénom]],Personnels!Personnels,2,0)</f>
        <v>AMP</v>
      </c>
      <c r="C49" s="21" t="str">
        <f>VLOOKUP(GestionPersonnelRDJ[[#This Row],[Nom Prénom]],Personnels!Personnels,3,0)</f>
        <v>GA</v>
      </c>
      <c r="D49" s="21" t="str">
        <f>VLOOKUP(GestionPersonnelRDJ[[#This Row],[Nom Prénom]],Personnels!Personnels,4,0)</f>
        <v>FDV</v>
      </c>
      <c r="E49" s="2">
        <f>INT(MOD(INT((GestionPersonnelRDJ[[#This Row],[Date]]-2)/7)+0.6,52+5/28))+1</f>
        <v>51</v>
      </c>
      <c r="F49" s="7">
        <v>1</v>
      </c>
      <c r="G49" s="8">
        <v>40898</v>
      </c>
      <c r="H49" s="5" t="str">
        <f t="shared" si="31"/>
        <v>mercredi</v>
      </c>
      <c r="I49" s="27">
        <f ca="1">SUMPRODUCT((groupe='Base de donnée'!C49)*(OFFSET(groupe,,1)='Base de donnée'!F49)*(OFFSET(groupe,,2)='Base de donnée'!H49)*(OFFSET(groupe,,3)))</f>
        <v>0</v>
      </c>
      <c r="J49" s="70">
        <f ca="1">SUMPRODUCT((groupe='Base de donnée'!C49)*(OFFSET(groupe,,1)='Base de donnée'!F49)*(OFFSET(groupe,,2)='Base de donnée'!H49)*(OFFSET(groupe,,6)))</f>
        <v>0</v>
      </c>
      <c r="K49" s="70">
        <f ca="1">SUMPRODUCT((groupe='Base de donnée'!C49)*(OFFSET(groupe,,1)='Base de donnée'!F49)*(OFFSET(groupe,,2)='Base de donnée'!H49)*(OFFSET(groupe,,7)))</f>
        <v>0</v>
      </c>
      <c r="L49" s="71">
        <f ca="1">SUMPRODUCT((groupe='Base de donnée'!C49)*(OFFSET(groupe,,1)='Base de donnée'!F49)*(OFFSET(groupe,,2)='Base de donnée'!H49)*(OFFSET(groupe,,8)))</f>
        <v>0</v>
      </c>
      <c r="M49" s="71">
        <f ca="1">SUMPRODUCT((groupe='Base de donnée'!C49)*(OFFSET(groupe,,1)='Base de donnée'!F49)*(OFFSET(groupe,,2)='Base de donnée'!H49)*(OFFSET(groupe,,9)))</f>
        <v>0</v>
      </c>
      <c r="N49" s="27">
        <f t="shared" ca="1" si="22"/>
        <v>0</v>
      </c>
      <c r="O49" s="27">
        <f t="shared" ca="1" si="23"/>
        <v>0</v>
      </c>
      <c r="P49" s="49">
        <f t="shared" ca="1" si="32"/>
        <v>0</v>
      </c>
      <c r="Q49" s="49">
        <f t="shared" ca="1" si="33"/>
        <v>0</v>
      </c>
      <c r="R49" s="27"/>
      <c r="S49" s="27" t="str">
        <f t="shared" si="26"/>
        <v/>
      </c>
      <c r="T49" s="27"/>
      <c r="U49" s="27" t="str">
        <f t="shared" si="27"/>
        <v/>
      </c>
      <c r="V49" s="27" t="str">
        <f t="shared" si="4"/>
        <v/>
      </c>
      <c r="W49" s="27"/>
      <c r="X49" s="28">
        <f ca="1">IF(OR(Z49=1,AA49=1,AB49=1,AC49=1,AD49=1),0,(SUMPRODUCT((groupe='Base de donnée'!C49)*(OFFSET(groupe,,1)='Base de donnée'!F49)*(OFFSET(groupe,,2)='Base de donnée'!H49)*(OFFSET(groupe,,5)))))</f>
        <v>0</v>
      </c>
      <c r="Y49" s="28"/>
      <c r="Z49" s="7"/>
      <c r="AA49" s="7"/>
      <c r="AB49" s="7"/>
      <c r="AC49" s="7"/>
      <c r="AD49" s="7"/>
      <c r="AE49" s="7"/>
    </row>
    <row r="50" spans="1:31" s="30" customFormat="1" x14ac:dyDescent="0.25">
      <c r="A50" s="6" t="s">
        <v>176</v>
      </c>
      <c r="B50" s="26" t="str">
        <f>VLOOKUP(GestionPersonnelRDJ[[#This Row],[Nom Prénom]],Personnels!Personnels,2,0)</f>
        <v>AMP</v>
      </c>
      <c r="C50" s="21" t="str">
        <f>VLOOKUP(GestionPersonnelRDJ[[#This Row],[Nom Prénom]],Personnels!Personnels,3,0)</f>
        <v>GA</v>
      </c>
      <c r="D50" s="21" t="str">
        <f>VLOOKUP(GestionPersonnelRDJ[[#This Row],[Nom Prénom]],Personnels!Personnels,4,0)</f>
        <v>FDV</v>
      </c>
      <c r="E50" s="2">
        <f>INT(MOD(INT((GestionPersonnelRDJ[[#This Row],[Date]]-2)/7)+0.6,52+5/28))+1</f>
        <v>51</v>
      </c>
      <c r="F50" s="7">
        <v>1</v>
      </c>
      <c r="G50" s="8">
        <v>40899</v>
      </c>
      <c r="H50" s="5" t="str">
        <f t="shared" si="31"/>
        <v>jeudi</v>
      </c>
      <c r="I50" s="27">
        <f ca="1">SUMPRODUCT((groupe='Base de donnée'!C50)*(OFFSET(groupe,,1)='Base de donnée'!F50)*(OFFSET(groupe,,2)='Base de donnée'!H50)*(OFFSET(groupe,,3)))</f>
        <v>0</v>
      </c>
      <c r="J50" s="70">
        <f ca="1">SUMPRODUCT((groupe='Base de donnée'!C50)*(OFFSET(groupe,,1)='Base de donnée'!F50)*(OFFSET(groupe,,2)='Base de donnée'!H50)*(OFFSET(groupe,,6)))</f>
        <v>0</v>
      </c>
      <c r="K50" s="70">
        <f ca="1">SUMPRODUCT((groupe='Base de donnée'!C50)*(OFFSET(groupe,,1)='Base de donnée'!F50)*(OFFSET(groupe,,2)='Base de donnée'!H50)*(OFFSET(groupe,,7)))</f>
        <v>0</v>
      </c>
      <c r="L50" s="71">
        <f ca="1">SUMPRODUCT((groupe='Base de donnée'!C50)*(OFFSET(groupe,,1)='Base de donnée'!F50)*(OFFSET(groupe,,2)='Base de donnée'!H50)*(OFFSET(groupe,,8)))</f>
        <v>0</v>
      </c>
      <c r="M50" s="71">
        <f ca="1">SUMPRODUCT((groupe='Base de donnée'!C50)*(OFFSET(groupe,,1)='Base de donnée'!F50)*(OFFSET(groupe,,2)='Base de donnée'!H50)*(OFFSET(groupe,,9)))</f>
        <v>0</v>
      </c>
      <c r="N50" s="27">
        <f t="shared" ca="1" si="22"/>
        <v>0</v>
      </c>
      <c r="O50" s="27">
        <f t="shared" ca="1" si="23"/>
        <v>0</v>
      </c>
      <c r="P50" s="49">
        <f t="shared" ca="1" si="32"/>
        <v>0</v>
      </c>
      <c r="Q50" s="49">
        <f t="shared" ca="1" si="33"/>
        <v>0</v>
      </c>
      <c r="R50" s="27"/>
      <c r="S50" s="27" t="str">
        <f t="shared" si="26"/>
        <v/>
      </c>
      <c r="T50" s="27"/>
      <c r="U50" s="27" t="str">
        <f t="shared" si="27"/>
        <v/>
      </c>
      <c r="V50" s="27" t="str">
        <f t="shared" si="4"/>
        <v/>
      </c>
      <c r="W50" s="27"/>
      <c r="X50" s="28">
        <f ca="1">IF(OR(Z50=1,AA50=1,AB50=1,AC50=1,AD50=1),0,(SUMPRODUCT((groupe='Base de donnée'!C50)*(OFFSET(groupe,,1)='Base de donnée'!F50)*(OFFSET(groupe,,2)='Base de donnée'!H50)*(OFFSET(groupe,,5)))))</f>
        <v>0</v>
      </c>
      <c r="Y50" s="28"/>
      <c r="Z50" s="7"/>
      <c r="AA50" s="7"/>
      <c r="AB50" s="7"/>
      <c r="AC50" s="7"/>
      <c r="AD50" s="7"/>
      <c r="AE50" s="7"/>
    </row>
    <row r="51" spans="1:31" s="30" customFormat="1" x14ac:dyDescent="0.25">
      <c r="A51" s="6" t="s">
        <v>176</v>
      </c>
      <c r="B51" s="26" t="str">
        <f>VLOOKUP(GestionPersonnelRDJ[[#This Row],[Nom Prénom]],Personnels!Personnels,2,0)</f>
        <v>AMP</v>
      </c>
      <c r="C51" s="21" t="str">
        <f>VLOOKUP(GestionPersonnelRDJ[[#This Row],[Nom Prénom]],Personnels!Personnels,3,0)</f>
        <v>GA</v>
      </c>
      <c r="D51" s="21" t="str">
        <f>VLOOKUP(GestionPersonnelRDJ[[#This Row],[Nom Prénom]],Personnels!Personnels,4,0)</f>
        <v>FDV</v>
      </c>
      <c r="E51" s="2">
        <f>INT(MOD(INT((GestionPersonnelRDJ[[#This Row],[Date]]-2)/7)+0.6,52+5/28))+1</f>
        <v>51</v>
      </c>
      <c r="F51" s="7">
        <v>1</v>
      </c>
      <c r="G51" s="8">
        <v>40900</v>
      </c>
      <c r="H51" s="5" t="str">
        <f t="shared" si="31"/>
        <v>vendredi</v>
      </c>
      <c r="I51" s="27">
        <f ca="1">SUMPRODUCT((groupe='Base de donnée'!C51)*(OFFSET(groupe,,1)='Base de donnée'!F51)*(OFFSET(groupe,,2)='Base de donnée'!H51)*(OFFSET(groupe,,3)))</f>
        <v>0</v>
      </c>
      <c r="J51" s="70">
        <f ca="1">SUMPRODUCT((groupe='Base de donnée'!C51)*(OFFSET(groupe,,1)='Base de donnée'!F51)*(OFFSET(groupe,,2)='Base de donnée'!H51)*(OFFSET(groupe,,6)))</f>
        <v>0</v>
      </c>
      <c r="K51" s="70">
        <f ca="1">SUMPRODUCT((groupe='Base de donnée'!C51)*(OFFSET(groupe,,1)='Base de donnée'!F51)*(OFFSET(groupe,,2)='Base de donnée'!H51)*(OFFSET(groupe,,7)))</f>
        <v>0</v>
      </c>
      <c r="L51" s="71">
        <f ca="1">SUMPRODUCT((groupe='Base de donnée'!C51)*(OFFSET(groupe,,1)='Base de donnée'!F51)*(OFFSET(groupe,,2)='Base de donnée'!H51)*(OFFSET(groupe,,8)))</f>
        <v>0</v>
      </c>
      <c r="M51" s="71">
        <f ca="1">SUMPRODUCT((groupe='Base de donnée'!C51)*(OFFSET(groupe,,1)='Base de donnée'!F51)*(OFFSET(groupe,,2)='Base de donnée'!H51)*(OFFSET(groupe,,9)))</f>
        <v>0</v>
      </c>
      <c r="N51" s="27">
        <f t="shared" ca="1" si="22"/>
        <v>0</v>
      </c>
      <c r="O51" s="27">
        <f t="shared" ca="1" si="23"/>
        <v>0</v>
      </c>
      <c r="P51" s="49">
        <f t="shared" ca="1" si="32"/>
        <v>0</v>
      </c>
      <c r="Q51" s="49">
        <f t="shared" ca="1" si="33"/>
        <v>0</v>
      </c>
      <c r="R51" s="27"/>
      <c r="S51" s="27" t="str">
        <f t="shared" si="26"/>
        <v/>
      </c>
      <c r="T51" s="27"/>
      <c r="U51" s="27" t="str">
        <f t="shared" si="27"/>
        <v/>
      </c>
      <c r="V51" s="27" t="str">
        <f t="shared" si="4"/>
        <v/>
      </c>
      <c r="W51" s="27"/>
      <c r="X51" s="28">
        <f ca="1">IF(OR(Z51=1,AA51=1,AB51=1,AC51=1,AD51=1),0,(SUMPRODUCT((groupe='Base de donnée'!C51)*(OFFSET(groupe,,1)='Base de donnée'!F51)*(OFFSET(groupe,,2)='Base de donnée'!H51)*(OFFSET(groupe,,5)))))</f>
        <v>0</v>
      </c>
      <c r="Y51" s="28"/>
      <c r="Z51" s="7"/>
      <c r="AA51" s="7"/>
      <c r="AB51" s="7"/>
      <c r="AC51" s="7"/>
      <c r="AD51" s="7"/>
      <c r="AE51" s="7"/>
    </row>
    <row r="52" spans="1:31" s="30" customFormat="1" x14ac:dyDescent="0.25">
      <c r="A52" s="6" t="s">
        <v>176</v>
      </c>
      <c r="B52" s="26" t="str">
        <f>VLOOKUP(GestionPersonnelRDJ[[#This Row],[Nom Prénom]],Personnels!Personnels,2,0)</f>
        <v>AMP</v>
      </c>
      <c r="C52" s="21" t="str">
        <f>VLOOKUP(GestionPersonnelRDJ[[#This Row],[Nom Prénom]],Personnels!Personnels,3,0)</f>
        <v>GA</v>
      </c>
      <c r="D52" s="21" t="str">
        <f>VLOOKUP(GestionPersonnelRDJ[[#This Row],[Nom Prénom]],Personnels!Personnels,4,0)</f>
        <v>FDV</v>
      </c>
      <c r="E52" s="2">
        <f>INT(MOD(INT((GestionPersonnelRDJ[[#This Row],[Date]]-2)/7)+0.6,52+5/28))+1</f>
        <v>51</v>
      </c>
      <c r="F52" s="7">
        <v>1</v>
      </c>
      <c r="G52" s="8">
        <v>40901</v>
      </c>
      <c r="H52" s="5" t="str">
        <f t="shared" si="31"/>
        <v>samedi</v>
      </c>
      <c r="I52" s="27">
        <f ca="1">SUMPRODUCT((groupe='Base de donnée'!C52)*(OFFSET(groupe,,1)='Base de donnée'!F52)*(OFFSET(groupe,,2)='Base de donnée'!H52)*(OFFSET(groupe,,3)))</f>
        <v>12</v>
      </c>
      <c r="J52" s="70"/>
      <c r="K52" s="70"/>
      <c r="L52" s="71"/>
      <c r="M52" s="71"/>
      <c r="N52" s="27">
        <f t="shared" ca="1" si="22"/>
        <v>0</v>
      </c>
      <c r="O52" s="27">
        <f t="shared" ca="1" si="23"/>
        <v>0</v>
      </c>
      <c r="P52" s="49">
        <f t="shared" ca="1" si="32"/>
        <v>12</v>
      </c>
      <c r="Q52" s="49">
        <f t="shared" ca="1" si="33"/>
        <v>0</v>
      </c>
      <c r="R52" s="27"/>
      <c r="S52" s="27" t="str">
        <f t="shared" si="26"/>
        <v/>
      </c>
      <c r="T52" s="27"/>
      <c r="U52" s="27" t="str">
        <f t="shared" si="27"/>
        <v/>
      </c>
      <c r="V52" s="27" t="str">
        <f t="shared" si="4"/>
        <v/>
      </c>
      <c r="W52" s="27"/>
      <c r="X52" s="28">
        <f ca="1">IF(OR(Z52=1,AA52=1,AB52=1,AC52=1,AD52=1),0,(SUMPRODUCT((groupe='Base de donnée'!C52)*(OFFSET(groupe,,1)='Base de donnée'!F52)*(OFFSET(groupe,,2)='Base de donnée'!H52)*(OFFSET(groupe,,5)))))</f>
        <v>0</v>
      </c>
      <c r="Y52" s="28"/>
      <c r="Z52" s="7"/>
      <c r="AA52" s="7"/>
      <c r="AB52" s="7"/>
      <c r="AC52" s="7"/>
      <c r="AD52" s="7"/>
      <c r="AE52" s="7"/>
    </row>
    <row r="53" spans="1:31" s="30" customFormat="1" x14ac:dyDescent="0.25">
      <c r="A53" s="6" t="s">
        <v>176</v>
      </c>
      <c r="B53" s="26" t="str">
        <f>VLOOKUP(GestionPersonnelRDJ[[#This Row],[Nom Prénom]],Personnels!Personnels,2,0)</f>
        <v>AMP</v>
      </c>
      <c r="C53" s="21" t="str">
        <f>VLOOKUP(GestionPersonnelRDJ[[#This Row],[Nom Prénom]],Personnels!Personnels,3,0)</f>
        <v>GA</v>
      </c>
      <c r="D53" s="21" t="str">
        <f>VLOOKUP(GestionPersonnelRDJ[[#This Row],[Nom Prénom]],Personnels!Personnels,4,0)</f>
        <v>FDV</v>
      </c>
      <c r="E53" s="2">
        <f>INT(MOD(INT((GestionPersonnelRDJ[[#This Row],[Date]]-2)/7)+0.6,52+5/28))+1</f>
        <v>51</v>
      </c>
      <c r="F53" s="7">
        <v>1</v>
      </c>
      <c r="G53" s="8">
        <v>40902</v>
      </c>
      <c r="H53" s="5" t="str">
        <f t="shared" si="31"/>
        <v>dimanche</v>
      </c>
      <c r="I53" s="27">
        <f ca="1">SUMPRODUCT((groupe='Base de donnée'!C53)*(OFFSET(groupe,,1)='Base de donnée'!F53)*(OFFSET(groupe,,2)='Base de donnée'!H53)*(OFFSET(groupe,,3)))</f>
        <v>12</v>
      </c>
      <c r="J53" s="70">
        <f ca="1">SUMPRODUCT((groupe='Base de donnée'!C53)*(OFFSET(groupe,,1)='Base de donnée'!F53)*(OFFSET(groupe,,2)='Base de donnée'!H53)*(OFFSET(groupe,,6)))</f>
        <v>9</v>
      </c>
      <c r="K53" s="70">
        <f ca="1">SUMPRODUCT((groupe='Base de donnée'!C53)*(OFFSET(groupe,,1)='Base de donnée'!F53)*(OFFSET(groupe,,2)='Base de donnée'!H53)*(OFFSET(groupe,,7)))</f>
        <v>12</v>
      </c>
      <c r="L53" s="71">
        <f ca="1">SUMPRODUCT((groupe='Base de donnée'!C53)*(OFFSET(groupe,,1)='Base de donnée'!F53)*(OFFSET(groupe,,2)='Base de donnée'!H53)*(OFFSET(groupe,,8)))</f>
        <v>12</v>
      </c>
      <c r="M53" s="71">
        <f ca="1">SUMPRODUCT((groupe='Base de donnée'!C53)*(OFFSET(groupe,,1)='Base de donnée'!F53)*(OFFSET(groupe,,2)='Base de donnée'!H53)*(OFFSET(groupe,,9)))</f>
        <v>21</v>
      </c>
      <c r="N53" s="27">
        <v>0</v>
      </c>
      <c r="O53" s="27">
        <v>12</v>
      </c>
      <c r="P53" s="49">
        <f t="shared" ca="1" si="32"/>
        <v>0</v>
      </c>
      <c r="Q53" s="49">
        <f t="shared" ca="1" si="33"/>
        <v>0</v>
      </c>
      <c r="R53" s="27"/>
      <c r="S53" s="27">
        <f t="shared" si="26"/>
        <v>0</v>
      </c>
      <c r="T53" s="27"/>
      <c r="U53" s="27">
        <f t="shared" si="27"/>
        <v>0</v>
      </c>
      <c r="V53" s="27">
        <f t="shared" si="4"/>
        <v>0</v>
      </c>
      <c r="W53" s="27"/>
      <c r="X53" s="28">
        <f ca="1">IF(OR(Z53=1,AA53=1,AB53=1,AC53=1,AD53=1),0,(SUMPRODUCT((groupe='Base de donnée'!C53)*(OFFSET(groupe,,1)='Base de donnée'!F53)*(OFFSET(groupe,,2)='Base de donnée'!H53)*(OFFSET(groupe,,5)))))</f>
        <v>0</v>
      </c>
      <c r="Y53" s="28"/>
      <c r="Z53" s="7"/>
      <c r="AA53" s="7"/>
      <c r="AB53" s="7"/>
      <c r="AC53" s="7"/>
      <c r="AD53" s="7"/>
      <c r="AE53" s="7"/>
    </row>
    <row r="54" spans="1:31" s="30" customFormat="1" x14ac:dyDescent="0.25">
      <c r="A54" s="6" t="s">
        <v>103</v>
      </c>
      <c r="B54" s="26" t="str">
        <f>VLOOKUP(GestionPersonnelRDJ[[#This Row],[Nom Prénom]],Personnels!Personnels,2,0)</f>
        <v>AMP</v>
      </c>
      <c r="C54" s="21" t="str">
        <f>VLOOKUP(GestionPersonnelRDJ[[#This Row],[Nom Prénom]],Personnels!Personnels,3,0)</f>
        <v>GA</v>
      </c>
      <c r="D54" s="21" t="str">
        <f>VLOOKUP(GestionPersonnelRDJ[[#This Row],[Nom Prénom]],Personnels!Personnels,4,0)</f>
        <v>FDV</v>
      </c>
      <c r="E54" s="2">
        <f>INT(MOD(INT((GestionPersonnelRDJ[[#This Row],[Date]]-2)/7)+0.6,52+5/28))+1</f>
        <v>51</v>
      </c>
      <c r="F54" s="7">
        <v>4</v>
      </c>
      <c r="G54" s="8">
        <v>40896</v>
      </c>
      <c r="H54" s="5" t="str">
        <f t="shared" ref="H54:H60" si="34">TEXT(WEEKDAY(G54),"jjjj")</f>
        <v>lundi</v>
      </c>
      <c r="I54" s="27">
        <f ca="1">SUMPRODUCT((groupe='Base de donnée'!C54)*(OFFSET(groupe,,1)='Base de donnée'!F54)*(OFFSET(groupe,,2)='Base de donnée'!H54)*(OFFSET(groupe,,3)))</f>
        <v>9</v>
      </c>
      <c r="J54" s="70">
        <f ca="1">SUMPRODUCT((groupe='Base de donnée'!C54)*(OFFSET(groupe,,1)='Base de donnée'!F54)*(OFFSET(groupe,,2)='Base de donnée'!H54)*(OFFSET(groupe,,6)))</f>
        <v>7</v>
      </c>
      <c r="K54" s="70">
        <f ca="1">SUMPRODUCT((groupe='Base de donnée'!C54)*(OFFSET(groupe,,1)='Base de donnée'!F54)*(OFFSET(groupe,,2)='Base de donnée'!H54)*(OFFSET(groupe,,7)))</f>
        <v>12</v>
      </c>
      <c r="L54" s="71">
        <f ca="1">SUMPRODUCT((groupe='Base de donnée'!C54)*(OFFSET(groupe,,1)='Base de donnée'!F54)*(OFFSET(groupe,,2)='Base de donnée'!H54)*(OFFSET(groupe,,8)))</f>
        <v>12</v>
      </c>
      <c r="M54" s="71">
        <f ca="1">SUMPRODUCT((groupe='Base de donnée'!C54)*(OFFSET(groupe,,1)='Base de donnée'!F54)*(OFFSET(groupe,,2)='Base de donnée'!H54)*(OFFSET(groupe,,9)))</f>
        <v>16</v>
      </c>
      <c r="N54" s="27">
        <f t="shared" ref="N54:N74" si="35">IF(AF54=1,7,IF(OR(AB54=1,AND(AB54=0,NOT(ISBLANK(AB54))),Z54=1,AND(Z54=0,NOT(ISBLANK(Z54))),AA54=1,AND(AA54=0,NOT(ISBLANK(AA54))),AD54=1,AND(AD54=0,NOT(ISBLANK(AD54))),AC54=1,AND(AC54=0,NOT(ISBLANK(AC54)))),0,IF(COUNTIF(Fériés2010,G54),((M54-L54+K54-J54)),(M54-L54+K54-J54)-(W54+X54)-Y54-AE54+(AI54+AK54+AM54))))</f>
        <v>0</v>
      </c>
      <c r="O54" s="27">
        <f t="shared" ref="O54:O74" ca="1" si="36">IF(OR(AB54=1,AND(AB54=0,NOT(ISBLANK(AB54))),Z54=1,AND(Z54=0,NOT(ISBLANK(Z54))),AA54=1,AND(AA54=0,NOT(ISBLANK(AA54))),AD54=1,AND(AD54=0,NOT(ISBLANK(AD54))),AC54=1,AND(AC54=0,NOT(ISBLANK(AC54)))),I54,IF(COUNTIF(Fériés2010,G54)&gt;0,N54*2+R54+(W54+X54),N54+R54+(W54+X54)+Y54+AE54))</f>
        <v>9</v>
      </c>
      <c r="P54" s="49">
        <f t="shared" ref="P54:P60" ca="1" si="37">IF(I54-O54-(W54+X54)&lt;=0,0,I54-O54-(W54+X54))</f>
        <v>0</v>
      </c>
      <c r="Q54" s="49">
        <f t="shared" ref="Q54:Q60" ca="1" si="38">IF(O54-I54-(W54+X54)&lt;=0,0,O54-I54-(W54+X54))</f>
        <v>0</v>
      </c>
      <c r="R54" s="27"/>
      <c r="S54" s="27" t="str">
        <f t="shared" si="26"/>
        <v/>
      </c>
      <c r="T54" s="27"/>
      <c r="U54" s="27" t="str">
        <f t="shared" si="27"/>
        <v/>
      </c>
      <c r="V54" s="27" t="str">
        <f t="shared" si="4"/>
        <v/>
      </c>
      <c r="W54" s="27"/>
      <c r="X54" s="28">
        <f ca="1">IF(OR(Z54=1,AA54=1,AB54=1,AC54=1,AD54=1),0,(SUMPRODUCT((groupe='Base de donnée'!C54)*(OFFSET(groupe,,1)='Base de donnée'!F54)*(OFFSET(groupe,,2)='Base de donnée'!H54)*(OFFSET(groupe,,5)))))</f>
        <v>0</v>
      </c>
      <c r="Y54" s="28"/>
      <c r="Z54" s="7">
        <v>1</v>
      </c>
      <c r="AA54" s="7"/>
      <c r="AB54" s="7"/>
      <c r="AC54" s="7"/>
      <c r="AD54" s="7"/>
      <c r="AE54" s="7"/>
    </row>
    <row r="55" spans="1:31" s="30" customFormat="1" x14ac:dyDescent="0.25">
      <c r="A55" s="6" t="s">
        <v>103</v>
      </c>
      <c r="B55" s="26" t="str">
        <f>VLOOKUP(GestionPersonnelRDJ[[#This Row],[Nom Prénom]],Personnels!Personnels,2,0)</f>
        <v>AMP</v>
      </c>
      <c r="C55" s="21" t="str">
        <f>VLOOKUP(GestionPersonnelRDJ[[#This Row],[Nom Prénom]],Personnels!Personnels,3,0)</f>
        <v>GA</v>
      </c>
      <c r="D55" s="21" t="str">
        <f>VLOOKUP(GestionPersonnelRDJ[[#This Row],[Nom Prénom]],Personnels!Personnels,4,0)</f>
        <v>FDV</v>
      </c>
      <c r="E55" s="2">
        <f>INT(MOD(INT((GestionPersonnelRDJ[[#This Row],[Date]]-2)/7)+0.6,52+5/28))+1</f>
        <v>51</v>
      </c>
      <c r="F55" s="7">
        <v>4</v>
      </c>
      <c r="G55" s="8">
        <v>40897</v>
      </c>
      <c r="H55" s="5" t="str">
        <f t="shared" si="34"/>
        <v>mardi</v>
      </c>
      <c r="I55" s="27">
        <f ca="1">SUMPRODUCT((groupe='Base de donnée'!C55)*(OFFSET(groupe,,1)='Base de donnée'!F55)*(OFFSET(groupe,,2)='Base de donnée'!H55)*(OFFSET(groupe,,3)))</f>
        <v>8</v>
      </c>
      <c r="J55" s="70">
        <f ca="1">SUMPRODUCT((groupe='Base de donnée'!C55)*(OFFSET(groupe,,1)='Base de donnée'!F55)*(OFFSET(groupe,,2)='Base de donnée'!H55)*(OFFSET(groupe,,6)))</f>
        <v>9</v>
      </c>
      <c r="K55" s="70">
        <f ca="1">SUMPRODUCT((groupe='Base de donnée'!C55)*(OFFSET(groupe,,1)='Base de donnée'!F55)*(OFFSET(groupe,,2)='Base de donnée'!H55)*(OFFSET(groupe,,7)))</f>
        <v>12</v>
      </c>
      <c r="L55" s="71">
        <f ca="1">SUMPRODUCT((groupe='Base de donnée'!C55)*(OFFSET(groupe,,1)='Base de donnée'!F55)*(OFFSET(groupe,,2)='Base de donnée'!H55)*(OFFSET(groupe,,8)))</f>
        <v>12</v>
      </c>
      <c r="M55" s="71">
        <f ca="1">SUMPRODUCT((groupe='Base de donnée'!C55)*(OFFSET(groupe,,1)='Base de donnée'!F55)*(OFFSET(groupe,,2)='Base de donnée'!H55)*(OFFSET(groupe,,9)))</f>
        <v>17</v>
      </c>
      <c r="N55" s="27">
        <f t="shared" si="35"/>
        <v>0</v>
      </c>
      <c r="O55" s="27">
        <f t="shared" ca="1" si="36"/>
        <v>8</v>
      </c>
      <c r="P55" s="49">
        <f t="shared" ca="1" si="37"/>
        <v>0</v>
      </c>
      <c r="Q55" s="49">
        <f t="shared" ca="1" si="38"/>
        <v>0</v>
      </c>
      <c r="R55" s="27"/>
      <c r="S55" s="27" t="str">
        <f t="shared" si="26"/>
        <v/>
      </c>
      <c r="T55" s="27"/>
      <c r="U55" s="27" t="str">
        <f t="shared" si="27"/>
        <v/>
      </c>
      <c r="V55" s="27" t="str">
        <f t="shared" si="4"/>
        <v/>
      </c>
      <c r="W55" s="27"/>
      <c r="X55" s="28">
        <f ca="1">IF(OR(Z55=1,AA55=1,AB55=1,AC55=1,AD55=1),0,(SUMPRODUCT((groupe='Base de donnée'!C55)*(OFFSET(groupe,,1)='Base de donnée'!F55)*(OFFSET(groupe,,2)='Base de donnée'!H55)*(OFFSET(groupe,,5)))))</f>
        <v>0</v>
      </c>
      <c r="Y55" s="28"/>
      <c r="Z55" s="7">
        <v>1</v>
      </c>
      <c r="AA55" s="7"/>
      <c r="AB55" s="7"/>
      <c r="AC55" s="7"/>
      <c r="AD55" s="7"/>
      <c r="AE55" s="7"/>
    </row>
    <row r="56" spans="1:31" s="30" customFormat="1" x14ac:dyDescent="0.25">
      <c r="A56" s="6" t="s">
        <v>103</v>
      </c>
      <c r="B56" s="26" t="str">
        <f>VLOOKUP(GestionPersonnelRDJ[[#This Row],[Nom Prénom]],Personnels!Personnels,2,0)</f>
        <v>AMP</v>
      </c>
      <c r="C56" s="21" t="str">
        <f>VLOOKUP(GestionPersonnelRDJ[[#This Row],[Nom Prénom]],Personnels!Personnels,3,0)</f>
        <v>GA</v>
      </c>
      <c r="D56" s="21" t="str">
        <f>VLOOKUP(GestionPersonnelRDJ[[#This Row],[Nom Prénom]],Personnels!Personnels,4,0)</f>
        <v>FDV</v>
      </c>
      <c r="E56" s="2">
        <f>INT(MOD(INT((GestionPersonnelRDJ[[#This Row],[Date]]-2)/7)+0.6,52+5/28))+1</f>
        <v>51</v>
      </c>
      <c r="F56" s="7">
        <v>4</v>
      </c>
      <c r="G56" s="8">
        <v>40898</v>
      </c>
      <c r="H56" s="5" t="str">
        <f t="shared" si="34"/>
        <v>mercredi</v>
      </c>
      <c r="I56" s="27">
        <f ca="1">SUMPRODUCT((groupe='Base de donnée'!C56)*(OFFSET(groupe,,1)='Base de donnée'!F56)*(OFFSET(groupe,,2)='Base de donnée'!H56)*(OFFSET(groupe,,3)))</f>
        <v>4</v>
      </c>
      <c r="J56" s="70">
        <f ca="1">SUMPRODUCT((groupe='Base de donnée'!C56)*(OFFSET(groupe,,1)='Base de donnée'!F56)*(OFFSET(groupe,,2)='Base de donnée'!H56)*(OFFSET(groupe,,6)))</f>
        <v>0</v>
      </c>
      <c r="K56" s="70">
        <f ca="1">SUMPRODUCT((groupe='Base de donnée'!C56)*(OFFSET(groupe,,1)='Base de donnée'!F56)*(OFFSET(groupe,,2)='Base de donnée'!H56)*(OFFSET(groupe,,7)))</f>
        <v>0</v>
      </c>
      <c r="L56" s="71">
        <f ca="1">SUMPRODUCT((groupe='Base de donnée'!C56)*(OFFSET(groupe,,1)='Base de donnée'!F56)*(OFFSET(groupe,,2)='Base de donnée'!H56)*(OFFSET(groupe,,8)))</f>
        <v>14</v>
      </c>
      <c r="M56" s="71">
        <f ca="1">SUMPRODUCT((groupe='Base de donnée'!C56)*(OFFSET(groupe,,1)='Base de donnée'!F56)*(OFFSET(groupe,,2)='Base de donnée'!H56)*(OFFSET(groupe,,9)))</f>
        <v>18</v>
      </c>
      <c r="N56" s="27">
        <f t="shared" si="35"/>
        <v>0</v>
      </c>
      <c r="O56" s="27">
        <f t="shared" ca="1" si="36"/>
        <v>4</v>
      </c>
      <c r="P56" s="49">
        <f t="shared" ca="1" si="37"/>
        <v>0</v>
      </c>
      <c r="Q56" s="49">
        <f t="shared" ca="1" si="38"/>
        <v>0</v>
      </c>
      <c r="R56" s="27"/>
      <c r="S56" s="27" t="str">
        <f t="shared" si="26"/>
        <v/>
      </c>
      <c r="T56" s="27"/>
      <c r="U56" s="27" t="str">
        <f t="shared" si="27"/>
        <v/>
      </c>
      <c r="V56" s="27" t="str">
        <f t="shared" si="4"/>
        <v/>
      </c>
      <c r="W56" s="27"/>
      <c r="X56" s="28">
        <f ca="1">IF(OR(Z56=1,AA56=1,AB56=1,AC56=1,AD56=1),0,(SUMPRODUCT((groupe='Base de donnée'!C56)*(OFFSET(groupe,,1)='Base de donnée'!F56)*(OFFSET(groupe,,2)='Base de donnée'!H56)*(OFFSET(groupe,,5)))))</f>
        <v>0</v>
      </c>
      <c r="Y56" s="28"/>
      <c r="Z56" s="7">
        <v>1</v>
      </c>
      <c r="AA56" s="7"/>
      <c r="AB56" s="7"/>
      <c r="AC56" s="7"/>
      <c r="AD56" s="7"/>
      <c r="AE56" s="7"/>
    </row>
    <row r="57" spans="1:31" s="30" customFormat="1" x14ac:dyDescent="0.25">
      <c r="A57" s="6" t="s">
        <v>103</v>
      </c>
      <c r="B57" s="26" t="str">
        <f>VLOOKUP(GestionPersonnelRDJ[[#This Row],[Nom Prénom]],Personnels!Personnels,2,0)</f>
        <v>AMP</v>
      </c>
      <c r="C57" s="21" t="str">
        <f>VLOOKUP(GestionPersonnelRDJ[[#This Row],[Nom Prénom]],Personnels!Personnels,3,0)</f>
        <v>GA</v>
      </c>
      <c r="D57" s="21" t="str">
        <f>VLOOKUP(GestionPersonnelRDJ[[#This Row],[Nom Prénom]],Personnels!Personnels,4,0)</f>
        <v>FDV</v>
      </c>
      <c r="E57" s="2">
        <f>INT(MOD(INT((GestionPersonnelRDJ[[#This Row],[Date]]-2)/7)+0.6,52+5/28))+1</f>
        <v>51</v>
      </c>
      <c r="F57" s="7">
        <v>4</v>
      </c>
      <c r="G57" s="8">
        <v>40899</v>
      </c>
      <c r="H57" s="5" t="str">
        <f t="shared" si="34"/>
        <v>jeudi</v>
      </c>
      <c r="I57" s="27">
        <f ca="1">SUMPRODUCT((groupe='Base de donnée'!C57)*(OFFSET(groupe,,1)='Base de donnée'!F57)*(OFFSET(groupe,,2)='Base de donnée'!H57)*(OFFSET(groupe,,3)))</f>
        <v>8.5</v>
      </c>
      <c r="J57" s="70">
        <f ca="1">SUMPRODUCT((groupe='Base de donnée'!C57)*(OFFSET(groupe,,1)='Base de donnée'!F57)*(OFFSET(groupe,,2)='Base de donnée'!H57)*(OFFSET(groupe,,6)))</f>
        <v>0</v>
      </c>
      <c r="K57" s="70">
        <f ca="1">SUMPRODUCT((groupe='Base de donnée'!C57)*(OFFSET(groupe,,1)='Base de donnée'!F57)*(OFFSET(groupe,,2)='Base de donnée'!H57)*(OFFSET(groupe,,7)))</f>
        <v>0</v>
      </c>
      <c r="L57" s="71">
        <f ca="1">SUMPRODUCT((groupe='Base de donnée'!C57)*(OFFSET(groupe,,1)='Base de donnée'!F57)*(OFFSET(groupe,,2)='Base de donnée'!H57)*(OFFSET(groupe,,8)))</f>
        <v>13.5</v>
      </c>
      <c r="M57" s="71">
        <f ca="1">SUMPRODUCT((groupe='Base de donnée'!C57)*(OFFSET(groupe,,1)='Base de donnée'!F57)*(OFFSET(groupe,,2)='Base de donnée'!H57)*(OFFSET(groupe,,9)))</f>
        <v>22</v>
      </c>
      <c r="N57" s="27">
        <f t="shared" si="35"/>
        <v>0</v>
      </c>
      <c r="O57" s="27">
        <f t="shared" ca="1" si="36"/>
        <v>8.5</v>
      </c>
      <c r="P57" s="49">
        <f t="shared" ca="1" si="37"/>
        <v>0</v>
      </c>
      <c r="Q57" s="49">
        <f t="shared" ca="1" si="38"/>
        <v>0</v>
      </c>
      <c r="R57" s="27"/>
      <c r="S57" s="27" t="str">
        <f t="shared" si="26"/>
        <v/>
      </c>
      <c r="T57" s="27"/>
      <c r="U57" s="27" t="str">
        <f t="shared" si="27"/>
        <v/>
      </c>
      <c r="V57" s="27" t="str">
        <f t="shared" si="4"/>
        <v/>
      </c>
      <c r="W57" s="27"/>
      <c r="X57" s="28">
        <f ca="1">IF(OR(Z57=1,AA57=1,AB57=1,AC57=1,AD57=1),0,(SUMPRODUCT((groupe='Base de donnée'!C57)*(OFFSET(groupe,,1)='Base de donnée'!F57)*(OFFSET(groupe,,2)='Base de donnée'!H57)*(OFFSET(groupe,,5)))))</f>
        <v>0</v>
      </c>
      <c r="Y57" s="28"/>
      <c r="Z57" s="7">
        <v>1</v>
      </c>
      <c r="AA57" s="7"/>
      <c r="AB57" s="7"/>
      <c r="AC57" s="7"/>
      <c r="AD57" s="7"/>
      <c r="AE57" s="7"/>
    </row>
    <row r="58" spans="1:31" s="30" customFormat="1" x14ac:dyDescent="0.25">
      <c r="A58" s="6" t="s">
        <v>103</v>
      </c>
      <c r="B58" s="26" t="str">
        <f>VLOOKUP(GestionPersonnelRDJ[[#This Row],[Nom Prénom]],Personnels!Personnels,2,0)</f>
        <v>AMP</v>
      </c>
      <c r="C58" s="21" t="str">
        <f>VLOOKUP(GestionPersonnelRDJ[[#This Row],[Nom Prénom]],Personnels!Personnels,3,0)</f>
        <v>GA</v>
      </c>
      <c r="D58" s="21" t="str">
        <f>VLOOKUP(GestionPersonnelRDJ[[#This Row],[Nom Prénom]],Personnels!Personnels,4,0)</f>
        <v>FDV</v>
      </c>
      <c r="E58" s="2">
        <f>INT(MOD(INT((GestionPersonnelRDJ[[#This Row],[Date]]-2)/7)+0.6,52+5/28))+1</f>
        <v>51</v>
      </c>
      <c r="F58" s="7">
        <v>4</v>
      </c>
      <c r="G58" s="8">
        <v>40900</v>
      </c>
      <c r="H58" s="5" t="str">
        <f t="shared" si="34"/>
        <v>vendredi</v>
      </c>
      <c r="I58" s="27">
        <f ca="1">SUMPRODUCT((groupe='Base de donnée'!C58)*(OFFSET(groupe,,1)='Base de donnée'!F58)*(OFFSET(groupe,,2)='Base de donnée'!H58)*(OFFSET(groupe,,3)))</f>
        <v>8.5</v>
      </c>
      <c r="J58" s="70">
        <f ca="1">SUMPRODUCT((groupe='Base de donnée'!C58)*(OFFSET(groupe,,1)='Base de donnée'!F58)*(OFFSET(groupe,,2)='Base de donnée'!H58)*(OFFSET(groupe,,6)))</f>
        <v>0</v>
      </c>
      <c r="K58" s="70">
        <f ca="1">SUMPRODUCT((groupe='Base de donnée'!C58)*(OFFSET(groupe,,1)='Base de donnée'!F58)*(OFFSET(groupe,,2)='Base de donnée'!H58)*(OFFSET(groupe,,7)))</f>
        <v>0</v>
      </c>
      <c r="L58" s="71">
        <f ca="1">SUMPRODUCT((groupe='Base de donnée'!C58)*(OFFSET(groupe,,1)='Base de donnée'!F58)*(OFFSET(groupe,,2)='Base de donnée'!H58)*(OFFSET(groupe,,8)))</f>
        <v>13.5</v>
      </c>
      <c r="M58" s="71">
        <f ca="1">SUMPRODUCT((groupe='Base de donnée'!C58)*(OFFSET(groupe,,1)='Base de donnée'!F58)*(OFFSET(groupe,,2)='Base de donnée'!H58)*(OFFSET(groupe,,9)))</f>
        <v>22</v>
      </c>
      <c r="N58" s="27">
        <f t="shared" si="35"/>
        <v>0</v>
      </c>
      <c r="O58" s="27">
        <f t="shared" ca="1" si="36"/>
        <v>8.5</v>
      </c>
      <c r="P58" s="49">
        <f t="shared" ca="1" si="37"/>
        <v>0</v>
      </c>
      <c r="Q58" s="49">
        <f t="shared" ca="1" si="38"/>
        <v>0</v>
      </c>
      <c r="R58" s="27"/>
      <c r="S58" s="27" t="str">
        <f t="shared" si="26"/>
        <v/>
      </c>
      <c r="T58" s="27"/>
      <c r="U58" s="27" t="str">
        <f t="shared" si="27"/>
        <v/>
      </c>
      <c r="V58" s="27" t="str">
        <f t="shared" si="4"/>
        <v/>
      </c>
      <c r="W58" s="27"/>
      <c r="X58" s="28">
        <f ca="1">IF(OR(Z58=1,AA58=1,AB58=1,AC58=1,AD58=1),0,(SUMPRODUCT((groupe='Base de donnée'!C58)*(OFFSET(groupe,,1)='Base de donnée'!F58)*(OFFSET(groupe,,2)='Base de donnée'!H58)*(OFFSET(groupe,,5)))))</f>
        <v>0</v>
      </c>
      <c r="Y58" s="28"/>
      <c r="Z58" s="7">
        <v>1</v>
      </c>
      <c r="AA58" s="7"/>
      <c r="AB58" s="7"/>
      <c r="AC58" s="7"/>
      <c r="AD58" s="7"/>
      <c r="AE58" s="7"/>
    </row>
    <row r="59" spans="1:31" s="30" customFormat="1" x14ac:dyDescent="0.25">
      <c r="A59" s="6" t="s">
        <v>103</v>
      </c>
      <c r="B59" s="26" t="str">
        <f>VLOOKUP(GestionPersonnelRDJ[[#This Row],[Nom Prénom]],Personnels!Personnels,2,0)</f>
        <v>AMP</v>
      </c>
      <c r="C59" s="21" t="str">
        <f>VLOOKUP(GestionPersonnelRDJ[[#This Row],[Nom Prénom]],Personnels!Personnels,3,0)</f>
        <v>GA</v>
      </c>
      <c r="D59" s="21" t="str">
        <f>VLOOKUP(GestionPersonnelRDJ[[#This Row],[Nom Prénom]],Personnels!Personnels,4,0)</f>
        <v>FDV</v>
      </c>
      <c r="E59" s="2">
        <f>INT(MOD(INT((GestionPersonnelRDJ[[#This Row],[Date]]-2)/7)+0.6,52+5/28))+1</f>
        <v>51</v>
      </c>
      <c r="F59" s="7">
        <v>4</v>
      </c>
      <c r="G59" s="8">
        <v>40901</v>
      </c>
      <c r="H59" s="5" t="str">
        <f t="shared" si="34"/>
        <v>samedi</v>
      </c>
      <c r="I59" s="27">
        <f ca="1">SUMPRODUCT((groupe='Base de donnée'!C59)*(OFFSET(groupe,,1)='Base de donnée'!F59)*(OFFSET(groupe,,2)='Base de donnée'!H59)*(OFFSET(groupe,,3)))</f>
        <v>0</v>
      </c>
      <c r="J59" s="70">
        <f ca="1">SUMPRODUCT((groupe='Base de donnée'!C59)*(OFFSET(groupe,,1)='Base de donnée'!F59)*(OFFSET(groupe,,2)='Base de donnée'!H59)*(OFFSET(groupe,,6)))</f>
        <v>0</v>
      </c>
      <c r="K59" s="70">
        <f ca="1">SUMPRODUCT((groupe='Base de donnée'!C59)*(OFFSET(groupe,,1)='Base de donnée'!F59)*(OFFSET(groupe,,2)='Base de donnée'!H59)*(OFFSET(groupe,,7)))</f>
        <v>0</v>
      </c>
      <c r="L59" s="71">
        <f ca="1">SUMPRODUCT((groupe='Base de donnée'!C59)*(OFFSET(groupe,,1)='Base de donnée'!F59)*(OFFSET(groupe,,2)='Base de donnée'!H59)*(OFFSET(groupe,,8)))</f>
        <v>0</v>
      </c>
      <c r="M59" s="71">
        <f ca="1">SUMPRODUCT((groupe='Base de donnée'!C59)*(OFFSET(groupe,,1)='Base de donnée'!F59)*(OFFSET(groupe,,2)='Base de donnée'!H59)*(OFFSET(groupe,,9)))</f>
        <v>0</v>
      </c>
      <c r="N59" s="27">
        <f t="shared" si="35"/>
        <v>0</v>
      </c>
      <c r="O59" s="27">
        <f t="shared" ca="1" si="36"/>
        <v>0</v>
      </c>
      <c r="P59" s="49">
        <f t="shared" ca="1" si="37"/>
        <v>0</v>
      </c>
      <c r="Q59" s="49">
        <f t="shared" ca="1" si="38"/>
        <v>0</v>
      </c>
      <c r="R59" s="27"/>
      <c r="S59" s="27" t="str">
        <f t="shared" si="26"/>
        <v/>
      </c>
      <c r="T59" s="27"/>
      <c r="U59" s="27" t="str">
        <f t="shared" si="27"/>
        <v/>
      </c>
      <c r="V59" s="27" t="str">
        <f t="shared" si="4"/>
        <v/>
      </c>
      <c r="W59" s="27"/>
      <c r="X59" s="28">
        <f ca="1">IF(OR(Z59=1,AA59=1,AB59=1,AC59=1,AD59=1),0,(SUMPRODUCT((groupe='Base de donnée'!C59)*(OFFSET(groupe,,1)='Base de donnée'!F59)*(OFFSET(groupe,,2)='Base de donnée'!H59)*(OFFSET(groupe,,5)))))</f>
        <v>0</v>
      </c>
      <c r="Y59" s="28"/>
      <c r="Z59" s="7">
        <v>1</v>
      </c>
      <c r="AA59" s="7"/>
      <c r="AB59" s="7"/>
      <c r="AC59" s="7"/>
      <c r="AD59" s="7"/>
      <c r="AE59" s="7"/>
    </row>
    <row r="60" spans="1:31" s="30" customFormat="1" x14ac:dyDescent="0.25">
      <c r="A60" s="6" t="s">
        <v>103</v>
      </c>
      <c r="B60" s="26" t="str">
        <f>VLOOKUP(GestionPersonnelRDJ[[#This Row],[Nom Prénom]],Personnels!Personnels,2,0)</f>
        <v>AMP</v>
      </c>
      <c r="C60" s="21" t="str">
        <f>VLOOKUP(GestionPersonnelRDJ[[#This Row],[Nom Prénom]],Personnels!Personnels,3,0)</f>
        <v>GA</v>
      </c>
      <c r="D60" s="21" t="str">
        <f>VLOOKUP(GestionPersonnelRDJ[[#This Row],[Nom Prénom]],Personnels!Personnels,4,0)</f>
        <v>FDV</v>
      </c>
      <c r="E60" s="2">
        <f>INT(MOD(INT((GestionPersonnelRDJ[[#This Row],[Date]]-2)/7)+0.6,52+5/28))+1</f>
        <v>51</v>
      </c>
      <c r="F60" s="7">
        <v>4</v>
      </c>
      <c r="G60" s="8">
        <v>40902</v>
      </c>
      <c r="H60" s="5" t="str">
        <f t="shared" si="34"/>
        <v>dimanche</v>
      </c>
      <c r="I60" s="27">
        <f ca="1">SUMPRODUCT((groupe='Base de donnée'!C60)*(OFFSET(groupe,,1)='Base de donnée'!F60)*(OFFSET(groupe,,2)='Base de donnée'!H60)*(OFFSET(groupe,,3)))</f>
        <v>0</v>
      </c>
      <c r="J60" s="70">
        <f ca="1">SUMPRODUCT((groupe='Base de donnée'!C60)*(OFFSET(groupe,,1)='Base de donnée'!F60)*(OFFSET(groupe,,2)='Base de donnée'!H60)*(OFFSET(groupe,,6)))</f>
        <v>0</v>
      </c>
      <c r="K60" s="70">
        <f ca="1">SUMPRODUCT((groupe='Base de donnée'!C60)*(OFFSET(groupe,,1)='Base de donnée'!F60)*(OFFSET(groupe,,2)='Base de donnée'!H60)*(OFFSET(groupe,,7)))</f>
        <v>0</v>
      </c>
      <c r="L60" s="71">
        <f ca="1">SUMPRODUCT((groupe='Base de donnée'!C60)*(OFFSET(groupe,,1)='Base de donnée'!F60)*(OFFSET(groupe,,2)='Base de donnée'!H60)*(OFFSET(groupe,,8)))</f>
        <v>0</v>
      </c>
      <c r="M60" s="71">
        <f ca="1">SUMPRODUCT((groupe='Base de donnée'!C60)*(OFFSET(groupe,,1)='Base de donnée'!F60)*(OFFSET(groupe,,2)='Base de donnée'!H60)*(OFFSET(groupe,,9)))</f>
        <v>0</v>
      </c>
      <c r="N60" s="27">
        <f t="shared" si="35"/>
        <v>0</v>
      </c>
      <c r="O60" s="27">
        <f t="shared" ca="1" si="36"/>
        <v>0</v>
      </c>
      <c r="P60" s="49">
        <f t="shared" ca="1" si="37"/>
        <v>0</v>
      </c>
      <c r="Q60" s="49">
        <f t="shared" ca="1" si="38"/>
        <v>0</v>
      </c>
      <c r="R60" s="27"/>
      <c r="S60" s="27" t="str">
        <f t="shared" si="26"/>
        <v/>
      </c>
      <c r="T60" s="27"/>
      <c r="U60" s="27">
        <f t="shared" si="27"/>
        <v>0</v>
      </c>
      <c r="V60" s="27">
        <f t="shared" si="4"/>
        <v>0</v>
      </c>
      <c r="W60" s="27"/>
      <c r="X60" s="28">
        <f ca="1">IF(OR(Z60=1,AA60=1,AB60=1,AC60=1,AD60=1),0,(SUMPRODUCT((groupe='Base de donnée'!C60)*(OFFSET(groupe,,1)='Base de donnée'!F60)*(OFFSET(groupe,,2)='Base de donnée'!H60)*(OFFSET(groupe,,5)))))</f>
        <v>0</v>
      </c>
      <c r="Y60" s="28"/>
      <c r="Z60" s="7">
        <v>1</v>
      </c>
      <c r="AA60" s="7"/>
      <c r="AB60" s="7"/>
      <c r="AC60" s="7"/>
      <c r="AD60" s="7"/>
      <c r="AE60" s="7"/>
    </row>
    <row r="61" spans="1:31" s="30" customFormat="1" x14ac:dyDescent="0.25">
      <c r="A61" s="6" t="s">
        <v>177</v>
      </c>
      <c r="B61" s="26" t="str">
        <f>VLOOKUP(GestionPersonnelRDJ[[#This Row],[Nom Prénom]],Personnels!Personnels,2,0)</f>
        <v>ES</v>
      </c>
      <c r="C61" s="21" t="str">
        <f>VLOOKUP(GestionPersonnelRDJ[[#This Row],[Nom Prénom]],Personnels!Personnels,3,0)</f>
        <v>GA</v>
      </c>
      <c r="D61" s="21" t="str">
        <f>VLOOKUP(GestionPersonnelRDJ[[#This Row],[Nom Prénom]],Personnels!Personnels,4,0)</f>
        <v>FDV</v>
      </c>
      <c r="E61" s="2">
        <f>INT(MOD(INT((GestionPersonnelRDJ[[#This Row],[Date]]-2)/7)+0.6,52+5/28))+1</f>
        <v>51</v>
      </c>
      <c r="F61" s="7">
        <v>3</v>
      </c>
      <c r="G61" s="8">
        <v>40896</v>
      </c>
      <c r="H61" s="5" t="str">
        <f t="shared" ref="H61:H67" si="39">TEXT(WEEKDAY(G61),"jjjj")</f>
        <v>lundi</v>
      </c>
      <c r="I61" s="27">
        <f ca="1">SUMPRODUCT((groupe='Base de donnée'!C61)*(OFFSET(groupe,,1)='Base de donnée'!F61)*(OFFSET(groupe,,2)='Base de donnée'!H61)*(OFFSET(groupe,,3)))</f>
        <v>8.5</v>
      </c>
      <c r="J61" s="70">
        <f ca="1">SUMPRODUCT((groupe='Base de donnée'!C61)*(OFFSET(groupe,,1)='Base de donnée'!F61)*(OFFSET(groupe,,2)='Base de donnée'!H61)*(OFFSET(groupe,,6)))</f>
        <v>0</v>
      </c>
      <c r="K61" s="70">
        <f ca="1">SUMPRODUCT((groupe='Base de donnée'!C61)*(OFFSET(groupe,,1)='Base de donnée'!F61)*(OFFSET(groupe,,2)='Base de donnée'!H61)*(OFFSET(groupe,,7)))</f>
        <v>0</v>
      </c>
      <c r="L61" s="71">
        <f ca="1">SUMPRODUCT((groupe='Base de donnée'!C61)*(OFFSET(groupe,,1)='Base de donnée'!F61)*(OFFSET(groupe,,2)='Base de donnée'!H61)*(OFFSET(groupe,,8)))</f>
        <v>13.5</v>
      </c>
      <c r="M61" s="71">
        <f ca="1">SUMPRODUCT((groupe='Base de donnée'!C61)*(OFFSET(groupe,,1)='Base de donnée'!F61)*(OFFSET(groupe,,2)='Base de donnée'!H61)*(OFFSET(groupe,,9)))</f>
        <v>22</v>
      </c>
      <c r="N61" s="27">
        <f t="shared" ca="1" si="35"/>
        <v>8.5</v>
      </c>
      <c r="O61" s="27">
        <f t="shared" ca="1" si="36"/>
        <v>8.5</v>
      </c>
      <c r="P61" s="49">
        <f t="shared" ref="P61:P67" ca="1" si="40">IF(I61-O61-(W61+X61)&lt;=0,0,I61-O61-(W61+X61))</f>
        <v>0</v>
      </c>
      <c r="Q61" s="49">
        <f t="shared" ref="Q61:Q67" ca="1" si="41">IF(O61-I61-(W61+X61)&lt;=0,0,O61-I61-(W61+X61))</f>
        <v>0</v>
      </c>
      <c r="R61" s="27"/>
      <c r="S61" s="27" t="str">
        <f t="shared" si="26"/>
        <v/>
      </c>
      <c r="T61" s="27"/>
      <c r="U61" s="27" t="str">
        <f t="shared" si="27"/>
        <v/>
      </c>
      <c r="V61" s="27" t="str">
        <f t="shared" si="4"/>
        <v/>
      </c>
      <c r="W61" s="27"/>
      <c r="X61" s="28">
        <f ca="1">IF(OR(Z61=1,AA61=1,AB61=1,AC61=1,AD61=1),0,(SUMPRODUCT((groupe='Base de donnée'!C61)*(OFFSET(groupe,,1)='Base de donnée'!F61)*(OFFSET(groupe,,2)='Base de donnée'!H61)*(OFFSET(groupe,,5)))))</f>
        <v>0</v>
      </c>
      <c r="Y61" s="28"/>
      <c r="Z61" s="7"/>
      <c r="AA61" s="7"/>
      <c r="AB61" s="7"/>
      <c r="AC61" s="7"/>
      <c r="AD61" s="7"/>
      <c r="AE61" s="7"/>
    </row>
    <row r="62" spans="1:31" s="30" customFormat="1" x14ac:dyDescent="0.25">
      <c r="A62" s="6" t="s">
        <v>177</v>
      </c>
      <c r="B62" s="26" t="str">
        <f>VLOOKUP(GestionPersonnelRDJ[[#This Row],[Nom Prénom]],Personnels!Personnels,2,0)</f>
        <v>ES</v>
      </c>
      <c r="C62" s="21" t="str">
        <f>VLOOKUP(GestionPersonnelRDJ[[#This Row],[Nom Prénom]],Personnels!Personnels,3,0)</f>
        <v>GA</v>
      </c>
      <c r="D62" s="21" t="str">
        <f>VLOOKUP(GestionPersonnelRDJ[[#This Row],[Nom Prénom]],Personnels!Personnels,4,0)</f>
        <v>FDV</v>
      </c>
      <c r="E62" s="2">
        <f>INT(MOD(INT((GestionPersonnelRDJ[[#This Row],[Date]]-2)/7)+0.6,52+5/28))+1</f>
        <v>51</v>
      </c>
      <c r="F62" s="7">
        <v>3</v>
      </c>
      <c r="G62" s="8">
        <v>40897</v>
      </c>
      <c r="H62" s="5" t="str">
        <f t="shared" si="39"/>
        <v>mardi</v>
      </c>
      <c r="I62" s="27">
        <f ca="1">SUMPRODUCT((groupe='Base de donnée'!C62)*(OFFSET(groupe,,1)='Base de donnée'!F62)*(OFFSET(groupe,,2)='Base de donnée'!H62)*(OFFSET(groupe,,3)))</f>
        <v>8.5</v>
      </c>
      <c r="J62" s="70">
        <f ca="1">SUMPRODUCT((groupe='Base de donnée'!C62)*(OFFSET(groupe,,1)='Base de donnée'!F62)*(OFFSET(groupe,,2)='Base de donnée'!H62)*(OFFSET(groupe,,6)))</f>
        <v>0</v>
      </c>
      <c r="K62" s="70">
        <f ca="1">SUMPRODUCT((groupe='Base de donnée'!C62)*(OFFSET(groupe,,1)='Base de donnée'!F62)*(OFFSET(groupe,,2)='Base de donnée'!H62)*(OFFSET(groupe,,7)))</f>
        <v>0</v>
      </c>
      <c r="L62" s="71">
        <f ca="1">SUMPRODUCT((groupe='Base de donnée'!C62)*(OFFSET(groupe,,1)='Base de donnée'!F62)*(OFFSET(groupe,,2)='Base de donnée'!H62)*(OFFSET(groupe,,8)))</f>
        <v>13.5</v>
      </c>
      <c r="M62" s="71">
        <f ca="1">SUMPRODUCT((groupe='Base de donnée'!C62)*(OFFSET(groupe,,1)='Base de donnée'!F62)*(OFFSET(groupe,,2)='Base de donnée'!H62)*(OFFSET(groupe,,9)))</f>
        <v>22</v>
      </c>
      <c r="N62" s="27">
        <f t="shared" ca="1" si="35"/>
        <v>8.5</v>
      </c>
      <c r="O62" s="27">
        <f t="shared" ca="1" si="36"/>
        <v>8.5</v>
      </c>
      <c r="P62" s="49">
        <f t="shared" ca="1" si="40"/>
        <v>0</v>
      </c>
      <c r="Q62" s="49">
        <f t="shared" ca="1" si="41"/>
        <v>0</v>
      </c>
      <c r="R62" s="27"/>
      <c r="S62" s="27" t="str">
        <f t="shared" si="26"/>
        <v/>
      </c>
      <c r="T62" s="27"/>
      <c r="U62" s="27" t="str">
        <f t="shared" si="27"/>
        <v/>
      </c>
      <c r="V62" s="27" t="str">
        <f t="shared" si="4"/>
        <v/>
      </c>
      <c r="W62" s="27"/>
      <c r="X62" s="28">
        <f ca="1">IF(OR(Z62=1,AA62=1,AB62=1,AC62=1,AD62=1),0,(SUMPRODUCT((groupe='Base de donnée'!C62)*(OFFSET(groupe,,1)='Base de donnée'!F62)*(OFFSET(groupe,,2)='Base de donnée'!H62)*(OFFSET(groupe,,5)))))</f>
        <v>0</v>
      </c>
      <c r="Y62" s="28"/>
      <c r="Z62" s="7"/>
      <c r="AA62" s="7"/>
      <c r="AB62" s="7"/>
      <c r="AC62" s="7"/>
      <c r="AD62" s="7"/>
      <c r="AE62" s="7"/>
    </row>
    <row r="63" spans="1:31" s="30" customFormat="1" x14ac:dyDescent="0.25">
      <c r="A63" s="6" t="s">
        <v>177</v>
      </c>
      <c r="B63" s="26" t="str">
        <f>VLOOKUP(GestionPersonnelRDJ[[#This Row],[Nom Prénom]],Personnels!Personnels,2,0)</f>
        <v>ES</v>
      </c>
      <c r="C63" s="21" t="str">
        <f>VLOOKUP(GestionPersonnelRDJ[[#This Row],[Nom Prénom]],Personnels!Personnels,3,0)</f>
        <v>GA</v>
      </c>
      <c r="D63" s="21" t="str">
        <f>VLOOKUP(GestionPersonnelRDJ[[#This Row],[Nom Prénom]],Personnels!Personnels,4,0)</f>
        <v>FDV</v>
      </c>
      <c r="E63" s="2">
        <f>INT(MOD(INT((GestionPersonnelRDJ[[#This Row],[Date]]-2)/7)+0.6,52+5/28))+1</f>
        <v>51</v>
      </c>
      <c r="F63" s="7">
        <v>3</v>
      </c>
      <c r="G63" s="8">
        <v>40898</v>
      </c>
      <c r="H63" s="5" t="str">
        <f t="shared" si="39"/>
        <v>mercredi</v>
      </c>
      <c r="I63" s="27">
        <f ca="1">SUMPRODUCT((groupe='Base de donnée'!C63)*(OFFSET(groupe,,1)='Base de donnée'!F63)*(OFFSET(groupe,,2)='Base de donnée'!H63)*(OFFSET(groupe,,3)))</f>
        <v>7.5</v>
      </c>
      <c r="J63" s="70">
        <f ca="1">SUMPRODUCT((groupe='Base de donnée'!C63)*(OFFSET(groupe,,1)='Base de donnée'!F63)*(OFFSET(groupe,,2)='Base de donnée'!H63)*(OFFSET(groupe,,6)))</f>
        <v>0</v>
      </c>
      <c r="K63" s="70">
        <f ca="1">SUMPRODUCT((groupe='Base de donnée'!C63)*(OFFSET(groupe,,1)='Base de donnée'!F63)*(OFFSET(groupe,,2)='Base de donnée'!H63)*(OFFSET(groupe,,7)))</f>
        <v>0</v>
      </c>
      <c r="L63" s="71">
        <f ca="1">SUMPRODUCT((groupe='Base de donnée'!C63)*(OFFSET(groupe,,1)='Base de donnée'!F63)*(OFFSET(groupe,,2)='Base de donnée'!H63)*(OFFSET(groupe,,8)))</f>
        <v>13.5</v>
      </c>
      <c r="M63" s="71">
        <f ca="1">SUMPRODUCT((groupe='Base de donnée'!C63)*(OFFSET(groupe,,1)='Base de donnée'!F63)*(OFFSET(groupe,,2)='Base de donnée'!H63)*(OFFSET(groupe,,9)))</f>
        <v>21</v>
      </c>
      <c r="N63" s="27">
        <f t="shared" ca="1" si="35"/>
        <v>7.5</v>
      </c>
      <c r="O63" s="27">
        <f t="shared" ca="1" si="36"/>
        <v>7.5</v>
      </c>
      <c r="P63" s="49">
        <f t="shared" ca="1" si="40"/>
        <v>0</v>
      </c>
      <c r="Q63" s="49">
        <f t="shared" ca="1" si="41"/>
        <v>0</v>
      </c>
      <c r="R63" s="27"/>
      <c r="S63" s="27" t="str">
        <f t="shared" si="26"/>
        <v/>
      </c>
      <c r="T63" s="27"/>
      <c r="U63" s="27" t="str">
        <f t="shared" si="27"/>
        <v/>
      </c>
      <c r="V63" s="27" t="str">
        <f t="shared" si="4"/>
        <v/>
      </c>
      <c r="W63" s="27"/>
      <c r="X63" s="28">
        <f ca="1">IF(OR(Z63=1,AA63=1,AB63=1,AC63=1,AD63=1),0,(SUMPRODUCT((groupe='Base de donnée'!C63)*(OFFSET(groupe,,1)='Base de donnée'!F63)*(OFFSET(groupe,,2)='Base de donnée'!H63)*(OFFSET(groupe,,5)))))</f>
        <v>0</v>
      </c>
      <c r="Y63" s="28"/>
      <c r="Z63" s="7"/>
      <c r="AA63" s="7"/>
      <c r="AB63" s="7"/>
      <c r="AC63" s="7"/>
      <c r="AD63" s="7"/>
      <c r="AE63" s="7"/>
    </row>
    <row r="64" spans="1:31" s="30" customFormat="1" x14ac:dyDescent="0.25">
      <c r="A64" s="6" t="s">
        <v>177</v>
      </c>
      <c r="B64" s="26" t="str">
        <f>VLOOKUP(GestionPersonnelRDJ[[#This Row],[Nom Prénom]],Personnels!Personnels,2,0)</f>
        <v>ES</v>
      </c>
      <c r="C64" s="21" t="str">
        <f>VLOOKUP(GestionPersonnelRDJ[[#This Row],[Nom Prénom]],Personnels!Personnels,3,0)</f>
        <v>GA</v>
      </c>
      <c r="D64" s="21" t="str">
        <f>VLOOKUP(GestionPersonnelRDJ[[#This Row],[Nom Prénom]],Personnels!Personnels,4,0)</f>
        <v>FDV</v>
      </c>
      <c r="E64" s="2">
        <f>INT(MOD(INT((GestionPersonnelRDJ[[#This Row],[Date]]-2)/7)+0.6,52+5/28))+1</f>
        <v>51</v>
      </c>
      <c r="F64" s="7">
        <v>3</v>
      </c>
      <c r="G64" s="8">
        <v>40899</v>
      </c>
      <c r="H64" s="5" t="str">
        <f t="shared" si="39"/>
        <v>jeudi</v>
      </c>
      <c r="I64" s="27">
        <f ca="1">SUMPRODUCT((groupe='Base de donnée'!C64)*(OFFSET(groupe,,1)='Base de donnée'!F64)*(OFFSET(groupe,,2)='Base de donnée'!H64)*(OFFSET(groupe,,3)))</f>
        <v>8</v>
      </c>
      <c r="J64" s="70">
        <f ca="1">SUMPRODUCT((groupe='Base de donnée'!C64)*(OFFSET(groupe,,1)='Base de donnée'!F64)*(OFFSET(groupe,,2)='Base de donnée'!H64)*(OFFSET(groupe,,6)))</f>
        <v>8</v>
      </c>
      <c r="K64" s="70">
        <f ca="1">SUMPRODUCT((groupe='Base de donnée'!C64)*(OFFSET(groupe,,1)='Base de donnée'!F64)*(OFFSET(groupe,,2)='Base de donnée'!H64)*(OFFSET(groupe,,7)))</f>
        <v>12</v>
      </c>
      <c r="L64" s="71">
        <f ca="1">SUMPRODUCT((groupe='Base de donnée'!C64)*(OFFSET(groupe,,1)='Base de donnée'!F64)*(OFFSET(groupe,,2)='Base de donnée'!H64)*(OFFSET(groupe,,8)))</f>
        <v>12</v>
      </c>
      <c r="M64" s="71">
        <f ca="1">SUMPRODUCT((groupe='Base de donnée'!C64)*(OFFSET(groupe,,1)='Base de donnée'!F64)*(OFFSET(groupe,,2)='Base de donnée'!H64)*(OFFSET(groupe,,9)))</f>
        <v>16</v>
      </c>
      <c r="N64" s="27">
        <f t="shared" ca="1" si="35"/>
        <v>8</v>
      </c>
      <c r="O64" s="27">
        <f t="shared" ca="1" si="36"/>
        <v>8</v>
      </c>
      <c r="P64" s="49">
        <f t="shared" ca="1" si="40"/>
        <v>0</v>
      </c>
      <c r="Q64" s="49">
        <f t="shared" ca="1" si="41"/>
        <v>0</v>
      </c>
      <c r="R64" s="27"/>
      <c r="S64" s="27" t="str">
        <f t="shared" si="26"/>
        <v/>
      </c>
      <c r="T64" s="27"/>
      <c r="U64" s="27" t="str">
        <f t="shared" si="27"/>
        <v/>
      </c>
      <c r="V64" s="27" t="str">
        <f t="shared" si="4"/>
        <v/>
      </c>
      <c r="W64" s="27"/>
      <c r="X64" s="28">
        <f ca="1">IF(OR(Z64=1,AA64=1,AB64=1,AC64=1,AD64=1),0,(SUMPRODUCT((groupe='Base de donnée'!C64)*(OFFSET(groupe,,1)='Base de donnée'!F64)*(OFFSET(groupe,,2)='Base de donnée'!H64)*(OFFSET(groupe,,5)))))</f>
        <v>0</v>
      </c>
      <c r="Y64" s="28"/>
      <c r="Z64" s="7"/>
      <c r="AA64" s="7"/>
      <c r="AB64" s="7"/>
      <c r="AC64" s="7"/>
      <c r="AD64" s="7"/>
      <c r="AE64" s="7"/>
    </row>
    <row r="65" spans="1:31" s="30" customFormat="1" x14ac:dyDescent="0.25">
      <c r="A65" s="6" t="s">
        <v>177</v>
      </c>
      <c r="B65" s="26" t="str">
        <f>VLOOKUP(GestionPersonnelRDJ[[#This Row],[Nom Prénom]],Personnels!Personnels,2,0)</f>
        <v>ES</v>
      </c>
      <c r="C65" s="21" t="str">
        <f>VLOOKUP(GestionPersonnelRDJ[[#This Row],[Nom Prénom]],Personnels!Personnels,3,0)</f>
        <v>GA</v>
      </c>
      <c r="D65" s="21" t="str">
        <f>VLOOKUP(GestionPersonnelRDJ[[#This Row],[Nom Prénom]],Personnels!Personnels,4,0)</f>
        <v>FDV</v>
      </c>
      <c r="E65" s="2">
        <f>INT(MOD(INT((GestionPersonnelRDJ[[#This Row],[Date]]-2)/7)+0.6,52+5/28))+1</f>
        <v>51</v>
      </c>
      <c r="F65" s="7">
        <v>3</v>
      </c>
      <c r="G65" s="8">
        <v>40900</v>
      </c>
      <c r="H65" s="5" t="str">
        <f t="shared" si="39"/>
        <v>vendredi</v>
      </c>
      <c r="I65" s="27">
        <f ca="1">SUMPRODUCT((groupe='Base de donnée'!C65)*(OFFSET(groupe,,1)='Base de donnée'!F65)*(OFFSET(groupe,,2)='Base de donnée'!H65)*(OFFSET(groupe,,3)))</f>
        <v>0</v>
      </c>
      <c r="J65" s="70">
        <f ca="1">SUMPRODUCT((groupe='Base de donnée'!C65)*(OFFSET(groupe,,1)='Base de donnée'!F65)*(OFFSET(groupe,,2)='Base de donnée'!H65)*(OFFSET(groupe,,6)))</f>
        <v>0</v>
      </c>
      <c r="K65" s="70">
        <f ca="1">SUMPRODUCT((groupe='Base de donnée'!C65)*(OFFSET(groupe,,1)='Base de donnée'!F65)*(OFFSET(groupe,,2)='Base de donnée'!H65)*(OFFSET(groupe,,7)))</f>
        <v>0</v>
      </c>
      <c r="L65" s="71">
        <f ca="1">SUMPRODUCT((groupe='Base de donnée'!C65)*(OFFSET(groupe,,1)='Base de donnée'!F65)*(OFFSET(groupe,,2)='Base de donnée'!H65)*(OFFSET(groupe,,8)))</f>
        <v>0</v>
      </c>
      <c r="M65" s="71">
        <f ca="1">SUMPRODUCT((groupe='Base de donnée'!C65)*(OFFSET(groupe,,1)='Base de donnée'!F65)*(OFFSET(groupe,,2)='Base de donnée'!H65)*(OFFSET(groupe,,9)))</f>
        <v>0</v>
      </c>
      <c r="N65" s="27">
        <f t="shared" ca="1" si="35"/>
        <v>0</v>
      </c>
      <c r="O65" s="27">
        <f t="shared" ca="1" si="36"/>
        <v>0</v>
      </c>
      <c r="P65" s="49">
        <f t="shared" ca="1" si="40"/>
        <v>0</v>
      </c>
      <c r="Q65" s="49">
        <f t="shared" ca="1" si="41"/>
        <v>0</v>
      </c>
      <c r="R65" s="27"/>
      <c r="S65" s="27" t="str">
        <f t="shared" si="26"/>
        <v/>
      </c>
      <c r="T65" s="27"/>
      <c r="U65" s="27" t="str">
        <f t="shared" si="27"/>
        <v/>
      </c>
      <c r="V65" s="27" t="str">
        <f t="shared" si="4"/>
        <v/>
      </c>
      <c r="W65" s="27"/>
      <c r="X65" s="28">
        <f ca="1">IF(OR(Z65=1,AA65=1,AB65=1,AC65=1,AD65=1),0,(SUMPRODUCT((groupe='Base de donnée'!C65)*(OFFSET(groupe,,1)='Base de donnée'!F65)*(OFFSET(groupe,,2)='Base de donnée'!H65)*(OFFSET(groupe,,5)))))</f>
        <v>0</v>
      </c>
      <c r="Y65" s="28"/>
      <c r="Z65" s="7"/>
      <c r="AA65" s="7"/>
      <c r="AB65" s="7"/>
      <c r="AC65" s="7"/>
      <c r="AD65" s="7"/>
      <c r="AE65" s="7"/>
    </row>
    <row r="66" spans="1:31" s="30" customFormat="1" x14ac:dyDescent="0.25">
      <c r="A66" s="6" t="s">
        <v>177</v>
      </c>
      <c r="B66" s="26" t="str">
        <f>VLOOKUP(GestionPersonnelRDJ[[#This Row],[Nom Prénom]],Personnels!Personnels,2,0)</f>
        <v>ES</v>
      </c>
      <c r="C66" s="21" t="str">
        <f>VLOOKUP(GestionPersonnelRDJ[[#This Row],[Nom Prénom]],Personnels!Personnels,3,0)</f>
        <v>GA</v>
      </c>
      <c r="D66" s="21" t="str">
        <f>VLOOKUP(GestionPersonnelRDJ[[#This Row],[Nom Prénom]],Personnels!Personnels,4,0)</f>
        <v>FDV</v>
      </c>
      <c r="E66" s="2">
        <f>INT(MOD(INT((GestionPersonnelRDJ[[#This Row],[Date]]-2)/7)+0.6,52+5/28))+1</f>
        <v>51</v>
      </c>
      <c r="F66" s="7">
        <v>3</v>
      </c>
      <c r="G66" s="8">
        <v>40901</v>
      </c>
      <c r="H66" s="5" t="str">
        <f t="shared" si="39"/>
        <v>samedi</v>
      </c>
      <c r="I66" s="27">
        <f ca="1">SUMPRODUCT((groupe='Base de donnée'!C66)*(OFFSET(groupe,,1)='Base de donnée'!F66)*(OFFSET(groupe,,2)='Base de donnée'!H66)*(OFFSET(groupe,,3)))</f>
        <v>0</v>
      </c>
      <c r="J66" s="70">
        <f ca="1">SUMPRODUCT((groupe='Base de donnée'!C66)*(OFFSET(groupe,,1)='Base de donnée'!F66)*(OFFSET(groupe,,2)='Base de donnée'!H66)*(OFFSET(groupe,,6)))</f>
        <v>0</v>
      </c>
      <c r="K66" s="70">
        <f ca="1">SUMPRODUCT((groupe='Base de donnée'!C66)*(OFFSET(groupe,,1)='Base de donnée'!F66)*(OFFSET(groupe,,2)='Base de donnée'!H66)*(OFFSET(groupe,,7)))</f>
        <v>0</v>
      </c>
      <c r="L66" s="71">
        <f ca="1">SUMPRODUCT((groupe='Base de donnée'!C66)*(OFFSET(groupe,,1)='Base de donnée'!F66)*(OFFSET(groupe,,2)='Base de donnée'!H66)*(OFFSET(groupe,,8)))</f>
        <v>0</v>
      </c>
      <c r="M66" s="71">
        <f ca="1">SUMPRODUCT((groupe='Base de donnée'!C66)*(OFFSET(groupe,,1)='Base de donnée'!F66)*(OFFSET(groupe,,2)='Base de donnée'!H66)*(OFFSET(groupe,,9)))</f>
        <v>0</v>
      </c>
      <c r="N66" s="27">
        <f t="shared" ca="1" si="35"/>
        <v>0</v>
      </c>
      <c r="O66" s="27">
        <f t="shared" ca="1" si="36"/>
        <v>0</v>
      </c>
      <c r="P66" s="49">
        <f t="shared" ca="1" si="40"/>
        <v>0</v>
      </c>
      <c r="Q66" s="49">
        <f t="shared" ca="1" si="41"/>
        <v>0</v>
      </c>
      <c r="R66" s="27"/>
      <c r="S66" s="27" t="str">
        <f t="shared" si="26"/>
        <v/>
      </c>
      <c r="T66" s="27"/>
      <c r="U66" s="27" t="str">
        <f t="shared" si="27"/>
        <v/>
      </c>
      <c r="V66" s="27" t="str">
        <f t="shared" si="4"/>
        <v/>
      </c>
      <c r="W66" s="27"/>
      <c r="X66" s="28">
        <f ca="1">IF(OR(Z66=1,AA66=1,AB66=1,AC66=1,AD66=1),0,(SUMPRODUCT((groupe='Base de donnée'!C66)*(OFFSET(groupe,,1)='Base de donnée'!F66)*(OFFSET(groupe,,2)='Base de donnée'!H66)*(OFFSET(groupe,,5)))))</f>
        <v>0</v>
      </c>
      <c r="Y66" s="28"/>
      <c r="Z66" s="7"/>
      <c r="AA66" s="7"/>
      <c r="AB66" s="7"/>
      <c r="AC66" s="7"/>
      <c r="AD66" s="7"/>
      <c r="AE66" s="7"/>
    </row>
    <row r="67" spans="1:31" s="30" customFormat="1" x14ac:dyDescent="0.25">
      <c r="A67" s="6" t="s">
        <v>177</v>
      </c>
      <c r="B67" s="26" t="str">
        <f>VLOOKUP(GestionPersonnelRDJ[[#This Row],[Nom Prénom]],Personnels!Personnels,2,0)</f>
        <v>ES</v>
      </c>
      <c r="C67" s="21" t="str">
        <f>VLOOKUP(GestionPersonnelRDJ[[#This Row],[Nom Prénom]],Personnels!Personnels,3,0)</f>
        <v>GA</v>
      </c>
      <c r="D67" s="21" t="str">
        <f>VLOOKUP(GestionPersonnelRDJ[[#This Row],[Nom Prénom]],Personnels!Personnels,4,0)</f>
        <v>FDV</v>
      </c>
      <c r="E67" s="2">
        <f>INT(MOD(INT((GestionPersonnelRDJ[[#This Row],[Date]]-2)/7)+0.6,52+5/28))+1</f>
        <v>51</v>
      </c>
      <c r="F67" s="7">
        <v>3</v>
      </c>
      <c r="G67" s="8">
        <v>40902</v>
      </c>
      <c r="H67" s="5" t="str">
        <f t="shared" si="39"/>
        <v>dimanche</v>
      </c>
      <c r="I67" s="27">
        <f ca="1">SUMPRODUCT((groupe='Base de donnée'!C67)*(OFFSET(groupe,,1)='Base de donnée'!F67)*(OFFSET(groupe,,2)='Base de donnée'!H67)*(OFFSET(groupe,,3)))</f>
        <v>0</v>
      </c>
      <c r="J67" s="70">
        <f ca="1">SUMPRODUCT((groupe='Base de donnée'!C67)*(OFFSET(groupe,,1)='Base de donnée'!F67)*(OFFSET(groupe,,2)='Base de donnée'!H67)*(OFFSET(groupe,,6)))</f>
        <v>0</v>
      </c>
      <c r="K67" s="70">
        <f ca="1">SUMPRODUCT((groupe='Base de donnée'!C67)*(OFFSET(groupe,,1)='Base de donnée'!F67)*(OFFSET(groupe,,2)='Base de donnée'!H67)*(OFFSET(groupe,,7)))</f>
        <v>0</v>
      </c>
      <c r="L67" s="71">
        <f ca="1">SUMPRODUCT((groupe='Base de donnée'!C67)*(OFFSET(groupe,,1)='Base de donnée'!F67)*(OFFSET(groupe,,2)='Base de donnée'!H67)*(OFFSET(groupe,,8)))</f>
        <v>0</v>
      </c>
      <c r="M67" s="71">
        <f ca="1">SUMPRODUCT((groupe='Base de donnée'!C67)*(OFFSET(groupe,,1)='Base de donnée'!F67)*(OFFSET(groupe,,2)='Base de donnée'!H67)*(OFFSET(groupe,,9)))</f>
        <v>0</v>
      </c>
      <c r="N67" s="27">
        <f t="shared" ca="1" si="35"/>
        <v>0</v>
      </c>
      <c r="O67" s="27">
        <f t="shared" ca="1" si="36"/>
        <v>0</v>
      </c>
      <c r="P67" s="49">
        <f t="shared" ca="1" si="40"/>
        <v>0</v>
      </c>
      <c r="Q67" s="49">
        <f t="shared" ca="1" si="41"/>
        <v>0</v>
      </c>
      <c r="R67" s="27"/>
      <c r="S67" s="27">
        <f t="shared" ca="1" si="26"/>
        <v>0</v>
      </c>
      <c r="T67" s="27"/>
      <c r="U67" s="27">
        <f t="shared" ca="1" si="27"/>
        <v>0</v>
      </c>
      <c r="V67" s="27">
        <f t="shared" ca="1" si="4"/>
        <v>0</v>
      </c>
      <c r="W67" s="27"/>
      <c r="X67" s="28">
        <f ca="1">IF(OR(Z67=1,AA67=1,AB67=1,AC67=1,AD67=1),0,(SUMPRODUCT((groupe='Base de donnée'!C67)*(OFFSET(groupe,,1)='Base de donnée'!F67)*(OFFSET(groupe,,2)='Base de donnée'!H67)*(OFFSET(groupe,,5)))))</f>
        <v>0</v>
      </c>
      <c r="Y67" s="28"/>
      <c r="Z67" s="7"/>
      <c r="AA67" s="7"/>
      <c r="AB67" s="7"/>
      <c r="AC67" s="7"/>
      <c r="AD67" s="7"/>
      <c r="AE67" s="7"/>
    </row>
    <row r="68" spans="1:31" s="30" customFormat="1" x14ac:dyDescent="0.25">
      <c r="A68" s="6" t="s">
        <v>89</v>
      </c>
      <c r="B68" s="26" t="str">
        <f>VLOOKUP(GestionPersonnelRDJ[[#This Row],[Nom Prénom]],Personnels!Personnels,2,0)</f>
        <v>ME</v>
      </c>
      <c r="C68" s="21" t="str">
        <f>VLOOKUP(GestionPersonnelRDJ[[#This Row],[Nom Prénom]],Personnels!Personnels,3,0)</f>
        <v>GA</v>
      </c>
      <c r="D68" s="21" t="str">
        <f>VLOOKUP(GestionPersonnelRDJ[[#This Row],[Nom Prénom]],Personnels!Personnels,4,0)</f>
        <v>FDV</v>
      </c>
      <c r="E68" s="2">
        <f>INT(MOD(INT((GestionPersonnelRDJ[[#This Row],[Date]]-2)/7)+0.6,52+5/28))+1</f>
        <v>51</v>
      </c>
      <c r="F68" s="7">
        <v>2</v>
      </c>
      <c r="G68" s="8">
        <v>40896</v>
      </c>
      <c r="H68" s="5" t="str">
        <f t="shared" ref="H68:H74" si="42">TEXT(WEEKDAY(G68),"jjjj")</f>
        <v>lundi</v>
      </c>
      <c r="I68" s="27">
        <f ca="1">SUMPRODUCT((groupe='Base de donnée'!C68)*(OFFSET(groupe,,1)='Base de donnée'!F68)*(OFFSET(groupe,,2)='Base de donnée'!H68)*(OFFSET(groupe,,3)))</f>
        <v>0</v>
      </c>
      <c r="J68" s="70">
        <f ca="1">SUMPRODUCT((groupe='Base de donnée'!C68)*(OFFSET(groupe,,1)='Base de donnée'!F68)*(OFFSET(groupe,,2)='Base de donnée'!H68)*(OFFSET(groupe,,6)))</f>
        <v>0</v>
      </c>
      <c r="K68" s="70">
        <f ca="1">SUMPRODUCT((groupe='Base de donnée'!C68)*(OFFSET(groupe,,1)='Base de donnée'!F68)*(OFFSET(groupe,,2)='Base de donnée'!H68)*(OFFSET(groupe,,7)))</f>
        <v>0</v>
      </c>
      <c r="L68" s="71">
        <f ca="1">SUMPRODUCT((groupe='Base de donnée'!C68)*(OFFSET(groupe,,1)='Base de donnée'!F68)*(OFFSET(groupe,,2)='Base de donnée'!H68)*(OFFSET(groupe,,8)))</f>
        <v>0</v>
      </c>
      <c r="M68" s="71">
        <f ca="1">SUMPRODUCT((groupe='Base de donnée'!C68)*(OFFSET(groupe,,1)='Base de donnée'!F68)*(OFFSET(groupe,,2)='Base de donnée'!H68)*(OFFSET(groupe,,9)))</f>
        <v>0</v>
      </c>
      <c r="N68" s="27">
        <f t="shared" ca="1" si="35"/>
        <v>0</v>
      </c>
      <c r="O68" s="27">
        <f t="shared" ca="1" si="36"/>
        <v>0</v>
      </c>
      <c r="P68" s="49">
        <f t="shared" ref="P68:P74" ca="1" si="43">IF(I68-O68-(W68+X68)&lt;=0,0,I68-O68-(W68+X68))</f>
        <v>0</v>
      </c>
      <c r="Q68" s="49">
        <f t="shared" ref="Q68:Q74" ca="1" si="44">IF(O68-I68-(W68+X68)&lt;=0,0,O68-I68-(W68+X68))</f>
        <v>0</v>
      </c>
      <c r="R68" s="27"/>
      <c r="S68" s="27" t="str">
        <f t="shared" ref="S68:S99" si="45">IF((Z68=1),"",IF(OR(WEEKDAY(G68)=1,COUNTIF(Fériés2010,G68)&gt;0),N68,""))</f>
        <v/>
      </c>
      <c r="T68" s="27"/>
      <c r="U68" s="27" t="str">
        <f t="shared" ref="U68:U99" si="46">IF(COUNTIF(Fériés2010,G68),N68,"")</f>
        <v/>
      </c>
      <c r="V68" s="27" t="str">
        <f t="shared" ref="V68:V131" si="47">IF(WEEKDAY(G68)=1,N68,"")</f>
        <v/>
      </c>
      <c r="W68" s="27"/>
      <c r="X68" s="28">
        <f ca="1">IF(OR(Z68=1,AA68=1,AB68=1,AC68=1,AD68=1),0,(SUMPRODUCT((groupe='Base de donnée'!C68)*(OFFSET(groupe,,1)='Base de donnée'!F68)*(OFFSET(groupe,,2)='Base de donnée'!H68)*(OFFSET(groupe,,5)))))</f>
        <v>0</v>
      </c>
      <c r="Y68" s="28"/>
      <c r="Z68" s="7"/>
      <c r="AA68" s="7"/>
      <c r="AB68" s="7"/>
      <c r="AC68" s="7"/>
      <c r="AD68" s="7"/>
      <c r="AE68" s="7"/>
    </row>
    <row r="69" spans="1:31" s="30" customFormat="1" x14ac:dyDescent="0.25">
      <c r="A69" s="6" t="s">
        <v>89</v>
      </c>
      <c r="B69" s="26" t="str">
        <f>VLOOKUP(GestionPersonnelRDJ[[#This Row],[Nom Prénom]],Personnels!Personnels,2,0)</f>
        <v>ME</v>
      </c>
      <c r="C69" s="21" t="str">
        <f>VLOOKUP(GestionPersonnelRDJ[[#This Row],[Nom Prénom]],Personnels!Personnels,3,0)</f>
        <v>GA</v>
      </c>
      <c r="D69" s="21" t="str">
        <f>VLOOKUP(GestionPersonnelRDJ[[#This Row],[Nom Prénom]],Personnels!Personnels,4,0)</f>
        <v>FDV</v>
      </c>
      <c r="E69" s="2">
        <f>INT(MOD(INT((GestionPersonnelRDJ[[#This Row],[Date]]-2)/7)+0.6,52+5/28))+1</f>
        <v>51</v>
      </c>
      <c r="F69" s="7">
        <v>2</v>
      </c>
      <c r="G69" s="8">
        <v>40897</v>
      </c>
      <c r="H69" s="5" t="str">
        <f t="shared" si="42"/>
        <v>mardi</v>
      </c>
      <c r="I69" s="27">
        <f ca="1">SUMPRODUCT((groupe='Base de donnée'!C69)*(OFFSET(groupe,,1)='Base de donnée'!F69)*(OFFSET(groupe,,2)='Base de donnée'!H69)*(OFFSET(groupe,,3)))</f>
        <v>6.5</v>
      </c>
      <c r="J69" s="70">
        <f ca="1">SUMPRODUCT((groupe='Base de donnée'!C69)*(OFFSET(groupe,,1)='Base de donnée'!F69)*(OFFSET(groupe,,2)='Base de donnée'!H69)*(OFFSET(groupe,,6)))</f>
        <v>0</v>
      </c>
      <c r="K69" s="70">
        <f ca="1">SUMPRODUCT((groupe='Base de donnée'!C69)*(OFFSET(groupe,,1)='Base de donnée'!F69)*(OFFSET(groupe,,2)='Base de donnée'!H69)*(OFFSET(groupe,,7)))</f>
        <v>0</v>
      </c>
      <c r="L69" s="74"/>
      <c r="M69" s="74"/>
      <c r="N69" s="27">
        <f t="shared" ca="1" si="35"/>
        <v>0</v>
      </c>
      <c r="O69" s="27">
        <f t="shared" ca="1" si="36"/>
        <v>0</v>
      </c>
      <c r="P69" s="49">
        <f t="shared" ca="1" si="43"/>
        <v>6.5</v>
      </c>
      <c r="Q69" s="49">
        <f t="shared" ca="1" si="44"/>
        <v>0</v>
      </c>
      <c r="R69" s="27"/>
      <c r="S69" s="27" t="str">
        <f t="shared" si="45"/>
        <v/>
      </c>
      <c r="T69" s="27"/>
      <c r="U69" s="27" t="str">
        <f t="shared" si="46"/>
        <v/>
      </c>
      <c r="V69" s="27" t="str">
        <f t="shared" si="47"/>
        <v/>
      </c>
      <c r="W69" s="27"/>
      <c r="X69" s="28">
        <f ca="1">IF(OR(Z69=1,AA69=1,AB69=1,AC69=1,AD69=1),0,(SUMPRODUCT((groupe='Base de donnée'!C69)*(OFFSET(groupe,,1)='Base de donnée'!F69)*(OFFSET(groupe,,2)='Base de donnée'!H69)*(OFFSET(groupe,,5)))))</f>
        <v>0</v>
      </c>
      <c r="Y69" s="28"/>
      <c r="Z69" s="7"/>
      <c r="AA69" s="7"/>
      <c r="AB69" s="7"/>
      <c r="AC69" s="7"/>
      <c r="AD69" s="7"/>
      <c r="AE69" s="7"/>
    </row>
    <row r="70" spans="1:31" s="30" customFormat="1" x14ac:dyDescent="0.25">
      <c r="A70" s="6" t="s">
        <v>89</v>
      </c>
      <c r="B70" s="26" t="str">
        <f>VLOOKUP(GestionPersonnelRDJ[[#This Row],[Nom Prénom]],Personnels!Personnels,2,0)</f>
        <v>ME</v>
      </c>
      <c r="C70" s="21" t="str">
        <f>VLOOKUP(GestionPersonnelRDJ[[#This Row],[Nom Prénom]],Personnels!Personnels,3,0)</f>
        <v>GA</v>
      </c>
      <c r="D70" s="21" t="str">
        <f>VLOOKUP(GestionPersonnelRDJ[[#This Row],[Nom Prénom]],Personnels!Personnels,4,0)</f>
        <v>FDV</v>
      </c>
      <c r="E70" s="2">
        <f>INT(MOD(INT((GestionPersonnelRDJ[[#This Row],[Date]]-2)/7)+0.6,52+5/28))+1</f>
        <v>51</v>
      </c>
      <c r="F70" s="7">
        <v>2</v>
      </c>
      <c r="G70" s="8">
        <v>40898</v>
      </c>
      <c r="H70" s="5" t="str">
        <f t="shared" si="42"/>
        <v>mercredi</v>
      </c>
      <c r="I70" s="27">
        <f ca="1">SUMPRODUCT((groupe='Base de donnée'!C70)*(OFFSET(groupe,,1)='Base de donnée'!F70)*(OFFSET(groupe,,2)='Base de donnée'!H70)*(OFFSET(groupe,,3)))</f>
        <v>10</v>
      </c>
      <c r="J70" s="75">
        <f ca="1">SUMPRODUCT((groupe='Base de donnée'!C70)*(OFFSET(groupe,,1)='Base de donnée'!F70)*(OFFSET(groupe,,2)='Base de donnée'!H70)*(OFFSET(groupe,,6)))</f>
        <v>7</v>
      </c>
      <c r="K70" s="75">
        <f ca="1">SUMPRODUCT((groupe='Base de donnée'!C70)*(OFFSET(groupe,,1)='Base de donnée'!F70)*(OFFSET(groupe,,2)='Base de donnée'!H70)*(OFFSET(groupe,,7)))</f>
        <v>12</v>
      </c>
      <c r="L70" s="75">
        <f ca="1">SUMPRODUCT((groupe='Base de donnée'!C70)*(OFFSET(groupe,,1)='Base de donnée'!F70)*(OFFSET(groupe,,2)='Base de donnée'!H70)*(OFFSET(groupe,,8)))</f>
        <v>12</v>
      </c>
      <c r="M70" s="75">
        <f ca="1">SUMPRODUCT((groupe='Base de donnée'!C70)*(OFFSET(groupe,,1)='Base de donnée'!F70)*(OFFSET(groupe,,2)='Base de donnée'!H70)*(OFFSET(groupe,,9)))</f>
        <v>17</v>
      </c>
      <c r="N70" s="27">
        <f t="shared" ca="1" si="35"/>
        <v>0</v>
      </c>
      <c r="O70" s="27">
        <f t="shared" ca="1" si="36"/>
        <v>10</v>
      </c>
      <c r="P70" s="49">
        <f t="shared" ca="1" si="43"/>
        <v>0</v>
      </c>
      <c r="Q70" s="49">
        <f t="shared" ca="1" si="44"/>
        <v>0</v>
      </c>
      <c r="R70" s="27"/>
      <c r="S70" s="27" t="str">
        <f t="shared" si="45"/>
        <v/>
      </c>
      <c r="T70" s="27"/>
      <c r="U70" s="27" t="str">
        <f t="shared" si="46"/>
        <v/>
      </c>
      <c r="V70" s="27" t="str">
        <f t="shared" si="47"/>
        <v/>
      </c>
      <c r="W70" s="27">
        <v>10</v>
      </c>
      <c r="X70" s="28">
        <f ca="1">IF(OR(Z70=1,AA70=1,AB70=1,AC70=1,AD70=1),0,(SUMPRODUCT((groupe='Base de donnée'!C70)*(OFFSET(groupe,,1)='Base de donnée'!F70)*(OFFSET(groupe,,2)='Base de donnée'!H70)*(OFFSET(groupe,,5)))))</f>
        <v>0</v>
      </c>
      <c r="Y70" s="28"/>
      <c r="Z70" s="7"/>
      <c r="AA70" s="7"/>
      <c r="AB70" s="7"/>
      <c r="AC70" s="7"/>
      <c r="AD70" s="7"/>
      <c r="AE70" s="7"/>
    </row>
    <row r="71" spans="1:31" s="30" customFormat="1" x14ac:dyDescent="0.25">
      <c r="A71" s="6" t="s">
        <v>89</v>
      </c>
      <c r="B71" s="26" t="str">
        <f>VLOOKUP(GestionPersonnelRDJ[[#This Row],[Nom Prénom]],Personnels!Personnels,2,0)</f>
        <v>ME</v>
      </c>
      <c r="C71" s="21" t="str">
        <f>VLOOKUP(GestionPersonnelRDJ[[#This Row],[Nom Prénom]],Personnels!Personnels,3,0)</f>
        <v>GA</v>
      </c>
      <c r="D71" s="21" t="str">
        <f>VLOOKUP(GestionPersonnelRDJ[[#This Row],[Nom Prénom]],Personnels!Personnels,4,0)</f>
        <v>FDV</v>
      </c>
      <c r="E71" s="2">
        <f>INT(MOD(INT((GestionPersonnelRDJ[[#This Row],[Date]]-2)/7)+0.6,52+5/28))+1</f>
        <v>51</v>
      </c>
      <c r="F71" s="7">
        <v>2</v>
      </c>
      <c r="G71" s="8">
        <v>40899</v>
      </c>
      <c r="H71" s="5" t="str">
        <f t="shared" si="42"/>
        <v>jeudi</v>
      </c>
      <c r="I71" s="27">
        <f ca="1">SUMPRODUCT((groupe='Base de donnée'!C71)*(OFFSET(groupe,,1)='Base de donnée'!F71)*(OFFSET(groupe,,2)='Base de donnée'!H71)*(OFFSET(groupe,,3)))</f>
        <v>10</v>
      </c>
      <c r="J71" s="70">
        <f ca="1">SUMPRODUCT((groupe='Base de donnée'!C71)*(OFFSET(groupe,,1)='Base de donnée'!F71)*(OFFSET(groupe,,2)='Base de donnée'!H71)*(OFFSET(groupe,,6)))</f>
        <v>7</v>
      </c>
      <c r="K71" s="70">
        <f ca="1">SUMPRODUCT((groupe='Base de donnée'!C71)*(OFFSET(groupe,,1)='Base de donnée'!F71)*(OFFSET(groupe,,2)='Base de donnée'!H71)*(OFFSET(groupe,,7)))</f>
        <v>12</v>
      </c>
      <c r="L71" s="71">
        <f ca="1">SUMPRODUCT((groupe='Base de donnée'!C71)*(OFFSET(groupe,,1)='Base de donnée'!F71)*(OFFSET(groupe,,2)='Base de donnée'!H71)*(OFFSET(groupe,,8)))</f>
        <v>12</v>
      </c>
      <c r="M71" s="71">
        <f ca="1">SUMPRODUCT((groupe='Base de donnée'!C71)*(OFFSET(groupe,,1)='Base de donnée'!F71)*(OFFSET(groupe,,2)='Base de donnée'!H71)*(OFFSET(groupe,,9)))</f>
        <v>17</v>
      </c>
      <c r="N71" s="27">
        <f t="shared" ca="1" si="35"/>
        <v>10</v>
      </c>
      <c r="O71" s="27">
        <f t="shared" ca="1" si="36"/>
        <v>10</v>
      </c>
      <c r="P71" s="49">
        <f t="shared" ca="1" si="43"/>
        <v>0</v>
      </c>
      <c r="Q71" s="49">
        <f t="shared" ca="1" si="44"/>
        <v>0</v>
      </c>
      <c r="R71" s="27"/>
      <c r="S71" s="27" t="str">
        <f t="shared" si="45"/>
        <v/>
      </c>
      <c r="T71" s="27"/>
      <c r="U71" s="27" t="str">
        <f t="shared" si="46"/>
        <v/>
      </c>
      <c r="V71" s="27" t="str">
        <f t="shared" si="47"/>
        <v/>
      </c>
      <c r="W71" s="27"/>
      <c r="X71" s="28">
        <f ca="1">IF(OR(Z71=1,AA71=1,AB71=1,AC71=1,AD71=1),0,(SUMPRODUCT((groupe='Base de donnée'!C71)*(OFFSET(groupe,,1)='Base de donnée'!F71)*(OFFSET(groupe,,2)='Base de donnée'!H71)*(OFFSET(groupe,,5)))))</f>
        <v>0</v>
      </c>
      <c r="Y71" s="28"/>
      <c r="Z71" s="7"/>
      <c r="AA71" s="7"/>
      <c r="AB71" s="7"/>
      <c r="AC71" s="7"/>
      <c r="AD71" s="7"/>
      <c r="AE71" s="7"/>
    </row>
    <row r="72" spans="1:31" s="30" customFormat="1" x14ac:dyDescent="0.25">
      <c r="A72" s="6" t="s">
        <v>89</v>
      </c>
      <c r="B72" s="26" t="str">
        <f>VLOOKUP(GestionPersonnelRDJ[[#This Row],[Nom Prénom]],Personnels!Personnels,2,0)</f>
        <v>ME</v>
      </c>
      <c r="C72" s="21" t="str">
        <f>VLOOKUP(GestionPersonnelRDJ[[#This Row],[Nom Prénom]],Personnels!Personnels,3,0)</f>
        <v>GA</v>
      </c>
      <c r="D72" s="21" t="str">
        <f>VLOOKUP(GestionPersonnelRDJ[[#This Row],[Nom Prénom]],Personnels!Personnels,4,0)</f>
        <v>FDV</v>
      </c>
      <c r="E72" s="2">
        <f>INT(MOD(INT((GestionPersonnelRDJ[[#This Row],[Date]]-2)/7)+0.6,52+5/28))+1</f>
        <v>51</v>
      </c>
      <c r="F72" s="7">
        <v>2</v>
      </c>
      <c r="G72" s="8">
        <v>40900</v>
      </c>
      <c r="H72" s="5" t="str">
        <f t="shared" si="42"/>
        <v>vendredi</v>
      </c>
      <c r="I72" s="27">
        <f ca="1">SUMPRODUCT((groupe='Base de donnée'!C72)*(OFFSET(groupe,,1)='Base de donnée'!F72)*(OFFSET(groupe,,2)='Base de donnée'!H72)*(OFFSET(groupe,,3)))</f>
        <v>10</v>
      </c>
      <c r="J72" s="70">
        <f ca="1">SUMPRODUCT((groupe='Base de donnée'!C72)*(OFFSET(groupe,,1)='Base de donnée'!F72)*(OFFSET(groupe,,2)='Base de donnée'!H72)*(OFFSET(groupe,,6)))</f>
        <v>7</v>
      </c>
      <c r="K72" s="70">
        <f ca="1">SUMPRODUCT((groupe='Base de donnée'!C72)*(OFFSET(groupe,,1)='Base de donnée'!F72)*(OFFSET(groupe,,2)='Base de donnée'!H72)*(OFFSET(groupe,,7)))</f>
        <v>12</v>
      </c>
      <c r="L72" s="71">
        <f ca="1">SUMPRODUCT((groupe='Base de donnée'!C72)*(OFFSET(groupe,,1)='Base de donnée'!F72)*(OFFSET(groupe,,2)='Base de donnée'!H72)*(OFFSET(groupe,,8)))</f>
        <v>12</v>
      </c>
      <c r="M72" s="71">
        <f ca="1">SUMPRODUCT((groupe='Base de donnée'!C72)*(OFFSET(groupe,,1)='Base de donnée'!F72)*(OFFSET(groupe,,2)='Base de donnée'!H72)*(OFFSET(groupe,,9)))</f>
        <v>17</v>
      </c>
      <c r="N72" s="27">
        <f t="shared" ca="1" si="35"/>
        <v>10</v>
      </c>
      <c r="O72" s="27">
        <f t="shared" ca="1" si="36"/>
        <v>10</v>
      </c>
      <c r="P72" s="49">
        <f t="shared" ca="1" si="43"/>
        <v>0</v>
      </c>
      <c r="Q72" s="49">
        <f t="shared" ca="1" si="44"/>
        <v>0</v>
      </c>
      <c r="R72" s="27"/>
      <c r="S72" s="27" t="str">
        <f t="shared" si="45"/>
        <v/>
      </c>
      <c r="T72" s="27"/>
      <c r="U72" s="27" t="str">
        <f t="shared" si="46"/>
        <v/>
      </c>
      <c r="V72" s="27" t="str">
        <f t="shared" si="47"/>
        <v/>
      </c>
      <c r="W72" s="27"/>
      <c r="X72" s="28">
        <f ca="1">IF(OR(Z72=1,AA72=1,AB72=1,AC72=1,AD72=1),0,(SUMPRODUCT((groupe='Base de donnée'!C72)*(OFFSET(groupe,,1)='Base de donnée'!F72)*(OFFSET(groupe,,2)='Base de donnée'!H72)*(OFFSET(groupe,,5)))))</f>
        <v>0</v>
      </c>
      <c r="Y72" s="28"/>
      <c r="Z72" s="7"/>
      <c r="AA72" s="7"/>
      <c r="AB72" s="7"/>
      <c r="AC72" s="7"/>
      <c r="AD72" s="7"/>
      <c r="AE72" s="7"/>
    </row>
    <row r="73" spans="1:31" s="30" customFormat="1" x14ac:dyDescent="0.25">
      <c r="A73" s="6" t="s">
        <v>89</v>
      </c>
      <c r="B73" s="26" t="str">
        <f>VLOOKUP(GestionPersonnelRDJ[[#This Row],[Nom Prénom]],Personnels!Personnels,2,0)</f>
        <v>ME</v>
      </c>
      <c r="C73" s="21" t="str">
        <f>VLOOKUP(GestionPersonnelRDJ[[#This Row],[Nom Prénom]],Personnels!Personnels,3,0)</f>
        <v>GA</v>
      </c>
      <c r="D73" s="21" t="str">
        <f>VLOOKUP(GestionPersonnelRDJ[[#This Row],[Nom Prénom]],Personnels!Personnels,4,0)</f>
        <v>FDV</v>
      </c>
      <c r="E73" s="2">
        <f>INT(MOD(INT((GestionPersonnelRDJ[[#This Row],[Date]]-2)/7)+0.6,52+5/28))+1</f>
        <v>51</v>
      </c>
      <c r="F73" s="7">
        <v>2</v>
      </c>
      <c r="G73" s="8">
        <v>40901</v>
      </c>
      <c r="H73" s="5" t="str">
        <f t="shared" si="42"/>
        <v>samedi</v>
      </c>
      <c r="I73" s="27">
        <f ca="1">SUMPRODUCT((groupe='Base de donnée'!C73)*(OFFSET(groupe,,1)='Base de donnée'!F73)*(OFFSET(groupe,,2)='Base de donnée'!H73)*(OFFSET(groupe,,3)))</f>
        <v>0</v>
      </c>
      <c r="J73" s="70">
        <f ca="1">SUMPRODUCT((groupe='Base de donnée'!C73)*(OFFSET(groupe,,1)='Base de donnée'!F73)*(OFFSET(groupe,,2)='Base de donnée'!H73)*(OFFSET(groupe,,6)))</f>
        <v>0</v>
      </c>
      <c r="K73" s="70">
        <f ca="1">SUMPRODUCT((groupe='Base de donnée'!C73)*(OFFSET(groupe,,1)='Base de donnée'!F73)*(OFFSET(groupe,,2)='Base de donnée'!H73)*(OFFSET(groupe,,7)))</f>
        <v>0</v>
      </c>
      <c r="L73" s="71">
        <f ca="1">SUMPRODUCT((groupe='Base de donnée'!C73)*(OFFSET(groupe,,1)='Base de donnée'!F73)*(OFFSET(groupe,,2)='Base de donnée'!H73)*(OFFSET(groupe,,8)))</f>
        <v>0</v>
      </c>
      <c r="M73" s="71">
        <f ca="1">SUMPRODUCT((groupe='Base de donnée'!C73)*(OFFSET(groupe,,1)='Base de donnée'!F73)*(OFFSET(groupe,,2)='Base de donnée'!H73)*(OFFSET(groupe,,9)))</f>
        <v>0</v>
      </c>
      <c r="N73" s="27">
        <f t="shared" ca="1" si="35"/>
        <v>0</v>
      </c>
      <c r="O73" s="27">
        <f t="shared" ca="1" si="36"/>
        <v>0</v>
      </c>
      <c r="P73" s="49">
        <f t="shared" ca="1" si="43"/>
        <v>0</v>
      </c>
      <c r="Q73" s="49">
        <f t="shared" ca="1" si="44"/>
        <v>0</v>
      </c>
      <c r="R73" s="27"/>
      <c r="S73" s="27" t="str">
        <f t="shared" si="45"/>
        <v/>
      </c>
      <c r="T73" s="27"/>
      <c r="U73" s="27" t="str">
        <f t="shared" si="46"/>
        <v/>
      </c>
      <c r="V73" s="27" t="str">
        <f t="shared" si="47"/>
        <v/>
      </c>
      <c r="W73" s="27"/>
      <c r="X73" s="28">
        <f ca="1">IF(OR(Z73=1,AA73=1,AB73=1,AC73=1,AD73=1),0,(SUMPRODUCT((groupe='Base de donnée'!C73)*(OFFSET(groupe,,1)='Base de donnée'!F73)*(OFFSET(groupe,,2)='Base de donnée'!H73)*(OFFSET(groupe,,5)))))</f>
        <v>0</v>
      </c>
      <c r="Y73" s="28"/>
      <c r="Z73" s="7"/>
      <c r="AA73" s="7"/>
      <c r="AB73" s="7"/>
      <c r="AC73" s="7"/>
      <c r="AD73" s="7"/>
      <c r="AE73" s="7"/>
    </row>
    <row r="74" spans="1:31" s="30" customFormat="1" x14ac:dyDescent="0.25">
      <c r="A74" s="6" t="s">
        <v>89</v>
      </c>
      <c r="B74" s="26" t="str">
        <f>VLOOKUP(GestionPersonnelRDJ[[#This Row],[Nom Prénom]],Personnels!Personnels,2,0)</f>
        <v>ME</v>
      </c>
      <c r="C74" s="21" t="str">
        <f>VLOOKUP(GestionPersonnelRDJ[[#This Row],[Nom Prénom]],Personnels!Personnels,3,0)</f>
        <v>GA</v>
      </c>
      <c r="D74" s="21" t="str">
        <f>VLOOKUP(GestionPersonnelRDJ[[#This Row],[Nom Prénom]],Personnels!Personnels,4,0)</f>
        <v>FDV</v>
      </c>
      <c r="E74" s="2">
        <f>INT(MOD(INT((GestionPersonnelRDJ[[#This Row],[Date]]-2)/7)+0.6,52+5/28))+1</f>
        <v>51</v>
      </c>
      <c r="F74" s="7">
        <v>2</v>
      </c>
      <c r="G74" s="8">
        <v>40902</v>
      </c>
      <c r="H74" s="5" t="str">
        <f t="shared" si="42"/>
        <v>dimanche</v>
      </c>
      <c r="I74" s="27">
        <f ca="1">SUMPRODUCT((groupe='Base de donnée'!C74)*(OFFSET(groupe,,1)='Base de donnée'!F74)*(OFFSET(groupe,,2)='Base de donnée'!H74)*(OFFSET(groupe,,3)))</f>
        <v>0</v>
      </c>
      <c r="J74" s="73">
        <v>8</v>
      </c>
      <c r="K74" s="73">
        <v>12</v>
      </c>
      <c r="L74" s="73">
        <v>12</v>
      </c>
      <c r="M74" s="73">
        <v>14</v>
      </c>
      <c r="N74" s="27">
        <f t="shared" si="35"/>
        <v>6</v>
      </c>
      <c r="O74" s="27">
        <f t="shared" ca="1" si="36"/>
        <v>12</v>
      </c>
      <c r="P74" s="49">
        <f t="shared" ca="1" si="43"/>
        <v>0</v>
      </c>
      <c r="Q74" s="49">
        <f t="shared" ca="1" si="44"/>
        <v>12</v>
      </c>
      <c r="R74" s="27"/>
      <c r="S74" s="27">
        <f t="shared" si="45"/>
        <v>6</v>
      </c>
      <c r="T74" s="27"/>
      <c r="U74" s="27">
        <f t="shared" si="46"/>
        <v>6</v>
      </c>
      <c r="V74" s="27">
        <f t="shared" si="47"/>
        <v>6</v>
      </c>
      <c r="W74" s="27"/>
      <c r="X74" s="28">
        <f ca="1">IF(OR(Z74=1,AA74=1,AB74=1,AC74=1,AD74=1),0,(SUMPRODUCT((groupe='Base de donnée'!C74)*(OFFSET(groupe,,1)='Base de donnée'!F74)*(OFFSET(groupe,,2)='Base de donnée'!H74)*(OFFSET(groupe,,5)))))</f>
        <v>0</v>
      </c>
      <c r="Y74" s="28"/>
      <c r="Z74" s="7"/>
      <c r="AA74" s="7"/>
      <c r="AB74" s="7"/>
      <c r="AC74" s="7"/>
      <c r="AD74" s="7"/>
      <c r="AE74" s="7"/>
    </row>
    <row r="75" spans="1:31" s="30" customFormat="1" x14ac:dyDescent="0.25">
      <c r="A75" s="6" t="s">
        <v>78</v>
      </c>
      <c r="B75" s="26" t="str">
        <f>VLOOKUP(GestionPersonnelRDJ[[#This Row],[Nom Prénom]],Personnels!Personnels,2,0)</f>
        <v>AMP</v>
      </c>
      <c r="C75" s="21" t="str">
        <f>VLOOKUP(GestionPersonnelRDJ[[#This Row],[Nom Prénom]],Personnels!Personnels,3,0)</f>
        <v>Fhaut</v>
      </c>
      <c r="D75" s="21" t="str">
        <f>VLOOKUP(GestionPersonnelRDJ[[#This Row],[Nom Prénom]],Personnels!Personnels,4,0)</f>
        <v>FH</v>
      </c>
      <c r="E75" s="2">
        <f>INT(MOD(INT((GestionPersonnelRDJ[[#This Row],[Date]]-2)/7)+0.6,52+5/28))+1</f>
        <v>50</v>
      </c>
      <c r="F75" s="7">
        <v>5</v>
      </c>
      <c r="G75" s="8">
        <v>40889</v>
      </c>
      <c r="H75" s="5" t="str">
        <f t="shared" ref="H75:H81" si="48">TEXT(WEEKDAY(G75),"jjjj")</f>
        <v>lundi</v>
      </c>
      <c r="I75" s="27">
        <f ca="1">SUMPRODUCT((groupe='Base de donnée'!C75)*(OFFSET(groupe,,1)='Base de donnée'!F75)*(OFFSET(groupe,,2)='Base de donnée'!H75)*(OFFSET(groupe,,3)))</f>
        <v>0</v>
      </c>
      <c r="J75" s="70">
        <f ca="1">SUMPRODUCT((groupe='Base de donnée'!C75)*(OFFSET(groupe,,1)='Base de donnée'!F75)*(OFFSET(groupe,,2)='Base de donnée'!H75)*(OFFSET(groupe,,6)))</f>
        <v>0</v>
      </c>
      <c r="K75" s="70">
        <f ca="1">SUMPRODUCT((groupe='Base de donnée'!C75)*(OFFSET(groupe,,1)='Base de donnée'!F75)*(OFFSET(groupe,,2)='Base de donnée'!H75)*(OFFSET(groupe,,7)))</f>
        <v>0</v>
      </c>
      <c r="L75" s="71">
        <f ca="1">SUMPRODUCT((groupe='Base de donnée'!C75)*(OFFSET(groupe,,1)='Base de donnée'!F75)*(OFFSET(groupe,,2)='Base de donnée'!H75)*(OFFSET(groupe,,8)))</f>
        <v>0</v>
      </c>
      <c r="M75" s="71">
        <f ca="1">SUMPRODUCT((groupe='Base de donnée'!C75)*(OFFSET(groupe,,1)='Base de donnée'!F75)*(OFFSET(groupe,,2)='Base de donnée'!H75)*(OFFSET(groupe,,9)))</f>
        <v>0</v>
      </c>
      <c r="N75" s="27">
        <f t="shared" ca="1" si="0"/>
        <v>0</v>
      </c>
      <c r="O75" s="27">
        <f t="shared" ca="1" si="1"/>
        <v>0</v>
      </c>
      <c r="P75" s="49">
        <f t="shared" ref="P75:P81" ca="1" si="49">IF(I75-O75-(W75+X75)&lt;=0,0,I75-O75-(W75+X75))</f>
        <v>0</v>
      </c>
      <c r="Q75" s="49">
        <f t="shared" ref="Q75:Q81" ca="1" si="50">IF(O75-I75-(W75+X75)&lt;=0,0,O75-I75-(W75+X75))</f>
        <v>0</v>
      </c>
      <c r="R75" s="27"/>
      <c r="S75" s="27" t="str">
        <f t="shared" si="45"/>
        <v/>
      </c>
      <c r="T75" s="27"/>
      <c r="U75" s="27" t="str">
        <f t="shared" si="46"/>
        <v/>
      </c>
      <c r="V75" s="27" t="str">
        <f t="shared" si="47"/>
        <v/>
      </c>
      <c r="W75" s="27"/>
      <c r="X75" s="28">
        <f ca="1">IF(OR(Z75=1,AA75=1,AB75=1,AC75=1,AD75=1),0,(SUMPRODUCT((groupe='Base de donnée'!C75)*(OFFSET(groupe,,1)='Base de donnée'!F75)*(OFFSET(groupe,,2)='Base de donnée'!H75)*(OFFSET(groupe,,5)))))</f>
        <v>0</v>
      </c>
      <c r="Y75" s="28"/>
      <c r="Z75" s="7"/>
      <c r="AA75" s="7"/>
      <c r="AB75" s="7"/>
      <c r="AC75" s="7"/>
      <c r="AD75" s="7"/>
      <c r="AE75" s="7"/>
    </row>
    <row r="76" spans="1:31" s="30" customFormat="1" x14ac:dyDescent="0.25">
      <c r="A76" s="6" t="s">
        <v>78</v>
      </c>
      <c r="B76" s="26" t="str">
        <f>VLOOKUP(GestionPersonnelRDJ[[#This Row],[Nom Prénom]],Personnels!Personnels,2,0)</f>
        <v>AMP</v>
      </c>
      <c r="C76" s="21" t="str">
        <f>VLOOKUP(GestionPersonnelRDJ[[#This Row],[Nom Prénom]],Personnels!Personnels,3,0)</f>
        <v>Fhaut</v>
      </c>
      <c r="D76" s="21" t="str">
        <f>VLOOKUP(GestionPersonnelRDJ[[#This Row],[Nom Prénom]],Personnels!Personnels,4,0)</f>
        <v>FH</v>
      </c>
      <c r="E76" s="2">
        <f>INT(MOD(INT((GestionPersonnelRDJ[[#This Row],[Date]]-2)/7)+0.6,52+5/28))+1</f>
        <v>50</v>
      </c>
      <c r="F76" s="7">
        <v>5</v>
      </c>
      <c r="G76" s="8">
        <v>40890</v>
      </c>
      <c r="H76" s="5" t="str">
        <f t="shared" si="48"/>
        <v>mardi</v>
      </c>
      <c r="I76" s="27">
        <f ca="1">SUMPRODUCT((groupe='Base de donnée'!C76)*(OFFSET(groupe,,1)='Base de donnée'!F76)*(OFFSET(groupe,,2)='Base de donnée'!H76)*(OFFSET(groupe,,3)))</f>
        <v>11</v>
      </c>
      <c r="J76" s="70">
        <f ca="1">SUMPRODUCT((groupe='Base de donnée'!C76)*(OFFSET(groupe,,1)='Base de donnée'!F76)*(OFFSET(groupe,,2)='Base de donnée'!H76)*(OFFSET(groupe,,6)))</f>
        <v>7</v>
      </c>
      <c r="K76" s="70">
        <f ca="1">SUMPRODUCT((groupe='Base de donnée'!C76)*(OFFSET(groupe,,1)='Base de donnée'!F76)*(OFFSET(groupe,,2)='Base de donnée'!H76)*(OFFSET(groupe,,7)))</f>
        <v>12.5</v>
      </c>
      <c r="L76" s="71">
        <f ca="1">SUMPRODUCT((groupe='Base de donnée'!C76)*(OFFSET(groupe,,1)='Base de donnée'!F76)*(OFFSET(groupe,,2)='Base de donnée'!H76)*(OFFSET(groupe,,8)))</f>
        <v>16.5</v>
      </c>
      <c r="M76" s="71">
        <f ca="1">SUMPRODUCT((groupe='Base de donnée'!C76)*(OFFSET(groupe,,1)='Base de donnée'!F76)*(OFFSET(groupe,,2)='Base de donnée'!H76)*(OFFSET(groupe,,9)))</f>
        <v>22</v>
      </c>
      <c r="N76" s="27">
        <f t="shared" ca="1" si="0"/>
        <v>11</v>
      </c>
      <c r="O76" s="27">
        <f t="shared" ca="1" si="1"/>
        <v>11</v>
      </c>
      <c r="P76" s="49">
        <f t="shared" ca="1" si="49"/>
        <v>0</v>
      </c>
      <c r="Q76" s="49">
        <f t="shared" ca="1" si="50"/>
        <v>0</v>
      </c>
      <c r="R76" s="27"/>
      <c r="S76" s="27" t="str">
        <f t="shared" si="45"/>
        <v/>
      </c>
      <c r="T76" s="27"/>
      <c r="U76" s="27" t="str">
        <f t="shared" si="46"/>
        <v/>
      </c>
      <c r="V76" s="27" t="str">
        <f t="shared" si="47"/>
        <v/>
      </c>
      <c r="W76" s="27"/>
      <c r="X76" s="28">
        <f ca="1">IF(OR(Z76=1,AA76=1,AB76=1,AC76=1,AD76=1),0,(SUMPRODUCT((groupe='Base de donnée'!C76)*(OFFSET(groupe,,1)='Base de donnée'!F76)*(OFFSET(groupe,,2)='Base de donnée'!H76)*(OFFSET(groupe,,5)))))</f>
        <v>0</v>
      </c>
      <c r="Y76" s="28"/>
      <c r="Z76" s="7"/>
      <c r="AA76" s="7"/>
      <c r="AB76" s="7"/>
      <c r="AC76" s="7"/>
      <c r="AD76" s="7"/>
      <c r="AE76" s="7"/>
    </row>
    <row r="77" spans="1:31" s="30" customFormat="1" x14ac:dyDescent="0.25">
      <c r="A77" s="6" t="s">
        <v>78</v>
      </c>
      <c r="B77" s="26" t="str">
        <f>VLOOKUP(GestionPersonnelRDJ[[#This Row],[Nom Prénom]],Personnels!Personnels,2,0)</f>
        <v>AMP</v>
      </c>
      <c r="C77" s="21" t="str">
        <f>VLOOKUP(GestionPersonnelRDJ[[#This Row],[Nom Prénom]],Personnels!Personnels,3,0)</f>
        <v>Fhaut</v>
      </c>
      <c r="D77" s="21" t="str">
        <f>VLOOKUP(GestionPersonnelRDJ[[#This Row],[Nom Prénom]],Personnels!Personnels,4,0)</f>
        <v>FH</v>
      </c>
      <c r="E77" s="2">
        <f>INT(MOD(INT((GestionPersonnelRDJ[[#This Row],[Date]]-2)/7)+0.6,52+5/28))+1</f>
        <v>50</v>
      </c>
      <c r="F77" s="7">
        <v>5</v>
      </c>
      <c r="G77" s="8">
        <v>40891</v>
      </c>
      <c r="H77" s="5" t="str">
        <f t="shared" si="48"/>
        <v>mercredi</v>
      </c>
      <c r="I77" s="27">
        <f ca="1">SUMPRODUCT((groupe='Base de donnée'!C77)*(OFFSET(groupe,,1)='Base de donnée'!F77)*(OFFSET(groupe,,2)='Base de donnée'!H77)*(OFFSET(groupe,,3)))</f>
        <v>5.5</v>
      </c>
      <c r="J77" s="70">
        <f ca="1">SUMPRODUCT((groupe='Base de donnée'!C77)*(OFFSET(groupe,,1)='Base de donnée'!F77)*(OFFSET(groupe,,2)='Base de donnée'!H77)*(OFFSET(groupe,,6)))</f>
        <v>0</v>
      </c>
      <c r="K77" s="70">
        <f ca="1">SUMPRODUCT((groupe='Base de donnée'!C77)*(OFFSET(groupe,,1)='Base de donnée'!F77)*(OFFSET(groupe,,2)='Base de donnée'!H77)*(OFFSET(groupe,,7)))</f>
        <v>0</v>
      </c>
      <c r="L77" s="71">
        <f ca="1">SUMPRODUCT((groupe='Base de donnée'!C77)*(OFFSET(groupe,,1)='Base de donnée'!F77)*(OFFSET(groupe,,2)='Base de donnée'!H77)*(OFFSET(groupe,,8)))</f>
        <v>16.5</v>
      </c>
      <c r="M77" s="71">
        <f ca="1">SUMPRODUCT((groupe='Base de donnée'!C77)*(OFFSET(groupe,,1)='Base de donnée'!F77)*(OFFSET(groupe,,2)='Base de donnée'!H77)*(OFFSET(groupe,,9)))</f>
        <v>22</v>
      </c>
      <c r="N77" s="27">
        <f t="shared" ca="1" si="0"/>
        <v>5.5</v>
      </c>
      <c r="O77" s="27">
        <f t="shared" ca="1" si="1"/>
        <v>5.5</v>
      </c>
      <c r="P77" s="49">
        <f t="shared" ca="1" si="49"/>
        <v>0</v>
      </c>
      <c r="Q77" s="49">
        <f t="shared" ca="1" si="50"/>
        <v>0</v>
      </c>
      <c r="R77" s="27"/>
      <c r="S77" s="27" t="str">
        <f t="shared" si="45"/>
        <v/>
      </c>
      <c r="T77" s="27"/>
      <c r="U77" s="27" t="str">
        <f t="shared" si="46"/>
        <v/>
      </c>
      <c r="V77" s="27" t="str">
        <f t="shared" si="47"/>
        <v/>
      </c>
      <c r="W77" s="27"/>
      <c r="X77" s="28">
        <f ca="1">IF(OR(Z77=1,AA77=1,AB77=1,AC77=1,AD77=1),0,(SUMPRODUCT((groupe='Base de donnée'!C77)*(OFFSET(groupe,,1)='Base de donnée'!F77)*(OFFSET(groupe,,2)='Base de donnée'!H77)*(OFFSET(groupe,,5)))))</f>
        <v>0</v>
      </c>
      <c r="Y77" s="28"/>
      <c r="Z77" s="7"/>
      <c r="AA77" s="7"/>
      <c r="AB77" s="7"/>
      <c r="AC77" s="7"/>
      <c r="AD77" s="7"/>
      <c r="AE77" s="7"/>
    </row>
    <row r="78" spans="1:31" s="30" customFormat="1" x14ac:dyDescent="0.25">
      <c r="A78" s="6" t="s">
        <v>78</v>
      </c>
      <c r="B78" s="26" t="str">
        <f>VLOOKUP(GestionPersonnelRDJ[[#This Row],[Nom Prénom]],Personnels!Personnels,2,0)</f>
        <v>AMP</v>
      </c>
      <c r="C78" s="21" t="str">
        <f>VLOOKUP(GestionPersonnelRDJ[[#This Row],[Nom Prénom]],Personnels!Personnels,3,0)</f>
        <v>Fhaut</v>
      </c>
      <c r="D78" s="21" t="str">
        <f>VLOOKUP(GestionPersonnelRDJ[[#This Row],[Nom Prénom]],Personnels!Personnels,4,0)</f>
        <v>FH</v>
      </c>
      <c r="E78" s="2">
        <f>INT(MOD(INT((GestionPersonnelRDJ[[#This Row],[Date]]-2)/7)+0.6,52+5/28))+1</f>
        <v>50</v>
      </c>
      <c r="F78" s="7">
        <v>5</v>
      </c>
      <c r="G78" s="8">
        <v>40892</v>
      </c>
      <c r="H78" s="5" t="str">
        <f t="shared" si="48"/>
        <v>jeudi</v>
      </c>
      <c r="I78" s="27">
        <f ca="1">SUMPRODUCT((groupe='Base de donnée'!C78)*(OFFSET(groupe,,1)='Base de donnée'!F78)*(OFFSET(groupe,,2)='Base de donnée'!H78)*(OFFSET(groupe,,3)))</f>
        <v>10</v>
      </c>
      <c r="J78" s="70">
        <f ca="1">SUMPRODUCT((groupe='Base de donnée'!C78)*(OFFSET(groupe,,1)='Base de donnée'!F78)*(OFFSET(groupe,,2)='Base de donnée'!H78)*(OFFSET(groupe,,6)))</f>
        <v>9</v>
      </c>
      <c r="K78" s="70">
        <f ca="1">SUMPRODUCT((groupe='Base de donnée'!C78)*(OFFSET(groupe,,1)='Base de donnée'!F78)*(OFFSET(groupe,,2)='Base de donnée'!H78)*(OFFSET(groupe,,7)))</f>
        <v>12</v>
      </c>
      <c r="L78" s="71">
        <f ca="1">SUMPRODUCT((groupe='Base de donnée'!C78)*(OFFSET(groupe,,1)='Base de donnée'!F78)*(OFFSET(groupe,,2)='Base de donnée'!H78)*(OFFSET(groupe,,8)))</f>
        <v>12</v>
      </c>
      <c r="M78" s="71">
        <f ca="1">SUMPRODUCT((groupe='Base de donnée'!C78)*(OFFSET(groupe,,1)='Base de donnée'!F78)*(OFFSET(groupe,,2)='Base de donnée'!H78)*(OFFSET(groupe,,9)))</f>
        <v>19</v>
      </c>
      <c r="N78" s="27">
        <f t="shared" ca="1" si="0"/>
        <v>10</v>
      </c>
      <c r="O78" s="27">
        <f t="shared" ca="1" si="1"/>
        <v>10</v>
      </c>
      <c r="P78" s="49">
        <f t="shared" ca="1" si="49"/>
        <v>0</v>
      </c>
      <c r="Q78" s="49">
        <f t="shared" ca="1" si="50"/>
        <v>0</v>
      </c>
      <c r="R78" s="27"/>
      <c r="S78" s="27" t="str">
        <f t="shared" si="45"/>
        <v/>
      </c>
      <c r="T78" s="27"/>
      <c r="U78" s="27" t="str">
        <f t="shared" si="46"/>
        <v/>
      </c>
      <c r="V78" s="27" t="str">
        <f t="shared" si="47"/>
        <v/>
      </c>
      <c r="W78" s="27"/>
      <c r="X78" s="28">
        <f ca="1">IF(OR(Z78=1,AA78=1,AB78=1,AC78=1,AD78=1),0,(SUMPRODUCT((groupe='Base de donnée'!C78)*(OFFSET(groupe,,1)='Base de donnée'!F78)*(OFFSET(groupe,,2)='Base de donnée'!H78)*(OFFSET(groupe,,5)))))</f>
        <v>0</v>
      </c>
      <c r="Y78" s="28"/>
      <c r="Z78" s="7"/>
      <c r="AA78" s="7"/>
      <c r="AB78" s="7"/>
      <c r="AC78" s="7"/>
      <c r="AD78" s="7"/>
      <c r="AE78" s="7"/>
    </row>
    <row r="79" spans="1:31" s="30" customFormat="1" x14ac:dyDescent="0.25">
      <c r="A79" s="6" t="s">
        <v>78</v>
      </c>
      <c r="B79" s="26" t="str">
        <f>VLOOKUP(GestionPersonnelRDJ[[#This Row],[Nom Prénom]],Personnels!Personnels,2,0)</f>
        <v>AMP</v>
      </c>
      <c r="C79" s="21" t="str">
        <f>VLOOKUP(GestionPersonnelRDJ[[#This Row],[Nom Prénom]],Personnels!Personnels,3,0)</f>
        <v>Fhaut</v>
      </c>
      <c r="D79" s="21" t="str">
        <f>VLOOKUP(GestionPersonnelRDJ[[#This Row],[Nom Prénom]],Personnels!Personnels,4,0)</f>
        <v>FH</v>
      </c>
      <c r="E79" s="2">
        <f>INT(MOD(INT((GestionPersonnelRDJ[[#This Row],[Date]]-2)/7)+0.6,52+5/28))+1</f>
        <v>50</v>
      </c>
      <c r="F79" s="7">
        <v>5</v>
      </c>
      <c r="G79" s="8">
        <v>40893</v>
      </c>
      <c r="H79" s="5" t="str">
        <f t="shared" si="48"/>
        <v>vendredi</v>
      </c>
      <c r="I79" s="27">
        <f ca="1">SUMPRODUCT((groupe='Base de donnée'!C79)*(OFFSET(groupe,,1)='Base de donnée'!F79)*(OFFSET(groupe,,2)='Base de donnée'!H79)*(OFFSET(groupe,,3)))</f>
        <v>10</v>
      </c>
      <c r="J79" s="70">
        <f ca="1">SUMPRODUCT((groupe='Base de donnée'!C79)*(OFFSET(groupe,,1)='Base de donnée'!F79)*(OFFSET(groupe,,2)='Base de donnée'!H79)*(OFFSET(groupe,,6)))</f>
        <v>7</v>
      </c>
      <c r="K79" s="70">
        <f ca="1">SUMPRODUCT((groupe='Base de donnée'!C79)*(OFFSET(groupe,,1)='Base de donnée'!F79)*(OFFSET(groupe,,2)='Base de donnée'!H79)*(OFFSET(groupe,,7)))</f>
        <v>9.5</v>
      </c>
      <c r="L79" s="71">
        <f ca="1">SUMPRODUCT((groupe='Base de donnée'!C79)*(OFFSET(groupe,,1)='Base de donnée'!F79)*(OFFSET(groupe,,2)='Base de donnée'!H79)*(OFFSET(groupe,,8)))</f>
        <v>15.5</v>
      </c>
      <c r="M79" s="71">
        <f ca="1">SUMPRODUCT((groupe='Base de donnée'!C79)*(OFFSET(groupe,,1)='Base de donnée'!F79)*(OFFSET(groupe,,2)='Base de donnée'!H79)*(OFFSET(groupe,,9)))</f>
        <v>23</v>
      </c>
      <c r="N79" s="27">
        <f t="shared" ca="1" si="0"/>
        <v>10</v>
      </c>
      <c r="O79" s="27">
        <f t="shared" ca="1" si="1"/>
        <v>10</v>
      </c>
      <c r="P79" s="49">
        <f t="shared" ca="1" si="49"/>
        <v>0</v>
      </c>
      <c r="Q79" s="49">
        <f t="shared" ca="1" si="50"/>
        <v>0</v>
      </c>
      <c r="R79" s="27"/>
      <c r="S79" s="27" t="str">
        <f t="shared" si="45"/>
        <v/>
      </c>
      <c r="T79" s="27"/>
      <c r="U79" s="27" t="str">
        <f t="shared" si="46"/>
        <v/>
      </c>
      <c r="V79" s="27" t="str">
        <f t="shared" si="47"/>
        <v/>
      </c>
      <c r="W79" s="27"/>
      <c r="X79" s="28">
        <f ca="1">IF(OR(Z79=1,AA79=1,AB79=1,AC79=1,AD79=1),0,(SUMPRODUCT((groupe='Base de donnée'!C79)*(OFFSET(groupe,,1)='Base de donnée'!F79)*(OFFSET(groupe,,2)='Base de donnée'!H79)*(OFFSET(groupe,,5)))))</f>
        <v>0</v>
      </c>
      <c r="Y79" s="28"/>
      <c r="Z79" s="7"/>
      <c r="AA79" s="7"/>
      <c r="AB79" s="7"/>
      <c r="AC79" s="7"/>
      <c r="AD79" s="7"/>
      <c r="AE79" s="7"/>
    </row>
    <row r="80" spans="1:31" s="30" customFormat="1" x14ac:dyDescent="0.25">
      <c r="A80" s="6" t="s">
        <v>78</v>
      </c>
      <c r="B80" s="26" t="str">
        <f>VLOOKUP(GestionPersonnelRDJ[[#This Row],[Nom Prénom]],Personnels!Personnels,2,0)</f>
        <v>AMP</v>
      </c>
      <c r="C80" s="21" t="str">
        <f>VLOOKUP(GestionPersonnelRDJ[[#This Row],[Nom Prénom]],Personnels!Personnels,3,0)</f>
        <v>Fhaut</v>
      </c>
      <c r="D80" s="21" t="str">
        <f>VLOOKUP(GestionPersonnelRDJ[[#This Row],[Nom Prénom]],Personnels!Personnels,4,0)</f>
        <v>FH</v>
      </c>
      <c r="E80" s="2">
        <f>INT(MOD(INT((GestionPersonnelRDJ[[#This Row],[Date]]-2)/7)+0.6,52+5/28))+1</f>
        <v>50</v>
      </c>
      <c r="F80" s="7">
        <v>5</v>
      </c>
      <c r="G80" s="8">
        <v>40894</v>
      </c>
      <c r="H80" s="5" t="str">
        <f t="shared" si="48"/>
        <v>samedi</v>
      </c>
      <c r="I80" s="27">
        <f ca="1">SUMPRODUCT((groupe='Base de donnée'!C80)*(OFFSET(groupe,,1)='Base de donnée'!F80)*(OFFSET(groupe,,2)='Base de donnée'!H80)*(OFFSET(groupe,,3)))</f>
        <v>0</v>
      </c>
      <c r="J80" s="70">
        <f ca="1">SUMPRODUCT((groupe='Base de donnée'!C80)*(OFFSET(groupe,,1)='Base de donnée'!F80)*(OFFSET(groupe,,2)='Base de donnée'!H80)*(OFFSET(groupe,,6)))</f>
        <v>0</v>
      </c>
      <c r="K80" s="70">
        <f ca="1">SUMPRODUCT((groupe='Base de donnée'!C80)*(OFFSET(groupe,,1)='Base de donnée'!F80)*(OFFSET(groupe,,2)='Base de donnée'!H80)*(OFFSET(groupe,,7)))</f>
        <v>0</v>
      </c>
      <c r="L80" s="71">
        <f ca="1">SUMPRODUCT((groupe='Base de donnée'!C80)*(OFFSET(groupe,,1)='Base de donnée'!F80)*(OFFSET(groupe,,2)='Base de donnée'!H80)*(OFFSET(groupe,,8)))</f>
        <v>0</v>
      </c>
      <c r="M80" s="71">
        <f ca="1">SUMPRODUCT((groupe='Base de donnée'!C80)*(OFFSET(groupe,,1)='Base de donnée'!F80)*(OFFSET(groupe,,2)='Base de donnée'!H80)*(OFFSET(groupe,,9)))</f>
        <v>0</v>
      </c>
      <c r="N80" s="27">
        <f t="shared" ca="1" si="0"/>
        <v>0</v>
      </c>
      <c r="O80" s="27">
        <f t="shared" ca="1" si="1"/>
        <v>0</v>
      </c>
      <c r="P80" s="49">
        <f t="shared" ca="1" si="49"/>
        <v>0</v>
      </c>
      <c r="Q80" s="49">
        <f t="shared" ca="1" si="50"/>
        <v>0</v>
      </c>
      <c r="R80" s="27"/>
      <c r="S80" s="27" t="str">
        <f t="shared" si="45"/>
        <v/>
      </c>
      <c r="T80" s="27"/>
      <c r="U80" s="27" t="str">
        <f t="shared" si="46"/>
        <v/>
      </c>
      <c r="V80" s="27" t="str">
        <f t="shared" si="47"/>
        <v/>
      </c>
      <c r="W80" s="27"/>
      <c r="X80" s="28">
        <f ca="1">IF(OR(Z80=1,AA80=1,AB80=1,AC80=1,AD80=1),0,(SUMPRODUCT((groupe='Base de donnée'!C80)*(OFFSET(groupe,,1)='Base de donnée'!F80)*(OFFSET(groupe,,2)='Base de donnée'!H80)*(OFFSET(groupe,,5)))))</f>
        <v>0</v>
      </c>
      <c r="Y80" s="28"/>
      <c r="Z80" s="7"/>
      <c r="AA80" s="7"/>
      <c r="AB80" s="7"/>
      <c r="AC80" s="7"/>
      <c r="AD80" s="7"/>
      <c r="AE80" s="7"/>
    </row>
    <row r="81" spans="1:31" s="30" customFormat="1" x14ac:dyDescent="0.25">
      <c r="A81" s="6" t="s">
        <v>78</v>
      </c>
      <c r="B81" s="26" t="str">
        <f>VLOOKUP(GestionPersonnelRDJ[[#This Row],[Nom Prénom]],Personnels!Personnels,2,0)</f>
        <v>AMP</v>
      </c>
      <c r="C81" s="21" t="str">
        <f>VLOOKUP(GestionPersonnelRDJ[[#This Row],[Nom Prénom]],Personnels!Personnels,3,0)</f>
        <v>Fhaut</v>
      </c>
      <c r="D81" s="21" t="str">
        <f>VLOOKUP(GestionPersonnelRDJ[[#This Row],[Nom Prénom]],Personnels!Personnels,4,0)</f>
        <v>FH</v>
      </c>
      <c r="E81" s="2">
        <f>INT(MOD(INT((GestionPersonnelRDJ[[#This Row],[Date]]-2)/7)+0.6,52+5/28))+1</f>
        <v>50</v>
      </c>
      <c r="F81" s="7">
        <v>5</v>
      </c>
      <c r="G81" s="8">
        <v>40895</v>
      </c>
      <c r="H81" s="5" t="str">
        <f t="shared" si="48"/>
        <v>dimanche</v>
      </c>
      <c r="I81" s="27">
        <f ca="1">SUMPRODUCT((groupe='Base de donnée'!C81)*(OFFSET(groupe,,1)='Base de donnée'!F81)*(OFFSET(groupe,,2)='Base de donnée'!H81)*(OFFSET(groupe,,3)))</f>
        <v>0</v>
      </c>
      <c r="J81" s="70">
        <f ca="1">SUMPRODUCT((groupe='Base de donnée'!C81)*(OFFSET(groupe,,1)='Base de donnée'!F81)*(OFFSET(groupe,,2)='Base de donnée'!H81)*(OFFSET(groupe,,6)))</f>
        <v>0</v>
      </c>
      <c r="K81" s="70">
        <f ca="1">SUMPRODUCT((groupe='Base de donnée'!C81)*(OFFSET(groupe,,1)='Base de donnée'!F81)*(OFFSET(groupe,,2)='Base de donnée'!H81)*(OFFSET(groupe,,7)))</f>
        <v>0</v>
      </c>
      <c r="L81" s="71">
        <f ca="1">SUMPRODUCT((groupe='Base de donnée'!C81)*(OFFSET(groupe,,1)='Base de donnée'!F81)*(OFFSET(groupe,,2)='Base de donnée'!H81)*(OFFSET(groupe,,8)))</f>
        <v>0</v>
      </c>
      <c r="M81" s="71">
        <f ca="1">SUMPRODUCT((groupe='Base de donnée'!C81)*(OFFSET(groupe,,1)='Base de donnée'!F81)*(OFFSET(groupe,,2)='Base de donnée'!H81)*(OFFSET(groupe,,9)))</f>
        <v>0</v>
      </c>
      <c r="N81" s="27">
        <f t="shared" ca="1" si="0"/>
        <v>0</v>
      </c>
      <c r="O81" s="27">
        <f t="shared" ca="1" si="1"/>
        <v>0</v>
      </c>
      <c r="P81" s="49">
        <f t="shared" ca="1" si="49"/>
        <v>0</v>
      </c>
      <c r="Q81" s="49">
        <f t="shared" ca="1" si="50"/>
        <v>0</v>
      </c>
      <c r="R81" s="27"/>
      <c r="S81" s="27">
        <f t="shared" ca="1" si="45"/>
        <v>0</v>
      </c>
      <c r="T81" s="27"/>
      <c r="U81" s="27" t="str">
        <f t="shared" si="46"/>
        <v/>
      </c>
      <c r="V81" s="27">
        <f t="shared" ca="1" si="47"/>
        <v>0</v>
      </c>
      <c r="W81" s="27"/>
      <c r="X81" s="28">
        <f ca="1">IF(OR(Z81=1,AA81=1,AB81=1,AC81=1,AD81=1),0,(SUMPRODUCT((groupe='Base de donnée'!C81)*(OFFSET(groupe,,1)='Base de donnée'!F81)*(OFFSET(groupe,,2)='Base de donnée'!H81)*(OFFSET(groupe,,5)))))</f>
        <v>0</v>
      </c>
      <c r="Y81" s="28"/>
      <c r="Z81" s="7"/>
      <c r="AA81" s="7"/>
      <c r="AB81" s="7"/>
      <c r="AC81" s="7"/>
      <c r="AD81" s="7"/>
      <c r="AE81" s="7"/>
    </row>
    <row r="82" spans="1:31" s="30" customFormat="1" x14ac:dyDescent="0.25">
      <c r="A82" s="6" t="s">
        <v>6</v>
      </c>
      <c r="B82" s="26" t="str">
        <f>VLOOKUP(GestionPersonnelRDJ[[#This Row],[Nom Prénom]],Personnels!Personnels,2,0)</f>
        <v>ES</v>
      </c>
      <c r="C82" s="21" t="str">
        <f>VLOOKUP(GestionPersonnelRDJ[[#This Row],[Nom Prénom]],Personnels!Personnels,3,0)</f>
        <v>Glycines</v>
      </c>
      <c r="D82" s="21" t="str">
        <f>VLOOKUP(GestionPersonnelRDJ[[#This Row],[Nom Prénom]],Personnels!Personnels,4,0)</f>
        <v>FH</v>
      </c>
      <c r="E82" s="2">
        <f>INT(MOD(INT((GestionPersonnelRDJ[[#This Row],[Date]]-2)/7)+0.6,52+5/28))+1</f>
        <v>50</v>
      </c>
      <c r="F82" s="7">
        <v>5</v>
      </c>
      <c r="G82" s="8">
        <v>40889</v>
      </c>
      <c r="H82" s="5" t="str">
        <f t="shared" ref="H82:H88" si="51">TEXT(WEEKDAY(G82),"jjjj")</f>
        <v>lundi</v>
      </c>
      <c r="I82" s="27">
        <f ca="1">SUMPRODUCT((groupe='Base de donnée'!C82)*(OFFSET(groupe,,1)='Base de donnée'!F82)*(OFFSET(groupe,,2)='Base de donnée'!H82)*(OFFSET(groupe,,3)))</f>
        <v>0</v>
      </c>
      <c r="J82" s="70">
        <f ca="1">SUMPRODUCT((groupe='Base de donnée'!C82)*(OFFSET(groupe,,1)='Base de donnée'!F82)*(OFFSET(groupe,,2)='Base de donnée'!H82)*(OFFSET(groupe,,6)))</f>
        <v>0</v>
      </c>
      <c r="K82" s="70">
        <f ca="1">SUMPRODUCT((groupe='Base de donnée'!C82)*(OFFSET(groupe,,1)='Base de donnée'!F82)*(OFFSET(groupe,,2)='Base de donnée'!H82)*(OFFSET(groupe,,7)))</f>
        <v>0</v>
      </c>
      <c r="L82" s="71">
        <f ca="1">SUMPRODUCT((groupe='Base de donnée'!C82)*(OFFSET(groupe,,1)='Base de donnée'!F82)*(OFFSET(groupe,,2)='Base de donnée'!H82)*(OFFSET(groupe,,8)))</f>
        <v>0</v>
      </c>
      <c r="M82" s="71">
        <f ca="1">SUMPRODUCT((groupe='Base de donnée'!C82)*(OFFSET(groupe,,1)='Base de donnée'!F82)*(OFFSET(groupe,,2)='Base de donnée'!H82)*(OFFSET(groupe,,9)))</f>
        <v>0</v>
      </c>
      <c r="N82" s="27">
        <f t="shared" ca="1" si="0"/>
        <v>0</v>
      </c>
      <c r="O82" s="27">
        <f t="shared" ca="1" si="1"/>
        <v>0</v>
      </c>
      <c r="P82" s="49">
        <f t="shared" ref="P82:P88" ca="1" si="52">IF(I82-O82-(W82+X82)&lt;=0,0,I82-O82-(W82+X82))</f>
        <v>0</v>
      </c>
      <c r="Q82" s="49">
        <f t="shared" ref="Q82:Q88" ca="1" si="53">IF(O82-I82-(W82+X82)&lt;=0,0,O82-I82-(W82+X82))</f>
        <v>0</v>
      </c>
      <c r="R82" s="27"/>
      <c r="S82" s="27" t="str">
        <f t="shared" si="45"/>
        <v/>
      </c>
      <c r="T82" s="27"/>
      <c r="U82" s="27" t="str">
        <f t="shared" si="46"/>
        <v/>
      </c>
      <c r="V82" s="27" t="str">
        <f t="shared" si="47"/>
        <v/>
      </c>
      <c r="W82" s="27"/>
      <c r="X82" s="28">
        <f ca="1">IF(OR(Z82=1,AA82=1,AB82=1,AC82=1,AD82=1),0,(SUMPRODUCT((groupe='Base de donnée'!C82)*(OFFSET(groupe,,1)='Base de donnée'!F82)*(OFFSET(groupe,,2)='Base de donnée'!H82)*(OFFSET(groupe,,5)))))</f>
        <v>0</v>
      </c>
      <c r="Y82" s="28"/>
      <c r="Z82" s="7"/>
      <c r="AA82" s="7"/>
      <c r="AB82" s="7"/>
      <c r="AC82" s="7"/>
      <c r="AD82" s="7"/>
      <c r="AE82" s="7"/>
    </row>
    <row r="83" spans="1:31" s="30" customFormat="1" x14ac:dyDescent="0.25">
      <c r="A83" s="6" t="s">
        <v>6</v>
      </c>
      <c r="B83" s="26" t="str">
        <f>VLOOKUP(GestionPersonnelRDJ[[#This Row],[Nom Prénom]],Personnels!Personnels,2,0)</f>
        <v>ES</v>
      </c>
      <c r="C83" s="21" t="str">
        <f>VLOOKUP(GestionPersonnelRDJ[[#This Row],[Nom Prénom]],Personnels!Personnels,3,0)</f>
        <v>Glycines</v>
      </c>
      <c r="D83" s="21" t="str">
        <f>VLOOKUP(GestionPersonnelRDJ[[#This Row],[Nom Prénom]],Personnels!Personnels,4,0)</f>
        <v>FH</v>
      </c>
      <c r="E83" s="2">
        <f>INT(MOD(INT((GestionPersonnelRDJ[[#This Row],[Date]]-2)/7)+0.6,52+5/28))+1</f>
        <v>50</v>
      </c>
      <c r="F83" s="7">
        <v>5</v>
      </c>
      <c r="G83" s="8">
        <v>40890</v>
      </c>
      <c r="H83" s="5" t="str">
        <f t="shared" si="51"/>
        <v>mardi</v>
      </c>
      <c r="I83" s="27">
        <f ca="1">SUMPRODUCT((groupe='Base de donnée'!C83)*(OFFSET(groupe,,1)='Base de donnée'!F83)*(OFFSET(groupe,,2)='Base de donnée'!H83)*(OFFSET(groupe,,3)))</f>
        <v>8.5</v>
      </c>
      <c r="J83" s="70">
        <f ca="1">SUMPRODUCT((groupe='Base de donnée'!C83)*(OFFSET(groupe,,1)='Base de donnée'!F83)*(OFFSET(groupe,,2)='Base de donnée'!H83)*(OFFSET(groupe,,6)))</f>
        <v>9.5</v>
      </c>
      <c r="K83" s="70">
        <f ca="1">SUMPRODUCT((groupe='Base de donnée'!C83)*(OFFSET(groupe,,1)='Base de donnée'!F83)*(OFFSET(groupe,,2)='Base de donnée'!H83)*(OFFSET(groupe,,7)))</f>
        <v>12.5</v>
      </c>
      <c r="L83" s="71">
        <f ca="1">SUMPRODUCT((groupe='Base de donnée'!C83)*(OFFSET(groupe,,1)='Base de donnée'!F83)*(OFFSET(groupe,,2)='Base de donnée'!H83)*(OFFSET(groupe,,8)))</f>
        <v>16.5</v>
      </c>
      <c r="M83" s="71">
        <f ca="1">SUMPRODUCT((groupe='Base de donnée'!C83)*(OFFSET(groupe,,1)='Base de donnée'!F83)*(OFFSET(groupe,,2)='Base de donnée'!H83)*(OFFSET(groupe,,9)))</f>
        <v>22</v>
      </c>
      <c r="N83" s="27">
        <f t="shared" ca="1" si="0"/>
        <v>8.5</v>
      </c>
      <c r="O83" s="27">
        <f t="shared" ca="1" si="1"/>
        <v>8.5</v>
      </c>
      <c r="P83" s="49">
        <f t="shared" ca="1" si="52"/>
        <v>0</v>
      </c>
      <c r="Q83" s="49">
        <f t="shared" ca="1" si="53"/>
        <v>0</v>
      </c>
      <c r="R83" s="27"/>
      <c r="S83" s="27" t="str">
        <f t="shared" si="45"/>
        <v/>
      </c>
      <c r="T83" s="27"/>
      <c r="U83" s="27" t="str">
        <f t="shared" si="46"/>
        <v/>
      </c>
      <c r="V83" s="27" t="str">
        <f t="shared" si="47"/>
        <v/>
      </c>
      <c r="W83" s="27"/>
      <c r="X83" s="28">
        <f ca="1">IF(OR(Z83=1,AA83=1,AB83=1,AC83=1,AD83=1),0,(SUMPRODUCT((groupe='Base de donnée'!C83)*(OFFSET(groupe,,1)='Base de donnée'!F83)*(OFFSET(groupe,,2)='Base de donnée'!H83)*(OFFSET(groupe,,5)))))</f>
        <v>0</v>
      </c>
      <c r="Y83" s="28"/>
      <c r="Z83" s="7"/>
      <c r="AA83" s="7"/>
      <c r="AB83" s="7"/>
      <c r="AC83" s="7"/>
      <c r="AD83" s="7"/>
      <c r="AE83" s="7"/>
    </row>
    <row r="84" spans="1:31" s="30" customFormat="1" x14ac:dyDescent="0.25">
      <c r="A84" s="6" t="s">
        <v>6</v>
      </c>
      <c r="B84" s="26" t="str">
        <f>VLOOKUP(GestionPersonnelRDJ[[#This Row],[Nom Prénom]],Personnels!Personnels,2,0)</f>
        <v>ES</v>
      </c>
      <c r="C84" s="21" t="str">
        <f>VLOOKUP(GestionPersonnelRDJ[[#This Row],[Nom Prénom]],Personnels!Personnels,3,0)</f>
        <v>Glycines</v>
      </c>
      <c r="D84" s="21" t="str">
        <f>VLOOKUP(GestionPersonnelRDJ[[#This Row],[Nom Prénom]],Personnels!Personnels,4,0)</f>
        <v>FH</v>
      </c>
      <c r="E84" s="2">
        <f>INT(MOD(INT((GestionPersonnelRDJ[[#This Row],[Date]]-2)/7)+0.6,52+5/28))+1</f>
        <v>50</v>
      </c>
      <c r="F84" s="7">
        <v>5</v>
      </c>
      <c r="G84" s="8">
        <v>40891</v>
      </c>
      <c r="H84" s="5" t="str">
        <f t="shared" si="51"/>
        <v>mercredi</v>
      </c>
      <c r="I84" s="27">
        <f ca="1">SUMPRODUCT((groupe='Base de donnée'!C84)*(OFFSET(groupe,,1)='Base de donnée'!F84)*(OFFSET(groupe,,2)='Base de donnée'!H84)*(OFFSET(groupe,,3)))</f>
        <v>8.5</v>
      </c>
      <c r="J84" s="70">
        <f ca="1">SUMPRODUCT((groupe='Base de donnée'!C84)*(OFFSET(groupe,,1)='Base de donnée'!F84)*(OFFSET(groupe,,2)='Base de donnée'!H84)*(OFFSET(groupe,,6)))</f>
        <v>0</v>
      </c>
      <c r="K84" s="70">
        <f ca="1">SUMPRODUCT((groupe='Base de donnée'!C84)*(OFFSET(groupe,,1)='Base de donnée'!F84)*(OFFSET(groupe,,2)='Base de donnée'!H84)*(OFFSET(groupe,,7)))</f>
        <v>0</v>
      </c>
      <c r="L84" s="74">
        <v>16.5</v>
      </c>
      <c r="M84" s="71">
        <f ca="1">SUMPRODUCT((groupe='Base de donnée'!C84)*(OFFSET(groupe,,1)='Base de donnée'!F84)*(OFFSET(groupe,,2)='Base de donnée'!H84)*(OFFSET(groupe,,9)))</f>
        <v>22.5</v>
      </c>
      <c r="N84" s="27">
        <f t="shared" ca="1" si="0"/>
        <v>6</v>
      </c>
      <c r="O84" s="27">
        <f t="shared" ca="1" si="1"/>
        <v>6</v>
      </c>
      <c r="P84" s="49">
        <f t="shared" ca="1" si="52"/>
        <v>2.5</v>
      </c>
      <c r="Q84" s="49">
        <f t="shared" ca="1" si="53"/>
        <v>0</v>
      </c>
      <c r="R84" s="27"/>
      <c r="S84" s="27" t="str">
        <f t="shared" si="45"/>
        <v/>
      </c>
      <c r="T84" s="27"/>
      <c r="U84" s="27" t="str">
        <f t="shared" si="46"/>
        <v/>
      </c>
      <c r="V84" s="27" t="str">
        <f t="shared" si="47"/>
        <v/>
      </c>
      <c r="W84" s="27"/>
      <c r="X84" s="28">
        <f ca="1">IF(OR(Z84=1,AA84=1,AB84=1,AC84=1,AD84=1),0,(SUMPRODUCT((groupe='Base de donnée'!C84)*(OFFSET(groupe,,1)='Base de donnée'!F84)*(OFFSET(groupe,,2)='Base de donnée'!H84)*(OFFSET(groupe,,5)))))</f>
        <v>0</v>
      </c>
      <c r="Y84" s="28"/>
      <c r="Z84" s="7"/>
      <c r="AA84" s="7"/>
      <c r="AB84" s="7"/>
      <c r="AC84" s="7"/>
      <c r="AD84" s="7"/>
      <c r="AE84" s="7"/>
    </row>
    <row r="85" spans="1:31" s="30" customFormat="1" x14ac:dyDescent="0.25">
      <c r="A85" s="6" t="s">
        <v>6</v>
      </c>
      <c r="B85" s="26" t="str">
        <f>VLOOKUP(GestionPersonnelRDJ[[#This Row],[Nom Prénom]],Personnels!Personnels,2,0)</f>
        <v>ES</v>
      </c>
      <c r="C85" s="21" t="str">
        <f>VLOOKUP(GestionPersonnelRDJ[[#This Row],[Nom Prénom]],Personnels!Personnels,3,0)</f>
        <v>Glycines</v>
      </c>
      <c r="D85" s="21" t="str">
        <f>VLOOKUP(GestionPersonnelRDJ[[#This Row],[Nom Prénom]],Personnels!Personnels,4,0)</f>
        <v>FH</v>
      </c>
      <c r="E85" s="2">
        <f>INT(MOD(INT((GestionPersonnelRDJ[[#This Row],[Date]]-2)/7)+0.6,52+5/28))+1</f>
        <v>50</v>
      </c>
      <c r="F85" s="7">
        <v>5</v>
      </c>
      <c r="G85" s="8">
        <v>40892</v>
      </c>
      <c r="H85" s="5" t="str">
        <f t="shared" si="51"/>
        <v>jeudi</v>
      </c>
      <c r="I85" s="27">
        <f ca="1">SUMPRODUCT((groupe='Base de donnée'!C85)*(OFFSET(groupe,,1)='Base de donnée'!F85)*(OFFSET(groupe,,2)='Base de donnée'!H85)*(OFFSET(groupe,,3)))</f>
        <v>6</v>
      </c>
      <c r="J85" s="70">
        <f ca="1">SUMPRODUCT((groupe='Base de donnée'!C85)*(OFFSET(groupe,,1)='Base de donnée'!F85)*(OFFSET(groupe,,2)='Base de donnée'!H85)*(OFFSET(groupe,,6)))</f>
        <v>0</v>
      </c>
      <c r="K85" s="70">
        <f ca="1">SUMPRODUCT((groupe='Base de donnée'!C85)*(OFFSET(groupe,,1)='Base de donnée'!F85)*(OFFSET(groupe,,2)='Base de donnée'!H85)*(OFFSET(groupe,,7)))</f>
        <v>0</v>
      </c>
      <c r="L85" s="75">
        <f ca="1">SUMPRODUCT((groupe='Base de donnée'!C85)*(OFFSET(groupe,,1)='Base de donnée'!F85)*(OFFSET(groupe,,2)='Base de donnée'!H85)*(OFFSET(groupe,,8)))</f>
        <v>14</v>
      </c>
      <c r="M85" s="75">
        <f ca="1">SUMPRODUCT((groupe='Base de donnée'!C85)*(OFFSET(groupe,,1)='Base de donnée'!F85)*(OFFSET(groupe,,2)='Base de donnée'!H85)*(OFFSET(groupe,,9)))</f>
        <v>20</v>
      </c>
      <c r="N85" s="27">
        <f t="shared" ca="1" si="0"/>
        <v>0</v>
      </c>
      <c r="O85" s="27">
        <f t="shared" ca="1" si="1"/>
        <v>6</v>
      </c>
      <c r="P85" s="49">
        <f t="shared" ca="1" si="52"/>
        <v>0</v>
      </c>
      <c r="Q85" s="49">
        <f t="shared" ca="1" si="53"/>
        <v>0</v>
      </c>
      <c r="R85" s="27"/>
      <c r="S85" s="27" t="str">
        <f t="shared" si="45"/>
        <v/>
      </c>
      <c r="T85" s="27"/>
      <c r="U85" s="27" t="str">
        <f t="shared" si="46"/>
        <v/>
      </c>
      <c r="V85" s="27" t="str">
        <f t="shared" si="47"/>
        <v/>
      </c>
      <c r="W85" s="27">
        <v>6</v>
      </c>
      <c r="X85" s="28">
        <f ca="1">IF(OR(Z85=1,AA85=1,AB85=1,AC85=1,AD85=1),0,(SUMPRODUCT((groupe='Base de donnée'!C85)*(OFFSET(groupe,,1)='Base de donnée'!F85)*(OFFSET(groupe,,2)='Base de donnée'!H85)*(OFFSET(groupe,,5)))))</f>
        <v>0</v>
      </c>
      <c r="Y85" s="28"/>
      <c r="Z85" s="7"/>
      <c r="AA85" s="7"/>
      <c r="AB85" s="7"/>
      <c r="AC85" s="7"/>
      <c r="AD85" s="7"/>
      <c r="AE85" s="7"/>
    </row>
    <row r="86" spans="1:31" s="30" customFormat="1" x14ac:dyDescent="0.25">
      <c r="A86" s="6" t="s">
        <v>6</v>
      </c>
      <c r="B86" s="26" t="str">
        <f>VLOOKUP(GestionPersonnelRDJ[[#This Row],[Nom Prénom]],Personnels!Personnels,2,0)</f>
        <v>ES</v>
      </c>
      <c r="C86" s="21" t="str">
        <f>VLOOKUP(GestionPersonnelRDJ[[#This Row],[Nom Prénom]],Personnels!Personnels,3,0)</f>
        <v>Glycines</v>
      </c>
      <c r="D86" s="21" t="str">
        <f>VLOOKUP(GestionPersonnelRDJ[[#This Row],[Nom Prénom]],Personnels!Personnels,4,0)</f>
        <v>FH</v>
      </c>
      <c r="E86" s="2">
        <f>INT(MOD(INT((GestionPersonnelRDJ[[#This Row],[Date]]-2)/7)+0.6,52+5/28))+1</f>
        <v>50</v>
      </c>
      <c r="F86" s="7">
        <v>5</v>
      </c>
      <c r="G86" s="8">
        <v>40893</v>
      </c>
      <c r="H86" s="5" t="str">
        <f t="shared" si="51"/>
        <v>vendredi</v>
      </c>
      <c r="I86" s="27">
        <f ca="1">SUMPRODUCT((groupe='Base de donnée'!C86)*(OFFSET(groupe,,1)='Base de donnée'!F86)*(OFFSET(groupe,,2)='Base de donnée'!H86)*(OFFSET(groupe,,3)))</f>
        <v>10</v>
      </c>
      <c r="J86" s="70">
        <f ca="1">SUMPRODUCT((groupe='Base de donnée'!C86)*(OFFSET(groupe,,1)='Base de donnée'!F86)*(OFFSET(groupe,,2)='Base de donnée'!H86)*(OFFSET(groupe,,6)))</f>
        <v>7</v>
      </c>
      <c r="K86" s="70">
        <f ca="1">SUMPRODUCT((groupe='Base de donnée'!C86)*(OFFSET(groupe,,1)='Base de donnée'!F86)*(OFFSET(groupe,,2)='Base de donnée'!H86)*(OFFSET(groupe,,7)))</f>
        <v>9.5</v>
      </c>
      <c r="L86" s="71">
        <f ca="1">SUMPRODUCT((groupe='Base de donnée'!C86)*(OFFSET(groupe,,1)='Base de donnée'!F86)*(OFFSET(groupe,,2)='Base de donnée'!H86)*(OFFSET(groupe,,8)))</f>
        <v>15.5</v>
      </c>
      <c r="M86" s="71">
        <f ca="1">SUMPRODUCT((groupe='Base de donnée'!C86)*(OFFSET(groupe,,1)='Base de donnée'!F86)*(OFFSET(groupe,,2)='Base de donnée'!H86)*(OFFSET(groupe,,9)))</f>
        <v>23</v>
      </c>
      <c r="N86" s="27">
        <f t="shared" ca="1" si="0"/>
        <v>10</v>
      </c>
      <c r="O86" s="27">
        <f t="shared" ca="1" si="1"/>
        <v>10</v>
      </c>
      <c r="P86" s="49">
        <f t="shared" ca="1" si="52"/>
        <v>0</v>
      </c>
      <c r="Q86" s="49">
        <f t="shared" ca="1" si="53"/>
        <v>0</v>
      </c>
      <c r="R86" s="27"/>
      <c r="S86" s="27" t="str">
        <f t="shared" si="45"/>
        <v/>
      </c>
      <c r="T86" s="27"/>
      <c r="U86" s="27" t="str">
        <f t="shared" si="46"/>
        <v/>
      </c>
      <c r="V86" s="27" t="str">
        <f t="shared" si="47"/>
        <v/>
      </c>
      <c r="W86" s="27"/>
      <c r="X86" s="28">
        <f ca="1">IF(OR(Z86=1,AA86=1,AB86=1,AC86=1,AD86=1),0,(SUMPRODUCT((groupe='Base de donnée'!C86)*(OFFSET(groupe,,1)='Base de donnée'!F86)*(OFFSET(groupe,,2)='Base de donnée'!H86)*(OFFSET(groupe,,5)))))</f>
        <v>0</v>
      </c>
      <c r="Y86" s="28"/>
      <c r="Z86" s="7"/>
      <c r="AA86" s="7"/>
      <c r="AB86" s="7"/>
      <c r="AC86" s="7"/>
      <c r="AD86" s="7"/>
      <c r="AE86" s="7"/>
    </row>
    <row r="87" spans="1:31" s="30" customFormat="1" x14ac:dyDescent="0.25">
      <c r="A87" s="6" t="s">
        <v>6</v>
      </c>
      <c r="B87" s="26" t="str">
        <f>VLOOKUP(GestionPersonnelRDJ[[#This Row],[Nom Prénom]],Personnels!Personnels,2,0)</f>
        <v>ES</v>
      </c>
      <c r="C87" s="21" t="str">
        <f>VLOOKUP(GestionPersonnelRDJ[[#This Row],[Nom Prénom]],Personnels!Personnels,3,0)</f>
        <v>Glycines</v>
      </c>
      <c r="D87" s="21" t="str">
        <f>VLOOKUP(GestionPersonnelRDJ[[#This Row],[Nom Prénom]],Personnels!Personnels,4,0)</f>
        <v>FH</v>
      </c>
      <c r="E87" s="2">
        <f>INT(MOD(INT((GestionPersonnelRDJ[[#This Row],[Date]]-2)/7)+0.6,52+5/28))+1</f>
        <v>50</v>
      </c>
      <c r="F87" s="7">
        <v>5</v>
      </c>
      <c r="G87" s="8">
        <v>40894</v>
      </c>
      <c r="H87" s="5" t="str">
        <f t="shared" si="51"/>
        <v>samedi</v>
      </c>
      <c r="I87" s="27">
        <f ca="1">SUMPRODUCT((groupe='Base de donnée'!C87)*(OFFSET(groupe,,1)='Base de donnée'!F87)*(OFFSET(groupe,,2)='Base de donnée'!H87)*(OFFSET(groupe,,3)))</f>
        <v>0</v>
      </c>
      <c r="J87" s="70">
        <f ca="1">SUMPRODUCT((groupe='Base de donnée'!C87)*(OFFSET(groupe,,1)='Base de donnée'!F87)*(OFFSET(groupe,,2)='Base de donnée'!H87)*(OFFSET(groupe,,6)))</f>
        <v>0</v>
      </c>
      <c r="K87" s="70">
        <f ca="1">SUMPRODUCT((groupe='Base de donnée'!C87)*(OFFSET(groupe,,1)='Base de donnée'!F87)*(OFFSET(groupe,,2)='Base de donnée'!H87)*(OFFSET(groupe,,7)))</f>
        <v>0</v>
      </c>
      <c r="L87" s="71">
        <f ca="1">SUMPRODUCT((groupe='Base de donnée'!C87)*(OFFSET(groupe,,1)='Base de donnée'!F87)*(OFFSET(groupe,,2)='Base de donnée'!H87)*(OFFSET(groupe,,8)))</f>
        <v>0</v>
      </c>
      <c r="M87" s="71">
        <f ca="1">SUMPRODUCT((groupe='Base de donnée'!C87)*(OFFSET(groupe,,1)='Base de donnée'!F87)*(OFFSET(groupe,,2)='Base de donnée'!H87)*(OFFSET(groupe,,9)))</f>
        <v>0</v>
      </c>
      <c r="N87" s="27">
        <f t="shared" ca="1" si="0"/>
        <v>0</v>
      </c>
      <c r="O87" s="27">
        <f t="shared" ca="1" si="1"/>
        <v>0</v>
      </c>
      <c r="P87" s="49">
        <f t="shared" ca="1" si="52"/>
        <v>0</v>
      </c>
      <c r="Q87" s="49">
        <f t="shared" ca="1" si="53"/>
        <v>0</v>
      </c>
      <c r="R87" s="27"/>
      <c r="S87" s="27" t="str">
        <f t="shared" si="45"/>
        <v/>
      </c>
      <c r="T87" s="27"/>
      <c r="U87" s="27" t="str">
        <f t="shared" si="46"/>
        <v/>
      </c>
      <c r="V87" s="27" t="str">
        <f t="shared" si="47"/>
        <v/>
      </c>
      <c r="W87" s="27"/>
      <c r="X87" s="28">
        <f ca="1">IF(OR(Z87=1,AA87=1,AB87=1,AC87=1,AD87=1),0,(SUMPRODUCT((groupe='Base de donnée'!C87)*(OFFSET(groupe,,1)='Base de donnée'!F87)*(OFFSET(groupe,,2)='Base de donnée'!H87)*(OFFSET(groupe,,5)))))</f>
        <v>0</v>
      </c>
      <c r="Y87" s="28"/>
      <c r="Z87" s="7"/>
      <c r="AA87" s="7"/>
      <c r="AB87" s="7"/>
      <c r="AC87" s="7"/>
      <c r="AD87" s="7"/>
      <c r="AE87" s="7"/>
    </row>
    <row r="88" spans="1:31" s="30" customFormat="1" x14ac:dyDescent="0.25">
      <c r="A88" s="6" t="s">
        <v>6</v>
      </c>
      <c r="B88" s="26" t="str">
        <f>VLOOKUP(GestionPersonnelRDJ[[#This Row],[Nom Prénom]],Personnels!Personnels,2,0)</f>
        <v>ES</v>
      </c>
      <c r="C88" s="21" t="str">
        <f>VLOOKUP(GestionPersonnelRDJ[[#This Row],[Nom Prénom]],Personnels!Personnels,3,0)</f>
        <v>Glycines</v>
      </c>
      <c r="D88" s="21" t="str">
        <f>VLOOKUP(GestionPersonnelRDJ[[#This Row],[Nom Prénom]],Personnels!Personnels,4,0)</f>
        <v>FH</v>
      </c>
      <c r="E88" s="2">
        <f>INT(MOD(INT((GestionPersonnelRDJ[[#This Row],[Date]]-2)/7)+0.6,52+5/28))+1</f>
        <v>50</v>
      </c>
      <c r="F88" s="7">
        <v>5</v>
      </c>
      <c r="G88" s="8">
        <v>40895</v>
      </c>
      <c r="H88" s="5" t="str">
        <f t="shared" si="51"/>
        <v>dimanche</v>
      </c>
      <c r="I88" s="27">
        <f ca="1">SUMPRODUCT((groupe='Base de donnée'!C88)*(OFFSET(groupe,,1)='Base de donnée'!F88)*(OFFSET(groupe,,2)='Base de donnée'!H88)*(OFFSET(groupe,,3)))</f>
        <v>0</v>
      </c>
      <c r="J88" s="70">
        <f ca="1">SUMPRODUCT((groupe='Base de donnée'!C88)*(OFFSET(groupe,,1)='Base de donnée'!F88)*(OFFSET(groupe,,2)='Base de donnée'!H88)*(OFFSET(groupe,,6)))</f>
        <v>0</v>
      </c>
      <c r="K88" s="70">
        <f ca="1">SUMPRODUCT((groupe='Base de donnée'!C88)*(OFFSET(groupe,,1)='Base de donnée'!F88)*(OFFSET(groupe,,2)='Base de donnée'!H88)*(OFFSET(groupe,,7)))</f>
        <v>0</v>
      </c>
      <c r="L88" s="71">
        <f ca="1">SUMPRODUCT((groupe='Base de donnée'!C88)*(OFFSET(groupe,,1)='Base de donnée'!F88)*(OFFSET(groupe,,2)='Base de donnée'!H88)*(OFFSET(groupe,,8)))</f>
        <v>0</v>
      </c>
      <c r="M88" s="71">
        <f ca="1">SUMPRODUCT((groupe='Base de donnée'!C88)*(OFFSET(groupe,,1)='Base de donnée'!F88)*(OFFSET(groupe,,2)='Base de donnée'!H88)*(OFFSET(groupe,,9)))</f>
        <v>0</v>
      </c>
      <c r="N88" s="27">
        <f t="shared" ca="1" si="0"/>
        <v>0</v>
      </c>
      <c r="O88" s="27">
        <f t="shared" ca="1" si="1"/>
        <v>0</v>
      </c>
      <c r="P88" s="49">
        <f t="shared" ca="1" si="52"/>
        <v>0</v>
      </c>
      <c r="Q88" s="49">
        <f t="shared" ca="1" si="53"/>
        <v>0</v>
      </c>
      <c r="R88" s="27"/>
      <c r="S88" s="27">
        <f t="shared" ca="1" si="45"/>
        <v>0</v>
      </c>
      <c r="T88" s="27"/>
      <c r="U88" s="27" t="str">
        <f t="shared" si="46"/>
        <v/>
      </c>
      <c r="V88" s="27">
        <f t="shared" ca="1" si="47"/>
        <v>0</v>
      </c>
      <c r="W88" s="27"/>
      <c r="X88" s="28">
        <f ca="1">IF(OR(Z88=1,AA88=1,AB88=1,AC88=1,AD88=1),0,(SUMPRODUCT((groupe='Base de donnée'!C88)*(OFFSET(groupe,,1)='Base de donnée'!F88)*(OFFSET(groupe,,2)='Base de donnée'!H88)*(OFFSET(groupe,,5)))))</f>
        <v>0</v>
      </c>
      <c r="Y88" s="28"/>
      <c r="Z88" s="7"/>
      <c r="AA88" s="7"/>
      <c r="AB88" s="7"/>
      <c r="AC88" s="7"/>
      <c r="AD88" s="7"/>
      <c r="AE88" s="7"/>
    </row>
    <row r="89" spans="1:31" s="30" customFormat="1" x14ac:dyDescent="0.25">
      <c r="A89" s="6" t="s">
        <v>28</v>
      </c>
      <c r="B89" s="26" t="str">
        <f>VLOOKUP(GestionPersonnelRDJ[[#This Row],[Nom Prénom]],Personnels!Personnels,2,0)</f>
        <v>ME</v>
      </c>
      <c r="C89" s="21" t="str">
        <f>VLOOKUP(GestionPersonnelRDJ[[#This Row],[Nom Prénom]],Personnels!Personnels,3,0)</f>
        <v>Glycines</v>
      </c>
      <c r="D89" s="21" t="str">
        <f>VLOOKUP(GestionPersonnelRDJ[[#This Row],[Nom Prénom]],Personnels!Personnels,4,0)</f>
        <v>FH</v>
      </c>
      <c r="E89" s="2">
        <f>INT(MOD(INT((GestionPersonnelRDJ[[#This Row],[Date]]-2)/7)+0.6,52+5/28))+1</f>
        <v>50</v>
      </c>
      <c r="F89" s="7">
        <v>4</v>
      </c>
      <c r="G89" s="8">
        <v>40889</v>
      </c>
      <c r="H89" s="5" t="str">
        <f t="shared" ref="H89:H95" si="54">TEXT(WEEKDAY(G89),"jjjj")</f>
        <v>lundi</v>
      </c>
      <c r="I89" s="27">
        <f ca="1">SUMPRODUCT((groupe='Base de donnée'!C89)*(OFFSET(groupe,,1)='Base de donnée'!F89)*(OFFSET(groupe,,2)='Base de donnée'!H89)*(OFFSET(groupe,,3)))</f>
        <v>8.5</v>
      </c>
      <c r="J89" s="70">
        <f ca="1">SUMPRODUCT((groupe='Base de donnée'!C89)*(OFFSET(groupe,,1)='Base de donnée'!F89)*(OFFSET(groupe,,2)='Base de donnée'!H89)*(OFFSET(groupe,,6)))</f>
        <v>0</v>
      </c>
      <c r="K89" s="70">
        <f ca="1">SUMPRODUCT((groupe='Base de donnée'!C89)*(OFFSET(groupe,,1)='Base de donnée'!F89)*(OFFSET(groupe,,2)='Base de donnée'!H89)*(OFFSET(groupe,,7)))</f>
        <v>0</v>
      </c>
      <c r="L89" s="71">
        <f ca="1">SUMPRODUCT((groupe='Base de donnée'!C89)*(OFFSET(groupe,,1)='Base de donnée'!F89)*(OFFSET(groupe,,2)='Base de donnée'!H89)*(OFFSET(groupe,,8)))</f>
        <v>14</v>
      </c>
      <c r="M89" s="71">
        <f ca="1">SUMPRODUCT((groupe='Base de donnée'!C89)*(OFFSET(groupe,,1)='Base de donnée'!F89)*(OFFSET(groupe,,2)='Base de donnée'!H89)*(OFFSET(groupe,,9)))</f>
        <v>22.5</v>
      </c>
      <c r="N89" s="27">
        <f t="shared" ca="1" si="0"/>
        <v>8.5</v>
      </c>
      <c r="O89" s="27">
        <f t="shared" ca="1" si="1"/>
        <v>8.5</v>
      </c>
      <c r="P89" s="49">
        <f t="shared" ref="P89:P95" ca="1" si="55">IF(I89-O89-(W89+X89)&lt;=0,0,I89-O89-(W89+X89))</f>
        <v>0</v>
      </c>
      <c r="Q89" s="49">
        <f t="shared" ref="Q89:Q95" ca="1" si="56">IF(O89-I89-(W89+X89)&lt;=0,0,O89-I89-(W89+X89))</f>
        <v>0</v>
      </c>
      <c r="R89" s="27"/>
      <c r="S89" s="27" t="str">
        <f t="shared" si="45"/>
        <v/>
      </c>
      <c r="T89" s="27"/>
      <c r="U89" s="27" t="str">
        <f t="shared" si="46"/>
        <v/>
      </c>
      <c r="V89" s="27" t="str">
        <f t="shared" si="47"/>
        <v/>
      </c>
      <c r="W89" s="27"/>
      <c r="X89" s="28">
        <f ca="1">IF(OR(Z89=1,AA89=1,AB89=1,AC89=1,AD89=1),0,(SUMPRODUCT((groupe='Base de donnée'!C89)*(OFFSET(groupe,,1)='Base de donnée'!F89)*(OFFSET(groupe,,2)='Base de donnée'!H89)*(OFFSET(groupe,,5)))))</f>
        <v>0</v>
      </c>
      <c r="Y89" s="28"/>
      <c r="Z89" s="7"/>
      <c r="AA89" s="7"/>
      <c r="AB89" s="7"/>
      <c r="AC89" s="7"/>
      <c r="AD89" s="7"/>
      <c r="AE89" s="7"/>
    </row>
    <row r="90" spans="1:31" s="30" customFormat="1" x14ac:dyDescent="0.25">
      <c r="A90" s="6" t="s">
        <v>28</v>
      </c>
      <c r="B90" s="26" t="str">
        <f>VLOOKUP(GestionPersonnelRDJ[[#This Row],[Nom Prénom]],Personnels!Personnels,2,0)</f>
        <v>ME</v>
      </c>
      <c r="C90" s="21" t="str">
        <f>VLOOKUP(GestionPersonnelRDJ[[#This Row],[Nom Prénom]],Personnels!Personnels,3,0)</f>
        <v>Glycines</v>
      </c>
      <c r="D90" s="21" t="str">
        <f>VLOOKUP(GestionPersonnelRDJ[[#This Row],[Nom Prénom]],Personnels!Personnels,4,0)</f>
        <v>FH</v>
      </c>
      <c r="E90" s="2">
        <f>INT(MOD(INT((GestionPersonnelRDJ[[#This Row],[Date]]-2)/7)+0.6,52+5/28))+1</f>
        <v>50</v>
      </c>
      <c r="F90" s="7">
        <v>4</v>
      </c>
      <c r="G90" s="8">
        <v>40890</v>
      </c>
      <c r="H90" s="5" t="str">
        <f t="shared" si="54"/>
        <v>mardi</v>
      </c>
      <c r="I90" s="27">
        <f ca="1">SUMPRODUCT((groupe='Base de donnée'!C90)*(OFFSET(groupe,,1)='Base de donnée'!F90)*(OFFSET(groupe,,2)='Base de donnée'!H90)*(OFFSET(groupe,,3)))</f>
        <v>9</v>
      </c>
      <c r="J90" s="70">
        <f ca="1">SUMPRODUCT((groupe='Base de donnée'!C90)*(OFFSET(groupe,,1)='Base de donnée'!F90)*(OFFSET(groupe,,2)='Base de donnée'!H90)*(OFFSET(groupe,,6)))</f>
        <v>9.5</v>
      </c>
      <c r="K90" s="70">
        <f ca="1">SUMPRODUCT((groupe='Base de donnée'!C90)*(OFFSET(groupe,,1)='Base de donnée'!F90)*(OFFSET(groupe,,2)='Base de donnée'!H90)*(OFFSET(groupe,,7)))</f>
        <v>12.5</v>
      </c>
      <c r="L90" s="71">
        <f ca="1">SUMPRODUCT((groupe='Base de donnée'!C90)*(OFFSET(groupe,,1)='Base de donnée'!F90)*(OFFSET(groupe,,2)='Base de donnée'!H90)*(OFFSET(groupe,,8)))</f>
        <v>16.5</v>
      </c>
      <c r="M90" s="71">
        <f ca="1">SUMPRODUCT((groupe='Base de donnée'!C90)*(OFFSET(groupe,,1)='Base de donnée'!F90)*(OFFSET(groupe,,2)='Base de donnée'!H90)*(OFFSET(groupe,,9)))</f>
        <v>22.5</v>
      </c>
      <c r="N90" s="27">
        <f t="shared" ca="1" si="0"/>
        <v>9</v>
      </c>
      <c r="O90" s="27">
        <f t="shared" ca="1" si="1"/>
        <v>9</v>
      </c>
      <c r="P90" s="49">
        <f t="shared" ca="1" si="55"/>
        <v>0</v>
      </c>
      <c r="Q90" s="49">
        <f t="shared" ca="1" si="56"/>
        <v>0</v>
      </c>
      <c r="R90" s="27"/>
      <c r="S90" s="27" t="str">
        <f t="shared" si="45"/>
        <v/>
      </c>
      <c r="T90" s="27"/>
      <c r="U90" s="27" t="str">
        <f t="shared" si="46"/>
        <v/>
      </c>
      <c r="V90" s="27" t="str">
        <f t="shared" si="47"/>
        <v/>
      </c>
      <c r="W90" s="27"/>
      <c r="X90" s="28">
        <f ca="1">IF(OR(Z90=1,AA90=1,AB90=1,AC90=1,AD90=1),0,(SUMPRODUCT((groupe='Base de donnée'!C90)*(OFFSET(groupe,,1)='Base de donnée'!F90)*(OFFSET(groupe,,2)='Base de donnée'!H90)*(OFFSET(groupe,,5)))))</f>
        <v>0</v>
      </c>
      <c r="Y90" s="28"/>
      <c r="Z90" s="7"/>
      <c r="AA90" s="7"/>
      <c r="AB90" s="7"/>
      <c r="AC90" s="7"/>
      <c r="AD90" s="7"/>
      <c r="AE90" s="7"/>
    </row>
    <row r="91" spans="1:31" s="30" customFormat="1" x14ac:dyDescent="0.25">
      <c r="A91" s="6" t="s">
        <v>28</v>
      </c>
      <c r="B91" s="26" t="str">
        <f>VLOOKUP(GestionPersonnelRDJ[[#This Row],[Nom Prénom]],Personnels!Personnels,2,0)</f>
        <v>ME</v>
      </c>
      <c r="C91" s="21" t="str">
        <f>VLOOKUP(GestionPersonnelRDJ[[#This Row],[Nom Prénom]],Personnels!Personnels,3,0)</f>
        <v>Glycines</v>
      </c>
      <c r="D91" s="21" t="str">
        <f>VLOOKUP(GestionPersonnelRDJ[[#This Row],[Nom Prénom]],Personnels!Personnels,4,0)</f>
        <v>FH</v>
      </c>
      <c r="E91" s="2">
        <f>INT(MOD(INT((GestionPersonnelRDJ[[#This Row],[Date]]-2)/7)+0.6,52+5/28))+1</f>
        <v>50</v>
      </c>
      <c r="F91" s="7">
        <v>4</v>
      </c>
      <c r="G91" s="8">
        <v>40891</v>
      </c>
      <c r="H91" s="5" t="str">
        <f t="shared" si="54"/>
        <v>mercredi</v>
      </c>
      <c r="I91" s="27">
        <f ca="1">SUMPRODUCT((groupe='Base de donnée'!C91)*(OFFSET(groupe,,1)='Base de donnée'!F91)*(OFFSET(groupe,,2)='Base de donnée'!H91)*(OFFSET(groupe,,3)))</f>
        <v>0</v>
      </c>
      <c r="J91" s="70">
        <f ca="1">SUMPRODUCT((groupe='Base de donnée'!C91)*(OFFSET(groupe,,1)='Base de donnée'!F91)*(OFFSET(groupe,,2)='Base de donnée'!H91)*(OFFSET(groupe,,6)))</f>
        <v>0</v>
      </c>
      <c r="K91" s="70">
        <f ca="1">SUMPRODUCT((groupe='Base de donnée'!C91)*(OFFSET(groupe,,1)='Base de donnée'!F91)*(OFFSET(groupe,,2)='Base de donnée'!H91)*(OFFSET(groupe,,7)))</f>
        <v>0</v>
      </c>
      <c r="L91" s="71">
        <f ca="1">SUMPRODUCT((groupe='Base de donnée'!C91)*(OFFSET(groupe,,1)='Base de donnée'!F91)*(OFFSET(groupe,,2)='Base de donnée'!H91)*(OFFSET(groupe,,8)))</f>
        <v>0</v>
      </c>
      <c r="M91" s="71">
        <f ca="1">SUMPRODUCT((groupe='Base de donnée'!C91)*(OFFSET(groupe,,1)='Base de donnée'!F91)*(OFFSET(groupe,,2)='Base de donnée'!H91)*(OFFSET(groupe,,9)))</f>
        <v>0</v>
      </c>
      <c r="N91" s="27">
        <f t="shared" ca="1" si="0"/>
        <v>0</v>
      </c>
      <c r="O91" s="27">
        <f t="shared" ca="1" si="1"/>
        <v>0</v>
      </c>
      <c r="P91" s="49">
        <f t="shared" ca="1" si="55"/>
        <v>0</v>
      </c>
      <c r="Q91" s="49">
        <f t="shared" ca="1" si="56"/>
        <v>0</v>
      </c>
      <c r="R91" s="27"/>
      <c r="S91" s="27" t="str">
        <f t="shared" si="45"/>
        <v/>
      </c>
      <c r="T91" s="27"/>
      <c r="U91" s="27" t="str">
        <f t="shared" si="46"/>
        <v/>
      </c>
      <c r="V91" s="27" t="str">
        <f t="shared" si="47"/>
        <v/>
      </c>
      <c r="W91" s="27"/>
      <c r="X91" s="28">
        <f ca="1">IF(OR(Z91=1,AA91=1,AB91=1,AC91=1,AD91=1),0,(SUMPRODUCT((groupe='Base de donnée'!C91)*(OFFSET(groupe,,1)='Base de donnée'!F91)*(OFFSET(groupe,,2)='Base de donnée'!H91)*(OFFSET(groupe,,5)))))</f>
        <v>0</v>
      </c>
      <c r="Y91" s="28"/>
      <c r="Z91" s="7"/>
      <c r="AA91" s="7"/>
      <c r="AB91" s="7"/>
      <c r="AC91" s="7"/>
      <c r="AD91" s="7"/>
      <c r="AE91" s="7"/>
    </row>
    <row r="92" spans="1:31" s="30" customFormat="1" x14ac:dyDescent="0.25">
      <c r="A92" s="6" t="s">
        <v>28</v>
      </c>
      <c r="B92" s="26" t="str">
        <f>VLOOKUP(GestionPersonnelRDJ[[#This Row],[Nom Prénom]],Personnels!Personnels,2,0)</f>
        <v>ME</v>
      </c>
      <c r="C92" s="21" t="str">
        <f>VLOOKUP(GestionPersonnelRDJ[[#This Row],[Nom Prénom]],Personnels!Personnels,3,0)</f>
        <v>Glycines</v>
      </c>
      <c r="D92" s="21" t="str">
        <f>VLOOKUP(GestionPersonnelRDJ[[#This Row],[Nom Prénom]],Personnels!Personnels,4,0)</f>
        <v>FH</v>
      </c>
      <c r="E92" s="2">
        <f>INT(MOD(INT((GestionPersonnelRDJ[[#This Row],[Date]]-2)/7)+0.6,52+5/28))+1</f>
        <v>50</v>
      </c>
      <c r="F92" s="7">
        <v>4</v>
      </c>
      <c r="G92" s="8">
        <v>40892</v>
      </c>
      <c r="H92" s="5" t="str">
        <f t="shared" si="54"/>
        <v>jeudi</v>
      </c>
      <c r="I92" s="27">
        <f ca="1">SUMPRODUCT((groupe='Base de donnée'!C92)*(OFFSET(groupe,,1)='Base de donnée'!F92)*(OFFSET(groupe,,2)='Base de donnée'!H92)*(OFFSET(groupe,,3)))</f>
        <v>0</v>
      </c>
      <c r="J92" s="70">
        <f ca="1">SUMPRODUCT((groupe='Base de donnée'!C92)*(OFFSET(groupe,,1)='Base de donnée'!F92)*(OFFSET(groupe,,2)='Base de donnée'!H92)*(OFFSET(groupe,,6)))</f>
        <v>0</v>
      </c>
      <c r="K92" s="70">
        <f ca="1">SUMPRODUCT((groupe='Base de donnée'!C92)*(OFFSET(groupe,,1)='Base de donnée'!F92)*(OFFSET(groupe,,2)='Base de donnée'!H92)*(OFFSET(groupe,,7)))</f>
        <v>0</v>
      </c>
      <c r="L92" s="71">
        <f ca="1">SUMPRODUCT((groupe='Base de donnée'!C92)*(OFFSET(groupe,,1)='Base de donnée'!F92)*(OFFSET(groupe,,2)='Base de donnée'!H92)*(OFFSET(groupe,,8)))</f>
        <v>0</v>
      </c>
      <c r="M92" s="71">
        <f ca="1">SUMPRODUCT((groupe='Base de donnée'!C92)*(OFFSET(groupe,,1)='Base de donnée'!F92)*(OFFSET(groupe,,2)='Base de donnée'!H92)*(OFFSET(groupe,,9)))</f>
        <v>0</v>
      </c>
      <c r="N92" s="27">
        <f t="shared" ca="1" si="0"/>
        <v>0</v>
      </c>
      <c r="O92" s="27">
        <f t="shared" ca="1" si="1"/>
        <v>0</v>
      </c>
      <c r="P92" s="49">
        <f t="shared" ca="1" si="55"/>
        <v>0</v>
      </c>
      <c r="Q92" s="49">
        <f t="shared" ca="1" si="56"/>
        <v>0</v>
      </c>
      <c r="R92" s="27"/>
      <c r="S92" s="27" t="str">
        <f t="shared" si="45"/>
        <v/>
      </c>
      <c r="T92" s="27"/>
      <c r="U92" s="27" t="str">
        <f t="shared" si="46"/>
        <v/>
      </c>
      <c r="V92" s="27" t="str">
        <f t="shared" si="47"/>
        <v/>
      </c>
      <c r="W92" s="27"/>
      <c r="X92" s="28">
        <f ca="1">IF(OR(Z92=1,AA92=1,AB92=1,AC92=1,AD92=1),0,(SUMPRODUCT((groupe='Base de donnée'!C92)*(OFFSET(groupe,,1)='Base de donnée'!F92)*(OFFSET(groupe,,2)='Base de donnée'!H92)*(OFFSET(groupe,,5)))))</f>
        <v>0</v>
      </c>
      <c r="Y92" s="28"/>
      <c r="Z92" s="7"/>
      <c r="AA92" s="7"/>
      <c r="AB92" s="7"/>
      <c r="AC92" s="7"/>
      <c r="AD92" s="7"/>
      <c r="AE92" s="7"/>
    </row>
    <row r="93" spans="1:31" s="30" customFormat="1" x14ac:dyDescent="0.25">
      <c r="A93" s="6" t="s">
        <v>28</v>
      </c>
      <c r="B93" s="26" t="str">
        <f>VLOOKUP(GestionPersonnelRDJ[[#This Row],[Nom Prénom]],Personnels!Personnels,2,0)</f>
        <v>ME</v>
      </c>
      <c r="C93" s="21" t="str">
        <f>VLOOKUP(GestionPersonnelRDJ[[#This Row],[Nom Prénom]],Personnels!Personnels,3,0)</f>
        <v>Glycines</v>
      </c>
      <c r="D93" s="21" t="str">
        <f>VLOOKUP(GestionPersonnelRDJ[[#This Row],[Nom Prénom]],Personnels!Personnels,4,0)</f>
        <v>FH</v>
      </c>
      <c r="E93" s="2">
        <f>INT(MOD(INT((GestionPersonnelRDJ[[#This Row],[Date]]-2)/7)+0.6,52+5/28))+1</f>
        <v>50</v>
      </c>
      <c r="F93" s="7">
        <v>4</v>
      </c>
      <c r="G93" s="8">
        <v>40893</v>
      </c>
      <c r="H93" s="5" t="str">
        <f t="shared" si="54"/>
        <v>vendredi</v>
      </c>
      <c r="I93" s="27">
        <f ca="1">SUMPRODUCT((groupe='Base de donnée'!C93)*(OFFSET(groupe,,1)='Base de donnée'!F93)*(OFFSET(groupe,,2)='Base de donnée'!H93)*(OFFSET(groupe,,3)))</f>
        <v>0</v>
      </c>
      <c r="J93" s="70">
        <f ca="1">SUMPRODUCT((groupe='Base de donnée'!C93)*(OFFSET(groupe,,1)='Base de donnée'!F93)*(OFFSET(groupe,,2)='Base de donnée'!H93)*(OFFSET(groupe,,6)))</f>
        <v>0</v>
      </c>
      <c r="K93" s="70">
        <f ca="1">SUMPRODUCT((groupe='Base de donnée'!C93)*(OFFSET(groupe,,1)='Base de donnée'!F93)*(OFFSET(groupe,,2)='Base de donnée'!H93)*(OFFSET(groupe,,7)))</f>
        <v>0</v>
      </c>
      <c r="L93" s="71">
        <f ca="1">SUMPRODUCT((groupe='Base de donnée'!C93)*(OFFSET(groupe,,1)='Base de donnée'!F93)*(OFFSET(groupe,,2)='Base de donnée'!H93)*(OFFSET(groupe,,8)))</f>
        <v>0</v>
      </c>
      <c r="M93" s="71">
        <f ca="1">SUMPRODUCT((groupe='Base de donnée'!C93)*(OFFSET(groupe,,1)='Base de donnée'!F93)*(OFFSET(groupe,,2)='Base de donnée'!H93)*(OFFSET(groupe,,9)))</f>
        <v>0</v>
      </c>
      <c r="N93" s="27">
        <f t="shared" ca="1" si="0"/>
        <v>0</v>
      </c>
      <c r="O93" s="27">
        <f t="shared" ca="1" si="1"/>
        <v>0</v>
      </c>
      <c r="P93" s="49">
        <f t="shared" ca="1" si="55"/>
        <v>0</v>
      </c>
      <c r="Q93" s="49">
        <f t="shared" ca="1" si="56"/>
        <v>0</v>
      </c>
      <c r="R93" s="27"/>
      <c r="S93" s="27" t="str">
        <f t="shared" si="45"/>
        <v/>
      </c>
      <c r="T93" s="27"/>
      <c r="U93" s="27" t="str">
        <f t="shared" si="46"/>
        <v/>
      </c>
      <c r="V93" s="27" t="str">
        <f t="shared" si="47"/>
        <v/>
      </c>
      <c r="W93" s="27"/>
      <c r="X93" s="28">
        <f ca="1">IF(OR(Z93=1,AA93=1,AB93=1,AC93=1,AD93=1),0,(SUMPRODUCT((groupe='Base de donnée'!C93)*(OFFSET(groupe,,1)='Base de donnée'!F93)*(OFFSET(groupe,,2)='Base de donnée'!H93)*(OFFSET(groupe,,5)))))</f>
        <v>0</v>
      </c>
      <c r="Y93" s="28"/>
      <c r="Z93" s="7"/>
      <c r="AA93" s="7"/>
      <c r="AB93" s="7"/>
      <c r="AC93" s="7"/>
      <c r="AD93" s="7"/>
      <c r="AE93" s="7"/>
    </row>
    <row r="94" spans="1:31" s="30" customFormat="1" x14ac:dyDescent="0.25">
      <c r="A94" s="6" t="s">
        <v>28</v>
      </c>
      <c r="B94" s="26" t="str">
        <f>VLOOKUP(GestionPersonnelRDJ[[#This Row],[Nom Prénom]],Personnels!Personnels,2,0)</f>
        <v>ME</v>
      </c>
      <c r="C94" s="21" t="str">
        <f>VLOOKUP(GestionPersonnelRDJ[[#This Row],[Nom Prénom]],Personnels!Personnels,3,0)</f>
        <v>Glycines</v>
      </c>
      <c r="D94" s="21" t="str">
        <f>VLOOKUP(GestionPersonnelRDJ[[#This Row],[Nom Prénom]],Personnels!Personnels,4,0)</f>
        <v>FH</v>
      </c>
      <c r="E94" s="2">
        <f>INT(MOD(INT((GestionPersonnelRDJ[[#This Row],[Date]]-2)/7)+0.6,52+5/28))+1</f>
        <v>50</v>
      </c>
      <c r="F94" s="7">
        <v>4</v>
      </c>
      <c r="G94" s="8">
        <v>40894</v>
      </c>
      <c r="H94" s="5" t="str">
        <f t="shared" si="54"/>
        <v>samedi</v>
      </c>
      <c r="I94" s="27">
        <f ca="1">SUMPRODUCT((groupe='Base de donnée'!C94)*(OFFSET(groupe,,1)='Base de donnée'!F94)*(OFFSET(groupe,,2)='Base de donnée'!H94)*(OFFSET(groupe,,3)))</f>
        <v>12</v>
      </c>
      <c r="J94" s="70">
        <f ca="1">SUMPRODUCT((groupe='Base de donnée'!C94)*(OFFSET(groupe,,1)='Base de donnée'!F94)*(OFFSET(groupe,,2)='Base de donnée'!H94)*(OFFSET(groupe,,6)))</f>
        <v>11</v>
      </c>
      <c r="K94" s="70">
        <f ca="1">SUMPRODUCT((groupe='Base de donnée'!C94)*(OFFSET(groupe,,1)='Base de donnée'!F94)*(OFFSET(groupe,,2)='Base de donnée'!H94)*(OFFSET(groupe,,7)))</f>
        <v>12</v>
      </c>
      <c r="L94" s="71">
        <f ca="1">SUMPRODUCT((groupe='Base de donnée'!C94)*(OFFSET(groupe,,1)='Base de donnée'!F94)*(OFFSET(groupe,,2)='Base de donnée'!H94)*(OFFSET(groupe,,8)))</f>
        <v>12</v>
      </c>
      <c r="M94" s="71">
        <f ca="1">SUMPRODUCT((groupe='Base de donnée'!C94)*(OFFSET(groupe,,1)='Base de donnée'!F94)*(OFFSET(groupe,,2)='Base de donnée'!H94)*(OFFSET(groupe,,9)))</f>
        <v>23</v>
      </c>
      <c r="N94" s="27">
        <f t="shared" ca="1" si="0"/>
        <v>12</v>
      </c>
      <c r="O94" s="27">
        <f t="shared" ca="1" si="1"/>
        <v>12</v>
      </c>
      <c r="P94" s="49">
        <f t="shared" ca="1" si="55"/>
        <v>0</v>
      </c>
      <c r="Q94" s="49">
        <f t="shared" ca="1" si="56"/>
        <v>0</v>
      </c>
      <c r="R94" s="27"/>
      <c r="S94" s="27" t="str">
        <f t="shared" si="45"/>
        <v/>
      </c>
      <c r="T94" s="27"/>
      <c r="U94" s="27" t="str">
        <f t="shared" si="46"/>
        <v/>
      </c>
      <c r="V94" s="27" t="str">
        <f t="shared" si="47"/>
        <v/>
      </c>
      <c r="W94" s="27"/>
      <c r="X94" s="28">
        <f ca="1">IF(OR(Z94=1,AA94=1,AB94=1,AC94=1,AD94=1),0,(SUMPRODUCT((groupe='Base de donnée'!C94)*(OFFSET(groupe,,1)='Base de donnée'!F94)*(OFFSET(groupe,,2)='Base de donnée'!H94)*(OFFSET(groupe,,5)))))</f>
        <v>0</v>
      </c>
      <c r="Y94" s="28"/>
      <c r="Z94" s="7"/>
      <c r="AA94" s="7"/>
      <c r="AB94" s="7"/>
      <c r="AC94" s="7"/>
      <c r="AD94" s="7"/>
      <c r="AE94" s="7"/>
    </row>
    <row r="95" spans="1:31" s="30" customFormat="1" x14ac:dyDescent="0.25">
      <c r="A95" s="6" t="s">
        <v>28</v>
      </c>
      <c r="B95" s="26" t="str">
        <f>VLOOKUP(GestionPersonnelRDJ[[#This Row],[Nom Prénom]],Personnels!Personnels,2,0)</f>
        <v>ME</v>
      </c>
      <c r="C95" s="21" t="str">
        <f>VLOOKUP(GestionPersonnelRDJ[[#This Row],[Nom Prénom]],Personnels!Personnels,3,0)</f>
        <v>Glycines</v>
      </c>
      <c r="D95" s="21" t="str">
        <f>VLOOKUP(GestionPersonnelRDJ[[#This Row],[Nom Prénom]],Personnels!Personnels,4,0)</f>
        <v>FH</v>
      </c>
      <c r="E95" s="2">
        <f>INT(MOD(INT((GestionPersonnelRDJ[[#This Row],[Date]]-2)/7)+0.6,52+5/28))+1</f>
        <v>50</v>
      </c>
      <c r="F95" s="7">
        <v>4</v>
      </c>
      <c r="G95" s="8">
        <v>40895</v>
      </c>
      <c r="H95" s="5" t="str">
        <f t="shared" si="54"/>
        <v>dimanche</v>
      </c>
      <c r="I95" s="27">
        <f ca="1">SUMPRODUCT((groupe='Base de donnée'!C95)*(OFFSET(groupe,,1)='Base de donnée'!F95)*(OFFSET(groupe,,2)='Base de donnée'!H95)*(OFFSET(groupe,,3)))</f>
        <v>12</v>
      </c>
      <c r="J95" s="70">
        <f ca="1">SUMPRODUCT((groupe='Base de donnée'!C95)*(OFFSET(groupe,,1)='Base de donnée'!F95)*(OFFSET(groupe,,2)='Base de donnée'!H95)*(OFFSET(groupe,,6)))</f>
        <v>11</v>
      </c>
      <c r="K95" s="70">
        <f ca="1">SUMPRODUCT((groupe='Base de donnée'!C95)*(OFFSET(groupe,,1)='Base de donnée'!F95)*(OFFSET(groupe,,2)='Base de donnée'!H95)*(OFFSET(groupe,,7)))</f>
        <v>12</v>
      </c>
      <c r="L95" s="71">
        <f ca="1">SUMPRODUCT((groupe='Base de donnée'!C95)*(OFFSET(groupe,,1)='Base de donnée'!F95)*(OFFSET(groupe,,2)='Base de donnée'!H95)*(OFFSET(groupe,,8)))</f>
        <v>12</v>
      </c>
      <c r="M95" s="71">
        <f ca="1">SUMPRODUCT((groupe='Base de donnée'!C95)*(OFFSET(groupe,,1)='Base de donnée'!F95)*(OFFSET(groupe,,2)='Base de donnée'!H95)*(OFFSET(groupe,,9)))</f>
        <v>23</v>
      </c>
      <c r="N95" s="27">
        <f t="shared" ca="1" si="0"/>
        <v>12</v>
      </c>
      <c r="O95" s="27">
        <f t="shared" ca="1" si="1"/>
        <v>12</v>
      </c>
      <c r="P95" s="49">
        <f t="shared" ca="1" si="55"/>
        <v>0</v>
      </c>
      <c r="Q95" s="49">
        <f t="shared" ca="1" si="56"/>
        <v>0</v>
      </c>
      <c r="R95" s="27"/>
      <c r="S95" s="27">
        <f t="shared" ca="1" si="45"/>
        <v>12</v>
      </c>
      <c r="T95" s="27"/>
      <c r="U95" s="27" t="str">
        <f t="shared" si="46"/>
        <v/>
      </c>
      <c r="V95" s="27">
        <f t="shared" ca="1" si="47"/>
        <v>12</v>
      </c>
      <c r="W95" s="27"/>
      <c r="X95" s="28">
        <f ca="1">IF(OR(Z95=1,AA95=1,AB95=1,AC95=1,AD95=1),0,(SUMPRODUCT((groupe='Base de donnée'!C95)*(OFFSET(groupe,,1)='Base de donnée'!F95)*(OFFSET(groupe,,2)='Base de donnée'!H95)*(OFFSET(groupe,,5)))))</f>
        <v>0</v>
      </c>
      <c r="Y95" s="28"/>
      <c r="Z95" s="7"/>
      <c r="AA95" s="7"/>
      <c r="AB95" s="7"/>
      <c r="AC95" s="7"/>
      <c r="AD95" s="7"/>
      <c r="AE95" s="7"/>
    </row>
    <row r="96" spans="1:31" s="30" customFormat="1" x14ac:dyDescent="0.25">
      <c r="A96" s="6" t="s">
        <v>30</v>
      </c>
      <c r="B96" s="26" t="str">
        <f>VLOOKUP(GestionPersonnelRDJ[[#This Row],[Nom Prénom]],Personnels!Personnels,2,0)</f>
        <v>ME</v>
      </c>
      <c r="C96" s="21" t="str">
        <f>VLOOKUP(GestionPersonnelRDJ[[#This Row],[Nom Prénom]],Personnels!Personnels,3,0)</f>
        <v>Glycines</v>
      </c>
      <c r="D96" s="21" t="str">
        <f>VLOOKUP(GestionPersonnelRDJ[[#This Row],[Nom Prénom]],Personnels!Personnels,4,0)</f>
        <v>FH</v>
      </c>
      <c r="E96" s="2">
        <f>INT(MOD(INT((GestionPersonnelRDJ[[#This Row],[Date]]-2)/7)+0.6,52+5/28))+1</f>
        <v>50</v>
      </c>
      <c r="F96" s="7">
        <v>3</v>
      </c>
      <c r="G96" s="8">
        <v>40889</v>
      </c>
      <c r="H96" s="5" t="str">
        <f t="shared" ref="H96:H102" si="57">TEXT(WEEKDAY(G96),"jjjj")</f>
        <v>lundi</v>
      </c>
      <c r="I96" s="27">
        <f ca="1">SUMPRODUCT((groupe='Base de donnée'!C96)*(OFFSET(groupe,,1)='Base de donnée'!F96)*(OFFSET(groupe,,2)='Base de donnée'!H96)*(OFFSET(groupe,,3)))</f>
        <v>8</v>
      </c>
      <c r="J96" s="70">
        <f ca="1">SUMPRODUCT((groupe='Base de donnée'!C96)*(OFFSET(groupe,,1)='Base de donnée'!F96)*(OFFSET(groupe,,2)='Base de donnée'!H96)*(OFFSET(groupe,,6)))</f>
        <v>0</v>
      </c>
      <c r="K96" s="70">
        <f ca="1">SUMPRODUCT((groupe='Base de donnée'!C96)*(OFFSET(groupe,,1)='Base de donnée'!F96)*(OFFSET(groupe,,2)='Base de donnée'!H96)*(OFFSET(groupe,,7)))</f>
        <v>0</v>
      </c>
      <c r="L96" s="71">
        <f ca="1">SUMPRODUCT((groupe='Base de donnée'!C96)*(OFFSET(groupe,,1)='Base de donnée'!F96)*(OFFSET(groupe,,2)='Base de donnée'!H96)*(OFFSET(groupe,,8)))</f>
        <v>14</v>
      </c>
      <c r="M96" s="71">
        <f ca="1">SUMPRODUCT((groupe='Base de donnée'!C96)*(OFFSET(groupe,,1)='Base de donnée'!F96)*(OFFSET(groupe,,2)='Base de donnée'!H96)*(OFFSET(groupe,,9)))</f>
        <v>22</v>
      </c>
      <c r="N96" s="27">
        <f t="shared" si="0"/>
        <v>0</v>
      </c>
      <c r="O96" s="27">
        <f t="shared" ca="1" si="1"/>
        <v>8</v>
      </c>
      <c r="P96" s="49">
        <f t="shared" ref="P96:P102" ca="1" si="58">IF(I96-O96-(W96+X96)&lt;=0,0,I96-O96-(W96+X96))</f>
        <v>0</v>
      </c>
      <c r="Q96" s="49">
        <f t="shared" ref="Q96:Q102" ca="1" si="59">IF(O96-I96-(W96+X96)&lt;=0,0,O96-I96-(W96+X96))</f>
        <v>0</v>
      </c>
      <c r="R96" s="27"/>
      <c r="S96" s="27" t="str">
        <f t="shared" si="45"/>
        <v/>
      </c>
      <c r="T96" s="27"/>
      <c r="U96" s="27" t="str">
        <f t="shared" si="46"/>
        <v/>
      </c>
      <c r="V96" s="27" t="str">
        <f t="shared" si="47"/>
        <v/>
      </c>
      <c r="W96" s="27"/>
      <c r="X96" s="28">
        <f ca="1">IF(OR(Z96=1,AA96=1,AB96=1,AC96=1,AD96=1),0,(SUMPRODUCT((groupe='Base de donnée'!C96)*(OFFSET(groupe,,1)='Base de donnée'!F96)*(OFFSET(groupe,,2)='Base de donnée'!H96)*(OFFSET(groupe,,5)))))</f>
        <v>0</v>
      </c>
      <c r="Y96" s="28"/>
      <c r="Z96" s="7"/>
      <c r="AA96" s="7"/>
      <c r="AB96" s="7">
        <v>1</v>
      </c>
      <c r="AC96" s="7"/>
      <c r="AD96" s="7"/>
      <c r="AE96" s="7"/>
    </row>
    <row r="97" spans="1:31" s="30" customFormat="1" x14ac:dyDescent="0.25">
      <c r="A97" s="6" t="s">
        <v>30</v>
      </c>
      <c r="B97" s="26" t="str">
        <f>VLOOKUP(GestionPersonnelRDJ[[#This Row],[Nom Prénom]],Personnels!Personnels,2,0)</f>
        <v>ME</v>
      </c>
      <c r="C97" s="21" t="str">
        <f>VLOOKUP(GestionPersonnelRDJ[[#This Row],[Nom Prénom]],Personnels!Personnels,3,0)</f>
        <v>Glycines</v>
      </c>
      <c r="D97" s="21" t="str">
        <f>VLOOKUP(GestionPersonnelRDJ[[#This Row],[Nom Prénom]],Personnels!Personnels,4,0)</f>
        <v>FH</v>
      </c>
      <c r="E97" s="2">
        <f>INT(MOD(INT((GestionPersonnelRDJ[[#This Row],[Date]]-2)/7)+0.6,52+5/28))+1</f>
        <v>50</v>
      </c>
      <c r="F97" s="7">
        <v>3</v>
      </c>
      <c r="G97" s="8">
        <v>40890</v>
      </c>
      <c r="H97" s="5" t="str">
        <f t="shared" si="57"/>
        <v>mardi</v>
      </c>
      <c r="I97" s="27">
        <f ca="1">SUMPRODUCT((groupe='Base de donnée'!C97)*(OFFSET(groupe,,1)='Base de donnée'!F97)*(OFFSET(groupe,,2)='Base de donnée'!H97)*(OFFSET(groupe,,3)))</f>
        <v>7.5</v>
      </c>
      <c r="J97" s="70">
        <f ca="1">SUMPRODUCT((groupe='Base de donnée'!C97)*(OFFSET(groupe,,1)='Base de donnée'!F97)*(OFFSET(groupe,,2)='Base de donnée'!H97)*(OFFSET(groupe,,6)))</f>
        <v>9.5</v>
      </c>
      <c r="K97" s="70">
        <f ca="1">SUMPRODUCT((groupe='Base de donnée'!C97)*(OFFSET(groupe,,1)='Base de donnée'!F97)*(OFFSET(groupe,,2)='Base de donnée'!H97)*(OFFSET(groupe,,7)))</f>
        <v>12.5</v>
      </c>
      <c r="L97" s="71">
        <f ca="1">SUMPRODUCT((groupe='Base de donnée'!C97)*(OFFSET(groupe,,1)='Base de donnée'!F97)*(OFFSET(groupe,,2)='Base de donnée'!H97)*(OFFSET(groupe,,8)))</f>
        <v>16.5</v>
      </c>
      <c r="M97" s="71">
        <f ca="1">SUMPRODUCT((groupe='Base de donnée'!C97)*(OFFSET(groupe,,1)='Base de donnée'!F97)*(OFFSET(groupe,,2)='Base de donnée'!H97)*(OFFSET(groupe,,9)))</f>
        <v>21</v>
      </c>
      <c r="N97" s="27">
        <f t="shared" si="0"/>
        <v>0</v>
      </c>
      <c r="O97" s="27">
        <f t="shared" ca="1" si="1"/>
        <v>7.5</v>
      </c>
      <c r="P97" s="49">
        <f t="shared" ca="1" si="58"/>
        <v>0</v>
      </c>
      <c r="Q97" s="49">
        <f t="shared" ca="1" si="59"/>
        <v>0</v>
      </c>
      <c r="R97" s="27"/>
      <c r="S97" s="27" t="str">
        <f t="shared" si="45"/>
        <v/>
      </c>
      <c r="T97" s="27"/>
      <c r="U97" s="27" t="str">
        <f t="shared" si="46"/>
        <v/>
      </c>
      <c r="V97" s="27" t="str">
        <f t="shared" si="47"/>
        <v/>
      </c>
      <c r="W97" s="27"/>
      <c r="X97" s="28">
        <f ca="1">IF(OR(Z97=1,AA97=1,AB97=1,AC97=1,AD97=1),0,(SUMPRODUCT((groupe='Base de donnée'!C97)*(OFFSET(groupe,,1)='Base de donnée'!F97)*(OFFSET(groupe,,2)='Base de donnée'!H97)*(OFFSET(groupe,,5)))))</f>
        <v>0</v>
      </c>
      <c r="Y97" s="28"/>
      <c r="Z97" s="7"/>
      <c r="AA97" s="7"/>
      <c r="AB97" s="7">
        <v>1</v>
      </c>
      <c r="AC97" s="7"/>
      <c r="AD97" s="7"/>
      <c r="AE97" s="7"/>
    </row>
    <row r="98" spans="1:31" s="30" customFormat="1" x14ac:dyDescent="0.25">
      <c r="A98" s="6" t="s">
        <v>30</v>
      </c>
      <c r="B98" s="26" t="str">
        <f>VLOOKUP(GestionPersonnelRDJ[[#This Row],[Nom Prénom]],Personnels!Personnels,2,0)</f>
        <v>ME</v>
      </c>
      <c r="C98" s="21" t="str">
        <f>VLOOKUP(GestionPersonnelRDJ[[#This Row],[Nom Prénom]],Personnels!Personnels,3,0)</f>
        <v>Glycines</v>
      </c>
      <c r="D98" s="21" t="str">
        <f>VLOOKUP(GestionPersonnelRDJ[[#This Row],[Nom Prénom]],Personnels!Personnels,4,0)</f>
        <v>FH</v>
      </c>
      <c r="E98" s="2">
        <f>INT(MOD(INT((GestionPersonnelRDJ[[#This Row],[Date]]-2)/7)+0.6,52+5/28))+1</f>
        <v>50</v>
      </c>
      <c r="F98" s="7">
        <v>3</v>
      </c>
      <c r="G98" s="8">
        <v>40891</v>
      </c>
      <c r="H98" s="5" t="str">
        <f t="shared" si="57"/>
        <v>mercredi</v>
      </c>
      <c r="I98" s="27">
        <f ca="1">SUMPRODUCT((groupe='Base de donnée'!C98)*(OFFSET(groupe,,1)='Base de donnée'!F98)*(OFFSET(groupe,,2)='Base de donnée'!H98)*(OFFSET(groupe,,3)))</f>
        <v>10</v>
      </c>
      <c r="J98" s="70">
        <f ca="1">SUMPRODUCT((groupe='Base de donnée'!C98)*(OFFSET(groupe,,1)='Base de donnée'!F98)*(OFFSET(groupe,,2)='Base de donnée'!H98)*(OFFSET(groupe,,6)))</f>
        <v>9</v>
      </c>
      <c r="K98" s="70">
        <f ca="1">SUMPRODUCT((groupe='Base de donnée'!C98)*(OFFSET(groupe,,1)='Base de donnée'!F98)*(OFFSET(groupe,,2)='Base de donnée'!H98)*(OFFSET(groupe,,7)))</f>
        <v>12</v>
      </c>
      <c r="L98" s="71">
        <f ca="1">SUMPRODUCT((groupe='Base de donnée'!C98)*(OFFSET(groupe,,1)='Base de donnée'!F98)*(OFFSET(groupe,,2)='Base de donnée'!H98)*(OFFSET(groupe,,8)))</f>
        <v>12</v>
      </c>
      <c r="M98" s="71">
        <f ca="1">SUMPRODUCT((groupe='Base de donnée'!C98)*(OFFSET(groupe,,1)='Base de donnée'!F98)*(OFFSET(groupe,,2)='Base de donnée'!H98)*(OFFSET(groupe,,9)))</f>
        <v>19</v>
      </c>
      <c r="N98" s="27">
        <f t="shared" ca="1" si="0"/>
        <v>10</v>
      </c>
      <c r="O98" s="27">
        <f t="shared" ca="1" si="1"/>
        <v>10</v>
      </c>
      <c r="P98" s="49">
        <f t="shared" ca="1" si="58"/>
        <v>0</v>
      </c>
      <c r="Q98" s="49">
        <f t="shared" ca="1" si="59"/>
        <v>0</v>
      </c>
      <c r="R98" s="27"/>
      <c r="S98" s="27" t="str">
        <f t="shared" si="45"/>
        <v/>
      </c>
      <c r="T98" s="27"/>
      <c r="U98" s="27" t="str">
        <f t="shared" si="46"/>
        <v/>
      </c>
      <c r="V98" s="27" t="str">
        <f t="shared" si="47"/>
        <v/>
      </c>
      <c r="W98" s="27"/>
      <c r="X98" s="28">
        <f ca="1">IF(OR(Z98=1,AA98=1,AB98=1,AC98=1,AD98=1),0,(SUMPRODUCT((groupe='Base de donnée'!C98)*(OFFSET(groupe,,1)='Base de donnée'!F98)*(OFFSET(groupe,,2)='Base de donnée'!H98)*(OFFSET(groupe,,5)))))</f>
        <v>0</v>
      </c>
      <c r="Y98" s="28"/>
      <c r="Z98" s="7"/>
      <c r="AA98" s="7"/>
      <c r="AB98" s="7"/>
      <c r="AC98" s="7"/>
      <c r="AD98" s="7"/>
      <c r="AE98" s="7"/>
    </row>
    <row r="99" spans="1:31" s="30" customFormat="1" x14ac:dyDescent="0.25">
      <c r="A99" s="6" t="s">
        <v>30</v>
      </c>
      <c r="B99" s="26" t="str">
        <f>VLOOKUP(GestionPersonnelRDJ[[#This Row],[Nom Prénom]],Personnels!Personnels,2,0)</f>
        <v>ME</v>
      </c>
      <c r="C99" s="21" t="str">
        <f>VLOOKUP(GestionPersonnelRDJ[[#This Row],[Nom Prénom]],Personnels!Personnels,3,0)</f>
        <v>Glycines</v>
      </c>
      <c r="D99" s="21" t="str">
        <f>VLOOKUP(GestionPersonnelRDJ[[#This Row],[Nom Prénom]],Personnels!Personnels,4,0)</f>
        <v>FH</v>
      </c>
      <c r="E99" s="2">
        <f>INT(MOD(INT((GestionPersonnelRDJ[[#This Row],[Date]]-2)/7)+0.6,52+5/28))+1</f>
        <v>50</v>
      </c>
      <c r="F99" s="7">
        <v>3</v>
      </c>
      <c r="G99" s="8">
        <v>40892</v>
      </c>
      <c r="H99" s="5" t="str">
        <f t="shared" si="57"/>
        <v>jeudi</v>
      </c>
      <c r="I99" s="27">
        <f ca="1">SUMPRODUCT((groupe='Base de donnée'!C99)*(OFFSET(groupe,,1)='Base de donnée'!F99)*(OFFSET(groupe,,2)='Base de donnée'!H99)*(OFFSET(groupe,,3)))</f>
        <v>11</v>
      </c>
      <c r="J99" s="70">
        <f ca="1">SUMPRODUCT((groupe='Base de donnée'!C99)*(OFFSET(groupe,,1)='Base de donnée'!F99)*(OFFSET(groupe,,2)='Base de donnée'!H99)*(OFFSET(groupe,,6)))</f>
        <v>7</v>
      </c>
      <c r="K99" s="70">
        <f ca="1">SUMPRODUCT((groupe='Base de donnée'!C99)*(OFFSET(groupe,,1)='Base de donnée'!F99)*(OFFSET(groupe,,2)='Base de donnée'!H99)*(OFFSET(groupe,,7)))</f>
        <v>9.5</v>
      </c>
      <c r="L99" s="71">
        <f ca="1">SUMPRODUCT((groupe='Base de donnée'!C99)*(OFFSET(groupe,,1)='Base de donnée'!F99)*(OFFSET(groupe,,2)='Base de donnée'!H99)*(OFFSET(groupe,,8)))</f>
        <v>14</v>
      </c>
      <c r="M99" s="71">
        <f ca="1">SUMPRODUCT((groupe='Base de donnée'!C99)*(OFFSET(groupe,,1)='Base de donnée'!F99)*(OFFSET(groupe,,2)='Base de donnée'!H99)*(OFFSET(groupe,,9)))</f>
        <v>22.5</v>
      </c>
      <c r="N99" s="27">
        <f t="shared" ca="1" si="0"/>
        <v>11</v>
      </c>
      <c r="O99" s="27">
        <f t="shared" ca="1" si="1"/>
        <v>11</v>
      </c>
      <c r="P99" s="49">
        <f t="shared" ca="1" si="58"/>
        <v>0</v>
      </c>
      <c r="Q99" s="49">
        <f t="shared" ca="1" si="59"/>
        <v>0</v>
      </c>
      <c r="R99" s="27"/>
      <c r="S99" s="27" t="str">
        <f t="shared" si="45"/>
        <v/>
      </c>
      <c r="T99" s="27"/>
      <c r="U99" s="27" t="str">
        <f t="shared" si="46"/>
        <v/>
      </c>
      <c r="V99" s="27" t="str">
        <f t="shared" si="47"/>
        <v/>
      </c>
      <c r="W99" s="27"/>
      <c r="X99" s="28">
        <f ca="1">IF(OR(Z99=1,AA99=1,AB99=1,AC99=1,AD99=1),0,(SUMPRODUCT((groupe='Base de donnée'!C99)*(OFFSET(groupe,,1)='Base de donnée'!F99)*(OFFSET(groupe,,2)='Base de donnée'!H99)*(OFFSET(groupe,,5)))))</f>
        <v>0</v>
      </c>
      <c r="Y99" s="28"/>
      <c r="Z99" s="7"/>
      <c r="AA99" s="7"/>
      <c r="AB99" s="7"/>
      <c r="AC99" s="7"/>
      <c r="AD99" s="7"/>
      <c r="AE99" s="7"/>
    </row>
    <row r="100" spans="1:31" s="30" customFormat="1" x14ac:dyDescent="0.25">
      <c r="A100" s="6" t="s">
        <v>30</v>
      </c>
      <c r="B100" s="26" t="str">
        <f>VLOOKUP(GestionPersonnelRDJ[[#This Row],[Nom Prénom]],Personnels!Personnels,2,0)</f>
        <v>ME</v>
      </c>
      <c r="C100" s="21" t="str">
        <f>VLOOKUP(GestionPersonnelRDJ[[#This Row],[Nom Prénom]],Personnels!Personnels,3,0)</f>
        <v>Glycines</v>
      </c>
      <c r="D100" s="21" t="str">
        <f>VLOOKUP(GestionPersonnelRDJ[[#This Row],[Nom Prénom]],Personnels!Personnels,4,0)</f>
        <v>FH</v>
      </c>
      <c r="E100" s="2">
        <f>INT(MOD(INT((GestionPersonnelRDJ[[#This Row],[Date]]-2)/7)+0.6,52+5/28))+1</f>
        <v>50</v>
      </c>
      <c r="F100" s="7">
        <v>3</v>
      </c>
      <c r="G100" s="8">
        <v>40893</v>
      </c>
      <c r="H100" s="5" t="str">
        <f t="shared" si="57"/>
        <v>vendredi</v>
      </c>
      <c r="I100" s="27">
        <f ca="1">SUMPRODUCT((groupe='Base de donnée'!C100)*(OFFSET(groupe,,1)='Base de donnée'!F100)*(OFFSET(groupe,,2)='Base de donnée'!H100)*(OFFSET(groupe,,3)))</f>
        <v>0</v>
      </c>
      <c r="J100" s="70">
        <f ca="1">SUMPRODUCT((groupe='Base de donnée'!C100)*(OFFSET(groupe,,1)='Base de donnée'!F100)*(OFFSET(groupe,,2)='Base de donnée'!H100)*(OFFSET(groupe,,6)))</f>
        <v>0</v>
      </c>
      <c r="K100" s="70">
        <f ca="1">SUMPRODUCT((groupe='Base de donnée'!C100)*(OFFSET(groupe,,1)='Base de donnée'!F100)*(OFFSET(groupe,,2)='Base de donnée'!H100)*(OFFSET(groupe,,7)))</f>
        <v>0</v>
      </c>
      <c r="L100" s="71">
        <f ca="1">SUMPRODUCT((groupe='Base de donnée'!C100)*(OFFSET(groupe,,1)='Base de donnée'!F100)*(OFFSET(groupe,,2)='Base de donnée'!H100)*(OFFSET(groupe,,8)))</f>
        <v>0</v>
      </c>
      <c r="M100" s="71">
        <f ca="1">SUMPRODUCT((groupe='Base de donnée'!C100)*(OFFSET(groupe,,1)='Base de donnée'!F100)*(OFFSET(groupe,,2)='Base de donnée'!H100)*(OFFSET(groupe,,9)))</f>
        <v>0</v>
      </c>
      <c r="N100" s="27">
        <f t="shared" ca="1" si="0"/>
        <v>0</v>
      </c>
      <c r="O100" s="27">
        <f t="shared" ca="1" si="1"/>
        <v>0</v>
      </c>
      <c r="P100" s="49">
        <f t="shared" ca="1" si="58"/>
        <v>0</v>
      </c>
      <c r="Q100" s="49">
        <f t="shared" ca="1" si="59"/>
        <v>0</v>
      </c>
      <c r="R100" s="27"/>
      <c r="S100" s="27" t="str">
        <f t="shared" ref="S100:S131" si="60">IF((Z100=1),"",IF(OR(WEEKDAY(G100)=1,COUNTIF(Fériés2010,G100)&gt;0),N100,""))</f>
        <v/>
      </c>
      <c r="T100" s="27"/>
      <c r="U100" s="27" t="str">
        <f t="shared" ref="U100:U131" si="61">IF(COUNTIF(Fériés2010,G100),N100,"")</f>
        <v/>
      </c>
      <c r="V100" s="27" t="str">
        <f t="shared" si="47"/>
        <v/>
      </c>
      <c r="W100" s="27"/>
      <c r="X100" s="28">
        <f ca="1">IF(OR(Z100=1,AA100=1,AB100=1,AC100=1,AD100=1),0,(SUMPRODUCT((groupe='Base de donnée'!C100)*(OFFSET(groupe,,1)='Base de donnée'!F100)*(OFFSET(groupe,,2)='Base de donnée'!H100)*(OFFSET(groupe,,5)))))</f>
        <v>0</v>
      </c>
      <c r="Y100" s="28"/>
      <c r="Z100" s="7"/>
      <c r="AA100" s="7"/>
      <c r="AB100" s="7"/>
      <c r="AC100" s="7"/>
      <c r="AD100" s="7"/>
      <c r="AE100" s="7"/>
    </row>
    <row r="101" spans="1:31" s="30" customFormat="1" x14ac:dyDescent="0.25">
      <c r="A101" s="6" t="s">
        <v>30</v>
      </c>
      <c r="B101" s="26" t="str">
        <f>VLOOKUP(GestionPersonnelRDJ[[#This Row],[Nom Prénom]],Personnels!Personnels,2,0)</f>
        <v>ME</v>
      </c>
      <c r="C101" s="21" t="str">
        <f>VLOOKUP(GestionPersonnelRDJ[[#This Row],[Nom Prénom]],Personnels!Personnels,3,0)</f>
        <v>Glycines</v>
      </c>
      <c r="D101" s="21" t="str">
        <f>VLOOKUP(GestionPersonnelRDJ[[#This Row],[Nom Prénom]],Personnels!Personnels,4,0)</f>
        <v>FH</v>
      </c>
      <c r="E101" s="2">
        <f>INT(MOD(INT((GestionPersonnelRDJ[[#This Row],[Date]]-2)/7)+0.6,52+5/28))+1</f>
        <v>50</v>
      </c>
      <c r="F101" s="7">
        <v>3</v>
      </c>
      <c r="G101" s="8">
        <v>40894</v>
      </c>
      <c r="H101" s="5" t="str">
        <f t="shared" si="57"/>
        <v>samedi</v>
      </c>
      <c r="I101" s="27">
        <f ca="1">SUMPRODUCT((groupe='Base de donnée'!C101)*(OFFSET(groupe,,1)='Base de donnée'!F101)*(OFFSET(groupe,,2)='Base de donnée'!H101)*(OFFSET(groupe,,3)))</f>
        <v>0</v>
      </c>
      <c r="J101" s="70">
        <f ca="1">SUMPRODUCT((groupe='Base de donnée'!C101)*(OFFSET(groupe,,1)='Base de donnée'!F101)*(OFFSET(groupe,,2)='Base de donnée'!H101)*(OFFSET(groupe,,6)))</f>
        <v>0</v>
      </c>
      <c r="K101" s="70">
        <f ca="1">SUMPRODUCT((groupe='Base de donnée'!C101)*(OFFSET(groupe,,1)='Base de donnée'!F101)*(OFFSET(groupe,,2)='Base de donnée'!H101)*(OFFSET(groupe,,7)))</f>
        <v>0</v>
      </c>
      <c r="L101" s="71">
        <f ca="1">SUMPRODUCT((groupe='Base de donnée'!C101)*(OFFSET(groupe,,1)='Base de donnée'!F101)*(OFFSET(groupe,,2)='Base de donnée'!H101)*(OFFSET(groupe,,8)))</f>
        <v>0</v>
      </c>
      <c r="M101" s="71">
        <f ca="1">SUMPRODUCT((groupe='Base de donnée'!C101)*(OFFSET(groupe,,1)='Base de donnée'!F101)*(OFFSET(groupe,,2)='Base de donnée'!H101)*(OFFSET(groupe,,9)))</f>
        <v>0</v>
      </c>
      <c r="N101" s="27">
        <f t="shared" ca="1" si="0"/>
        <v>0</v>
      </c>
      <c r="O101" s="27">
        <f t="shared" ca="1" si="1"/>
        <v>0</v>
      </c>
      <c r="P101" s="49">
        <f t="shared" ca="1" si="58"/>
        <v>0</v>
      </c>
      <c r="Q101" s="49">
        <f t="shared" ca="1" si="59"/>
        <v>0</v>
      </c>
      <c r="R101" s="27"/>
      <c r="S101" s="27" t="str">
        <f t="shared" si="60"/>
        <v/>
      </c>
      <c r="T101" s="27"/>
      <c r="U101" s="27" t="str">
        <f t="shared" si="61"/>
        <v/>
      </c>
      <c r="V101" s="27" t="str">
        <f t="shared" si="47"/>
        <v/>
      </c>
      <c r="W101" s="27"/>
      <c r="X101" s="28">
        <f ca="1">IF(OR(Z101=1,AA101=1,AB101=1,AC101=1,AD101=1),0,(SUMPRODUCT((groupe='Base de donnée'!C101)*(OFFSET(groupe,,1)='Base de donnée'!F101)*(OFFSET(groupe,,2)='Base de donnée'!H101)*(OFFSET(groupe,,5)))))</f>
        <v>0</v>
      </c>
      <c r="Y101" s="28"/>
      <c r="Z101" s="7"/>
      <c r="AA101" s="7"/>
      <c r="AB101" s="7"/>
      <c r="AC101" s="7"/>
      <c r="AD101" s="7"/>
      <c r="AE101" s="7"/>
    </row>
    <row r="102" spans="1:31" s="30" customFormat="1" x14ac:dyDescent="0.25">
      <c r="A102" s="6" t="s">
        <v>30</v>
      </c>
      <c r="B102" s="26" t="str">
        <f>VLOOKUP(GestionPersonnelRDJ[[#This Row],[Nom Prénom]],Personnels!Personnels,2,0)</f>
        <v>ME</v>
      </c>
      <c r="C102" s="21" t="str">
        <f>VLOOKUP(GestionPersonnelRDJ[[#This Row],[Nom Prénom]],Personnels!Personnels,3,0)</f>
        <v>Glycines</v>
      </c>
      <c r="D102" s="21" t="str">
        <f>VLOOKUP(GestionPersonnelRDJ[[#This Row],[Nom Prénom]],Personnels!Personnels,4,0)</f>
        <v>FH</v>
      </c>
      <c r="E102" s="2">
        <f>INT(MOD(INT((GestionPersonnelRDJ[[#This Row],[Date]]-2)/7)+0.6,52+5/28))+1</f>
        <v>50</v>
      </c>
      <c r="F102" s="7">
        <v>3</v>
      </c>
      <c r="G102" s="8">
        <v>40895</v>
      </c>
      <c r="H102" s="5" t="str">
        <f t="shared" si="57"/>
        <v>dimanche</v>
      </c>
      <c r="I102" s="27">
        <f ca="1">SUMPRODUCT((groupe='Base de donnée'!C102)*(OFFSET(groupe,,1)='Base de donnée'!F102)*(OFFSET(groupe,,2)='Base de donnée'!H102)*(OFFSET(groupe,,3)))</f>
        <v>0</v>
      </c>
      <c r="J102" s="70">
        <f ca="1">SUMPRODUCT((groupe='Base de donnée'!C102)*(OFFSET(groupe,,1)='Base de donnée'!F102)*(OFFSET(groupe,,2)='Base de donnée'!H102)*(OFFSET(groupe,,6)))</f>
        <v>0</v>
      </c>
      <c r="K102" s="70">
        <f ca="1">SUMPRODUCT((groupe='Base de donnée'!C102)*(OFFSET(groupe,,1)='Base de donnée'!F102)*(OFFSET(groupe,,2)='Base de donnée'!H102)*(OFFSET(groupe,,7)))</f>
        <v>0</v>
      </c>
      <c r="L102" s="71">
        <f ca="1">SUMPRODUCT((groupe='Base de donnée'!C102)*(OFFSET(groupe,,1)='Base de donnée'!F102)*(OFFSET(groupe,,2)='Base de donnée'!H102)*(OFFSET(groupe,,8)))</f>
        <v>0</v>
      </c>
      <c r="M102" s="71">
        <f ca="1">SUMPRODUCT((groupe='Base de donnée'!C102)*(OFFSET(groupe,,1)='Base de donnée'!F102)*(OFFSET(groupe,,2)='Base de donnée'!H102)*(OFFSET(groupe,,9)))</f>
        <v>0</v>
      </c>
      <c r="N102" s="27">
        <f t="shared" ca="1" si="0"/>
        <v>0</v>
      </c>
      <c r="O102" s="27">
        <f t="shared" ca="1" si="1"/>
        <v>0</v>
      </c>
      <c r="P102" s="49">
        <f t="shared" ca="1" si="58"/>
        <v>0</v>
      </c>
      <c r="Q102" s="49">
        <f t="shared" ca="1" si="59"/>
        <v>0</v>
      </c>
      <c r="R102" s="27"/>
      <c r="S102" s="27">
        <f t="shared" ca="1" si="60"/>
        <v>0</v>
      </c>
      <c r="T102" s="27"/>
      <c r="U102" s="27" t="str">
        <f t="shared" si="61"/>
        <v/>
      </c>
      <c r="V102" s="27">
        <f t="shared" ca="1" si="47"/>
        <v>0</v>
      </c>
      <c r="W102" s="27"/>
      <c r="X102" s="28">
        <f ca="1">IF(OR(Z102=1,AA102=1,AB102=1,AC102=1,AD102=1),0,(SUMPRODUCT((groupe='Base de donnée'!C102)*(OFFSET(groupe,,1)='Base de donnée'!F102)*(OFFSET(groupe,,2)='Base de donnée'!H102)*(OFFSET(groupe,,5)))))</f>
        <v>0</v>
      </c>
      <c r="Y102" s="28"/>
      <c r="Z102" s="7"/>
      <c r="AA102" s="7"/>
      <c r="AB102" s="7"/>
      <c r="AC102" s="7"/>
      <c r="AD102" s="7"/>
      <c r="AE102" s="7"/>
    </row>
    <row r="103" spans="1:31" s="30" customFormat="1" x14ac:dyDescent="0.25">
      <c r="A103" s="6" t="s">
        <v>37</v>
      </c>
      <c r="B103" s="26" t="str">
        <f>VLOOKUP(GestionPersonnelRDJ[[#This Row],[Nom Prénom]],Personnels!Personnels,2,0)</f>
        <v>AMP</v>
      </c>
      <c r="C103" s="21" t="str">
        <f>VLOOKUP(GestionPersonnelRDJ[[#This Row],[Nom Prénom]],Personnels!Personnels,3,0)</f>
        <v>FB2</v>
      </c>
      <c r="D103" s="21" t="str">
        <f>VLOOKUP(GestionPersonnelRDJ[[#This Row],[Nom Prénom]],Personnels!Personnels,4,0)</f>
        <v>FH</v>
      </c>
      <c r="E103" s="2">
        <f>INT(MOD(INT((GestionPersonnelRDJ[[#This Row],[Date]]-2)/7)+0.6,52+5/28))+1</f>
        <v>50</v>
      </c>
      <c r="F103" s="7">
        <v>6</v>
      </c>
      <c r="G103" s="8">
        <v>40889</v>
      </c>
      <c r="H103" s="5" t="str">
        <f t="shared" ref="H103:H109" si="62">TEXT(WEEKDAY(G103),"jjjj")</f>
        <v>lundi</v>
      </c>
      <c r="I103" s="27">
        <f ca="1">SUMPRODUCT((groupe='Base de donnée'!C103)*(OFFSET(groupe,,1)='Base de donnée'!F103)*(OFFSET(groupe,,2)='Base de donnée'!H103)*(OFFSET(groupe,,3)))</f>
        <v>10</v>
      </c>
      <c r="J103" s="70">
        <f ca="1">SUMPRODUCT((groupe='Base de donnée'!C103)*(OFFSET(groupe,,1)='Base de donnée'!F103)*(OFFSET(groupe,,2)='Base de donnée'!H103)*(OFFSET(groupe,,6)))</f>
        <v>7</v>
      </c>
      <c r="K103" s="70">
        <f ca="1">SUMPRODUCT((groupe='Base de donnée'!C103)*(OFFSET(groupe,,1)='Base de donnée'!F103)*(OFFSET(groupe,,2)='Base de donnée'!H103)*(OFFSET(groupe,,7)))</f>
        <v>9.5</v>
      </c>
      <c r="L103" s="71">
        <f ca="1">SUMPRODUCT((groupe='Base de donnée'!C103)*(OFFSET(groupe,,1)='Base de donnée'!F103)*(OFFSET(groupe,,2)='Base de donnée'!H103)*(OFFSET(groupe,,8)))</f>
        <v>14</v>
      </c>
      <c r="M103" s="71">
        <f ca="1">SUMPRODUCT((groupe='Base de donnée'!C103)*(OFFSET(groupe,,1)='Base de donnée'!F103)*(OFFSET(groupe,,2)='Base de donnée'!H103)*(OFFSET(groupe,,9)))</f>
        <v>21.5</v>
      </c>
      <c r="N103" s="27">
        <f t="shared" ca="1" si="0"/>
        <v>10</v>
      </c>
      <c r="O103" s="27">
        <f t="shared" ca="1" si="1"/>
        <v>10</v>
      </c>
      <c r="P103" s="49">
        <f t="shared" ref="P103:P109" ca="1" si="63">IF(I103-O103-(W103+X103)&lt;=0,0,I103-O103-(W103+X103))</f>
        <v>0</v>
      </c>
      <c r="Q103" s="49">
        <f t="shared" ref="Q103:Q109" ca="1" si="64">IF(O103-I103-(W103+X103)&lt;=0,0,O103-I103-(W103+X103))</f>
        <v>0</v>
      </c>
      <c r="R103" s="27"/>
      <c r="S103" s="27" t="str">
        <f t="shared" si="60"/>
        <v/>
      </c>
      <c r="T103" s="27"/>
      <c r="U103" s="27" t="str">
        <f t="shared" si="61"/>
        <v/>
      </c>
      <c r="V103" s="27" t="str">
        <f t="shared" si="47"/>
        <v/>
      </c>
      <c r="W103" s="27"/>
      <c r="X103" s="28">
        <f ca="1">IF(OR(Z103=1,AA103=1,AB103=1,AC103=1,AD103=1),0,(SUMPRODUCT((groupe='Base de donnée'!C103)*(OFFSET(groupe,,1)='Base de donnée'!F103)*(OFFSET(groupe,,2)='Base de donnée'!H103)*(OFFSET(groupe,,5)))))</f>
        <v>0</v>
      </c>
      <c r="Y103" s="28"/>
      <c r="Z103" s="7"/>
      <c r="AA103" s="7"/>
      <c r="AB103" s="7"/>
      <c r="AC103" s="7"/>
      <c r="AD103" s="7"/>
      <c r="AE103" s="7"/>
    </row>
    <row r="104" spans="1:31" s="30" customFormat="1" x14ac:dyDescent="0.25">
      <c r="A104" s="6" t="s">
        <v>37</v>
      </c>
      <c r="B104" s="26" t="str">
        <f>VLOOKUP(GestionPersonnelRDJ[[#This Row],[Nom Prénom]],Personnels!Personnels,2,0)</f>
        <v>AMP</v>
      </c>
      <c r="C104" s="21" t="str">
        <f>VLOOKUP(GestionPersonnelRDJ[[#This Row],[Nom Prénom]],Personnels!Personnels,3,0)</f>
        <v>FB2</v>
      </c>
      <c r="D104" s="21" t="str">
        <f>VLOOKUP(GestionPersonnelRDJ[[#This Row],[Nom Prénom]],Personnels!Personnels,4,0)</f>
        <v>FH</v>
      </c>
      <c r="E104" s="2">
        <f>INT(MOD(INT((GestionPersonnelRDJ[[#This Row],[Date]]-2)/7)+0.6,52+5/28))+1</f>
        <v>50</v>
      </c>
      <c r="F104" s="7">
        <v>6</v>
      </c>
      <c r="G104" s="8">
        <v>40890</v>
      </c>
      <c r="H104" s="5" t="str">
        <f t="shared" si="62"/>
        <v>mardi</v>
      </c>
      <c r="I104" s="27">
        <f ca="1">SUMPRODUCT((groupe='Base de donnée'!C104)*(OFFSET(groupe,,1)='Base de donnée'!F104)*(OFFSET(groupe,,2)='Base de donnée'!H104)*(OFFSET(groupe,,3)))</f>
        <v>10</v>
      </c>
      <c r="J104" s="70">
        <f ca="1">SUMPRODUCT((groupe='Base de donnée'!C104)*(OFFSET(groupe,,1)='Base de donnée'!F104)*(OFFSET(groupe,,2)='Base de donnée'!H104)*(OFFSET(groupe,,6)))</f>
        <v>9</v>
      </c>
      <c r="K104" s="70">
        <f ca="1">SUMPRODUCT((groupe='Base de donnée'!C104)*(OFFSET(groupe,,1)='Base de donnée'!F104)*(OFFSET(groupe,,2)='Base de donnée'!H104)*(OFFSET(groupe,,7)))</f>
        <v>12</v>
      </c>
      <c r="L104" s="71">
        <f ca="1">SUMPRODUCT((groupe='Base de donnée'!C104)*(OFFSET(groupe,,1)='Base de donnée'!F104)*(OFFSET(groupe,,2)='Base de donnée'!H104)*(OFFSET(groupe,,8)))</f>
        <v>12</v>
      </c>
      <c r="M104" s="71">
        <f ca="1">SUMPRODUCT((groupe='Base de donnée'!C104)*(OFFSET(groupe,,1)='Base de donnée'!F104)*(OFFSET(groupe,,2)='Base de donnée'!H104)*(OFFSET(groupe,,9)))</f>
        <v>19</v>
      </c>
      <c r="N104" s="27">
        <f t="shared" ca="1" si="0"/>
        <v>10</v>
      </c>
      <c r="O104" s="27">
        <f t="shared" ca="1" si="1"/>
        <v>10</v>
      </c>
      <c r="P104" s="49">
        <f t="shared" ca="1" si="63"/>
        <v>0</v>
      </c>
      <c r="Q104" s="49">
        <f t="shared" ca="1" si="64"/>
        <v>0</v>
      </c>
      <c r="R104" s="27"/>
      <c r="S104" s="27" t="str">
        <f t="shared" si="60"/>
        <v/>
      </c>
      <c r="T104" s="27"/>
      <c r="U104" s="27" t="str">
        <f t="shared" si="61"/>
        <v/>
      </c>
      <c r="V104" s="27" t="str">
        <f t="shared" si="47"/>
        <v/>
      </c>
      <c r="W104" s="27"/>
      <c r="X104" s="28">
        <f ca="1">IF(OR(Z104=1,AA104=1,AB104=1,AC104=1,AD104=1),0,(SUMPRODUCT((groupe='Base de donnée'!C104)*(OFFSET(groupe,,1)='Base de donnée'!F104)*(OFFSET(groupe,,2)='Base de donnée'!H104)*(OFFSET(groupe,,5)))))</f>
        <v>0</v>
      </c>
      <c r="Y104" s="28"/>
      <c r="Z104" s="7"/>
      <c r="AA104" s="7"/>
      <c r="AB104" s="7"/>
      <c r="AC104" s="7"/>
      <c r="AD104" s="7"/>
      <c r="AE104" s="7"/>
    </row>
    <row r="105" spans="1:31" s="30" customFormat="1" x14ac:dyDescent="0.25">
      <c r="A105" s="6" t="s">
        <v>37</v>
      </c>
      <c r="B105" s="26" t="str">
        <f>VLOOKUP(GestionPersonnelRDJ[[#This Row],[Nom Prénom]],Personnels!Personnels,2,0)</f>
        <v>AMP</v>
      </c>
      <c r="C105" s="21" t="str">
        <f>VLOOKUP(GestionPersonnelRDJ[[#This Row],[Nom Prénom]],Personnels!Personnels,3,0)</f>
        <v>FB2</v>
      </c>
      <c r="D105" s="21" t="str">
        <f>VLOOKUP(GestionPersonnelRDJ[[#This Row],[Nom Prénom]],Personnels!Personnels,4,0)</f>
        <v>FH</v>
      </c>
      <c r="E105" s="2">
        <f>INT(MOD(INT((GestionPersonnelRDJ[[#This Row],[Date]]-2)/7)+0.6,52+5/28))+1</f>
        <v>50</v>
      </c>
      <c r="F105" s="7">
        <v>6</v>
      </c>
      <c r="G105" s="8">
        <v>40891</v>
      </c>
      <c r="H105" s="5" t="str">
        <f t="shared" si="62"/>
        <v>mercredi</v>
      </c>
      <c r="I105" s="27">
        <f ca="1">SUMPRODUCT((groupe='Base de donnée'!C105)*(OFFSET(groupe,,1)='Base de donnée'!F105)*(OFFSET(groupe,,2)='Base de donnée'!H105)*(OFFSET(groupe,,3)))</f>
        <v>8</v>
      </c>
      <c r="J105" s="70">
        <f ca="1">SUMPRODUCT((groupe='Base de donnée'!C105)*(OFFSET(groupe,,1)='Base de donnée'!F105)*(OFFSET(groupe,,2)='Base de donnée'!H105)*(OFFSET(groupe,,6)))</f>
        <v>7</v>
      </c>
      <c r="K105" s="70">
        <f ca="1">SUMPRODUCT((groupe='Base de donnée'!C105)*(OFFSET(groupe,,1)='Base de donnée'!F105)*(OFFSET(groupe,,2)='Base de donnée'!H105)*(OFFSET(groupe,,7)))</f>
        <v>9.5</v>
      </c>
      <c r="L105" s="71">
        <f ca="1">SUMPRODUCT((groupe='Base de donnée'!C105)*(OFFSET(groupe,,1)='Base de donnée'!F105)*(OFFSET(groupe,,2)='Base de donnée'!H105)*(OFFSET(groupe,,8)))</f>
        <v>16.5</v>
      </c>
      <c r="M105" s="71">
        <f ca="1">SUMPRODUCT((groupe='Base de donnée'!C105)*(OFFSET(groupe,,1)='Base de donnée'!F105)*(OFFSET(groupe,,2)='Base de donnée'!H105)*(OFFSET(groupe,,9)))</f>
        <v>22</v>
      </c>
      <c r="N105" s="27">
        <f t="shared" ca="1" si="0"/>
        <v>8</v>
      </c>
      <c r="O105" s="27">
        <f t="shared" ca="1" si="1"/>
        <v>8</v>
      </c>
      <c r="P105" s="49">
        <f t="shared" ca="1" si="63"/>
        <v>0</v>
      </c>
      <c r="Q105" s="49">
        <f t="shared" ca="1" si="64"/>
        <v>0</v>
      </c>
      <c r="R105" s="27"/>
      <c r="S105" s="27" t="str">
        <f t="shared" si="60"/>
        <v/>
      </c>
      <c r="T105" s="27"/>
      <c r="U105" s="27" t="str">
        <f t="shared" si="61"/>
        <v/>
      </c>
      <c r="V105" s="27" t="str">
        <f t="shared" si="47"/>
        <v/>
      </c>
      <c r="W105" s="27"/>
      <c r="X105" s="28">
        <f ca="1">IF(OR(Z105=1,AA105=1,AB105=1,AC105=1,AD105=1),0,(SUMPRODUCT((groupe='Base de donnée'!C105)*(OFFSET(groupe,,1)='Base de donnée'!F105)*(OFFSET(groupe,,2)='Base de donnée'!H105)*(OFFSET(groupe,,5)))))</f>
        <v>0</v>
      </c>
      <c r="Y105" s="28"/>
      <c r="Z105" s="7"/>
      <c r="AA105" s="7"/>
      <c r="AB105" s="7"/>
      <c r="AC105" s="7"/>
      <c r="AD105" s="7"/>
      <c r="AE105" s="7"/>
    </row>
    <row r="106" spans="1:31" s="30" customFormat="1" x14ac:dyDescent="0.25">
      <c r="A106" s="6" t="s">
        <v>37</v>
      </c>
      <c r="B106" s="26" t="str">
        <f>VLOOKUP(GestionPersonnelRDJ[[#This Row],[Nom Prénom]],Personnels!Personnels,2,0)</f>
        <v>AMP</v>
      </c>
      <c r="C106" s="21" t="str">
        <f>VLOOKUP(GestionPersonnelRDJ[[#This Row],[Nom Prénom]],Personnels!Personnels,3,0)</f>
        <v>FB2</v>
      </c>
      <c r="D106" s="21" t="str">
        <f>VLOOKUP(GestionPersonnelRDJ[[#This Row],[Nom Prénom]],Personnels!Personnels,4,0)</f>
        <v>FH</v>
      </c>
      <c r="E106" s="2">
        <f>INT(MOD(INT((GestionPersonnelRDJ[[#This Row],[Date]]-2)/7)+0.6,52+5/28))+1</f>
        <v>50</v>
      </c>
      <c r="F106" s="7">
        <v>6</v>
      </c>
      <c r="G106" s="8">
        <v>40892</v>
      </c>
      <c r="H106" s="5" t="str">
        <f t="shared" si="62"/>
        <v>jeudi</v>
      </c>
      <c r="I106" s="27">
        <f ca="1">SUMPRODUCT((groupe='Base de donnée'!C106)*(OFFSET(groupe,,1)='Base de donnée'!F106)*(OFFSET(groupe,,2)='Base de donnée'!H106)*(OFFSET(groupe,,3)))</f>
        <v>8.5</v>
      </c>
      <c r="J106" s="70">
        <f ca="1">SUMPRODUCT((groupe='Base de donnée'!C106)*(OFFSET(groupe,,1)='Base de donnée'!F106)*(OFFSET(groupe,,2)='Base de donnée'!H106)*(OFFSET(groupe,,6)))</f>
        <v>0</v>
      </c>
      <c r="K106" s="70">
        <f ca="1">SUMPRODUCT((groupe='Base de donnée'!C106)*(OFFSET(groupe,,1)='Base de donnée'!F106)*(OFFSET(groupe,,2)='Base de donnée'!H106)*(OFFSET(groupe,,7)))</f>
        <v>0</v>
      </c>
      <c r="L106" s="71">
        <f ca="1">SUMPRODUCT((groupe='Base de donnée'!C106)*(OFFSET(groupe,,1)='Base de donnée'!F106)*(OFFSET(groupe,,2)='Base de donnée'!H106)*(OFFSET(groupe,,8)))</f>
        <v>14</v>
      </c>
      <c r="M106" s="71">
        <f ca="1">SUMPRODUCT((groupe='Base de donnée'!C106)*(OFFSET(groupe,,1)='Base de donnée'!F106)*(OFFSET(groupe,,2)='Base de donnée'!H106)*(OFFSET(groupe,,9)))</f>
        <v>22.5</v>
      </c>
      <c r="N106" s="27">
        <f t="shared" ref="N106:N137" ca="1" si="65">IF(AF106=1,7,IF(OR(AB106=1,AND(AB106=0,NOT(ISBLANK(AB106))),Z106=1,AND(Z106=0,NOT(ISBLANK(Z106))),AA106=1,AND(AA106=0,NOT(ISBLANK(AA106))),AD106=1,AND(AD106=0,NOT(ISBLANK(AD106))),AC106=1,AND(AC106=0,NOT(ISBLANK(AC106)))),0,IF(COUNTIF(Fériés2010,G106),((M106-L106+K106-J106)),(M106-L106+K106-J106)-(W106+X106)-Y106-AE106+(AI106+AK106+AM106))))</f>
        <v>8.5</v>
      </c>
      <c r="O106" s="27">
        <f t="shared" ref="O106:O137" ca="1" si="66">IF(OR(AB106=1,AND(AB106=0,NOT(ISBLANK(AB106))),Z106=1,AND(Z106=0,NOT(ISBLANK(Z106))),AA106=1,AND(AA106=0,NOT(ISBLANK(AA106))),AD106=1,AND(AD106=0,NOT(ISBLANK(AD106))),AC106=1,AND(AC106=0,NOT(ISBLANK(AC106)))),I106,IF(COUNTIF(Fériés2010,G106)&gt;0,N106*2+R106+(W106+X106),N106+R106+(W106+X106)+Y106+AE106))</f>
        <v>8.5</v>
      </c>
      <c r="P106" s="49">
        <f t="shared" ca="1" si="63"/>
        <v>0</v>
      </c>
      <c r="Q106" s="49">
        <f t="shared" ca="1" si="64"/>
        <v>0</v>
      </c>
      <c r="R106" s="27"/>
      <c r="S106" s="27" t="str">
        <f t="shared" si="60"/>
        <v/>
      </c>
      <c r="T106" s="27"/>
      <c r="U106" s="27" t="str">
        <f t="shared" si="61"/>
        <v/>
      </c>
      <c r="V106" s="27" t="str">
        <f t="shared" si="47"/>
        <v/>
      </c>
      <c r="W106" s="27"/>
      <c r="X106" s="28">
        <f ca="1">IF(OR(Z106=1,AA106=1,AB106=1,AC106=1,AD106=1),0,(SUMPRODUCT((groupe='Base de donnée'!C106)*(OFFSET(groupe,,1)='Base de donnée'!F106)*(OFFSET(groupe,,2)='Base de donnée'!H106)*(OFFSET(groupe,,5)))))</f>
        <v>0</v>
      </c>
      <c r="Y106" s="28"/>
      <c r="Z106" s="7"/>
      <c r="AA106" s="7"/>
      <c r="AB106" s="7"/>
      <c r="AC106" s="7"/>
      <c r="AD106" s="7"/>
      <c r="AE106" s="7"/>
    </row>
    <row r="107" spans="1:31" s="30" customFormat="1" x14ac:dyDescent="0.25">
      <c r="A107" s="6" t="s">
        <v>37</v>
      </c>
      <c r="B107" s="26" t="str">
        <f>VLOOKUP(GestionPersonnelRDJ[[#This Row],[Nom Prénom]],Personnels!Personnels,2,0)</f>
        <v>AMP</v>
      </c>
      <c r="C107" s="21" t="str">
        <f>VLOOKUP(GestionPersonnelRDJ[[#This Row],[Nom Prénom]],Personnels!Personnels,3,0)</f>
        <v>FB2</v>
      </c>
      <c r="D107" s="21" t="str">
        <f>VLOOKUP(GestionPersonnelRDJ[[#This Row],[Nom Prénom]],Personnels!Personnels,4,0)</f>
        <v>FH</v>
      </c>
      <c r="E107" s="2">
        <f>INT(MOD(INT((GestionPersonnelRDJ[[#This Row],[Date]]-2)/7)+0.6,52+5/28))+1</f>
        <v>50</v>
      </c>
      <c r="F107" s="7">
        <v>6</v>
      </c>
      <c r="G107" s="8">
        <v>40893</v>
      </c>
      <c r="H107" s="5" t="str">
        <f t="shared" si="62"/>
        <v>vendredi</v>
      </c>
      <c r="I107" s="27">
        <f ca="1">SUMPRODUCT((groupe='Base de donnée'!C107)*(OFFSET(groupe,,1)='Base de donnée'!F107)*(OFFSET(groupe,,2)='Base de donnée'!H107)*(OFFSET(groupe,,3)))</f>
        <v>0</v>
      </c>
      <c r="J107" s="70">
        <f ca="1">SUMPRODUCT((groupe='Base de donnée'!C107)*(OFFSET(groupe,,1)='Base de donnée'!F107)*(OFFSET(groupe,,2)='Base de donnée'!H107)*(OFFSET(groupe,,6)))</f>
        <v>0</v>
      </c>
      <c r="K107" s="70">
        <f ca="1">SUMPRODUCT((groupe='Base de donnée'!C107)*(OFFSET(groupe,,1)='Base de donnée'!F107)*(OFFSET(groupe,,2)='Base de donnée'!H107)*(OFFSET(groupe,,7)))</f>
        <v>0</v>
      </c>
      <c r="L107" s="71">
        <f ca="1">SUMPRODUCT((groupe='Base de donnée'!C107)*(OFFSET(groupe,,1)='Base de donnée'!F107)*(OFFSET(groupe,,2)='Base de donnée'!H107)*(OFFSET(groupe,,8)))</f>
        <v>0</v>
      </c>
      <c r="M107" s="71">
        <f ca="1">SUMPRODUCT((groupe='Base de donnée'!C107)*(OFFSET(groupe,,1)='Base de donnée'!F107)*(OFFSET(groupe,,2)='Base de donnée'!H107)*(OFFSET(groupe,,9)))</f>
        <v>0</v>
      </c>
      <c r="N107" s="27">
        <f t="shared" ca="1" si="65"/>
        <v>0</v>
      </c>
      <c r="O107" s="27">
        <f t="shared" ca="1" si="66"/>
        <v>0</v>
      </c>
      <c r="P107" s="49">
        <f t="shared" ca="1" si="63"/>
        <v>0</v>
      </c>
      <c r="Q107" s="49">
        <f t="shared" ca="1" si="64"/>
        <v>0</v>
      </c>
      <c r="R107" s="27"/>
      <c r="S107" s="27" t="str">
        <f t="shared" si="60"/>
        <v/>
      </c>
      <c r="T107" s="27"/>
      <c r="U107" s="27" t="str">
        <f t="shared" si="61"/>
        <v/>
      </c>
      <c r="V107" s="27" t="str">
        <f t="shared" si="47"/>
        <v/>
      </c>
      <c r="W107" s="27"/>
      <c r="X107" s="28">
        <f ca="1">IF(OR(Z107=1,AA107=1,AB107=1,AC107=1,AD107=1),0,(SUMPRODUCT((groupe='Base de donnée'!C107)*(OFFSET(groupe,,1)='Base de donnée'!F107)*(OFFSET(groupe,,2)='Base de donnée'!H107)*(OFFSET(groupe,,5)))))</f>
        <v>0</v>
      </c>
      <c r="Y107" s="28"/>
      <c r="Z107" s="7"/>
      <c r="AA107" s="7"/>
      <c r="AB107" s="7"/>
      <c r="AC107" s="7"/>
      <c r="AD107" s="7"/>
      <c r="AE107" s="7"/>
    </row>
    <row r="108" spans="1:31" s="30" customFormat="1" x14ac:dyDescent="0.25">
      <c r="A108" s="6" t="s">
        <v>37</v>
      </c>
      <c r="B108" s="26" t="str">
        <f>VLOOKUP(GestionPersonnelRDJ[[#This Row],[Nom Prénom]],Personnels!Personnels,2,0)</f>
        <v>AMP</v>
      </c>
      <c r="C108" s="21" t="str">
        <f>VLOOKUP(GestionPersonnelRDJ[[#This Row],[Nom Prénom]],Personnels!Personnels,3,0)</f>
        <v>FB2</v>
      </c>
      <c r="D108" s="21" t="str">
        <f>VLOOKUP(GestionPersonnelRDJ[[#This Row],[Nom Prénom]],Personnels!Personnels,4,0)</f>
        <v>FH</v>
      </c>
      <c r="E108" s="2">
        <f>INT(MOD(INT((GestionPersonnelRDJ[[#This Row],[Date]]-2)/7)+0.6,52+5/28))+1</f>
        <v>50</v>
      </c>
      <c r="F108" s="7">
        <v>6</v>
      </c>
      <c r="G108" s="8">
        <v>40894</v>
      </c>
      <c r="H108" s="5" t="str">
        <f t="shared" si="62"/>
        <v>samedi</v>
      </c>
      <c r="I108" s="27">
        <f ca="1">SUMPRODUCT((groupe='Base de donnée'!C108)*(OFFSET(groupe,,1)='Base de donnée'!F108)*(OFFSET(groupe,,2)='Base de donnée'!H108)*(OFFSET(groupe,,3)))</f>
        <v>0</v>
      </c>
      <c r="J108" s="70">
        <f ca="1">SUMPRODUCT((groupe='Base de donnée'!C108)*(OFFSET(groupe,,1)='Base de donnée'!F108)*(OFFSET(groupe,,2)='Base de donnée'!H108)*(OFFSET(groupe,,6)))</f>
        <v>0</v>
      </c>
      <c r="K108" s="70">
        <f ca="1">SUMPRODUCT((groupe='Base de donnée'!C108)*(OFFSET(groupe,,1)='Base de donnée'!F108)*(OFFSET(groupe,,2)='Base de donnée'!H108)*(OFFSET(groupe,,7)))</f>
        <v>0</v>
      </c>
      <c r="L108" s="71">
        <f ca="1">SUMPRODUCT((groupe='Base de donnée'!C108)*(OFFSET(groupe,,1)='Base de donnée'!F108)*(OFFSET(groupe,,2)='Base de donnée'!H108)*(OFFSET(groupe,,8)))</f>
        <v>0</v>
      </c>
      <c r="M108" s="71">
        <f ca="1">SUMPRODUCT((groupe='Base de donnée'!C108)*(OFFSET(groupe,,1)='Base de donnée'!F108)*(OFFSET(groupe,,2)='Base de donnée'!H108)*(OFFSET(groupe,,9)))</f>
        <v>0</v>
      </c>
      <c r="N108" s="27">
        <f t="shared" ca="1" si="65"/>
        <v>0</v>
      </c>
      <c r="O108" s="27">
        <f t="shared" ca="1" si="66"/>
        <v>0</v>
      </c>
      <c r="P108" s="49">
        <f t="shared" ca="1" si="63"/>
        <v>0</v>
      </c>
      <c r="Q108" s="49">
        <f t="shared" ca="1" si="64"/>
        <v>0</v>
      </c>
      <c r="R108" s="27"/>
      <c r="S108" s="27" t="str">
        <f t="shared" si="60"/>
        <v/>
      </c>
      <c r="T108" s="27"/>
      <c r="U108" s="27" t="str">
        <f t="shared" si="61"/>
        <v/>
      </c>
      <c r="V108" s="27" t="str">
        <f t="shared" si="47"/>
        <v/>
      </c>
      <c r="W108" s="27"/>
      <c r="X108" s="28">
        <f ca="1">IF(OR(Z108=1,AA108=1,AB108=1,AC108=1,AD108=1),0,(SUMPRODUCT((groupe='Base de donnée'!C108)*(OFFSET(groupe,,1)='Base de donnée'!F108)*(OFFSET(groupe,,2)='Base de donnée'!H108)*(OFFSET(groupe,,5)))))</f>
        <v>0</v>
      </c>
      <c r="Y108" s="28"/>
      <c r="Z108" s="7"/>
      <c r="AA108" s="7"/>
      <c r="AB108" s="7"/>
      <c r="AC108" s="7"/>
      <c r="AD108" s="7"/>
      <c r="AE108" s="7"/>
    </row>
    <row r="109" spans="1:31" s="30" customFormat="1" x14ac:dyDescent="0.25">
      <c r="A109" s="6" t="s">
        <v>37</v>
      </c>
      <c r="B109" s="26" t="str">
        <f>VLOOKUP(GestionPersonnelRDJ[[#This Row],[Nom Prénom]],Personnels!Personnels,2,0)</f>
        <v>AMP</v>
      </c>
      <c r="C109" s="21" t="str">
        <f>VLOOKUP(GestionPersonnelRDJ[[#This Row],[Nom Prénom]],Personnels!Personnels,3,0)</f>
        <v>FB2</v>
      </c>
      <c r="D109" s="21" t="str">
        <f>VLOOKUP(GestionPersonnelRDJ[[#This Row],[Nom Prénom]],Personnels!Personnels,4,0)</f>
        <v>FH</v>
      </c>
      <c r="E109" s="2">
        <f>INT(MOD(INT((GestionPersonnelRDJ[[#This Row],[Date]]-2)/7)+0.6,52+5/28))+1</f>
        <v>50</v>
      </c>
      <c r="F109" s="7">
        <v>6</v>
      </c>
      <c r="G109" s="8">
        <v>40895</v>
      </c>
      <c r="H109" s="5" t="str">
        <f t="shared" si="62"/>
        <v>dimanche</v>
      </c>
      <c r="I109" s="27">
        <f ca="1">SUMPRODUCT((groupe='Base de donnée'!C109)*(OFFSET(groupe,,1)='Base de donnée'!F109)*(OFFSET(groupe,,2)='Base de donnée'!H109)*(OFFSET(groupe,,3)))</f>
        <v>0</v>
      </c>
      <c r="J109" s="70">
        <f ca="1">SUMPRODUCT((groupe='Base de donnée'!C109)*(OFFSET(groupe,,1)='Base de donnée'!F109)*(OFFSET(groupe,,2)='Base de donnée'!H109)*(OFFSET(groupe,,6)))</f>
        <v>0</v>
      </c>
      <c r="K109" s="70">
        <f ca="1">SUMPRODUCT((groupe='Base de donnée'!C109)*(OFFSET(groupe,,1)='Base de donnée'!F109)*(OFFSET(groupe,,2)='Base de donnée'!H109)*(OFFSET(groupe,,7)))</f>
        <v>0</v>
      </c>
      <c r="L109" s="71">
        <f ca="1">SUMPRODUCT((groupe='Base de donnée'!C109)*(OFFSET(groupe,,1)='Base de donnée'!F109)*(OFFSET(groupe,,2)='Base de donnée'!H109)*(OFFSET(groupe,,8)))</f>
        <v>0</v>
      </c>
      <c r="M109" s="71">
        <f ca="1">SUMPRODUCT((groupe='Base de donnée'!C109)*(OFFSET(groupe,,1)='Base de donnée'!F109)*(OFFSET(groupe,,2)='Base de donnée'!H109)*(OFFSET(groupe,,9)))</f>
        <v>0</v>
      </c>
      <c r="N109" s="27">
        <f t="shared" ca="1" si="65"/>
        <v>0</v>
      </c>
      <c r="O109" s="27">
        <f t="shared" ca="1" si="66"/>
        <v>0</v>
      </c>
      <c r="P109" s="49">
        <f t="shared" ca="1" si="63"/>
        <v>0</v>
      </c>
      <c r="Q109" s="49">
        <f t="shared" ca="1" si="64"/>
        <v>0</v>
      </c>
      <c r="R109" s="27"/>
      <c r="S109" s="27">
        <f t="shared" ca="1" si="60"/>
        <v>0</v>
      </c>
      <c r="T109" s="27"/>
      <c r="U109" s="27" t="str">
        <f t="shared" si="61"/>
        <v/>
      </c>
      <c r="V109" s="27">
        <f t="shared" ca="1" si="47"/>
        <v>0</v>
      </c>
      <c r="W109" s="27"/>
      <c r="X109" s="28">
        <f ca="1">IF(OR(Z109=1,AA109=1,AB109=1,AC109=1,AD109=1),0,(SUMPRODUCT((groupe='Base de donnée'!C109)*(OFFSET(groupe,,1)='Base de donnée'!F109)*(OFFSET(groupe,,2)='Base de donnée'!H109)*(OFFSET(groupe,,5)))))</f>
        <v>0</v>
      </c>
      <c r="Y109" s="28"/>
      <c r="Z109" s="7"/>
      <c r="AA109" s="7"/>
      <c r="AB109" s="7"/>
      <c r="AC109" s="7"/>
      <c r="AD109" s="7"/>
      <c r="AE109" s="7"/>
    </row>
    <row r="110" spans="1:31" s="30" customFormat="1" x14ac:dyDescent="0.25">
      <c r="A110" s="6" t="s">
        <v>33</v>
      </c>
      <c r="B110" s="26" t="str">
        <f>VLOOKUP(GestionPersonnelRDJ[[#This Row],[Nom Prénom]],Personnels!Personnels,2,0)</f>
        <v>ME</v>
      </c>
      <c r="C110" s="21" t="str">
        <f>VLOOKUP(GestionPersonnelRDJ[[#This Row],[Nom Prénom]],Personnels!Personnels,3,0)</f>
        <v>FB2</v>
      </c>
      <c r="D110" s="21" t="str">
        <f>VLOOKUP(GestionPersonnelRDJ[[#This Row],[Nom Prénom]],Personnels!Personnels,4,0)</f>
        <v>FH</v>
      </c>
      <c r="E110" s="2">
        <f>INT(MOD(INT((GestionPersonnelRDJ[[#This Row],[Date]]-2)/7)+0.6,52+5/28))+1</f>
        <v>50</v>
      </c>
      <c r="F110" s="7">
        <v>5</v>
      </c>
      <c r="G110" s="8">
        <v>40889</v>
      </c>
      <c r="H110" s="5" t="str">
        <f t="shared" ref="H110:H116" si="67">TEXT(WEEKDAY(G110),"jjjj")</f>
        <v>lundi</v>
      </c>
      <c r="I110" s="27">
        <f ca="1">SUMPRODUCT((groupe='Base de donnée'!C110)*(OFFSET(groupe,,1)='Base de donnée'!F110)*(OFFSET(groupe,,2)='Base de donnée'!H110)*(OFFSET(groupe,,3)))</f>
        <v>0</v>
      </c>
      <c r="J110" s="70">
        <f ca="1">SUMPRODUCT((groupe='Base de donnée'!C110)*(OFFSET(groupe,,1)='Base de donnée'!F110)*(OFFSET(groupe,,2)='Base de donnée'!H110)*(OFFSET(groupe,,6)))</f>
        <v>0</v>
      </c>
      <c r="K110" s="70">
        <f ca="1">SUMPRODUCT((groupe='Base de donnée'!C110)*(OFFSET(groupe,,1)='Base de donnée'!F110)*(OFFSET(groupe,,2)='Base de donnée'!H110)*(OFFSET(groupe,,7)))</f>
        <v>0</v>
      </c>
      <c r="L110" s="71">
        <f ca="1">SUMPRODUCT((groupe='Base de donnée'!C110)*(OFFSET(groupe,,1)='Base de donnée'!F110)*(OFFSET(groupe,,2)='Base de donnée'!H110)*(OFFSET(groupe,,8)))</f>
        <v>0</v>
      </c>
      <c r="M110" s="71">
        <f ca="1">SUMPRODUCT((groupe='Base de donnée'!C110)*(OFFSET(groupe,,1)='Base de donnée'!F110)*(OFFSET(groupe,,2)='Base de donnée'!H110)*(OFFSET(groupe,,9)))</f>
        <v>0</v>
      </c>
      <c r="N110" s="27">
        <f t="shared" ca="1" si="65"/>
        <v>0</v>
      </c>
      <c r="O110" s="27">
        <f t="shared" ca="1" si="66"/>
        <v>0</v>
      </c>
      <c r="P110" s="49">
        <f t="shared" ref="P110:P116" ca="1" si="68">IF(I110-O110-(W110+X110)&lt;=0,0,I110-O110-(W110+X110))</f>
        <v>0</v>
      </c>
      <c r="Q110" s="49">
        <f t="shared" ref="Q110:Q116" ca="1" si="69">IF(O110-I110-(W110+X110)&lt;=0,0,O110-I110-(W110+X110))</f>
        <v>0</v>
      </c>
      <c r="R110" s="27"/>
      <c r="S110" s="27" t="str">
        <f t="shared" si="60"/>
        <v/>
      </c>
      <c r="T110" s="27"/>
      <c r="U110" s="27" t="str">
        <f t="shared" si="61"/>
        <v/>
      </c>
      <c r="V110" s="27" t="str">
        <f t="shared" si="47"/>
        <v/>
      </c>
      <c r="W110" s="27"/>
      <c r="X110" s="28">
        <f ca="1">IF(OR(Z110=1,AA110=1,AB110=1,AC110=1,AD110=1),0,(SUMPRODUCT((groupe='Base de donnée'!C110)*(OFFSET(groupe,,1)='Base de donnée'!F110)*(OFFSET(groupe,,2)='Base de donnée'!H110)*(OFFSET(groupe,,5)))))</f>
        <v>0</v>
      </c>
      <c r="Y110" s="28"/>
      <c r="Z110" s="7"/>
      <c r="AA110" s="7"/>
      <c r="AB110" s="7"/>
      <c r="AC110" s="7"/>
      <c r="AD110" s="7"/>
      <c r="AE110" s="7"/>
    </row>
    <row r="111" spans="1:31" s="30" customFormat="1" x14ac:dyDescent="0.25">
      <c r="A111" s="6" t="s">
        <v>33</v>
      </c>
      <c r="B111" s="26" t="str">
        <f>VLOOKUP(GestionPersonnelRDJ[[#This Row],[Nom Prénom]],Personnels!Personnels,2,0)</f>
        <v>ME</v>
      </c>
      <c r="C111" s="21" t="str">
        <f>VLOOKUP(GestionPersonnelRDJ[[#This Row],[Nom Prénom]],Personnels!Personnels,3,0)</f>
        <v>FB2</v>
      </c>
      <c r="D111" s="21" t="str">
        <f>VLOOKUP(GestionPersonnelRDJ[[#This Row],[Nom Prénom]],Personnels!Personnels,4,0)</f>
        <v>FH</v>
      </c>
      <c r="E111" s="2">
        <f>INT(MOD(INT((GestionPersonnelRDJ[[#This Row],[Date]]-2)/7)+0.6,52+5/28))+1</f>
        <v>50</v>
      </c>
      <c r="F111" s="7">
        <v>5</v>
      </c>
      <c r="G111" s="8">
        <v>40890</v>
      </c>
      <c r="H111" s="5" t="str">
        <f t="shared" si="67"/>
        <v>mardi</v>
      </c>
      <c r="I111" s="27">
        <f ca="1">SUMPRODUCT((groupe='Base de donnée'!C111)*(OFFSET(groupe,,1)='Base de donnée'!F111)*(OFFSET(groupe,,2)='Base de donnée'!H111)*(OFFSET(groupe,,3)))</f>
        <v>11.5</v>
      </c>
      <c r="J111" s="70">
        <f ca="1">SUMPRODUCT((groupe='Base de donnée'!C111)*(OFFSET(groupe,,1)='Base de donnée'!F111)*(OFFSET(groupe,,2)='Base de donnée'!H111)*(OFFSET(groupe,,6)))</f>
        <v>7</v>
      </c>
      <c r="K111" s="70">
        <f ca="1">SUMPRODUCT((groupe='Base de donnée'!C111)*(OFFSET(groupe,,1)='Base de donnée'!F111)*(OFFSET(groupe,,2)='Base de donnée'!H111)*(OFFSET(groupe,,7)))</f>
        <v>12.5</v>
      </c>
      <c r="L111" s="71">
        <f ca="1">SUMPRODUCT((groupe='Base de donnée'!C111)*(OFFSET(groupe,,1)='Base de donnée'!F111)*(OFFSET(groupe,,2)='Base de donnée'!H111)*(OFFSET(groupe,,8)))</f>
        <v>16.5</v>
      </c>
      <c r="M111" s="71">
        <f ca="1">SUMPRODUCT((groupe='Base de donnée'!C111)*(OFFSET(groupe,,1)='Base de donnée'!F111)*(OFFSET(groupe,,2)='Base de donnée'!H111)*(OFFSET(groupe,,9)))</f>
        <v>22.5</v>
      </c>
      <c r="N111" s="27">
        <f t="shared" si="65"/>
        <v>0</v>
      </c>
      <c r="O111" s="27">
        <f t="shared" ca="1" si="66"/>
        <v>11.5</v>
      </c>
      <c r="P111" s="49">
        <f t="shared" ca="1" si="68"/>
        <v>0</v>
      </c>
      <c r="Q111" s="49">
        <f t="shared" ca="1" si="69"/>
        <v>0</v>
      </c>
      <c r="R111" s="27"/>
      <c r="S111" s="27" t="str">
        <f t="shared" si="60"/>
        <v/>
      </c>
      <c r="T111" s="27"/>
      <c r="U111" s="27" t="str">
        <f t="shared" si="61"/>
        <v/>
      </c>
      <c r="V111" s="27" t="str">
        <f t="shared" si="47"/>
        <v/>
      </c>
      <c r="W111" s="27"/>
      <c r="X111" s="28">
        <f ca="1">IF(OR(Z111=1,AA111=1,AB111=1,AC111=1,AD111=1),0,(SUMPRODUCT((groupe='Base de donnée'!C111)*(OFFSET(groupe,,1)='Base de donnée'!F111)*(OFFSET(groupe,,2)='Base de donnée'!H111)*(OFFSET(groupe,,5)))))</f>
        <v>0</v>
      </c>
      <c r="Y111" s="28"/>
      <c r="Z111" s="7">
        <v>1</v>
      </c>
      <c r="AA111" s="7"/>
      <c r="AB111" s="7"/>
      <c r="AC111" s="7"/>
      <c r="AD111" s="7"/>
      <c r="AE111" s="7"/>
    </row>
    <row r="112" spans="1:31" s="30" customFormat="1" x14ac:dyDescent="0.25">
      <c r="A112" s="6" t="s">
        <v>33</v>
      </c>
      <c r="B112" s="26" t="str">
        <f>VLOOKUP(GestionPersonnelRDJ[[#This Row],[Nom Prénom]],Personnels!Personnels,2,0)</f>
        <v>ME</v>
      </c>
      <c r="C112" s="21" t="str">
        <f>VLOOKUP(GestionPersonnelRDJ[[#This Row],[Nom Prénom]],Personnels!Personnels,3,0)</f>
        <v>FB2</v>
      </c>
      <c r="D112" s="21" t="str">
        <f>VLOOKUP(GestionPersonnelRDJ[[#This Row],[Nom Prénom]],Personnels!Personnels,4,0)</f>
        <v>FH</v>
      </c>
      <c r="E112" s="2">
        <f>INT(MOD(INT((GestionPersonnelRDJ[[#This Row],[Date]]-2)/7)+0.6,52+5/28))+1</f>
        <v>50</v>
      </c>
      <c r="F112" s="7">
        <v>5</v>
      </c>
      <c r="G112" s="8">
        <v>40891</v>
      </c>
      <c r="H112" s="5" t="str">
        <f t="shared" si="67"/>
        <v>mercredi</v>
      </c>
      <c r="I112" s="27">
        <f ca="1">SUMPRODUCT((groupe='Base de donnée'!C112)*(OFFSET(groupe,,1)='Base de donnée'!F112)*(OFFSET(groupe,,2)='Base de donnée'!H112)*(OFFSET(groupe,,3)))</f>
        <v>5.5</v>
      </c>
      <c r="J112" s="70">
        <f ca="1">SUMPRODUCT((groupe='Base de donnée'!C112)*(OFFSET(groupe,,1)='Base de donnée'!F112)*(OFFSET(groupe,,2)='Base de donnée'!H112)*(OFFSET(groupe,,6)))</f>
        <v>0</v>
      </c>
      <c r="K112" s="70">
        <f ca="1">SUMPRODUCT((groupe='Base de donnée'!C112)*(OFFSET(groupe,,1)='Base de donnée'!F112)*(OFFSET(groupe,,2)='Base de donnée'!H112)*(OFFSET(groupe,,7)))</f>
        <v>0</v>
      </c>
      <c r="L112" s="71">
        <f ca="1">SUMPRODUCT((groupe='Base de donnée'!C112)*(OFFSET(groupe,,1)='Base de donnée'!F112)*(OFFSET(groupe,,2)='Base de donnée'!H112)*(OFFSET(groupe,,8)))</f>
        <v>16.5</v>
      </c>
      <c r="M112" s="71">
        <f ca="1">SUMPRODUCT((groupe='Base de donnée'!C112)*(OFFSET(groupe,,1)='Base de donnée'!F112)*(OFFSET(groupe,,2)='Base de donnée'!H112)*(OFFSET(groupe,,9)))</f>
        <v>22</v>
      </c>
      <c r="N112" s="27">
        <f t="shared" si="65"/>
        <v>0</v>
      </c>
      <c r="O112" s="27">
        <f t="shared" ca="1" si="66"/>
        <v>5.5</v>
      </c>
      <c r="P112" s="49">
        <f t="shared" ca="1" si="68"/>
        <v>0</v>
      </c>
      <c r="Q112" s="49">
        <f t="shared" ca="1" si="69"/>
        <v>0</v>
      </c>
      <c r="R112" s="27"/>
      <c r="S112" s="27" t="str">
        <f t="shared" si="60"/>
        <v/>
      </c>
      <c r="T112" s="27"/>
      <c r="U112" s="27" t="str">
        <f t="shared" si="61"/>
        <v/>
      </c>
      <c r="V112" s="27" t="str">
        <f t="shared" si="47"/>
        <v/>
      </c>
      <c r="W112" s="27"/>
      <c r="X112" s="28">
        <f ca="1">IF(OR(Z112=1,AA112=1,AB112=1,AC112=1,AD112=1),0,(SUMPRODUCT((groupe='Base de donnée'!C112)*(OFFSET(groupe,,1)='Base de donnée'!F112)*(OFFSET(groupe,,2)='Base de donnée'!H112)*(OFFSET(groupe,,5)))))</f>
        <v>0</v>
      </c>
      <c r="Y112" s="28"/>
      <c r="Z112" s="7">
        <v>1</v>
      </c>
      <c r="AA112" s="7"/>
      <c r="AB112" s="7"/>
      <c r="AC112" s="7"/>
      <c r="AD112" s="7"/>
      <c r="AE112" s="7"/>
    </row>
    <row r="113" spans="1:31" s="30" customFormat="1" x14ac:dyDescent="0.25">
      <c r="A113" s="6" t="s">
        <v>33</v>
      </c>
      <c r="B113" s="26" t="str">
        <f>VLOOKUP(GestionPersonnelRDJ[[#This Row],[Nom Prénom]],Personnels!Personnels,2,0)</f>
        <v>ME</v>
      </c>
      <c r="C113" s="21" t="str">
        <f>VLOOKUP(GestionPersonnelRDJ[[#This Row],[Nom Prénom]],Personnels!Personnels,3,0)</f>
        <v>FB2</v>
      </c>
      <c r="D113" s="21" t="str">
        <f>VLOOKUP(GestionPersonnelRDJ[[#This Row],[Nom Prénom]],Personnels!Personnels,4,0)</f>
        <v>FH</v>
      </c>
      <c r="E113" s="2">
        <f>INT(MOD(INT((GestionPersonnelRDJ[[#This Row],[Date]]-2)/7)+0.6,52+5/28))+1</f>
        <v>50</v>
      </c>
      <c r="F113" s="7">
        <v>5</v>
      </c>
      <c r="G113" s="8">
        <v>40892</v>
      </c>
      <c r="H113" s="5" t="str">
        <f t="shared" si="67"/>
        <v>jeudi</v>
      </c>
      <c r="I113" s="27">
        <f ca="1">SUMPRODUCT((groupe='Base de donnée'!C113)*(OFFSET(groupe,,1)='Base de donnée'!F113)*(OFFSET(groupe,,2)='Base de donnée'!H113)*(OFFSET(groupe,,3)))</f>
        <v>6</v>
      </c>
      <c r="J113" s="70">
        <f ca="1">SUMPRODUCT((groupe='Base de donnée'!C113)*(OFFSET(groupe,,1)='Base de donnée'!F113)*(OFFSET(groupe,,2)='Base de donnée'!H113)*(OFFSET(groupe,,6)))</f>
        <v>0</v>
      </c>
      <c r="K113" s="70">
        <f ca="1">SUMPRODUCT((groupe='Base de donnée'!C113)*(OFFSET(groupe,,1)='Base de donnée'!F113)*(OFFSET(groupe,,2)='Base de donnée'!H113)*(OFFSET(groupe,,7)))</f>
        <v>0</v>
      </c>
      <c r="L113" s="71">
        <f ca="1">SUMPRODUCT((groupe='Base de donnée'!C113)*(OFFSET(groupe,,1)='Base de donnée'!F113)*(OFFSET(groupe,,2)='Base de donnée'!H113)*(OFFSET(groupe,,8)))</f>
        <v>14</v>
      </c>
      <c r="M113" s="71">
        <f ca="1">SUMPRODUCT((groupe='Base de donnée'!C113)*(OFFSET(groupe,,1)='Base de donnée'!F113)*(OFFSET(groupe,,2)='Base de donnée'!H113)*(OFFSET(groupe,,9)))</f>
        <v>20</v>
      </c>
      <c r="N113" s="27">
        <f t="shared" ca="1" si="65"/>
        <v>6</v>
      </c>
      <c r="O113" s="27">
        <f t="shared" ca="1" si="66"/>
        <v>6</v>
      </c>
      <c r="P113" s="49">
        <f t="shared" ca="1" si="68"/>
        <v>0</v>
      </c>
      <c r="Q113" s="49">
        <f t="shared" ca="1" si="69"/>
        <v>0</v>
      </c>
      <c r="R113" s="27"/>
      <c r="S113" s="27" t="str">
        <f t="shared" si="60"/>
        <v/>
      </c>
      <c r="T113" s="27"/>
      <c r="U113" s="27" t="str">
        <f t="shared" si="61"/>
        <v/>
      </c>
      <c r="V113" s="27" t="str">
        <f t="shared" si="47"/>
        <v/>
      </c>
      <c r="W113" s="27"/>
      <c r="X113" s="28">
        <f ca="1">IF(OR(Z113=1,AA113=1,AB113=1,AC113=1,AD113=1),0,(SUMPRODUCT((groupe='Base de donnée'!C113)*(OFFSET(groupe,,1)='Base de donnée'!F113)*(OFFSET(groupe,,2)='Base de donnée'!H113)*(OFFSET(groupe,,5)))))</f>
        <v>0</v>
      </c>
      <c r="Y113" s="28"/>
      <c r="Z113" s="7"/>
      <c r="AA113" s="7"/>
      <c r="AB113" s="7"/>
      <c r="AC113" s="7"/>
      <c r="AD113" s="7"/>
      <c r="AE113" s="7"/>
    </row>
    <row r="114" spans="1:31" s="30" customFormat="1" x14ac:dyDescent="0.25">
      <c r="A114" s="6" t="s">
        <v>33</v>
      </c>
      <c r="B114" s="26" t="str">
        <f>VLOOKUP(GestionPersonnelRDJ[[#This Row],[Nom Prénom]],Personnels!Personnels,2,0)</f>
        <v>ME</v>
      </c>
      <c r="C114" s="21" t="str">
        <f>VLOOKUP(GestionPersonnelRDJ[[#This Row],[Nom Prénom]],Personnels!Personnels,3,0)</f>
        <v>FB2</v>
      </c>
      <c r="D114" s="21" t="str">
        <f>VLOOKUP(GestionPersonnelRDJ[[#This Row],[Nom Prénom]],Personnels!Personnels,4,0)</f>
        <v>FH</v>
      </c>
      <c r="E114" s="2">
        <f>INT(MOD(INT((GestionPersonnelRDJ[[#This Row],[Date]]-2)/7)+0.6,52+5/28))+1</f>
        <v>50</v>
      </c>
      <c r="F114" s="7">
        <v>5</v>
      </c>
      <c r="G114" s="8">
        <v>40893</v>
      </c>
      <c r="H114" s="5" t="str">
        <f t="shared" si="67"/>
        <v>vendredi</v>
      </c>
      <c r="I114" s="27">
        <f ca="1">SUMPRODUCT((groupe='Base de donnée'!C114)*(OFFSET(groupe,,1)='Base de donnée'!F114)*(OFFSET(groupe,,2)='Base de donnée'!H114)*(OFFSET(groupe,,3)))</f>
        <v>10</v>
      </c>
      <c r="J114" s="70">
        <f ca="1">SUMPRODUCT((groupe='Base de donnée'!C114)*(OFFSET(groupe,,1)='Base de donnée'!F114)*(OFFSET(groupe,,2)='Base de donnée'!H114)*(OFFSET(groupe,,6)))</f>
        <v>7</v>
      </c>
      <c r="K114" s="70">
        <f ca="1">SUMPRODUCT((groupe='Base de donnée'!C114)*(OFFSET(groupe,,1)='Base de donnée'!F114)*(OFFSET(groupe,,2)='Base de donnée'!H114)*(OFFSET(groupe,,7)))</f>
        <v>9.5</v>
      </c>
      <c r="L114" s="71">
        <f ca="1">SUMPRODUCT((groupe='Base de donnée'!C114)*(OFFSET(groupe,,1)='Base de donnée'!F114)*(OFFSET(groupe,,2)='Base de donnée'!H114)*(OFFSET(groupe,,8)))</f>
        <v>15.5</v>
      </c>
      <c r="M114" s="71">
        <f ca="1">SUMPRODUCT((groupe='Base de donnée'!C114)*(OFFSET(groupe,,1)='Base de donnée'!F114)*(OFFSET(groupe,,2)='Base de donnée'!H114)*(OFFSET(groupe,,9)))</f>
        <v>23</v>
      </c>
      <c r="N114" s="27">
        <f t="shared" ca="1" si="65"/>
        <v>10</v>
      </c>
      <c r="O114" s="27">
        <f t="shared" ca="1" si="66"/>
        <v>10</v>
      </c>
      <c r="P114" s="49">
        <f t="shared" ca="1" si="68"/>
        <v>0</v>
      </c>
      <c r="Q114" s="49">
        <f t="shared" ca="1" si="69"/>
        <v>0</v>
      </c>
      <c r="R114" s="27"/>
      <c r="S114" s="27" t="str">
        <f t="shared" si="60"/>
        <v/>
      </c>
      <c r="T114" s="27"/>
      <c r="U114" s="27" t="str">
        <f t="shared" si="61"/>
        <v/>
      </c>
      <c r="V114" s="27" t="str">
        <f t="shared" si="47"/>
        <v/>
      </c>
      <c r="W114" s="27"/>
      <c r="X114" s="28">
        <f ca="1">IF(OR(Z114=1,AA114=1,AB114=1,AC114=1,AD114=1),0,(SUMPRODUCT((groupe='Base de donnée'!C114)*(OFFSET(groupe,,1)='Base de donnée'!F114)*(OFFSET(groupe,,2)='Base de donnée'!H114)*(OFFSET(groupe,,5)))))</f>
        <v>0</v>
      </c>
      <c r="Y114" s="28"/>
      <c r="Z114" s="7"/>
      <c r="AA114" s="7"/>
      <c r="AB114" s="7"/>
      <c r="AC114" s="7"/>
      <c r="AD114" s="7"/>
      <c r="AE114" s="7"/>
    </row>
    <row r="115" spans="1:31" s="30" customFormat="1" x14ac:dyDescent="0.25">
      <c r="A115" s="6" t="s">
        <v>33</v>
      </c>
      <c r="B115" s="26" t="str">
        <f>VLOOKUP(GestionPersonnelRDJ[[#This Row],[Nom Prénom]],Personnels!Personnels,2,0)</f>
        <v>ME</v>
      </c>
      <c r="C115" s="21" t="str">
        <f>VLOOKUP(GestionPersonnelRDJ[[#This Row],[Nom Prénom]],Personnels!Personnels,3,0)</f>
        <v>FB2</v>
      </c>
      <c r="D115" s="21" t="str">
        <f>VLOOKUP(GestionPersonnelRDJ[[#This Row],[Nom Prénom]],Personnels!Personnels,4,0)</f>
        <v>FH</v>
      </c>
      <c r="E115" s="2">
        <f>INT(MOD(INT((GestionPersonnelRDJ[[#This Row],[Date]]-2)/7)+0.6,52+5/28))+1</f>
        <v>50</v>
      </c>
      <c r="F115" s="7">
        <v>5</v>
      </c>
      <c r="G115" s="8">
        <v>40894</v>
      </c>
      <c r="H115" s="5" t="str">
        <f t="shared" si="67"/>
        <v>samedi</v>
      </c>
      <c r="I115" s="27">
        <f ca="1">SUMPRODUCT((groupe='Base de donnée'!C115)*(OFFSET(groupe,,1)='Base de donnée'!F115)*(OFFSET(groupe,,2)='Base de donnée'!H115)*(OFFSET(groupe,,3)))</f>
        <v>0</v>
      </c>
      <c r="J115" s="70">
        <f ca="1">SUMPRODUCT((groupe='Base de donnée'!C115)*(OFFSET(groupe,,1)='Base de donnée'!F115)*(OFFSET(groupe,,2)='Base de donnée'!H115)*(OFFSET(groupe,,6)))</f>
        <v>0</v>
      </c>
      <c r="K115" s="70">
        <f ca="1">SUMPRODUCT((groupe='Base de donnée'!C115)*(OFFSET(groupe,,1)='Base de donnée'!F115)*(OFFSET(groupe,,2)='Base de donnée'!H115)*(OFFSET(groupe,,7)))</f>
        <v>0</v>
      </c>
      <c r="L115" s="71">
        <f ca="1">SUMPRODUCT((groupe='Base de donnée'!C115)*(OFFSET(groupe,,1)='Base de donnée'!F115)*(OFFSET(groupe,,2)='Base de donnée'!H115)*(OFFSET(groupe,,8)))</f>
        <v>0</v>
      </c>
      <c r="M115" s="71">
        <f ca="1">SUMPRODUCT((groupe='Base de donnée'!C115)*(OFFSET(groupe,,1)='Base de donnée'!F115)*(OFFSET(groupe,,2)='Base de donnée'!H115)*(OFFSET(groupe,,9)))</f>
        <v>0</v>
      </c>
      <c r="N115" s="27">
        <f t="shared" ca="1" si="65"/>
        <v>0</v>
      </c>
      <c r="O115" s="27">
        <f t="shared" ca="1" si="66"/>
        <v>0</v>
      </c>
      <c r="P115" s="49">
        <f t="shared" ca="1" si="68"/>
        <v>0</v>
      </c>
      <c r="Q115" s="49">
        <f t="shared" ca="1" si="69"/>
        <v>0</v>
      </c>
      <c r="R115" s="27"/>
      <c r="S115" s="27" t="str">
        <f t="shared" si="60"/>
        <v/>
      </c>
      <c r="T115" s="27"/>
      <c r="U115" s="27" t="str">
        <f t="shared" si="61"/>
        <v/>
      </c>
      <c r="V115" s="27" t="str">
        <f t="shared" si="47"/>
        <v/>
      </c>
      <c r="W115" s="27"/>
      <c r="X115" s="28">
        <f ca="1">IF(OR(Z115=1,AA115=1,AB115=1,AC115=1,AD115=1),0,(SUMPRODUCT((groupe='Base de donnée'!C115)*(OFFSET(groupe,,1)='Base de donnée'!F115)*(OFFSET(groupe,,2)='Base de donnée'!H115)*(OFFSET(groupe,,5)))))</f>
        <v>0</v>
      </c>
      <c r="Y115" s="28"/>
      <c r="Z115" s="7"/>
      <c r="AA115" s="7"/>
      <c r="AB115" s="7"/>
      <c r="AC115" s="7"/>
      <c r="AD115" s="7"/>
      <c r="AE115" s="7"/>
    </row>
    <row r="116" spans="1:31" s="30" customFormat="1" x14ac:dyDescent="0.25">
      <c r="A116" s="6" t="s">
        <v>33</v>
      </c>
      <c r="B116" s="26" t="str">
        <f>VLOOKUP(GestionPersonnelRDJ[[#This Row],[Nom Prénom]],Personnels!Personnels,2,0)</f>
        <v>ME</v>
      </c>
      <c r="C116" s="21" t="str">
        <f>VLOOKUP(GestionPersonnelRDJ[[#This Row],[Nom Prénom]],Personnels!Personnels,3,0)</f>
        <v>FB2</v>
      </c>
      <c r="D116" s="21" t="str">
        <f>VLOOKUP(GestionPersonnelRDJ[[#This Row],[Nom Prénom]],Personnels!Personnels,4,0)</f>
        <v>FH</v>
      </c>
      <c r="E116" s="2">
        <f>INT(MOD(INT((GestionPersonnelRDJ[[#This Row],[Date]]-2)/7)+0.6,52+5/28))+1</f>
        <v>50</v>
      </c>
      <c r="F116" s="7">
        <v>5</v>
      </c>
      <c r="G116" s="8">
        <v>40895</v>
      </c>
      <c r="H116" s="5" t="str">
        <f t="shared" si="67"/>
        <v>dimanche</v>
      </c>
      <c r="I116" s="27">
        <f ca="1">SUMPRODUCT((groupe='Base de donnée'!C116)*(OFFSET(groupe,,1)='Base de donnée'!F116)*(OFFSET(groupe,,2)='Base de donnée'!H116)*(OFFSET(groupe,,3)))</f>
        <v>0</v>
      </c>
      <c r="J116" s="70">
        <f ca="1">SUMPRODUCT((groupe='Base de donnée'!C116)*(OFFSET(groupe,,1)='Base de donnée'!F116)*(OFFSET(groupe,,2)='Base de donnée'!H116)*(OFFSET(groupe,,6)))</f>
        <v>0</v>
      </c>
      <c r="K116" s="70">
        <f ca="1">SUMPRODUCT((groupe='Base de donnée'!C116)*(OFFSET(groupe,,1)='Base de donnée'!F116)*(OFFSET(groupe,,2)='Base de donnée'!H116)*(OFFSET(groupe,,7)))</f>
        <v>0</v>
      </c>
      <c r="L116" s="71">
        <f ca="1">SUMPRODUCT((groupe='Base de donnée'!C116)*(OFFSET(groupe,,1)='Base de donnée'!F116)*(OFFSET(groupe,,2)='Base de donnée'!H116)*(OFFSET(groupe,,8)))</f>
        <v>0</v>
      </c>
      <c r="M116" s="71">
        <f ca="1">SUMPRODUCT((groupe='Base de donnée'!C116)*(OFFSET(groupe,,1)='Base de donnée'!F116)*(OFFSET(groupe,,2)='Base de donnée'!H116)*(OFFSET(groupe,,9)))</f>
        <v>0</v>
      </c>
      <c r="N116" s="27">
        <f t="shared" ca="1" si="65"/>
        <v>0</v>
      </c>
      <c r="O116" s="27">
        <f t="shared" ca="1" si="66"/>
        <v>0</v>
      </c>
      <c r="P116" s="49">
        <f t="shared" ca="1" si="68"/>
        <v>0</v>
      </c>
      <c r="Q116" s="49">
        <f t="shared" ca="1" si="69"/>
        <v>0</v>
      </c>
      <c r="R116" s="27"/>
      <c r="S116" s="27">
        <f t="shared" ca="1" si="60"/>
        <v>0</v>
      </c>
      <c r="T116" s="27"/>
      <c r="U116" s="27" t="str">
        <f t="shared" si="61"/>
        <v/>
      </c>
      <c r="V116" s="27">
        <f t="shared" ca="1" si="47"/>
        <v>0</v>
      </c>
      <c r="W116" s="27"/>
      <c r="X116" s="28">
        <f ca="1">IF(OR(Z116=1,AA116=1,AB116=1,AC116=1,AD116=1),0,(SUMPRODUCT((groupe='Base de donnée'!C116)*(OFFSET(groupe,,1)='Base de donnée'!F116)*(OFFSET(groupe,,2)='Base de donnée'!H116)*(OFFSET(groupe,,5)))))</f>
        <v>0</v>
      </c>
      <c r="Y116" s="28"/>
      <c r="Z116" s="7"/>
      <c r="AA116" s="7"/>
      <c r="AB116" s="7"/>
      <c r="AC116" s="7"/>
      <c r="AD116" s="7"/>
      <c r="AE116" s="7"/>
    </row>
    <row r="117" spans="1:31" s="30" customFormat="1" x14ac:dyDescent="0.25">
      <c r="A117" s="6" t="s">
        <v>35</v>
      </c>
      <c r="B117" s="26" t="str">
        <f>VLOOKUP(GestionPersonnelRDJ[[#This Row],[Nom Prénom]],Personnels!Personnels,2,0)</f>
        <v>ES</v>
      </c>
      <c r="C117" s="21" t="str">
        <f>VLOOKUP(GestionPersonnelRDJ[[#This Row],[Nom Prénom]],Personnels!Personnels,3,0)</f>
        <v>FB2</v>
      </c>
      <c r="D117" s="21" t="str">
        <f>VLOOKUP(GestionPersonnelRDJ[[#This Row],[Nom Prénom]],Personnels!Personnels,4,0)</f>
        <v>FH</v>
      </c>
      <c r="E117" s="2">
        <f>INT(MOD(INT((GestionPersonnelRDJ[[#This Row],[Date]]-2)/7)+0.6,52+5/28))+1</f>
        <v>50</v>
      </c>
      <c r="F117" s="7">
        <v>4</v>
      </c>
      <c r="G117" s="8">
        <v>40889</v>
      </c>
      <c r="H117" s="5" t="str">
        <f t="shared" ref="H117:H123" si="70">TEXT(WEEKDAY(G117),"jjjj")</f>
        <v>lundi</v>
      </c>
      <c r="I117" s="27">
        <f ca="1">SUMPRODUCT((groupe='Base de donnée'!C117)*(OFFSET(groupe,,1)='Base de donnée'!F117)*(OFFSET(groupe,,2)='Base de donnée'!H117)*(OFFSET(groupe,,3)))</f>
        <v>8.5</v>
      </c>
      <c r="J117" s="70">
        <f ca="1">SUMPRODUCT((groupe='Base de donnée'!C117)*(OFFSET(groupe,,1)='Base de donnée'!F117)*(OFFSET(groupe,,2)='Base de donnée'!H117)*(OFFSET(groupe,,6)))</f>
        <v>0</v>
      </c>
      <c r="K117" s="70">
        <f ca="1">SUMPRODUCT((groupe='Base de donnée'!C117)*(OFFSET(groupe,,1)='Base de donnée'!F117)*(OFFSET(groupe,,2)='Base de donnée'!H117)*(OFFSET(groupe,,7)))</f>
        <v>0</v>
      </c>
      <c r="L117" s="71">
        <f ca="1">SUMPRODUCT((groupe='Base de donnée'!C117)*(OFFSET(groupe,,1)='Base de donnée'!F117)*(OFFSET(groupe,,2)='Base de donnée'!H117)*(OFFSET(groupe,,8)))</f>
        <v>14</v>
      </c>
      <c r="M117" s="71">
        <f ca="1">SUMPRODUCT((groupe='Base de donnée'!C117)*(OFFSET(groupe,,1)='Base de donnée'!F117)*(OFFSET(groupe,,2)='Base de donnée'!H117)*(OFFSET(groupe,,9)))</f>
        <v>22.5</v>
      </c>
      <c r="N117" s="27">
        <f t="shared" ca="1" si="65"/>
        <v>8.5</v>
      </c>
      <c r="O117" s="27">
        <f t="shared" ca="1" si="66"/>
        <v>8.5</v>
      </c>
      <c r="P117" s="49">
        <f t="shared" ref="P117:P123" ca="1" si="71">IF(I117-O117-(W117+X117)&lt;=0,0,I117-O117-(W117+X117))</f>
        <v>0</v>
      </c>
      <c r="Q117" s="49">
        <f t="shared" ref="Q117:Q123" ca="1" si="72">IF(O117-I117-(W117+X117)&lt;=0,0,O117-I117-(W117+X117))</f>
        <v>0</v>
      </c>
      <c r="R117" s="27"/>
      <c r="S117" s="27" t="str">
        <f t="shared" si="60"/>
        <v/>
      </c>
      <c r="T117" s="27"/>
      <c r="U117" s="27" t="str">
        <f t="shared" si="61"/>
        <v/>
      </c>
      <c r="V117" s="27" t="str">
        <f t="shared" si="47"/>
        <v/>
      </c>
      <c r="W117" s="27"/>
      <c r="X117" s="28">
        <f ca="1">IF(OR(Z117=1,AA117=1,AB117=1,AC117=1,AD117=1),0,(SUMPRODUCT((groupe='Base de donnée'!C117)*(OFFSET(groupe,,1)='Base de donnée'!F117)*(OFFSET(groupe,,2)='Base de donnée'!H117)*(OFFSET(groupe,,5)))))</f>
        <v>0</v>
      </c>
      <c r="Y117" s="28"/>
      <c r="Z117" s="7"/>
      <c r="AA117" s="7"/>
      <c r="AB117" s="7"/>
      <c r="AC117" s="7"/>
      <c r="AD117" s="7"/>
      <c r="AE117" s="7"/>
    </row>
    <row r="118" spans="1:31" s="30" customFormat="1" x14ac:dyDescent="0.25">
      <c r="A118" s="6" t="s">
        <v>35</v>
      </c>
      <c r="B118" s="26" t="str">
        <f>VLOOKUP(GestionPersonnelRDJ[[#This Row],[Nom Prénom]],Personnels!Personnels,2,0)</f>
        <v>ES</v>
      </c>
      <c r="C118" s="21" t="str">
        <f>VLOOKUP(GestionPersonnelRDJ[[#This Row],[Nom Prénom]],Personnels!Personnels,3,0)</f>
        <v>FB2</v>
      </c>
      <c r="D118" s="21" t="str">
        <f>VLOOKUP(GestionPersonnelRDJ[[#This Row],[Nom Prénom]],Personnels!Personnels,4,0)</f>
        <v>FH</v>
      </c>
      <c r="E118" s="2">
        <f>INT(MOD(INT((GestionPersonnelRDJ[[#This Row],[Date]]-2)/7)+0.6,52+5/28))+1</f>
        <v>50</v>
      </c>
      <c r="F118" s="7">
        <v>4</v>
      </c>
      <c r="G118" s="8">
        <v>40890</v>
      </c>
      <c r="H118" s="5" t="str">
        <f t="shared" si="70"/>
        <v>mardi</v>
      </c>
      <c r="I118" s="27">
        <f ca="1">SUMPRODUCT((groupe='Base de donnée'!C118)*(OFFSET(groupe,,1)='Base de donnée'!F118)*(OFFSET(groupe,,2)='Base de donnée'!H118)*(OFFSET(groupe,,3)))</f>
        <v>9</v>
      </c>
      <c r="J118" s="70">
        <f ca="1">SUMPRODUCT((groupe='Base de donnée'!C118)*(OFFSET(groupe,,1)='Base de donnée'!F118)*(OFFSET(groupe,,2)='Base de donnée'!H118)*(OFFSET(groupe,,6)))</f>
        <v>9.5</v>
      </c>
      <c r="K118" s="70">
        <f ca="1">SUMPRODUCT((groupe='Base de donnée'!C118)*(OFFSET(groupe,,1)='Base de donnée'!F118)*(OFFSET(groupe,,2)='Base de donnée'!H118)*(OFFSET(groupe,,7)))</f>
        <v>12.5</v>
      </c>
      <c r="L118" s="71">
        <f ca="1">SUMPRODUCT((groupe='Base de donnée'!C118)*(OFFSET(groupe,,1)='Base de donnée'!F118)*(OFFSET(groupe,,2)='Base de donnée'!H118)*(OFFSET(groupe,,8)))</f>
        <v>16.5</v>
      </c>
      <c r="M118" s="71">
        <f ca="1">SUMPRODUCT((groupe='Base de donnée'!C118)*(OFFSET(groupe,,1)='Base de donnée'!F118)*(OFFSET(groupe,,2)='Base de donnée'!H118)*(OFFSET(groupe,,9)))</f>
        <v>22.5</v>
      </c>
      <c r="N118" s="27">
        <f t="shared" ca="1" si="65"/>
        <v>9</v>
      </c>
      <c r="O118" s="27">
        <f t="shared" ca="1" si="66"/>
        <v>9</v>
      </c>
      <c r="P118" s="49">
        <f t="shared" ca="1" si="71"/>
        <v>0</v>
      </c>
      <c r="Q118" s="49">
        <f t="shared" ca="1" si="72"/>
        <v>0</v>
      </c>
      <c r="R118" s="27"/>
      <c r="S118" s="27" t="str">
        <f t="shared" si="60"/>
        <v/>
      </c>
      <c r="T118" s="27"/>
      <c r="U118" s="27" t="str">
        <f t="shared" si="61"/>
        <v/>
      </c>
      <c r="V118" s="27" t="str">
        <f t="shared" si="47"/>
        <v/>
      </c>
      <c r="W118" s="27"/>
      <c r="X118" s="28">
        <f ca="1">IF(OR(Z118=1,AA118=1,AB118=1,AC118=1,AD118=1),0,(SUMPRODUCT((groupe='Base de donnée'!C118)*(OFFSET(groupe,,1)='Base de donnée'!F118)*(OFFSET(groupe,,2)='Base de donnée'!H118)*(OFFSET(groupe,,5)))))</f>
        <v>0</v>
      </c>
      <c r="Y118" s="28"/>
      <c r="Z118" s="7"/>
      <c r="AA118" s="7"/>
      <c r="AB118" s="7"/>
      <c r="AC118" s="7"/>
      <c r="AD118" s="7"/>
      <c r="AE118" s="7"/>
    </row>
    <row r="119" spans="1:31" s="30" customFormat="1" x14ac:dyDescent="0.25">
      <c r="A119" s="6" t="s">
        <v>35</v>
      </c>
      <c r="B119" s="26" t="str">
        <f>VLOOKUP(GestionPersonnelRDJ[[#This Row],[Nom Prénom]],Personnels!Personnels,2,0)</f>
        <v>ES</v>
      </c>
      <c r="C119" s="21" t="str">
        <f>VLOOKUP(GestionPersonnelRDJ[[#This Row],[Nom Prénom]],Personnels!Personnels,3,0)</f>
        <v>FB2</v>
      </c>
      <c r="D119" s="21" t="str">
        <f>VLOOKUP(GestionPersonnelRDJ[[#This Row],[Nom Prénom]],Personnels!Personnels,4,0)</f>
        <v>FH</v>
      </c>
      <c r="E119" s="2">
        <f>INT(MOD(INT((GestionPersonnelRDJ[[#This Row],[Date]]-2)/7)+0.6,52+5/28))+1</f>
        <v>50</v>
      </c>
      <c r="F119" s="7">
        <v>4</v>
      </c>
      <c r="G119" s="8">
        <v>40891</v>
      </c>
      <c r="H119" s="5" t="str">
        <f t="shared" si="70"/>
        <v>mercredi</v>
      </c>
      <c r="I119" s="27">
        <f ca="1">SUMPRODUCT((groupe='Base de donnée'!C119)*(OFFSET(groupe,,1)='Base de donnée'!F119)*(OFFSET(groupe,,2)='Base de donnée'!H119)*(OFFSET(groupe,,3)))</f>
        <v>0</v>
      </c>
      <c r="J119" s="70">
        <f ca="1">SUMPRODUCT((groupe='Base de donnée'!C119)*(OFFSET(groupe,,1)='Base de donnée'!F119)*(OFFSET(groupe,,2)='Base de donnée'!H119)*(OFFSET(groupe,,6)))</f>
        <v>0</v>
      </c>
      <c r="K119" s="70">
        <f ca="1">SUMPRODUCT((groupe='Base de donnée'!C119)*(OFFSET(groupe,,1)='Base de donnée'!F119)*(OFFSET(groupe,,2)='Base de donnée'!H119)*(OFFSET(groupe,,7)))</f>
        <v>0</v>
      </c>
      <c r="L119" s="71">
        <f ca="1">SUMPRODUCT((groupe='Base de donnée'!C119)*(OFFSET(groupe,,1)='Base de donnée'!F119)*(OFFSET(groupe,,2)='Base de donnée'!H119)*(OFFSET(groupe,,8)))</f>
        <v>0</v>
      </c>
      <c r="M119" s="71">
        <f ca="1">SUMPRODUCT((groupe='Base de donnée'!C119)*(OFFSET(groupe,,1)='Base de donnée'!F119)*(OFFSET(groupe,,2)='Base de donnée'!H119)*(OFFSET(groupe,,9)))</f>
        <v>0</v>
      </c>
      <c r="N119" s="27">
        <f t="shared" ca="1" si="65"/>
        <v>0</v>
      </c>
      <c r="O119" s="27">
        <f t="shared" ca="1" si="66"/>
        <v>0</v>
      </c>
      <c r="P119" s="49">
        <f t="shared" ca="1" si="71"/>
        <v>0</v>
      </c>
      <c r="Q119" s="49">
        <f t="shared" ca="1" si="72"/>
        <v>0</v>
      </c>
      <c r="R119" s="27"/>
      <c r="S119" s="27" t="str">
        <f t="shared" si="60"/>
        <v/>
      </c>
      <c r="T119" s="27"/>
      <c r="U119" s="27" t="str">
        <f t="shared" si="61"/>
        <v/>
      </c>
      <c r="V119" s="27" t="str">
        <f t="shared" si="47"/>
        <v/>
      </c>
      <c r="W119" s="27"/>
      <c r="X119" s="28">
        <f ca="1">IF(OR(Z119=1,AA119=1,AB119=1,AC119=1,AD119=1),0,(SUMPRODUCT((groupe='Base de donnée'!C119)*(OFFSET(groupe,,1)='Base de donnée'!F119)*(OFFSET(groupe,,2)='Base de donnée'!H119)*(OFFSET(groupe,,5)))))</f>
        <v>0</v>
      </c>
      <c r="Y119" s="28"/>
      <c r="Z119" s="7"/>
      <c r="AA119" s="7"/>
      <c r="AB119" s="7"/>
      <c r="AC119" s="7"/>
      <c r="AD119" s="7"/>
      <c r="AE119" s="7"/>
    </row>
    <row r="120" spans="1:31" s="30" customFormat="1" x14ac:dyDescent="0.25">
      <c r="A120" s="6" t="s">
        <v>35</v>
      </c>
      <c r="B120" s="26" t="str">
        <f>VLOOKUP(GestionPersonnelRDJ[[#This Row],[Nom Prénom]],Personnels!Personnels,2,0)</f>
        <v>ES</v>
      </c>
      <c r="C120" s="21" t="str">
        <f>VLOOKUP(GestionPersonnelRDJ[[#This Row],[Nom Prénom]],Personnels!Personnels,3,0)</f>
        <v>FB2</v>
      </c>
      <c r="D120" s="21" t="str">
        <f>VLOOKUP(GestionPersonnelRDJ[[#This Row],[Nom Prénom]],Personnels!Personnels,4,0)</f>
        <v>FH</v>
      </c>
      <c r="E120" s="2">
        <f>INT(MOD(INT((GestionPersonnelRDJ[[#This Row],[Date]]-2)/7)+0.6,52+5/28))+1</f>
        <v>50</v>
      </c>
      <c r="F120" s="7">
        <v>4</v>
      </c>
      <c r="G120" s="8">
        <v>40892</v>
      </c>
      <c r="H120" s="5" t="str">
        <f t="shared" si="70"/>
        <v>jeudi</v>
      </c>
      <c r="I120" s="27">
        <f ca="1">SUMPRODUCT((groupe='Base de donnée'!C120)*(OFFSET(groupe,,1)='Base de donnée'!F120)*(OFFSET(groupe,,2)='Base de donnée'!H120)*(OFFSET(groupe,,3)))</f>
        <v>0</v>
      </c>
      <c r="J120" s="70">
        <f ca="1">SUMPRODUCT((groupe='Base de donnée'!C120)*(OFFSET(groupe,,1)='Base de donnée'!F120)*(OFFSET(groupe,,2)='Base de donnée'!H120)*(OFFSET(groupe,,6)))</f>
        <v>0</v>
      </c>
      <c r="K120" s="70">
        <f ca="1">SUMPRODUCT((groupe='Base de donnée'!C120)*(OFFSET(groupe,,1)='Base de donnée'!F120)*(OFFSET(groupe,,2)='Base de donnée'!H120)*(OFFSET(groupe,,7)))</f>
        <v>0</v>
      </c>
      <c r="L120" s="71">
        <f ca="1">SUMPRODUCT((groupe='Base de donnée'!C120)*(OFFSET(groupe,,1)='Base de donnée'!F120)*(OFFSET(groupe,,2)='Base de donnée'!H120)*(OFFSET(groupe,,8)))</f>
        <v>0</v>
      </c>
      <c r="M120" s="71">
        <f ca="1">SUMPRODUCT((groupe='Base de donnée'!C120)*(OFFSET(groupe,,1)='Base de donnée'!F120)*(OFFSET(groupe,,2)='Base de donnée'!H120)*(OFFSET(groupe,,9)))</f>
        <v>0</v>
      </c>
      <c r="N120" s="27">
        <f t="shared" ca="1" si="65"/>
        <v>0</v>
      </c>
      <c r="O120" s="27">
        <f t="shared" ca="1" si="66"/>
        <v>0</v>
      </c>
      <c r="P120" s="49">
        <f t="shared" ca="1" si="71"/>
        <v>0</v>
      </c>
      <c r="Q120" s="49">
        <f t="shared" ca="1" si="72"/>
        <v>0</v>
      </c>
      <c r="R120" s="27"/>
      <c r="S120" s="27" t="str">
        <f t="shared" si="60"/>
        <v/>
      </c>
      <c r="T120" s="27"/>
      <c r="U120" s="27" t="str">
        <f t="shared" si="61"/>
        <v/>
      </c>
      <c r="V120" s="27" t="str">
        <f t="shared" si="47"/>
        <v/>
      </c>
      <c r="W120" s="27"/>
      <c r="X120" s="28">
        <f ca="1">IF(OR(Z120=1,AA120=1,AB120=1,AC120=1,AD120=1),0,(SUMPRODUCT((groupe='Base de donnée'!C120)*(OFFSET(groupe,,1)='Base de donnée'!F120)*(OFFSET(groupe,,2)='Base de donnée'!H120)*(OFFSET(groupe,,5)))))</f>
        <v>0</v>
      </c>
      <c r="Y120" s="28"/>
      <c r="Z120" s="7"/>
      <c r="AA120" s="7"/>
      <c r="AB120" s="7"/>
      <c r="AC120" s="7"/>
      <c r="AD120" s="7"/>
      <c r="AE120" s="7"/>
    </row>
    <row r="121" spans="1:31" s="30" customFormat="1" x14ac:dyDescent="0.25">
      <c r="A121" s="6" t="s">
        <v>35</v>
      </c>
      <c r="B121" s="26" t="str">
        <f>VLOOKUP(GestionPersonnelRDJ[[#This Row],[Nom Prénom]],Personnels!Personnels,2,0)</f>
        <v>ES</v>
      </c>
      <c r="C121" s="21" t="str">
        <f>VLOOKUP(GestionPersonnelRDJ[[#This Row],[Nom Prénom]],Personnels!Personnels,3,0)</f>
        <v>FB2</v>
      </c>
      <c r="D121" s="21" t="str">
        <f>VLOOKUP(GestionPersonnelRDJ[[#This Row],[Nom Prénom]],Personnels!Personnels,4,0)</f>
        <v>FH</v>
      </c>
      <c r="E121" s="2">
        <f>INT(MOD(INT((GestionPersonnelRDJ[[#This Row],[Date]]-2)/7)+0.6,52+5/28))+1</f>
        <v>50</v>
      </c>
      <c r="F121" s="7">
        <v>4</v>
      </c>
      <c r="G121" s="8">
        <v>40893</v>
      </c>
      <c r="H121" s="5" t="str">
        <f t="shared" si="70"/>
        <v>vendredi</v>
      </c>
      <c r="I121" s="27">
        <f ca="1">SUMPRODUCT((groupe='Base de donnée'!C121)*(OFFSET(groupe,,1)='Base de donnée'!F121)*(OFFSET(groupe,,2)='Base de donnée'!H121)*(OFFSET(groupe,,3)))</f>
        <v>0</v>
      </c>
      <c r="J121" s="70">
        <f ca="1">SUMPRODUCT((groupe='Base de donnée'!C121)*(OFFSET(groupe,,1)='Base de donnée'!F121)*(OFFSET(groupe,,2)='Base de donnée'!H121)*(OFFSET(groupe,,6)))</f>
        <v>0</v>
      </c>
      <c r="K121" s="70">
        <f ca="1">SUMPRODUCT((groupe='Base de donnée'!C121)*(OFFSET(groupe,,1)='Base de donnée'!F121)*(OFFSET(groupe,,2)='Base de donnée'!H121)*(OFFSET(groupe,,7)))</f>
        <v>0</v>
      </c>
      <c r="L121" s="71">
        <f ca="1">SUMPRODUCT((groupe='Base de donnée'!C121)*(OFFSET(groupe,,1)='Base de donnée'!F121)*(OFFSET(groupe,,2)='Base de donnée'!H121)*(OFFSET(groupe,,8)))</f>
        <v>0</v>
      </c>
      <c r="M121" s="71">
        <f ca="1">SUMPRODUCT((groupe='Base de donnée'!C121)*(OFFSET(groupe,,1)='Base de donnée'!F121)*(OFFSET(groupe,,2)='Base de donnée'!H121)*(OFFSET(groupe,,9)))</f>
        <v>0</v>
      </c>
      <c r="N121" s="27">
        <f t="shared" ca="1" si="65"/>
        <v>0</v>
      </c>
      <c r="O121" s="27">
        <f t="shared" ca="1" si="66"/>
        <v>0</v>
      </c>
      <c r="P121" s="49">
        <f t="shared" ca="1" si="71"/>
        <v>0</v>
      </c>
      <c r="Q121" s="49">
        <f t="shared" ca="1" si="72"/>
        <v>0</v>
      </c>
      <c r="R121" s="27"/>
      <c r="S121" s="27" t="str">
        <f t="shared" si="60"/>
        <v/>
      </c>
      <c r="T121" s="27"/>
      <c r="U121" s="27" t="str">
        <f t="shared" si="61"/>
        <v/>
      </c>
      <c r="V121" s="27" t="str">
        <f t="shared" si="47"/>
        <v/>
      </c>
      <c r="W121" s="27"/>
      <c r="X121" s="28">
        <f ca="1">IF(OR(Z121=1,AA121=1,AB121=1,AC121=1,AD121=1),0,(SUMPRODUCT((groupe='Base de donnée'!C121)*(OFFSET(groupe,,1)='Base de donnée'!F121)*(OFFSET(groupe,,2)='Base de donnée'!H121)*(OFFSET(groupe,,5)))))</f>
        <v>0</v>
      </c>
      <c r="Y121" s="28"/>
      <c r="Z121" s="7"/>
      <c r="AA121" s="7"/>
      <c r="AB121" s="7"/>
      <c r="AC121" s="7"/>
      <c r="AD121" s="7"/>
      <c r="AE121" s="7"/>
    </row>
    <row r="122" spans="1:31" s="30" customFormat="1" x14ac:dyDescent="0.25">
      <c r="A122" s="6" t="s">
        <v>35</v>
      </c>
      <c r="B122" s="26" t="str">
        <f>VLOOKUP(GestionPersonnelRDJ[[#This Row],[Nom Prénom]],Personnels!Personnels,2,0)</f>
        <v>ES</v>
      </c>
      <c r="C122" s="21" t="str">
        <f>VLOOKUP(GestionPersonnelRDJ[[#This Row],[Nom Prénom]],Personnels!Personnels,3,0)</f>
        <v>FB2</v>
      </c>
      <c r="D122" s="21" t="str">
        <f>VLOOKUP(GestionPersonnelRDJ[[#This Row],[Nom Prénom]],Personnels!Personnels,4,0)</f>
        <v>FH</v>
      </c>
      <c r="E122" s="2">
        <f>INT(MOD(INT((GestionPersonnelRDJ[[#This Row],[Date]]-2)/7)+0.6,52+5/28))+1</f>
        <v>50</v>
      </c>
      <c r="F122" s="7">
        <v>4</v>
      </c>
      <c r="G122" s="8">
        <v>40894</v>
      </c>
      <c r="H122" s="5" t="str">
        <f t="shared" si="70"/>
        <v>samedi</v>
      </c>
      <c r="I122" s="27">
        <f ca="1">SUMPRODUCT((groupe='Base de donnée'!C122)*(OFFSET(groupe,,1)='Base de donnée'!F122)*(OFFSET(groupe,,2)='Base de donnée'!H122)*(OFFSET(groupe,,3)))</f>
        <v>12</v>
      </c>
      <c r="J122" s="70">
        <f ca="1">SUMPRODUCT((groupe='Base de donnée'!C122)*(OFFSET(groupe,,1)='Base de donnée'!F122)*(OFFSET(groupe,,2)='Base de donnée'!H122)*(OFFSET(groupe,,6)))</f>
        <v>8</v>
      </c>
      <c r="K122" s="70">
        <f ca="1">SUMPRODUCT((groupe='Base de donnée'!C122)*(OFFSET(groupe,,1)='Base de donnée'!F122)*(OFFSET(groupe,,2)='Base de donnée'!H122)*(OFFSET(groupe,,7)))</f>
        <v>12</v>
      </c>
      <c r="L122" s="71">
        <f ca="1">SUMPRODUCT((groupe='Base de donnée'!C122)*(OFFSET(groupe,,1)='Base de donnée'!F122)*(OFFSET(groupe,,2)='Base de donnée'!H122)*(OFFSET(groupe,,8)))</f>
        <v>12</v>
      </c>
      <c r="M122" s="71">
        <f ca="1">SUMPRODUCT((groupe='Base de donnée'!C122)*(OFFSET(groupe,,1)='Base de donnée'!F122)*(OFFSET(groupe,,2)='Base de donnée'!H122)*(OFFSET(groupe,,9)))</f>
        <v>20</v>
      </c>
      <c r="N122" s="27">
        <f t="shared" ca="1" si="65"/>
        <v>12</v>
      </c>
      <c r="O122" s="27">
        <f t="shared" ca="1" si="66"/>
        <v>12</v>
      </c>
      <c r="P122" s="49">
        <f t="shared" ca="1" si="71"/>
        <v>0</v>
      </c>
      <c r="Q122" s="49">
        <f t="shared" ca="1" si="72"/>
        <v>0</v>
      </c>
      <c r="R122" s="27"/>
      <c r="S122" s="27" t="str">
        <f t="shared" si="60"/>
        <v/>
      </c>
      <c r="T122" s="27"/>
      <c r="U122" s="27" t="str">
        <f t="shared" si="61"/>
        <v/>
      </c>
      <c r="V122" s="27" t="str">
        <f t="shared" si="47"/>
        <v/>
      </c>
      <c r="W122" s="27"/>
      <c r="X122" s="28">
        <f ca="1">IF(OR(Z122=1,AA122=1,AB122=1,AC122=1,AD122=1),0,(SUMPRODUCT((groupe='Base de donnée'!C122)*(OFFSET(groupe,,1)='Base de donnée'!F122)*(OFFSET(groupe,,2)='Base de donnée'!H122)*(OFFSET(groupe,,5)))))</f>
        <v>0</v>
      </c>
      <c r="Y122" s="28"/>
      <c r="Z122" s="7"/>
      <c r="AA122" s="7"/>
      <c r="AB122" s="7"/>
      <c r="AC122" s="7"/>
      <c r="AD122" s="7"/>
      <c r="AE122" s="7"/>
    </row>
    <row r="123" spans="1:31" s="30" customFormat="1" x14ac:dyDescent="0.25">
      <c r="A123" s="6" t="s">
        <v>35</v>
      </c>
      <c r="B123" s="26" t="str">
        <f>VLOOKUP(GestionPersonnelRDJ[[#This Row],[Nom Prénom]],Personnels!Personnels,2,0)</f>
        <v>ES</v>
      </c>
      <c r="C123" s="21" t="str">
        <f>VLOOKUP(GestionPersonnelRDJ[[#This Row],[Nom Prénom]],Personnels!Personnels,3,0)</f>
        <v>FB2</v>
      </c>
      <c r="D123" s="21" t="str">
        <f>VLOOKUP(GestionPersonnelRDJ[[#This Row],[Nom Prénom]],Personnels!Personnels,4,0)</f>
        <v>FH</v>
      </c>
      <c r="E123" s="2">
        <f>INT(MOD(INT((GestionPersonnelRDJ[[#This Row],[Date]]-2)/7)+0.6,52+5/28))+1</f>
        <v>50</v>
      </c>
      <c r="F123" s="7">
        <v>4</v>
      </c>
      <c r="G123" s="8">
        <v>40895</v>
      </c>
      <c r="H123" s="5" t="str">
        <f t="shared" si="70"/>
        <v>dimanche</v>
      </c>
      <c r="I123" s="27">
        <f ca="1">SUMPRODUCT((groupe='Base de donnée'!C123)*(OFFSET(groupe,,1)='Base de donnée'!F123)*(OFFSET(groupe,,2)='Base de donnée'!H123)*(OFFSET(groupe,,3)))</f>
        <v>12</v>
      </c>
      <c r="J123" s="70">
        <f ca="1">SUMPRODUCT((groupe='Base de donnée'!C123)*(OFFSET(groupe,,1)='Base de donnée'!F123)*(OFFSET(groupe,,2)='Base de donnée'!H123)*(OFFSET(groupe,,6)))</f>
        <v>8</v>
      </c>
      <c r="K123" s="70">
        <f ca="1">SUMPRODUCT((groupe='Base de donnée'!C123)*(OFFSET(groupe,,1)='Base de donnée'!F123)*(OFFSET(groupe,,2)='Base de donnée'!H123)*(OFFSET(groupe,,7)))</f>
        <v>12</v>
      </c>
      <c r="L123" s="71">
        <f ca="1">SUMPRODUCT((groupe='Base de donnée'!C123)*(OFFSET(groupe,,1)='Base de donnée'!F123)*(OFFSET(groupe,,2)='Base de donnée'!H123)*(OFFSET(groupe,,8)))</f>
        <v>12</v>
      </c>
      <c r="M123" s="71">
        <f ca="1">SUMPRODUCT((groupe='Base de donnée'!C123)*(OFFSET(groupe,,1)='Base de donnée'!F123)*(OFFSET(groupe,,2)='Base de donnée'!H123)*(OFFSET(groupe,,9)))</f>
        <v>20</v>
      </c>
      <c r="N123" s="27">
        <f t="shared" ca="1" si="65"/>
        <v>12</v>
      </c>
      <c r="O123" s="27">
        <f t="shared" ca="1" si="66"/>
        <v>12</v>
      </c>
      <c r="P123" s="49">
        <f t="shared" ca="1" si="71"/>
        <v>0</v>
      </c>
      <c r="Q123" s="49">
        <f t="shared" ca="1" si="72"/>
        <v>0</v>
      </c>
      <c r="R123" s="27"/>
      <c r="S123" s="27">
        <f t="shared" ca="1" si="60"/>
        <v>12</v>
      </c>
      <c r="T123" s="27"/>
      <c r="U123" s="27" t="str">
        <f t="shared" si="61"/>
        <v/>
      </c>
      <c r="V123" s="27">
        <f t="shared" ca="1" si="47"/>
        <v>12</v>
      </c>
      <c r="W123" s="27"/>
      <c r="X123" s="28">
        <f ca="1">IF(OR(Z123=1,AA123=1,AB123=1,AC123=1,AD123=1),0,(SUMPRODUCT((groupe='Base de donnée'!C123)*(OFFSET(groupe,,1)='Base de donnée'!F123)*(OFFSET(groupe,,2)='Base de donnée'!H123)*(OFFSET(groupe,,5)))))</f>
        <v>0</v>
      </c>
      <c r="Y123" s="28"/>
      <c r="Z123" s="7"/>
      <c r="AA123" s="7"/>
      <c r="AB123" s="7"/>
      <c r="AC123" s="7"/>
      <c r="AD123" s="7"/>
      <c r="AE123" s="7"/>
    </row>
    <row r="124" spans="1:31" s="30" customFormat="1" x14ac:dyDescent="0.25">
      <c r="A124" s="6" t="s">
        <v>34</v>
      </c>
      <c r="B124" s="26" t="str">
        <f>VLOOKUP(GestionPersonnelRDJ[[#This Row],[Nom Prénom]],Personnels!Personnels,2,0)</f>
        <v>ME</v>
      </c>
      <c r="C124" s="21" t="str">
        <f>VLOOKUP(GestionPersonnelRDJ[[#This Row],[Nom Prénom]],Personnels!Personnels,3,0)</f>
        <v>FB3</v>
      </c>
      <c r="D124" s="21" t="str">
        <f>VLOOKUP(GestionPersonnelRDJ[[#This Row],[Nom Prénom]],Personnels!Personnels,4,0)</f>
        <v>FH</v>
      </c>
      <c r="E124" s="2">
        <f>INT(MOD(INT((GestionPersonnelRDJ[[#This Row],[Date]]-2)/7)+0.6,52+5/28))+1</f>
        <v>50</v>
      </c>
      <c r="F124" s="7">
        <v>5</v>
      </c>
      <c r="G124" s="8">
        <v>40889</v>
      </c>
      <c r="H124" s="5" t="str">
        <f t="shared" ref="H124:H130" si="73">TEXT(WEEKDAY(G124),"jjjj")</f>
        <v>lundi</v>
      </c>
      <c r="I124" s="27">
        <f ca="1">SUMPRODUCT((groupe='Base de donnée'!C124)*(OFFSET(groupe,,1)='Base de donnée'!F124)*(OFFSET(groupe,,2)='Base de donnée'!H124)*(OFFSET(groupe,,3)))</f>
        <v>0</v>
      </c>
      <c r="J124" s="70">
        <f ca="1">SUMPRODUCT((groupe='Base de donnée'!C124)*(OFFSET(groupe,,1)='Base de donnée'!F124)*(OFFSET(groupe,,2)='Base de donnée'!H124)*(OFFSET(groupe,,6)))</f>
        <v>0</v>
      </c>
      <c r="K124" s="70">
        <f ca="1">SUMPRODUCT((groupe='Base de donnée'!C124)*(OFFSET(groupe,,1)='Base de donnée'!F124)*(OFFSET(groupe,,2)='Base de donnée'!H124)*(OFFSET(groupe,,7)))</f>
        <v>0</v>
      </c>
      <c r="L124" s="71">
        <f ca="1">SUMPRODUCT((groupe='Base de donnée'!C124)*(OFFSET(groupe,,1)='Base de donnée'!F124)*(OFFSET(groupe,,2)='Base de donnée'!H124)*(OFFSET(groupe,,8)))</f>
        <v>0</v>
      </c>
      <c r="M124" s="71">
        <f ca="1">SUMPRODUCT((groupe='Base de donnée'!C124)*(OFFSET(groupe,,1)='Base de donnée'!F124)*(OFFSET(groupe,,2)='Base de donnée'!H124)*(OFFSET(groupe,,9)))</f>
        <v>0</v>
      </c>
      <c r="N124" s="27">
        <f t="shared" ca="1" si="65"/>
        <v>0</v>
      </c>
      <c r="O124" s="27">
        <f t="shared" ca="1" si="66"/>
        <v>0</v>
      </c>
      <c r="P124" s="49">
        <f t="shared" ref="P124:P130" ca="1" si="74">IF(I124-O124-(W124+X124)&lt;=0,0,I124-O124-(W124+X124))</f>
        <v>0</v>
      </c>
      <c r="Q124" s="49">
        <f t="shared" ref="Q124:Q130" ca="1" si="75">IF(O124-I124-(W124+X124)&lt;=0,0,O124-I124-(W124+X124))</f>
        <v>0</v>
      </c>
      <c r="R124" s="27"/>
      <c r="S124" s="27" t="str">
        <f t="shared" si="60"/>
        <v/>
      </c>
      <c r="T124" s="27"/>
      <c r="U124" s="27" t="str">
        <f t="shared" si="61"/>
        <v/>
      </c>
      <c r="V124" s="27" t="str">
        <f t="shared" si="47"/>
        <v/>
      </c>
      <c r="W124" s="27"/>
      <c r="X124" s="28">
        <f ca="1">IF(OR(Z124=1,AA124=1,AB124=1,AC124=1,AD124=1),0,(SUMPRODUCT((groupe='Base de donnée'!C124)*(OFFSET(groupe,,1)='Base de donnée'!F124)*(OFFSET(groupe,,2)='Base de donnée'!H124)*(OFFSET(groupe,,5)))))</f>
        <v>0</v>
      </c>
      <c r="Y124" s="28"/>
      <c r="Z124" s="7"/>
      <c r="AA124" s="7"/>
      <c r="AB124" s="7"/>
      <c r="AC124" s="7"/>
      <c r="AD124" s="7"/>
      <c r="AE124" s="7"/>
    </row>
    <row r="125" spans="1:31" s="30" customFormat="1" x14ac:dyDescent="0.25">
      <c r="A125" s="6" t="s">
        <v>34</v>
      </c>
      <c r="B125" s="26" t="str">
        <f>VLOOKUP(GestionPersonnelRDJ[[#This Row],[Nom Prénom]],Personnels!Personnels,2,0)</f>
        <v>ME</v>
      </c>
      <c r="C125" s="21" t="str">
        <f>VLOOKUP(GestionPersonnelRDJ[[#This Row],[Nom Prénom]],Personnels!Personnels,3,0)</f>
        <v>FB3</v>
      </c>
      <c r="D125" s="21" t="str">
        <f>VLOOKUP(GestionPersonnelRDJ[[#This Row],[Nom Prénom]],Personnels!Personnels,4,0)</f>
        <v>FH</v>
      </c>
      <c r="E125" s="2">
        <f>INT(MOD(INT((GestionPersonnelRDJ[[#This Row],[Date]]-2)/7)+0.6,52+5/28))+1</f>
        <v>50</v>
      </c>
      <c r="F125" s="7">
        <v>5</v>
      </c>
      <c r="G125" s="8">
        <v>40890</v>
      </c>
      <c r="H125" s="5" t="str">
        <f t="shared" si="73"/>
        <v>mardi</v>
      </c>
      <c r="I125" s="27">
        <f ca="1">SUMPRODUCT((groupe='Base de donnée'!C125)*(OFFSET(groupe,,1)='Base de donnée'!F125)*(OFFSET(groupe,,2)='Base de donnée'!H125)*(OFFSET(groupe,,3)))</f>
        <v>9</v>
      </c>
      <c r="J125" s="70">
        <f ca="1">SUMPRODUCT((groupe='Base de donnée'!C125)*(OFFSET(groupe,,1)='Base de donnée'!F125)*(OFFSET(groupe,,2)='Base de donnée'!H125)*(OFFSET(groupe,,6)))</f>
        <v>7</v>
      </c>
      <c r="K125" s="70">
        <f ca="1">SUMPRODUCT((groupe='Base de donnée'!C125)*(OFFSET(groupe,,1)='Base de donnée'!F125)*(OFFSET(groupe,,2)='Base de donnée'!H125)*(OFFSET(groupe,,7)))</f>
        <v>12.5</v>
      </c>
      <c r="L125" s="71">
        <f ca="1">SUMPRODUCT((groupe='Base de donnée'!C125)*(OFFSET(groupe,,1)='Base de donnée'!F125)*(OFFSET(groupe,,2)='Base de donnée'!H125)*(OFFSET(groupe,,8)))</f>
        <v>16.5</v>
      </c>
      <c r="M125" s="71">
        <f ca="1">SUMPRODUCT((groupe='Base de donnée'!C125)*(OFFSET(groupe,,1)='Base de donnée'!F125)*(OFFSET(groupe,,2)='Base de donnée'!H125)*(OFFSET(groupe,,9)))</f>
        <v>20</v>
      </c>
      <c r="N125" s="27">
        <f t="shared" ca="1" si="65"/>
        <v>9</v>
      </c>
      <c r="O125" s="27">
        <f t="shared" ca="1" si="66"/>
        <v>9</v>
      </c>
      <c r="P125" s="49">
        <f t="shared" ca="1" si="74"/>
        <v>0</v>
      </c>
      <c r="Q125" s="49">
        <f t="shared" ca="1" si="75"/>
        <v>0</v>
      </c>
      <c r="R125" s="27"/>
      <c r="S125" s="27" t="str">
        <f t="shared" si="60"/>
        <v/>
      </c>
      <c r="T125" s="27"/>
      <c r="U125" s="27" t="str">
        <f t="shared" si="61"/>
        <v/>
      </c>
      <c r="V125" s="27" t="str">
        <f t="shared" si="47"/>
        <v/>
      </c>
      <c r="W125" s="27"/>
      <c r="X125" s="28">
        <f ca="1">IF(OR(Z125=1,AA125=1,AB125=1,AC125=1,AD125=1),0,(SUMPRODUCT((groupe='Base de donnée'!C125)*(OFFSET(groupe,,1)='Base de donnée'!F125)*(OFFSET(groupe,,2)='Base de donnée'!H125)*(OFFSET(groupe,,5)))))</f>
        <v>0</v>
      </c>
      <c r="Y125" s="28"/>
      <c r="Z125" s="7"/>
      <c r="AA125" s="7"/>
      <c r="AB125" s="7"/>
      <c r="AC125" s="7"/>
      <c r="AD125" s="7"/>
      <c r="AE125" s="7"/>
    </row>
    <row r="126" spans="1:31" s="30" customFormat="1" x14ac:dyDescent="0.25">
      <c r="A126" s="6" t="s">
        <v>34</v>
      </c>
      <c r="B126" s="26" t="str">
        <f>VLOOKUP(GestionPersonnelRDJ[[#This Row],[Nom Prénom]],Personnels!Personnels,2,0)</f>
        <v>ME</v>
      </c>
      <c r="C126" s="21" t="str">
        <f>VLOOKUP(GestionPersonnelRDJ[[#This Row],[Nom Prénom]],Personnels!Personnels,3,0)</f>
        <v>FB3</v>
      </c>
      <c r="D126" s="21" t="str">
        <f>VLOOKUP(GestionPersonnelRDJ[[#This Row],[Nom Prénom]],Personnels!Personnels,4,0)</f>
        <v>FH</v>
      </c>
      <c r="E126" s="2">
        <f>INT(MOD(INT((GestionPersonnelRDJ[[#This Row],[Date]]-2)/7)+0.6,52+5/28))+1</f>
        <v>50</v>
      </c>
      <c r="F126" s="7">
        <v>5</v>
      </c>
      <c r="G126" s="8">
        <v>40891</v>
      </c>
      <c r="H126" s="5" t="str">
        <f t="shared" si="73"/>
        <v>mercredi</v>
      </c>
      <c r="I126" s="27">
        <f ca="1">SUMPRODUCT((groupe='Base de donnée'!C126)*(OFFSET(groupe,,1)='Base de donnée'!F126)*(OFFSET(groupe,,2)='Base de donnée'!H126)*(OFFSET(groupe,,3)))</f>
        <v>8.5</v>
      </c>
      <c r="J126" s="70">
        <f ca="1">SUMPRODUCT((groupe='Base de donnée'!C126)*(OFFSET(groupe,,1)='Base de donnée'!F126)*(OFFSET(groupe,,2)='Base de donnée'!H126)*(OFFSET(groupe,,6)))</f>
        <v>7</v>
      </c>
      <c r="K126" s="70">
        <f ca="1">SUMPRODUCT((groupe='Base de donnée'!C126)*(OFFSET(groupe,,1)='Base de donnée'!F126)*(OFFSET(groupe,,2)='Base de donnée'!H126)*(OFFSET(groupe,,7)))</f>
        <v>9.5</v>
      </c>
      <c r="L126" s="71">
        <f ca="1">SUMPRODUCT((groupe='Base de donnée'!C126)*(OFFSET(groupe,,1)='Base de donnée'!F126)*(OFFSET(groupe,,2)='Base de donnée'!H126)*(OFFSET(groupe,,8)))</f>
        <v>16.5</v>
      </c>
      <c r="M126" s="71">
        <f ca="1">SUMPRODUCT((groupe='Base de donnée'!C126)*(OFFSET(groupe,,1)='Base de donnée'!F126)*(OFFSET(groupe,,2)='Base de donnée'!H126)*(OFFSET(groupe,,9)))</f>
        <v>22.5</v>
      </c>
      <c r="N126" s="27">
        <f t="shared" ca="1" si="65"/>
        <v>8.5</v>
      </c>
      <c r="O126" s="27">
        <f t="shared" ca="1" si="66"/>
        <v>8.5</v>
      </c>
      <c r="P126" s="49">
        <f t="shared" ca="1" si="74"/>
        <v>0</v>
      </c>
      <c r="Q126" s="49">
        <f t="shared" ca="1" si="75"/>
        <v>0</v>
      </c>
      <c r="R126" s="27"/>
      <c r="S126" s="27" t="str">
        <f t="shared" si="60"/>
        <v/>
      </c>
      <c r="T126" s="27"/>
      <c r="U126" s="27" t="str">
        <f t="shared" si="61"/>
        <v/>
      </c>
      <c r="V126" s="27" t="str">
        <f t="shared" si="47"/>
        <v/>
      </c>
      <c r="W126" s="27"/>
      <c r="X126" s="28">
        <f ca="1">IF(OR(Z126=1,AA126=1,AB126=1,AC126=1,AD126=1),0,(SUMPRODUCT((groupe='Base de donnée'!C126)*(OFFSET(groupe,,1)='Base de donnée'!F126)*(OFFSET(groupe,,2)='Base de donnée'!H126)*(OFFSET(groupe,,5)))))</f>
        <v>0</v>
      </c>
      <c r="Y126" s="28"/>
      <c r="Z126" s="7"/>
      <c r="AA126" s="7"/>
      <c r="AB126" s="7"/>
      <c r="AC126" s="7"/>
      <c r="AD126" s="7"/>
      <c r="AE126" s="7"/>
    </row>
    <row r="127" spans="1:31" s="30" customFormat="1" x14ac:dyDescent="0.25">
      <c r="A127" s="6" t="s">
        <v>34</v>
      </c>
      <c r="B127" s="26" t="str">
        <f>VLOOKUP(GestionPersonnelRDJ[[#This Row],[Nom Prénom]],Personnels!Personnels,2,0)</f>
        <v>ME</v>
      </c>
      <c r="C127" s="21" t="str">
        <f>VLOOKUP(GestionPersonnelRDJ[[#This Row],[Nom Prénom]],Personnels!Personnels,3,0)</f>
        <v>FB3</v>
      </c>
      <c r="D127" s="21" t="str">
        <f>VLOOKUP(GestionPersonnelRDJ[[#This Row],[Nom Prénom]],Personnels!Personnels,4,0)</f>
        <v>FH</v>
      </c>
      <c r="E127" s="2">
        <f>INT(MOD(INT((GestionPersonnelRDJ[[#This Row],[Date]]-2)/7)+0.6,52+5/28))+1</f>
        <v>50</v>
      </c>
      <c r="F127" s="7">
        <v>5</v>
      </c>
      <c r="G127" s="8">
        <v>40892</v>
      </c>
      <c r="H127" s="5" t="str">
        <f t="shared" si="73"/>
        <v>jeudi</v>
      </c>
      <c r="I127" s="27">
        <f ca="1">SUMPRODUCT((groupe='Base de donnée'!C127)*(OFFSET(groupe,,1)='Base de donnée'!F127)*(OFFSET(groupe,,2)='Base de donnée'!H127)*(OFFSET(groupe,,3)))</f>
        <v>8.5</v>
      </c>
      <c r="J127" s="70">
        <f ca="1">SUMPRODUCT((groupe='Base de donnée'!C127)*(OFFSET(groupe,,1)='Base de donnée'!F127)*(OFFSET(groupe,,2)='Base de donnée'!H127)*(OFFSET(groupe,,6)))</f>
        <v>0</v>
      </c>
      <c r="K127" s="70">
        <f ca="1">SUMPRODUCT((groupe='Base de donnée'!C127)*(OFFSET(groupe,,1)='Base de donnée'!F127)*(OFFSET(groupe,,2)='Base de donnée'!H127)*(OFFSET(groupe,,7)))</f>
        <v>0</v>
      </c>
      <c r="L127" s="75">
        <f ca="1">SUMPRODUCT((groupe='Base de donnée'!C127)*(OFFSET(groupe,,1)='Base de donnée'!F127)*(OFFSET(groupe,,2)='Base de donnée'!H127)*(OFFSET(groupe,,8)))</f>
        <v>14</v>
      </c>
      <c r="M127" s="75">
        <f ca="1">SUMPRODUCT((groupe='Base de donnée'!C127)*(OFFSET(groupe,,1)='Base de donnée'!F127)*(OFFSET(groupe,,2)='Base de donnée'!H127)*(OFFSET(groupe,,9)))</f>
        <v>22.5</v>
      </c>
      <c r="N127" s="27">
        <f t="shared" ca="1" si="65"/>
        <v>0</v>
      </c>
      <c r="O127" s="27">
        <f t="shared" ca="1" si="66"/>
        <v>8.5</v>
      </c>
      <c r="P127" s="49">
        <f t="shared" ca="1" si="74"/>
        <v>0</v>
      </c>
      <c r="Q127" s="49">
        <f t="shared" ca="1" si="75"/>
        <v>0</v>
      </c>
      <c r="R127" s="27"/>
      <c r="S127" s="27" t="str">
        <f t="shared" si="60"/>
        <v/>
      </c>
      <c r="T127" s="27"/>
      <c r="U127" s="27" t="str">
        <f t="shared" si="61"/>
        <v/>
      </c>
      <c r="V127" s="27" t="str">
        <f t="shared" si="47"/>
        <v/>
      </c>
      <c r="W127" s="27">
        <v>8.5</v>
      </c>
      <c r="X127" s="28">
        <f ca="1">IF(OR(Z127=1,AA127=1,AB127=1,AC127=1,AD127=1),0,(SUMPRODUCT((groupe='Base de donnée'!C127)*(OFFSET(groupe,,1)='Base de donnée'!F127)*(OFFSET(groupe,,2)='Base de donnée'!H127)*(OFFSET(groupe,,5)))))</f>
        <v>0</v>
      </c>
      <c r="Y127" s="28"/>
      <c r="Z127" s="7"/>
      <c r="AA127" s="7"/>
      <c r="AB127" s="7"/>
      <c r="AC127" s="7"/>
      <c r="AD127" s="7"/>
      <c r="AE127" s="7"/>
    </row>
    <row r="128" spans="1:31" s="30" customFormat="1" x14ac:dyDescent="0.25">
      <c r="A128" s="6" t="s">
        <v>34</v>
      </c>
      <c r="B128" s="26" t="str">
        <f>VLOOKUP(GestionPersonnelRDJ[[#This Row],[Nom Prénom]],Personnels!Personnels,2,0)</f>
        <v>ME</v>
      </c>
      <c r="C128" s="21" t="str">
        <f>VLOOKUP(GestionPersonnelRDJ[[#This Row],[Nom Prénom]],Personnels!Personnels,3,0)</f>
        <v>FB3</v>
      </c>
      <c r="D128" s="21" t="str">
        <f>VLOOKUP(GestionPersonnelRDJ[[#This Row],[Nom Prénom]],Personnels!Personnels,4,0)</f>
        <v>FH</v>
      </c>
      <c r="E128" s="2">
        <f>INT(MOD(INT((GestionPersonnelRDJ[[#This Row],[Date]]-2)/7)+0.6,52+5/28))+1</f>
        <v>50</v>
      </c>
      <c r="F128" s="7">
        <v>5</v>
      </c>
      <c r="G128" s="8">
        <v>40893</v>
      </c>
      <c r="H128" s="5" t="str">
        <f t="shared" si="73"/>
        <v>vendredi</v>
      </c>
      <c r="I128" s="27">
        <f ca="1">SUMPRODUCT((groupe='Base de donnée'!C128)*(OFFSET(groupe,,1)='Base de donnée'!F128)*(OFFSET(groupe,,2)='Base de donnée'!H128)*(OFFSET(groupe,,3)))</f>
        <v>7.5</v>
      </c>
      <c r="J128" s="70">
        <f ca="1">SUMPRODUCT((groupe='Base de donnée'!C128)*(OFFSET(groupe,,1)='Base de donnée'!F128)*(OFFSET(groupe,,2)='Base de donnée'!H128)*(OFFSET(groupe,,6)))</f>
        <v>0</v>
      </c>
      <c r="K128" s="70">
        <f ca="1">SUMPRODUCT((groupe='Base de donnée'!C128)*(OFFSET(groupe,,1)='Base de donnée'!F128)*(OFFSET(groupe,,2)='Base de donnée'!H128)*(OFFSET(groupe,,7)))</f>
        <v>0</v>
      </c>
      <c r="L128" s="71">
        <f ca="1">SUMPRODUCT((groupe='Base de donnée'!C128)*(OFFSET(groupe,,1)='Base de donnée'!F128)*(OFFSET(groupe,,2)='Base de donnée'!H128)*(OFFSET(groupe,,8)))</f>
        <v>15.5</v>
      </c>
      <c r="M128" s="75">
        <f ca="1">SUMPRODUCT((groupe='Base de donnée'!C128)*(OFFSET(groupe,,1)='Base de donnée'!F128)*(OFFSET(groupe,,2)='Base de donnée'!H128)*(OFFSET(groupe,,9)))</f>
        <v>23</v>
      </c>
      <c r="N128" s="27">
        <f t="shared" ca="1" si="65"/>
        <v>5.5</v>
      </c>
      <c r="O128" s="27">
        <f t="shared" ca="1" si="66"/>
        <v>7.5</v>
      </c>
      <c r="P128" s="49">
        <f t="shared" ca="1" si="74"/>
        <v>0</v>
      </c>
      <c r="Q128" s="49">
        <f t="shared" ca="1" si="75"/>
        <v>0</v>
      </c>
      <c r="R128" s="27"/>
      <c r="S128" s="27" t="str">
        <f t="shared" si="60"/>
        <v/>
      </c>
      <c r="T128" s="27"/>
      <c r="U128" s="27" t="str">
        <f t="shared" si="61"/>
        <v/>
      </c>
      <c r="V128" s="27" t="str">
        <f t="shared" si="47"/>
        <v/>
      </c>
      <c r="W128" s="27">
        <v>2</v>
      </c>
      <c r="X128" s="28">
        <f ca="1">IF(OR(Z128=1,AA128=1,AB128=1,AC128=1,AD128=1),0,(SUMPRODUCT((groupe='Base de donnée'!C128)*(OFFSET(groupe,,1)='Base de donnée'!F128)*(OFFSET(groupe,,2)='Base de donnée'!H128)*(OFFSET(groupe,,5)))))</f>
        <v>0</v>
      </c>
      <c r="Y128" s="28"/>
      <c r="Z128" s="7"/>
      <c r="AA128" s="7"/>
      <c r="AB128" s="7"/>
      <c r="AC128" s="7"/>
      <c r="AD128" s="7"/>
      <c r="AE128" s="7"/>
    </row>
    <row r="129" spans="1:35" s="30" customFormat="1" x14ac:dyDescent="0.25">
      <c r="A129" s="6" t="s">
        <v>34</v>
      </c>
      <c r="B129" s="26" t="str">
        <f>VLOOKUP(GestionPersonnelRDJ[[#This Row],[Nom Prénom]],Personnels!Personnels,2,0)</f>
        <v>ME</v>
      </c>
      <c r="C129" s="21" t="str">
        <f>VLOOKUP(GestionPersonnelRDJ[[#This Row],[Nom Prénom]],Personnels!Personnels,3,0)</f>
        <v>FB3</v>
      </c>
      <c r="D129" s="21" t="str">
        <f>VLOOKUP(GestionPersonnelRDJ[[#This Row],[Nom Prénom]],Personnels!Personnels,4,0)</f>
        <v>FH</v>
      </c>
      <c r="E129" s="2">
        <f>INT(MOD(INT((GestionPersonnelRDJ[[#This Row],[Date]]-2)/7)+0.6,52+5/28))+1</f>
        <v>50</v>
      </c>
      <c r="F129" s="7">
        <v>5</v>
      </c>
      <c r="G129" s="8">
        <v>40894</v>
      </c>
      <c r="H129" s="5" t="str">
        <f t="shared" si="73"/>
        <v>samedi</v>
      </c>
      <c r="I129" s="27">
        <f ca="1">SUMPRODUCT((groupe='Base de donnée'!C129)*(OFFSET(groupe,,1)='Base de donnée'!F129)*(OFFSET(groupe,,2)='Base de donnée'!H129)*(OFFSET(groupe,,3)))</f>
        <v>0</v>
      </c>
      <c r="J129" s="70">
        <f ca="1">SUMPRODUCT((groupe='Base de donnée'!C129)*(OFFSET(groupe,,1)='Base de donnée'!F129)*(OFFSET(groupe,,2)='Base de donnée'!H129)*(OFFSET(groupe,,6)))</f>
        <v>0</v>
      </c>
      <c r="K129" s="70">
        <f ca="1">SUMPRODUCT((groupe='Base de donnée'!C129)*(OFFSET(groupe,,1)='Base de donnée'!F129)*(OFFSET(groupe,,2)='Base de donnée'!H129)*(OFFSET(groupe,,7)))</f>
        <v>0</v>
      </c>
      <c r="L129" s="71">
        <f ca="1">SUMPRODUCT((groupe='Base de donnée'!C129)*(OFFSET(groupe,,1)='Base de donnée'!F129)*(OFFSET(groupe,,2)='Base de donnée'!H129)*(OFFSET(groupe,,8)))</f>
        <v>0</v>
      </c>
      <c r="M129" s="71">
        <f ca="1">SUMPRODUCT((groupe='Base de donnée'!C129)*(OFFSET(groupe,,1)='Base de donnée'!F129)*(OFFSET(groupe,,2)='Base de donnée'!H129)*(OFFSET(groupe,,9)))</f>
        <v>0</v>
      </c>
      <c r="N129" s="27">
        <f t="shared" ca="1" si="65"/>
        <v>0</v>
      </c>
      <c r="O129" s="27">
        <f t="shared" ca="1" si="66"/>
        <v>0</v>
      </c>
      <c r="P129" s="49">
        <f t="shared" ca="1" si="74"/>
        <v>0</v>
      </c>
      <c r="Q129" s="49">
        <f t="shared" ca="1" si="75"/>
        <v>0</v>
      </c>
      <c r="R129" s="27"/>
      <c r="S129" s="27" t="str">
        <f t="shared" si="60"/>
        <v/>
      </c>
      <c r="T129" s="27"/>
      <c r="U129" s="27" t="str">
        <f t="shared" si="61"/>
        <v/>
      </c>
      <c r="V129" s="27" t="str">
        <f t="shared" si="47"/>
        <v/>
      </c>
      <c r="W129" s="27"/>
      <c r="X129" s="28">
        <f ca="1">IF(OR(Z129=1,AA129=1,AB129=1,AC129=1,AD129=1),0,(SUMPRODUCT((groupe='Base de donnée'!C129)*(OFFSET(groupe,,1)='Base de donnée'!F129)*(OFFSET(groupe,,2)='Base de donnée'!H129)*(OFFSET(groupe,,5)))))</f>
        <v>0</v>
      </c>
      <c r="Y129" s="28"/>
      <c r="Z129" s="7"/>
      <c r="AA129" s="7"/>
      <c r="AB129" s="7"/>
      <c r="AC129" s="7"/>
      <c r="AD129" s="7"/>
      <c r="AE129" s="7"/>
    </row>
    <row r="130" spans="1:35" s="30" customFormat="1" x14ac:dyDescent="0.25">
      <c r="A130" s="6" t="s">
        <v>34</v>
      </c>
      <c r="B130" s="26" t="str">
        <f>VLOOKUP(GestionPersonnelRDJ[[#This Row],[Nom Prénom]],Personnels!Personnels,2,0)</f>
        <v>ME</v>
      </c>
      <c r="C130" s="21" t="str">
        <f>VLOOKUP(GestionPersonnelRDJ[[#This Row],[Nom Prénom]],Personnels!Personnels,3,0)</f>
        <v>FB3</v>
      </c>
      <c r="D130" s="21" t="str">
        <f>VLOOKUP(GestionPersonnelRDJ[[#This Row],[Nom Prénom]],Personnels!Personnels,4,0)</f>
        <v>FH</v>
      </c>
      <c r="E130" s="2">
        <f>INT(MOD(INT((GestionPersonnelRDJ[[#This Row],[Date]]-2)/7)+0.6,52+5/28))+1</f>
        <v>50</v>
      </c>
      <c r="F130" s="7">
        <v>5</v>
      </c>
      <c r="G130" s="8">
        <v>40895</v>
      </c>
      <c r="H130" s="5" t="str">
        <f t="shared" si="73"/>
        <v>dimanche</v>
      </c>
      <c r="I130" s="27">
        <f ca="1">SUMPRODUCT((groupe='Base de donnée'!C130)*(OFFSET(groupe,,1)='Base de donnée'!F130)*(OFFSET(groupe,,2)='Base de donnée'!H130)*(OFFSET(groupe,,3)))</f>
        <v>0</v>
      </c>
      <c r="J130" s="70">
        <f ca="1">SUMPRODUCT((groupe='Base de donnée'!C130)*(OFFSET(groupe,,1)='Base de donnée'!F130)*(OFFSET(groupe,,2)='Base de donnée'!H130)*(OFFSET(groupe,,6)))</f>
        <v>0</v>
      </c>
      <c r="K130" s="70">
        <f ca="1">SUMPRODUCT((groupe='Base de donnée'!C130)*(OFFSET(groupe,,1)='Base de donnée'!F130)*(OFFSET(groupe,,2)='Base de donnée'!H130)*(OFFSET(groupe,,7)))</f>
        <v>0</v>
      </c>
      <c r="L130" s="71">
        <f ca="1">SUMPRODUCT((groupe='Base de donnée'!C130)*(OFFSET(groupe,,1)='Base de donnée'!F130)*(OFFSET(groupe,,2)='Base de donnée'!H130)*(OFFSET(groupe,,8)))</f>
        <v>0</v>
      </c>
      <c r="M130" s="71">
        <f ca="1">SUMPRODUCT((groupe='Base de donnée'!C130)*(OFFSET(groupe,,1)='Base de donnée'!F130)*(OFFSET(groupe,,2)='Base de donnée'!H130)*(OFFSET(groupe,,9)))</f>
        <v>0</v>
      </c>
      <c r="N130" s="27">
        <f t="shared" ca="1" si="65"/>
        <v>0</v>
      </c>
      <c r="O130" s="27">
        <f t="shared" ca="1" si="66"/>
        <v>0</v>
      </c>
      <c r="P130" s="49">
        <f t="shared" ca="1" si="74"/>
        <v>0</v>
      </c>
      <c r="Q130" s="49">
        <f t="shared" ca="1" si="75"/>
        <v>0</v>
      </c>
      <c r="R130" s="27"/>
      <c r="S130" s="27">
        <f t="shared" ca="1" si="60"/>
        <v>0</v>
      </c>
      <c r="T130" s="27"/>
      <c r="U130" s="27" t="str">
        <f t="shared" si="61"/>
        <v/>
      </c>
      <c r="V130" s="27">
        <f t="shared" ca="1" si="47"/>
        <v>0</v>
      </c>
      <c r="W130" s="27"/>
      <c r="X130" s="28">
        <f ca="1">IF(OR(Z130=1,AA130=1,AB130=1,AC130=1,AD130=1),0,(SUMPRODUCT((groupe='Base de donnée'!C130)*(OFFSET(groupe,,1)='Base de donnée'!F130)*(OFFSET(groupe,,2)='Base de donnée'!H130)*(OFFSET(groupe,,5)))))</f>
        <v>0</v>
      </c>
      <c r="Y130" s="28"/>
      <c r="Z130" s="7"/>
      <c r="AA130" s="7"/>
      <c r="AB130" s="7"/>
      <c r="AC130" s="7"/>
      <c r="AD130" s="7"/>
      <c r="AE130" s="7"/>
    </row>
    <row r="131" spans="1:35" s="30" customFormat="1" x14ac:dyDescent="0.25">
      <c r="A131" s="6" t="s">
        <v>161</v>
      </c>
      <c r="B131" s="26" t="str">
        <f>VLOOKUP(GestionPersonnelRDJ[[#This Row],[Nom Prénom]],Personnels!Personnels,2,0)</f>
        <v>ES</v>
      </c>
      <c r="C131" s="21" t="str">
        <f>VLOOKUP(GestionPersonnelRDJ[[#This Row],[Nom Prénom]],Personnels!Personnels,3,0)</f>
        <v>FB3</v>
      </c>
      <c r="D131" s="21" t="str">
        <f>VLOOKUP(GestionPersonnelRDJ[[#This Row],[Nom Prénom]],Personnels!Personnels,4,0)</f>
        <v>FH</v>
      </c>
      <c r="E131" s="2">
        <f>INT(MOD(INT((GestionPersonnelRDJ[[#This Row],[Date]]-2)/7)+0.6,52+5/28))+1</f>
        <v>50</v>
      </c>
      <c r="F131" s="7">
        <v>3</v>
      </c>
      <c r="G131" s="8">
        <v>40889</v>
      </c>
      <c r="H131" s="5" t="str">
        <f t="shared" ref="H131:H137" si="76">TEXT(WEEKDAY(G131),"jjjj")</f>
        <v>lundi</v>
      </c>
      <c r="I131" s="27">
        <f ca="1">SUMPRODUCT((groupe='Base de donnée'!C131)*(OFFSET(groupe,,1)='Base de donnée'!F131)*(OFFSET(groupe,,2)='Base de donnée'!H131)*(OFFSET(groupe,,3)))</f>
        <v>8.5</v>
      </c>
      <c r="J131" s="70">
        <f ca="1">SUMPRODUCT((groupe='Base de donnée'!C131)*(OFFSET(groupe,,1)='Base de donnée'!F131)*(OFFSET(groupe,,2)='Base de donnée'!H131)*(OFFSET(groupe,,6)))</f>
        <v>0</v>
      </c>
      <c r="K131" s="70">
        <f ca="1">SUMPRODUCT((groupe='Base de donnée'!C131)*(OFFSET(groupe,,1)='Base de donnée'!F131)*(OFFSET(groupe,,2)='Base de donnée'!H131)*(OFFSET(groupe,,7)))</f>
        <v>0</v>
      </c>
      <c r="L131" s="71">
        <f ca="1">SUMPRODUCT((groupe='Base de donnée'!C131)*(OFFSET(groupe,,1)='Base de donnée'!F131)*(OFFSET(groupe,,2)='Base de donnée'!H131)*(OFFSET(groupe,,8)))</f>
        <v>14</v>
      </c>
      <c r="M131" s="71">
        <f ca="1">SUMPRODUCT((groupe='Base de donnée'!C131)*(OFFSET(groupe,,1)='Base de donnée'!F131)*(OFFSET(groupe,,2)='Base de donnée'!H131)*(OFFSET(groupe,,9)))</f>
        <v>22.5</v>
      </c>
      <c r="N131" s="27">
        <f t="shared" ca="1" si="65"/>
        <v>8.5</v>
      </c>
      <c r="O131" s="27">
        <f t="shared" ca="1" si="66"/>
        <v>8.5</v>
      </c>
      <c r="P131" s="49">
        <f t="shared" ref="P131:P137" ca="1" si="77">IF(I131-O131-(W131+X131)&lt;=0,0,I131-O131-(W131+X131))</f>
        <v>0</v>
      </c>
      <c r="Q131" s="49">
        <f t="shared" ref="Q131:Q137" ca="1" si="78">IF(O131-I131-(W131+X131)&lt;=0,0,O131-I131-(W131+X131))</f>
        <v>0</v>
      </c>
      <c r="R131" s="27"/>
      <c r="S131" s="27" t="str">
        <f t="shared" si="60"/>
        <v/>
      </c>
      <c r="T131" s="27"/>
      <c r="U131" s="27" t="str">
        <f t="shared" si="61"/>
        <v/>
      </c>
      <c r="V131" s="27" t="str">
        <f t="shared" si="47"/>
        <v/>
      </c>
      <c r="W131" s="27"/>
      <c r="X131" s="28">
        <f ca="1">IF(OR(Z131=1,AA131=1,AB131=1,AC131=1,AD131=1),0,(SUMPRODUCT((groupe='Base de donnée'!C131)*(OFFSET(groupe,,1)='Base de donnée'!F131)*(OFFSET(groupe,,2)='Base de donnée'!H131)*(OFFSET(groupe,,5)))))</f>
        <v>0</v>
      </c>
      <c r="Y131" s="28"/>
      <c r="Z131" s="7"/>
      <c r="AA131" s="7"/>
      <c r="AB131" s="7"/>
      <c r="AC131" s="7"/>
      <c r="AD131" s="7"/>
      <c r="AE131" s="7"/>
    </row>
    <row r="132" spans="1:35" s="30" customFormat="1" x14ac:dyDescent="0.25">
      <c r="A132" s="6" t="s">
        <v>161</v>
      </c>
      <c r="B132" s="26" t="str">
        <f>VLOOKUP(GestionPersonnelRDJ[[#This Row],[Nom Prénom]],Personnels!Personnels,2,0)</f>
        <v>ES</v>
      </c>
      <c r="C132" s="21" t="str">
        <f>VLOOKUP(GestionPersonnelRDJ[[#This Row],[Nom Prénom]],Personnels!Personnels,3,0)</f>
        <v>FB3</v>
      </c>
      <c r="D132" s="21" t="str">
        <f>VLOOKUP(GestionPersonnelRDJ[[#This Row],[Nom Prénom]],Personnels!Personnels,4,0)</f>
        <v>FH</v>
      </c>
      <c r="E132" s="2">
        <f>INT(MOD(INT((GestionPersonnelRDJ[[#This Row],[Date]]-2)/7)+0.6,52+5/28))+1</f>
        <v>50</v>
      </c>
      <c r="F132" s="7">
        <v>3</v>
      </c>
      <c r="G132" s="8">
        <v>40890</v>
      </c>
      <c r="H132" s="5" t="str">
        <f t="shared" si="76"/>
        <v>mardi</v>
      </c>
      <c r="I132" s="27">
        <f ca="1">SUMPRODUCT((groupe='Base de donnée'!C132)*(OFFSET(groupe,,1)='Base de donnée'!F132)*(OFFSET(groupe,,2)='Base de donnée'!H132)*(OFFSET(groupe,,3)))</f>
        <v>9</v>
      </c>
      <c r="J132" s="70">
        <f ca="1">SUMPRODUCT((groupe='Base de donnée'!C132)*(OFFSET(groupe,,1)='Base de donnée'!F132)*(OFFSET(groupe,,2)='Base de donnée'!H132)*(OFFSET(groupe,,6)))</f>
        <v>9.5</v>
      </c>
      <c r="K132" s="70">
        <f ca="1">SUMPRODUCT((groupe='Base de donnée'!C132)*(OFFSET(groupe,,1)='Base de donnée'!F132)*(OFFSET(groupe,,2)='Base de donnée'!H132)*(OFFSET(groupe,,7)))</f>
        <v>12.5</v>
      </c>
      <c r="L132" s="75">
        <f ca="1">SUMPRODUCT((groupe='Base de donnée'!C132)*(OFFSET(groupe,,1)='Base de donnée'!F132)*(OFFSET(groupe,,2)='Base de donnée'!H132)*(OFFSET(groupe,,8)))</f>
        <v>16.5</v>
      </c>
      <c r="M132" s="75">
        <f ca="1">SUMPRODUCT((groupe='Base de donnée'!C132)*(OFFSET(groupe,,1)='Base de donnée'!F132)*(OFFSET(groupe,,2)='Base de donnée'!H132)*(OFFSET(groupe,,9)))</f>
        <v>22.5</v>
      </c>
      <c r="N132" s="27">
        <f t="shared" ca="1" si="65"/>
        <v>3</v>
      </c>
      <c r="O132" s="27">
        <f t="shared" ca="1" si="66"/>
        <v>9</v>
      </c>
      <c r="P132" s="49">
        <f t="shared" ca="1" si="77"/>
        <v>0</v>
      </c>
      <c r="Q132" s="49">
        <f t="shared" ca="1" si="78"/>
        <v>0</v>
      </c>
      <c r="R132" s="27"/>
      <c r="S132" s="27" t="str">
        <f t="shared" ref="S132:S151" si="79">IF((Z132=1),"",IF(OR(WEEKDAY(G132)=1,COUNTIF(Fériés2010,G132)&gt;0),N132,""))</f>
        <v/>
      </c>
      <c r="T132" s="27"/>
      <c r="U132" s="27" t="str">
        <f t="shared" ref="U132:U151" si="80">IF(COUNTIF(Fériés2010,G132),N132,"")</f>
        <v/>
      </c>
      <c r="V132" s="27" t="str">
        <f t="shared" ref="V132:V151" si="81">IF(WEEKDAY(G132)=1,N132,"")</f>
        <v/>
      </c>
      <c r="W132" s="27">
        <v>6</v>
      </c>
      <c r="X132" s="28">
        <f ca="1">IF(OR(Z132=1,AA132=1,AB132=1,AC132=1,AD132=1),0,(SUMPRODUCT((groupe='Base de donnée'!C132)*(OFFSET(groupe,,1)='Base de donnée'!F132)*(OFFSET(groupe,,2)='Base de donnée'!H132)*(OFFSET(groupe,,5)))))</f>
        <v>0</v>
      </c>
      <c r="Y132" s="28"/>
      <c r="Z132" s="7"/>
      <c r="AA132" s="7"/>
      <c r="AB132" s="7"/>
      <c r="AC132" s="7"/>
      <c r="AD132" s="7"/>
      <c r="AE132" s="7"/>
    </row>
    <row r="133" spans="1:35" s="30" customFormat="1" x14ac:dyDescent="0.25">
      <c r="A133" s="6" t="s">
        <v>161</v>
      </c>
      <c r="B133" s="26" t="str">
        <f>VLOOKUP(GestionPersonnelRDJ[[#This Row],[Nom Prénom]],Personnels!Personnels,2,0)</f>
        <v>ES</v>
      </c>
      <c r="C133" s="21" t="str">
        <f>VLOOKUP(GestionPersonnelRDJ[[#This Row],[Nom Prénom]],Personnels!Personnels,3,0)</f>
        <v>FB3</v>
      </c>
      <c r="D133" s="21" t="str">
        <f>VLOOKUP(GestionPersonnelRDJ[[#This Row],[Nom Prénom]],Personnels!Personnels,4,0)</f>
        <v>FH</v>
      </c>
      <c r="E133" s="2">
        <f>INT(MOD(INT((GestionPersonnelRDJ[[#This Row],[Date]]-2)/7)+0.6,52+5/28))+1</f>
        <v>50</v>
      </c>
      <c r="F133" s="7">
        <v>3</v>
      </c>
      <c r="G133" s="8">
        <v>40891</v>
      </c>
      <c r="H133" s="5" t="str">
        <f t="shared" si="76"/>
        <v>mercredi</v>
      </c>
      <c r="I133" s="27">
        <f ca="1">SUMPRODUCT((groupe='Base de donnée'!C133)*(OFFSET(groupe,,1)='Base de donnée'!F133)*(OFFSET(groupe,,2)='Base de donnée'!H133)*(OFFSET(groupe,,3)))</f>
        <v>6</v>
      </c>
      <c r="J133" s="70">
        <f ca="1">SUMPRODUCT((groupe='Base de donnée'!C133)*(OFFSET(groupe,,1)='Base de donnée'!F133)*(OFFSET(groupe,,2)='Base de donnée'!H133)*(OFFSET(groupe,,6)))</f>
        <v>0</v>
      </c>
      <c r="K133" s="70">
        <f ca="1">SUMPRODUCT((groupe='Base de donnée'!C133)*(OFFSET(groupe,,1)='Base de donnée'!F133)*(OFFSET(groupe,,2)='Base de donnée'!H133)*(OFFSET(groupe,,7)))</f>
        <v>0</v>
      </c>
      <c r="L133" s="71">
        <f ca="1">SUMPRODUCT((groupe='Base de donnée'!C133)*(OFFSET(groupe,,1)='Base de donnée'!F133)*(OFFSET(groupe,,2)='Base de donnée'!H133)*(OFFSET(groupe,,8)))</f>
        <v>14</v>
      </c>
      <c r="M133" s="71">
        <f ca="1">SUMPRODUCT((groupe='Base de donnée'!C133)*(OFFSET(groupe,,1)='Base de donnée'!F133)*(OFFSET(groupe,,2)='Base de donnée'!H133)*(OFFSET(groupe,,9)))</f>
        <v>20</v>
      </c>
      <c r="N133" s="27">
        <f t="shared" ca="1" si="65"/>
        <v>6</v>
      </c>
      <c r="O133" s="27">
        <f t="shared" ca="1" si="66"/>
        <v>6</v>
      </c>
      <c r="P133" s="49">
        <f t="shared" ca="1" si="77"/>
        <v>0</v>
      </c>
      <c r="Q133" s="49">
        <f t="shared" ca="1" si="78"/>
        <v>0</v>
      </c>
      <c r="R133" s="27"/>
      <c r="S133" s="27" t="str">
        <f t="shared" si="79"/>
        <v/>
      </c>
      <c r="T133" s="27"/>
      <c r="U133" s="27" t="str">
        <f t="shared" si="80"/>
        <v/>
      </c>
      <c r="V133" s="27" t="str">
        <f t="shared" si="81"/>
        <v/>
      </c>
      <c r="W133" s="27"/>
      <c r="X133" s="28">
        <f ca="1">IF(OR(Z133=1,AA133=1,AB133=1,AC133=1,AD133=1),0,(SUMPRODUCT((groupe='Base de donnée'!C133)*(OFFSET(groupe,,1)='Base de donnée'!F133)*(OFFSET(groupe,,2)='Base de donnée'!H133)*(OFFSET(groupe,,5)))))</f>
        <v>0</v>
      </c>
      <c r="Y133" s="28"/>
      <c r="Z133" s="7"/>
      <c r="AA133" s="7"/>
      <c r="AB133" s="7"/>
      <c r="AC133" s="7"/>
      <c r="AD133" s="7"/>
      <c r="AE133" s="7"/>
    </row>
    <row r="134" spans="1:35" s="30" customFormat="1" x14ac:dyDescent="0.25">
      <c r="A134" s="6" t="s">
        <v>161</v>
      </c>
      <c r="B134" s="26" t="str">
        <f>VLOOKUP(GestionPersonnelRDJ[[#This Row],[Nom Prénom]],Personnels!Personnels,2,0)</f>
        <v>ES</v>
      </c>
      <c r="C134" s="21" t="str">
        <f>VLOOKUP(GestionPersonnelRDJ[[#This Row],[Nom Prénom]],Personnels!Personnels,3,0)</f>
        <v>FB3</v>
      </c>
      <c r="D134" s="21" t="str">
        <f>VLOOKUP(GestionPersonnelRDJ[[#This Row],[Nom Prénom]],Personnels!Personnels,4,0)</f>
        <v>FH</v>
      </c>
      <c r="E134" s="2">
        <f>INT(MOD(INT((GestionPersonnelRDJ[[#This Row],[Date]]-2)/7)+0.6,52+5/28))+1</f>
        <v>50</v>
      </c>
      <c r="F134" s="7">
        <v>3</v>
      </c>
      <c r="G134" s="8">
        <v>40892</v>
      </c>
      <c r="H134" s="5" t="str">
        <f t="shared" si="76"/>
        <v>jeudi</v>
      </c>
      <c r="I134" s="27">
        <f ca="1">SUMPRODUCT((groupe='Base de donnée'!C134)*(OFFSET(groupe,,1)='Base de donnée'!F134)*(OFFSET(groupe,,2)='Base de donnée'!H134)*(OFFSET(groupe,,3)))</f>
        <v>10.5</v>
      </c>
      <c r="J134" s="70">
        <f ca="1">SUMPRODUCT((groupe='Base de donnée'!C134)*(OFFSET(groupe,,1)='Base de donnée'!F134)*(OFFSET(groupe,,2)='Base de donnée'!H134)*(OFFSET(groupe,,6)))</f>
        <v>7</v>
      </c>
      <c r="K134" s="70">
        <f ca="1">SUMPRODUCT((groupe='Base de donnée'!C134)*(OFFSET(groupe,,1)='Base de donnée'!F134)*(OFFSET(groupe,,2)='Base de donnée'!H134)*(OFFSET(groupe,,7)))</f>
        <v>9.5</v>
      </c>
      <c r="L134" s="71">
        <f ca="1">SUMPRODUCT((groupe='Base de donnée'!C134)*(OFFSET(groupe,,1)='Base de donnée'!F134)*(OFFSET(groupe,,2)='Base de donnée'!H134)*(OFFSET(groupe,,8)))</f>
        <v>14</v>
      </c>
      <c r="M134" s="71">
        <f ca="1">SUMPRODUCT((groupe='Base de donnée'!C134)*(OFFSET(groupe,,1)='Base de donnée'!F134)*(OFFSET(groupe,,2)='Base de donnée'!H134)*(OFFSET(groupe,,9)))</f>
        <v>22</v>
      </c>
      <c r="N134" s="27">
        <f t="shared" ca="1" si="65"/>
        <v>10.5</v>
      </c>
      <c r="O134" s="27">
        <f t="shared" ca="1" si="66"/>
        <v>10.5</v>
      </c>
      <c r="P134" s="49">
        <f t="shared" ca="1" si="77"/>
        <v>0</v>
      </c>
      <c r="Q134" s="49">
        <f t="shared" ca="1" si="78"/>
        <v>0</v>
      </c>
      <c r="R134" s="27"/>
      <c r="S134" s="27" t="str">
        <f t="shared" si="79"/>
        <v/>
      </c>
      <c r="T134" s="27"/>
      <c r="U134" s="27" t="str">
        <f t="shared" si="80"/>
        <v/>
      </c>
      <c r="V134" s="27" t="str">
        <f t="shared" si="81"/>
        <v/>
      </c>
      <c r="W134" s="27"/>
      <c r="X134" s="28">
        <f ca="1">IF(OR(Z134=1,AA134=1,AB134=1,AC134=1,AD134=1),0,(SUMPRODUCT((groupe='Base de donnée'!C134)*(OFFSET(groupe,,1)='Base de donnée'!F134)*(OFFSET(groupe,,2)='Base de donnée'!H134)*(OFFSET(groupe,,5)))))</f>
        <v>0</v>
      </c>
      <c r="Y134" s="28"/>
      <c r="Z134" s="7"/>
      <c r="AA134" s="7"/>
      <c r="AB134" s="7"/>
      <c r="AC134" s="7"/>
      <c r="AD134" s="7"/>
      <c r="AE134" s="7"/>
    </row>
    <row r="135" spans="1:35" s="30" customFormat="1" x14ac:dyDescent="0.25">
      <c r="A135" s="6" t="s">
        <v>161</v>
      </c>
      <c r="B135" s="26" t="str">
        <f>VLOOKUP(GestionPersonnelRDJ[[#This Row],[Nom Prénom]],Personnels!Personnels,2,0)</f>
        <v>ES</v>
      </c>
      <c r="C135" s="21" t="str">
        <f>VLOOKUP(GestionPersonnelRDJ[[#This Row],[Nom Prénom]],Personnels!Personnels,3,0)</f>
        <v>FB3</v>
      </c>
      <c r="D135" s="21" t="str">
        <f>VLOOKUP(GestionPersonnelRDJ[[#This Row],[Nom Prénom]],Personnels!Personnels,4,0)</f>
        <v>FH</v>
      </c>
      <c r="E135" s="2">
        <f>INT(MOD(INT((GestionPersonnelRDJ[[#This Row],[Date]]-2)/7)+0.6,52+5/28))+1</f>
        <v>50</v>
      </c>
      <c r="F135" s="7">
        <v>3</v>
      </c>
      <c r="G135" s="8">
        <v>40893</v>
      </c>
      <c r="H135" s="5" t="str">
        <f t="shared" si="76"/>
        <v>vendredi</v>
      </c>
      <c r="I135" s="27">
        <f ca="1">SUMPRODUCT((groupe='Base de donnée'!C135)*(OFFSET(groupe,,1)='Base de donnée'!F135)*(OFFSET(groupe,,2)='Base de donnée'!H135)*(OFFSET(groupe,,3)))</f>
        <v>0</v>
      </c>
      <c r="J135" s="70">
        <f ca="1">SUMPRODUCT((groupe='Base de donnée'!C135)*(OFFSET(groupe,,1)='Base de donnée'!F135)*(OFFSET(groupe,,2)='Base de donnée'!H135)*(OFFSET(groupe,,6)))</f>
        <v>0</v>
      </c>
      <c r="K135" s="70">
        <f ca="1">SUMPRODUCT((groupe='Base de donnée'!C135)*(OFFSET(groupe,,1)='Base de donnée'!F135)*(OFFSET(groupe,,2)='Base de donnée'!H135)*(OFFSET(groupe,,7)))</f>
        <v>0</v>
      </c>
      <c r="L135" s="71">
        <f ca="1">SUMPRODUCT((groupe='Base de donnée'!C135)*(OFFSET(groupe,,1)='Base de donnée'!F135)*(OFFSET(groupe,,2)='Base de donnée'!H135)*(OFFSET(groupe,,8)))</f>
        <v>0</v>
      </c>
      <c r="M135" s="71">
        <f ca="1">SUMPRODUCT((groupe='Base de donnée'!C135)*(OFFSET(groupe,,1)='Base de donnée'!F135)*(OFFSET(groupe,,2)='Base de donnée'!H135)*(OFFSET(groupe,,9)))</f>
        <v>0</v>
      </c>
      <c r="N135" s="27">
        <f t="shared" ca="1" si="65"/>
        <v>0</v>
      </c>
      <c r="O135" s="27">
        <f t="shared" ca="1" si="66"/>
        <v>0</v>
      </c>
      <c r="P135" s="49">
        <f t="shared" ca="1" si="77"/>
        <v>0</v>
      </c>
      <c r="Q135" s="49">
        <f t="shared" ca="1" si="78"/>
        <v>0</v>
      </c>
      <c r="R135" s="27"/>
      <c r="S135" s="27" t="str">
        <f t="shared" si="79"/>
        <v/>
      </c>
      <c r="T135" s="27"/>
      <c r="U135" s="27" t="str">
        <f t="shared" si="80"/>
        <v/>
      </c>
      <c r="V135" s="27" t="str">
        <f t="shared" si="81"/>
        <v/>
      </c>
      <c r="W135" s="27"/>
      <c r="X135" s="28">
        <f ca="1">IF(OR(Z135=1,AA135=1,AB135=1,AC135=1,AD135=1),0,(SUMPRODUCT((groupe='Base de donnée'!C135)*(OFFSET(groupe,,1)='Base de donnée'!F135)*(OFFSET(groupe,,2)='Base de donnée'!H135)*(OFFSET(groupe,,5)))))</f>
        <v>0</v>
      </c>
      <c r="Y135" s="28"/>
      <c r="Z135" s="7"/>
      <c r="AA135" s="7"/>
      <c r="AB135" s="7"/>
      <c r="AC135" s="7"/>
      <c r="AD135" s="7"/>
      <c r="AE135" s="7"/>
    </row>
    <row r="136" spans="1:35" s="30" customFormat="1" x14ac:dyDescent="0.25">
      <c r="A136" s="6" t="s">
        <v>161</v>
      </c>
      <c r="B136" s="26" t="str">
        <f>VLOOKUP(GestionPersonnelRDJ[[#This Row],[Nom Prénom]],Personnels!Personnels,2,0)</f>
        <v>ES</v>
      </c>
      <c r="C136" s="21" t="str">
        <f>VLOOKUP(GestionPersonnelRDJ[[#This Row],[Nom Prénom]],Personnels!Personnels,3,0)</f>
        <v>FB3</v>
      </c>
      <c r="D136" s="21" t="str">
        <f>VLOOKUP(GestionPersonnelRDJ[[#This Row],[Nom Prénom]],Personnels!Personnels,4,0)</f>
        <v>FH</v>
      </c>
      <c r="E136" s="2">
        <f>INT(MOD(INT((GestionPersonnelRDJ[[#This Row],[Date]]-2)/7)+0.6,52+5/28))+1</f>
        <v>50</v>
      </c>
      <c r="F136" s="7">
        <v>3</v>
      </c>
      <c r="G136" s="8">
        <v>40894</v>
      </c>
      <c r="H136" s="5" t="str">
        <f t="shared" si="76"/>
        <v>samedi</v>
      </c>
      <c r="I136" s="27">
        <f ca="1">SUMPRODUCT((groupe='Base de donnée'!C136)*(OFFSET(groupe,,1)='Base de donnée'!F136)*(OFFSET(groupe,,2)='Base de donnée'!H136)*(OFFSET(groupe,,3)))</f>
        <v>0</v>
      </c>
      <c r="J136" s="70">
        <f ca="1">SUMPRODUCT((groupe='Base de donnée'!C136)*(OFFSET(groupe,,1)='Base de donnée'!F136)*(OFFSET(groupe,,2)='Base de donnée'!H136)*(OFFSET(groupe,,6)))</f>
        <v>0</v>
      </c>
      <c r="K136" s="70">
        <f ca="1">SUMPRODUCT((groupe='Base de donnée'!C136)*(OFFSET(groupe,,1)='Base de donnée'!F136)*(OFFSET(groupe,,2)='Base de donnée'!H136)*(OFFSET(groupe,,7)))</f>
        <v>0</v>
      </c>
      <c r="L136" s="71">
        <f ca="1">SUMPRODUCT((groupe='Base de donnée'!C136)*(OFFSET(groupe,,1)='Base de donnée'!F136)*(OFFSET(groupe,,2)='Base de donnée'!H136)*(OFFSET(groupe,,8)))</f>
        <v>0</v>
      </c>
      <c r="M136" s="71">
        <f ca="1">SUMPRODUCT((groupe='Base de donnée'!C136)*(OFFSET(groupe,,1)='Base de donnée'!F136)*(OFFSET(groupe,,2)='Base de donnée'!H136)*(OFFSET(groupe,,9)))</f>
        <v>0</v>
      </c>
      <c r="N136" s="27">
        <f t="shared" ca="1" si="65"/>
        <v>0</v>
      </c>
      <c r="O136" s="27">
        <f t="shared" ca="1" si="66"/>
        <v>0</v>
      </c>
      <c r="P136" s="49">
        <f t="shared" ca="1" si="77"/>
        <v>0</v>
      </c>
      <c r="Q136" s="49">
        <f t="shared" ca="1" si="78"/>
        <v>0</v>
      </c>
      <c r="R136" s="27"/>
      <c r="S136" s="27" t="str">
        <f t="shared" si="79"/>
        <v/>
      </c>
      <c r="T136" s="27"/>
      <c r="U136" s="27" t="str">
        <f t="shared" si="80"/>
        <v/>
      </c>
      <c r="V136" s="27" t="str">
        <f t="shared" si="81"/>
        <v/>
      </c>
      <c r="W136" s="27"/>
      <c r="X136" s="28">
        <f ca="1">IF(OR(Z136=1,AA136=1,AB136=1,AC136=1,AD136=1),0,(SUMPRODUCT((groupe='Base de donnée'!C136)*(OFFSET(groupe,,1)='Base de donnée'!F136)*(OFFSET(groupe,,2)='Base de donnée'!H136)*(OFFSET(groupe,,5)))))</f>
        <v>0</v>
      </c>
      <c r="Y136" s="28"/>
      <c r="Z136" s="7"/>
      <c r="AA136" s="7"/>
      <c r="AB136" s="7"/>
      <c r="AC136" s="7"/>
      <c r="AD136" s="7"/>
      <c r="AE136" s="7"/>
    </row>
    <row r="137" spans="1:35" s="30" customFormat="1" x14ac:dyDescent="0.25">
      <c r="A137" s="6" t="s">
        <v>161</v>
      </c>
      <c r="B137" s="26" t="str">
        <f>VLOOKUP(GestionPersonnelRDJ[[#This Row],[Nom Prénom]],Personnels!Personnels,2,0)</f>
        <v>ES</v>
      </c>
      <c r="C137" s="21" t="str">
        <f>VLOOKUP(GestionPersonnelRDJ[[#This Row],[Nom Prénom]],Personnels!Personnels,3,0)</f>
        <v>FB3</v>
      </c>
      <c r="D137" s="21" t="str">
        <f>VLOOKUP(GestionPersonnelRDJ[[#This Row],[Nom Prénom]],Personnels!Personnels,4,0)</f>
        <v>FH</v>
      </c>
      <c r="E137" s="2">
        <f>INT(MOD(INT((GestionPersonnelRDJ[[#This Row],[Date]]-2)/7)+0.6,52+5/28))+1</f>
        <v>50</v>
      </c>
      <c r="F137" s="7">
        <v>3</v>
      </c>
      <c r="G137" s="8">
        <v>40895</v>
      </c>
      <c r="H137" s="5" t="str">
        <f t="shared" si="76"/>
        <v>dimanche</v>
      </c>
      <c r="I137" s="27">
        <f ca="1">SUMPRODUCT((groupe='Base de donnée'!C137)*(OFFSET(groupe,,1)='Base de donnée'!F137)*(OFFSET(groupe,,2)='Base de donnée'!H137)*(OFFSET(groupe,,3)))</f>
        <v>0</v>
      </c>
      <c r="J137" s="70">
        <f ca="1">SUMPRODUCT((groupe='Base de donnée'!C137)*(OFFSET(groupe,,1)='Base de donnée'!F137)*(OFFSET(groupe,,2)='Base de donnée'!H137)*(OFFSET(groupe,,6)))</f>
        <v>0</v>
      </c>
      <c r="K137" s="70">
        <f ca="1">SUMPRODUCT((groupe='Base de donnée'!C137)*(OFFSET(groupe,,1)='Base de donnée'!F137)*(OFFSET(groupe,,2)='Base de donnée'!H137)*(OFFSET(groupe,,7)))</f>
        <v>0</v>
      </c>
      <c r="L137" s="71">
        <f ca="1">SUMPRODUCT((groupe='Base de donnée'!C137)*(OFFSET(groupe,,1)='Base de donnée'!F137)*(OFFSET(groupe,,2)='Base de donnée'!H137)*(OFFSET(groupe,,8)))</f>
        <v>0</v>
      </c>
      <c r="M137" s="71">
        <f ca="1">SUMPRODUCT((groupe='Base de donnée'!C137)*(OFFSET(groupe,,1)='Base de donnée'!F137)*(OFFSET(groupe,,2)='Base de donnée'!H137)*(OFFSET(groupe,,9)))</f>
        <v>0</v>
      </c>
      <c r="N137" s="27">
        <f t="shared" ca="1" si="65"/>
        <v>0</v>
      </c>
      <c r="O137" s="27">
        <f t="shared" ca="1" si="66"/>
        <v>0</v>
      </c>
      <c r="P137" s="49">
        <f t="shared" ca="1" si="77"/>
        <v>0</v>
      </c>
      <c r="Q137" s="49">
        <f t="shared" ca="1" si="78"/>
        <v>0</v>
      </c>
      <c r="R137" s="27"/>
      <c r="S137" s="27">
        <f t="shared" ca="1" si="79"/>
        <v>0</v>
      </c>
      <c r="T137" s="27"/>
      <c r="U137" s="27" t="str">
        <f t="shared" si="80"/>
        <v/>
      </c>
      <c r="V137" s="27">
        <f t="shared" ca="1" si="81"/>
        <v>0</v>
      </c>
      <c r="W137" s="27"/>
      <c r="X137" s="28">
        <f ca="1">IF(OR(Z137=1,AA137=1,AB137=1,AC137=1,AD137=1),0,(SUMPRODUCT((groupe='Base de donnée'!C137)*(OFFSET(groupe,,1)='Base de donnée'!F137)*(OFFSET(groupe,,2)='Base de donnée'!H137)*(OFFSET(groupe,,5)))))</f>
        <v>0</v>
      </c>
      <c r="Y137" s="28"/>
      <c r="Z137" s="7"/>
      <c r="AA137" s="7"/>
      <c r="AB137" s="7"/>
      <c r="AC137" s="7"/>
      <c r="AD137" s="7"/>
      <c r="AE137" s="7"/>
    </row>
    <row r="138" spans="1:35" s="30" customFormat="1" x14ac:dyDescent="0.25">
      <c r="A138" s="6" t="s">
        <v>10</v>
      </c>
      <c r="B138" s="26" t="str">
        <f>VLOOKUP(GestionPersonnelRDJ[[#This Row],[Nom Prénom]],Personnels!Personnels,2,0)</f>
        <v>ME</v>
      </c>
      <c r="C138" s="21" t="str">
        <f>VLOOKUP(GestionPersonnelRDJ[[#This Row],[Nom Prénom]],Personnels!Personnels,3,0)</f>
        <v>FB3</v>
      </c>
      <c r="D138" s="21" t="str">
        <f>VLOOKUP(GestionPersonnelRDJ[[#This Row],[Nom Prénom]],Personnels!Personnels,4,0)</f>
        <v>FH</v>
      </c>
      <c r="E138" s="2">
        <f>INT(MOD(INT((GestionPersonnelRDJ[[#This Row],[Date]]-2)/7)+0.6,52+5/28))+1</f>
        <v>50</v>
      </c>
      <c r="F138" s="7">
        <v>4</v>
      </c>
      <c r="G138" s="8">
        <v>40889</v>
      </c>
      <c r="H138" s="5" t="str">
        <f t="shared" ref="H138:H144" si="82">TEXT(WEEKDAY(G138),"jjjj")</f>
        <v>lundi</v>
      </c>
      <c r="I138" s="27">
        <f ca="1">SUMPRODUCT((groupe='Base de donnée'!C138)*(OFFSET(groupe,,1)='Base de donnée'!F138)*(OFFSET(groupe,,2)='Base de donnée'!H138)*(OFFSET(groupe,,3)))</f>
        <v>10</v>
      </c>
      <c r="J138" s="70">
        <f ca="1">SUMPRODUCT((groupe='Base de donnée'!C138)*(OFFSET(groupe,,1)='Base de donnée'!F138)*(OFFSET(groupe,,2)='Base de donnée'!H138)*(OFFSET(groupe,,6)))</f>
        <v>7</v>
      </c>
      <c r="K138" s="70">
        <f ca="1">SUMPRODUCT((groupe='Base de donnée'!C138)*(OFFSET(groupe,,1)='Base de donnée'!F138)*(OFFSET(groupe,,2)='Base de donnée'!H138)*(OFFSET(groupe,,7)))</f>
        <v>12</v>
      </c>
      <c r="L138" s="71">
        <f ca="1">SUMPRODUCT((groupe='Base de donnée'!C138)*(OFFSET(groupe,,1)='Base de donnée'!F138)*(OFFSET(groupe,,2)='Base de donnée'!H138)*(OFFSET(groupe,,8)))</f>
        <v>12</v>
      </c>
      <c r="M138" s="71">
        <f ca="1">SUMPRODUCT((groupe='Base de donnée'!C138)*(OFFSET(groupe,,1)='Base de donnée'!F138)*(OFFSET(groupe,,2)='Base de donnée'!H138)*(OFFSET(groupe,,9)))</f>
        <v>17</v>
      </c>
      <c r="N138" s="27">
        <f t="shared" ref="N138:N151" ca="1" si="83">IF(AF138=1,7,IF(OR(AB138=1,AND(AB138=0,NOT(ISBLANK(AB138))),Z138=1,AND(Z138=0,NOT(ISBLANK(Z138))),AA138=1,AND(AA138=0,NOT(ISBLANK(AA138))),AD138=1,AND(AD138=0,NOT(ISBLANK(AD138))),AC138=1,AND(AC138=0,NOT(ISBLANK(AC138)))),0,IF(COUNTIF(Fériés2010,G138),((M138-L138+K138-J138)),(M138-L138+K138-J138)-(W138+X138)-Y138-AE138+(AI138+AK138+AM138))))</f>
        <v>10</v>
      </c>
      <c r="O138" s="27">
        <f t="shared" ref="O138:O151" ca="1" si="84">IF(OR(AB138=1,AND(AB138=0,NOT(ISBLANK(AB138))),Z138=1,AND(Z138=0,NOT(ISBLANK(Z138))),AA138=1,AND(AA138=0,NOT(ISBLANK(AA138))),AD138=1,AND(AD138=0,NOT(ISBLANK(AD138))),AC138=1,AND(AC138=0,NOT(ISBLANK(AC138)))),I138,IF(COUNTIF(Fériés2010,G138)&gt;0,N138*2+R138+(W138+X138),N138+R138+(W138+X138)+Y138+AE138))</f>
        <v>10</v>
      </c>
      <c r="P138" s="49">
        <f t="shared" ref="P138:P144" ca="1" si="85">IF(I138-O138-(W138+X138)&lt;=0,0,I138-O138-(W138+X138))</f>
        <v>0</v>
      </c>
      <c r="Q138" s="49">
        <f t="shared" ref="Q138:Q144" ca="1" si="86">IF(O138-I138-(W138+X138)&lt;=0,0,O138-I138-(W138+X138))</f>
        <v>0</v>
      </c>
      <c r="R138" s="27"/>
      <c r="S138" s="27" t="str">
        <f t="shared" si="79"/>
        <v/>
      </c>
      <c r="T138" s="27"/>
      <c r="U138" s="27" t="str">
        <f t="shared" si="80"/>
        <v/>
      </c>
      <c r="V138" s="27" t="str">
        <f t="shared" si="81"/>
        <v/>
      </c>
      <c r="W138" s="27"/>
      <c r="X138" s="28">
        <f ca="1">IF(OR(Z138=1,AA138=1,AB138=1,AC138=1,AD138=1),0,(SUMPRODUCT((groupe='Base de donnée'!C138)*(OFFSET(groupe,,1)='Base de donnée'!F138)*(OFFSET(groupe,,2)='Base de donnée'!H138)*(OFFSET(groupe,,5)))))</f>
        <v>0</v>
      </c>
      <c r="Y138" s="28"/>
      <c r="Z138" s="7"/>
      <c r="AA138" s="7"/>
      <c r="AB138" s="7"/>
      <c r="AC138" s="7"/>
      <c r="AD138" s="7"/>
      <c r="AE138" s="7"/>
    </row>
    <row r="139" spans="1:35" s="30" customFormat="1" x14ac:dyDescent="0.25">
      <c r="A139" s="6" t="s">
        <v>10</v>
      </c>
      <c r="B139" s="26" t="str">
        <f>VLOOKUP(GestionPersonnelRDJ[[#This Row],[Nom Prénom]],Personnels!Personnels,2,0)</f>
        <v>ME</v>
      </c>
      <c r="C139" s="21" t="str">
        <f>VLOOKUP(GestionPersonnelRDJ[[#This Row],[Nom Prénom]],Personnels!Personnels,3,0)</f>
        <v>FB3</v>
      </c>
      <c r="D139" s="21" t="str">
        <f>VLOOKUP(GestionPersonnelRDJ[[#This Row],[Nom Prénom]],Personnels!Personnels,4,0)</f>
        <v>FH</v>
      </c>
      <c r="E139" s="2">
        <f>INT(MOD(INT((GestionPersonnelRDJ[[#This Row],[Date]]-2)/7)+0.6,52+5/28))+1</f>
        <v>50</v>
      </c>
      <c r="F139" s="7">
        <v>4</v>
      </c>
      <c r="G139" s="8">
        <v>40890</v>
      </c>
      <c r="H139" s="5" t="str">
        <f t="shared" si="82"/>
        <v>mardi</v>
      </c>
      <c r="I139" s="27">
        <f ca="1">SUMPRODUCT((groupe='Base de donnée'!C139)*(OFFSET(groupe,,1)='Base de donnée'!F139)*(OFFSET(groupe,,2)='Base de donnée'!H139)*(OFFSET(groupe,,3)))</f>
        <v>8.5</v>
      </c>
      <c r="J139" s="74"/>
      <c r="K139" s="74"/>
      <c r="L139" s="74"/>
      <c r="M139" s="74"/>
      <c r="N139" s="27">
        <f t="shared" ca="1" si="83"/>
        <v>0</v>
      </c>
      <c r="O139" s="27">
        <f t="shared" ca="1" si="84"/>
        <v>0</v>
      </c>
      <c r="P139" s="49">
        <f t="shared" ca="1" si="85"/>
        <v>8.5</v>
      </c>
      <c r="Q139" s="49">
        <f t="shared" ca="1" si="86"/>
        <v>0</v>
      </c>
      <c r="R139" s="27"/>
      <c r="S139" s="27" t="str">
        <f t="shared" si="79"/>
        <v/>
      </c>
      <c r="T139" s="27"/>
      <c r="U139" s="27" t="str">
        <f t="shared" si="80"/>
        <v/>
      </c>
      <c r="V139" s="27" t="str">
        <f t="shared" si="81"/>
        <v/>
      </c>
      <c r="W139" s="27"/>
      <c r="X139" s="28">
        <f ca="1">IF(OR(Z139=1,AA139=1,AB139=1,AC139=1,AD139=1),0,(SUMPRODUCT((groupe='Base de donnée'!C139)*(OFFSET(groupe,,1)='Base de donnée'!F139)*(OFFSET(groupe,,2)='Base de donnée'!H139)*(OFFSET(groupe,,5)))))</f>
        <v>0</v>
      </c>
      <c r="Y139" s="28"/>
      <c r="Z139" s="7"/>
      <c r="AA139" s="7"/>
      <c r="AB139" s="7"/>
      <c r="AC139" s="7"/>
      <c r="AD139" s="7"/>
      <c r="AE139" s="7"/>
    </row>
    <row r="140" spans="1:35" s="30" customFormat="1" x14ac:dyDescent="0.25">
      <c r="A140" s="6" t="s">
        <v>10</v>
      </c>
      <c r="B140" s="26" t="str">
        <f>VLOOKUP(GestionPersonnelRDJ[[#This Row],[Nom Prénom]],Personnels!Personnels,2,0)</f>
        <v>ME</v>
      </c>
      <c r="C140" s="21" t="str">
        <f>VLOOKUP(GestionPersonnelRDJ[[#This Row],[Nom Prénom]],Personnels!Personnels,3,0)</f>
        <v>FB3</v>
      </c>
      <c r="D140" s="21" t="str">
        <f>VLOOKUP(GestionPersonnelRDJ[[#This Row],[Nom Prénom]],Personnels!Personnels,4,0)</f>
        <v>FH</v>
      </c>
      <c r="E140" s="2">
        <f>INT(MOD(INT((GestionPersonnelRDJ[[#This Row],[Date]]-2)/7)+0.6,52+5/28))+1</f>
        <v>50</v>
      </c>
      <c r="F140" s="7">
        <v>4</v>
      </c>
      <c r="G140" s="8">
        <v>40891</v>
      </c>
      <c r="H140" s="5" t="str">
        <f t="shared" si="82"/>
        <v>mercredi</v>
      </c>
      <c r="I140" s="27">
        <f ca="1">SUMPRODUCT((groupe='Base de donnée'!C140)*(OFFSET(groupe,,1)='Base de donnée'!F140)*(OFFSET(groupe,,2)='Base de donnée'!H140)*(OFFSET(groupe,,3)))</f>
        <v>0</v>
      </c>
      <c r="J140" s="70">
        <f ca="1">SUMPRODUCT((groupe='Base de donnée'!C140)*(OFFSET(groupe,,1)='Base de donnée'!F140)*(OFFSET(groupe,,2)='Base de donnée'!H140)*(OFFSET(groupe,,6)))</f>
        <v>0</v>
      </c>
      <c r="K140" s="70">
        <f ca="1">SUMPRODUCT((groupe='Base de donnée'!C140)*(OFFSET(groupe,,1)='Base de donnée'!F140)*(OFFSET(groupe,,2)='Base de donnée'!H140)*(OFFSET(groupe,,7)))</f>
        <v>0</v>
      </c>
      <c r="L140" s="71">
        <f ca="1">SUMPRODUCT((groupe='Base de donnée'!C140)*(OFFSET(groupe,,1)='Base de donnée'!F140)*(OFFSET(groupe,,2)='Base de donnée'!H140)*(OFFSET(groupe,,8)))</f>
        <v>0</v>
      </c>
      <c r="M140" s="71">
        <f ca="1">SUMPRODUCT((groupe='Base de donnée'!C140)*(OFFSET(groupe,,1)='Base de donnée'!F140)*(OFFSET(groupe,,2)='Base de donnée'!H140)*(OFFSET(groupe,,9)))</f>
        <v>0</v>
      </c>
      <c r="N140" s="27">
        <f t="shared" ca="1" si="83"/>
        <v>0</v>
      </c>
      <c r="O140" s="27">
        <f t="shared" ca="1" si="84"/>
        <v>0</v>
      </c>
      <c r="P140" s="49">
        <f t="shared" ca="1" si="85"/>
        <v>0</v>
      </c>
      <c r="Q140" s="49">
        <f t="shared" ca="1" si="86"/>
        <v>0</v>
      </c>
      <c r="R140" s="27"/>
      <c r="S140" s="27" t="str">
        <f t="shared" si="79"/>
        <v/>
      </c>
      <c r="T140" s="27"/>
      <c r="U140" s="27" t="str">
        <f t="shared" si="80"/>
        <v/>
      </c>
      <c r="V140" s="27" t="str">
        <f t="shared" si="81"/>
        <v/>
      </c>
      <c r="W140" s="27"/>
      <c r="X140" s="28">
        <f ca="1">IF(OR(Z140=1,AA140=1,AB140=1,AC140=1,AD140=1),0,(SUMPRODUCT((groupe='Base de donnée'!C140)*(OFFSET(groupe,,1)='Base de donnée'!F140)*(OFFSET(groupe,,2)='Base de donnée'!H140)*(OFFSET(groupe,,5)))))</f>
        <v>0</v>
      </c>
      <c r="Y140" s="28"/>
      <c r="Z140" s="7"/>
      <c r="AA140" s="7"/>
      <c r="AB140" s="7"/>
      <c r="AC140" s="7"/>
      <c r="AD140" s="7"/>
      <c r="AE140" s="7"/>
    </row>
    <row r="141" spans="1:35" s="30" customFormat="1" x14ac:dyDescent="0.25">
      <c r="A141" s="6" t="s">
        <v>10</v>
      </c>
      <c r="B141" s="26" t="str">
        <f>VLOOKUP(GestionPersonnelRDJ[[#This Row],[Nom Prénom]],Personnels!Personnels,2,0)</f>
        <v>ME</v>
      </c>
      <c r="C141" s="21" t="str">
        <f>VLOOKUP(GestionPersonnelRDJ[[#This Row],[Nom Prénom]],Personnels!Personnels,3,0)</f>
        <v>FB3</v>
      </c>
      <c r="D141" s="21" t="str">
        <f>VLOOKUP(GestionPersonnelRDJ[[#This Row],[Nom Prénom]],Personnels!Personnels,4,0)</f>
        <v>FH</v>
      </c>
      <c r="E141" s="2">
        <f>INT(MOD(INT((GestionPersonnelRDJ[[#This Row],[Date]]-2)/7)+0.6,52+5/28))+1</f>
        <v>50</v>
      </c>
      <c r="F141" s="7">
        <v>4</v>
      </c>
      <c r="G141" s="8">
        <v>40892</v>
      </c>
      <c r="H141" s="5" t="str">
        <f t="shared" si="82"/>
        <v>jeudi</v>
      </c>
      <c r="I141" s="27">
        <f ca="1">SUMPRODUCT((groupe='Base de donnée'!C141)*(OFFSET(groupe,,1)='Base de donnée'!F141)*(OFFSET(groupe,,2)='Base de donnée'!H141)*(OFFSET(groupe,,3)))</f>
        <v>0</v>
      </c>
      <c r="J141" s="80">
        <f ca="1">SUMPRODUCT((groupe='Base de donnée'!C141)*(OFFSET(groupe,,1)='Base de donnée'!F141)*(OFFSET(groupe,,2)='Base de donnée'!H141)*(OFFSET(groupe,,6)))</f>
        <v>0</v>
      </c>
      <c r="K141" s="80">
        <f ca="1">SUMPRODUCT((groupe='Base de donnée'!C141)*(OFFSET(groupe,,1)='Base de donnée'!F141)*(OFFSET(groupe,,2)='Base de donnée'!H141)*(OFFSET(groupe,,7)))</f>
        <v>0</v>
      </c>
      <c r="L141" s="80">
        <f ca="1">SUMPRODUCT((groupe='Base de donnée'!C141)*(OFFSET(groupe,,1)='Base de donnée'!F141)*(OFFSET(groupe,,2)='Base de donnée'!H141)*(OFFSET(groupe,,8)))</f>
        <v>0</v>
      </c>
      <c r="M141" s="80">
        <f ca="1">SUMPRODUCT((groupe='Base de donnée'!C141)*(OFFSET(groupe,,1)='Base de donnée'!F141)*(OFFSET(groupe,,2)='Base de donnée'!H141)*(OFFSET(groupe,,9)))</f>
        <v>0</v>
      </c>
      <c r="N141" s="27">
        <f t="shared" ca="1" si="83"/>
        <v>8</v>
      </c>
      <c r="O141" s="27">
        <f t="shared" ca="1" si="84"/>
        <v>8</v>
      </c>
      <c r="P141" s="49">
        <f t="shared" ca="1" si="85"/>
        <v>0</v>
      </c>
      <c r="Q141" s="49">
        <f t="shared" ca="1" si="86"/>
        <v>8</v>
      </c>
      <c r="R141" s="27"/>
      <c r="S141" s="27" t="str">
        <f t="shared" si="79"/>
        <v/>
      </c>
      <c r="T141" s="27"/>
      <c r="U141" s="27" t="str">
        <f t="shared" si="80"/>
        <v/>
      </c>
      <c r="V141" s="27" t="str">
        <f t="shared" si="81"/>
        <v/>
      </c>
      <c r="W141" s="27"/>
      <c r="X141" s="28">
        <f ca="1">IF(OR(Z141=1,AA141=1,AB141=1,AC141=1,AD141=1),0,(SUMPRODUCT((groupe='Base de donnée'!C141)*(OFFSET(groupe,,1)='Base de donnée'!F141)*(OFFSET(groupe,,2)='Base de donnée'!H141)*(OFFSET(groupe,,5)))))</f>
        <v>0</v>
      </c>
      <c r="Y141" s="28"/>
      <c r="Z141" s="7"/>
      <c r="AA141" s="7"/>
      <c r="AB141" s="7"/>
      <c r="AC141" s="7"/>
      <c r="AD141" s="7"/>
      <c r="AE141" s="7"/>
      <c r="AI141" s="30">
        <v>8</v>
      </c>
    </row>
    <row r="142" spans="1:35" s="30" customFormat="1" x14ac:dyDescent="0.25">
      <c r="A142" s="6" t="s">
        <v>10</v>
      </c>
      <c r="B142" s="26" t="str">
        <f>VLOOKUP(GestionPersonnelRDJ[[#This Row],[Nom Prénom]],Personnels!Personnels,2,0)</f>
        <v>ME</v>
      </c>
      <c r="C142" s="21" t="str">
        <f>VLOOKUP(GestionPersonnelRDJ[[#This Row],[Nom Prénom]],Personnels!Personnels,3,0)</f>
        <v>FB3</v>
      </c>
      <c r="D142" s="21" t="str">
        <f>VLOOKUP(GestionPersonnelRDJ[[#This Row],[Nom Prénom]],Personnels!Personnels,4,0)</f>
        <v>FH</v>
      </c>
      <c r="E142" s="2">
        <f>INT(MOD(INT((GestionPersonnelRDJ[[#This Row],[Date]]-2)/7)+0.6,52+5/28))+1</f>
        <v>50</v>
      </c>
      <c r="F142" s="7">
        <v>4</v>
      </c>
      <c r="G142" s="8">
        <v>40893</v>
      </c>
      <c r="H142" s="5" t="str">
        <f t="shared" si="82"/>
        <v>vendredi</v>
      </c>
      <c r="I142" s="27">
        <f ca="1">SUMPRODUCT((groupe='Base de donnée'!C142)*(OFFSET(groupe,,1)='Base de donnée'!F142)*(OFFSET(groupe,,2)='Base de donnée'!H142)*(OFFSET(groupe,,3)))</f>
        <v>0</v>
      </c>
      <c r="J142" s="76">
        <v>10</v>
      </c>
      <c r="K142" s="76">
        <v>12</v>
      </c>
      <c r="L142" s="71">
        <f ca="1">SUMPRODUCT((groupe='Base de donnée'!C142)*(OFFSET(groupe,,1)='Base de donnée'!F142)*(OFFSET(groupe,,2)='Base de donnée'!H142)*(OFFSET(groupe,,8)))</f>
        <v>0</v>
      </c>
      <c r="M142" s="71">
        <f ca="1">SUMPRODUCT((groupe='Base de donnée'!C142)*(OFFSET(groupe,,1)='Base de donnée'!F142)*(OFFSET(groupe,,2)='Base de donnée'!H142)*(OFFSET(groupe,,9)))</f>
        <v>0</v>
      </c>
      <c r="N142" s="27">
        <f t="shared" ca="1" si="83"/>
        <v>2</v>
      </c>
      <c r="O142" s="27">
        <f t="shared" ca="1" si="84"/>
        <v>2</v>
      </c>
      <c r="P142" s="49">
        <f t="shared" ca="1" si="85"/>
        <v>0</v>
      </c>
      <c r="Q142" s="49">
        <f t="shared" ca="1" si="86"/>
        <v>2</v>
      </c>
      <c r="R142" s="27"/>
      <c r="S142" s="27" t="str">
        <f t="shared" si="79"/>
        <v/>
      </c>
      <c r="T142" s="27"/>
      <c r="U142" s="27" t="str">
        <f t="shared" si="80"/>
        <v/>
      </c>
      <c r="V142" s="27" t="str">
        <f t="shared" si="81"/>
        <v/>
      </c>
      <c r="W142" s="27"/>
      <c r="X142" s="28">
        <f ca="1">IF(OR(Z142=1,AA142=1,AB142=1,AC142=1,AD142=1),0,(SUMPRODUCT((groupe='Base de donnée'!C142)*(OFFSET(groupe,,1)='Base de donnée'!F142)*(OFFSET(groupe,,2)='Base de donnée'!H142)*(OFFSET(groupe,,5)))))</f>
        <v>0</v>
      </c>
      <c r="Y142" s="28"/>
      <c r="Z142" s="7"/>
      <c r="AA142" s="7"/>
      <c r="AB142" s="7"/>
      <c r="AC142" s="7"/>
      <c r="AD142" s="7"/>
      <c r="AE142" s="7"/>
      <c r="AG142" s="30" t="s">
        <v>159</v>
      </c>
    </row>
    <row r="143" spans="1:35" s="30" customFormat="1" x14ac:dyDescent="0.25">
      <c r="A143" s="6" t="s">
        <v>10</v>
      </c>
      <c r="B143" s="26" t="str">
        <f>VLOOKUP(GestionPersonnelRDJ[[#This Row],[Nom Prénom]],Personnels!Personnels,2,0)</f>
        <v>ME</v>
      </c>
      <c r="C143" s="21" t="str">
        <f>VLOOKUP(GestionPersonnelRDJ[[#This Row],[Nom Prénom]],Personnels!Personnels,3,0)</f>
        <v>FB3</v>
      </c>
      <c r="D143" s="21" t="str">
        <f>VLOOKUP(GestionPersonnelRDJ[[#This Row],[Nom Prénom]],Personnels!Personnels,4,0)</f>
        <v>FH</v>
      </c>
      <c r="E143" s="2">
        <f>INT(MOD(INT((GestionPersonnelRDJ[[#This Row],[Date]]-2)/7)+0.6,52+5/28))+1</f>
        <v>50</v>
      </c>
      <c r="F143" s="7">
        <v>4</v>
      </c>
      <c r="G143" s="8">
        <v>40894</v>
      </c>
      <c r="H143" s="5" t="str">
        <f t="shared" si="82"/>
        <v>samedi</v>
      </c>
      <c r="I143" s="27">
        <f ca="1">SUMPRODUCT((groupe='Base de donnée'!C143)*(OFFSET(groupe,,1)='Base de donnée'!F143)*(OFFSET(groupe,,2)='Base de donnée'!H143)*(OFFSET(groupe,,3)))</f>
        <v>12</v>
      </c>
      <c r="J143" s="70">
        <f ca="1">SUMPRODUCT((groupe='Base de donnée'!C143)*(OFFSET(groupe,,1)='Base de donnée'!F143)*(OFFSET(groupe,,2)='Base de donnée'!H143)*(OFFSET(groupe,,6)))</f>
        <v>9</v>
      </c>
      <c r="K143" s="70">
        <f ca="1">SUMPRODUCT((groupe='Base de donnée'!C143)*(OFFSET(groupe,,1)='Base de donnée'!F143)*(OFFSET(groupe,,2)='Base de donnée'!H143)*(OFFSET(groupe,,7)))</f>
        <v>12</v>
      </c>
      <c r="L143" s="71">
        <f ca="1">SUMPRODUCT((groupe='Base de donnée'!C143)*(OFFSET(groupe,,1)='Base de donnée'!F143)*(OFFSET(groupe,,2)='Base de donnée'!H143)*(OFFSET(groupe,,8)))</f>
        <v>12</v>
      </c>
      <c r="M143" s="71">
        <f ca="1">SUMPRODUCT((groupe='Base de donnée'!C143)*(OFFSET(groupe,,1)='Base de donnée'!F143)*(OFFSET(groupe,,2)='Base de donnée'!H143)*(OFFSET(groupe,,9)))</f>
        <v>21</v>
      </c>
      <c r="N143" s="27">
        <f t="shared" ca="1" si="83"/>
        <v>12</v>
      </c>
      <c r="O143" s="27">
        <f t="shared" ca="1" si="84"/>
        <v>12</v>
      </c>
      <c r="P143" s="49">
        <f t="shared" ca="1" si="85"/>
        <v>0</v>
      </c>
      <c r="Q143" s="49">
        <f t="shared" ca="1" si="86"/>
        <v>0</v>
      </c>
      <c r="R143" s="27"/>
      <c r="S143" s="27" t="str">
        <f t="shared" si="79"/>
        <v/>
      </c>
      <c r="T143" s="27"/>
      <c r="U143" s="27" t="str">
        <f t="shared" si="80"/>
        <v/>
      </c>
      <c r="V143" s="27" t="str">
        <f t="shared" si="81"/>
        <v/>
      </c>
      <c r="W143" s="27"/>
      <c r="X143" s="28">
        <f ca="1">IF(OR(Z143=1,AA143=1,AB143=1,AC143=1,AD143=1),0,(SUMPRODUCT((groupe='Base de donnée'!C143)*(OFFSET(groupe,,1)='Base de donnée'!F143)*(OFFSET(groupe,,2)='Base de donnée'!H143)*(OFFSET(groupe,,5)))))</f>
        <v>0</v>
      </c>
      <c r="Y143" s="28"/>
      <c r="Z143" s="7"/>
      <c r="AA143" s="7"/>
      <c r="AB143" s="7"/>
      <c r="AC143" s="7"/>
      <c r="AD143" s="7"/>
      <c r="AE143" s="7"/>
    </row>
    <row r="144" spans="1:35" s="30" customFormat="1" x14ac:dyDescent="0.25">
      <c r="A144" s="6" t="s">
        <v>10</v>
      </c>
      <c r="B144" s="26" t="str">
        <f>VLOOKUP(GestionPersonnelRDJ[[#This Row],[Nom Prénom]],Personnels!Personnels,2,0)</f>
        <v>ME</v>
      </c>
      <c r="C144" s="21" t="str">
        <f>VLOOKUP(GestionPersonnelRDJ[[#This Row],[Nom Prénom]],Personnels!Personnels,3,0)</f>
        <v>FB3</v>
      </c>
      <c r="D144" s="21" t="str">
        <f>VLOOKUP(GestionPersonnelRDJ[[#This Row],[Nom Prénom]],Personnels!Personnels,4,0)</f>
        <v>FH</v>
      </c>
      <c r="E144" s="2">
        <f>INT(MOD(INT((GestionPersonnelRDJ[[#This Row],[Date]]-2)/7)+0.6,52+5/28))+1</f>
        <v>50</v>
      </c>
      <c r="F144" s="7">
        <v>4</v>
      </c>
      <c r="G144" s="8">
        <v>40895</v>
      </c>
      <c r="H144" s="5" t="str">
        <f t="shared" si="82"/>
        <v>dimanche</v>
      </c>
      <c r="I144" s="27">
        <f ca="1">SUMPRODUCT((groupe='Base de donnée'!C144)*(OFFSET(groupe,,1)='Base de donnée'!F144)*(OFFSET(groupe,,2)='Base de donnée'!H144)*(OFFSET(groupe,,3)))</f>
        <v>12</v>
      </c>
      <c r="J144" s="70">
        <f ca="1">SUMPRODUCT((groupe='Base de donnée'!C144)*(OFFSET(groupe,,1)='Base de donnée'!F144)*(OFFSET(groupe,,2)='Base de donnée'!H144)*(OFFSET(groupe,,6)))</f>
        <v>9</v>
      </c>
      <c r="K144" s="70">
        <f ca="1">SUMPRODUCT((groupe='Base de donnée'!C144)*(OFFSET(groupe,,1)='Base de donnée'!F144)*(OFFSET(groupe,,2)='Base de donnée'!H144)*(OFFSET(groupe,,7)))</f>
        <v>12</v>
      </c>
      <c r="L144" s="71">
        <f ca="1">SUMPRODUCT((groupe='Base de donnée'!C144)*(OFFSET(groupe,,1)='Base de donnée'!F144)*(OFFSET(groupe,,2)='Base de donnée'!H144)*(OFFSET(groupe,,8)))</f>
        <v>12</v>
      </c>
      <c r="M144" s="71">
        <f ca="1">SUMPRODUCT((groupe='Base de donnée'!C144)*(OFFSET(groupe,,1)='Base de donnée'!F144)*(OFFSET(groupe,,2)='Base de donnée'!H144)*(OFFSET(groupe,,9)))</f>
        <v>21</v>
      </c>
      <c r="N144" s="27">
        <f t="shared" ca="1" si="83"/>
        <v>12</v>
      </c>
      <c r="O144" s="27">
        <f t="shared" ca="1" si="84"/>
        <v>12</v>
      </c>
      <c r="P144" s="49">
        <f t="shared" ca="1" si="85"/>
        <v>0</v>
      </c>
      <c r="Q144" s="49">
        <f t="shared" ca="1" si="86"/>
        <v>0</v>
      </c>
      <c r="R144" s="27"/>
      <c r="S144" s="27">
        <f t="shared" ca="1" si="79"/>
        <v>12</v>
      </c>
      <c r="T144" s="27"/>
      <c r="U144" s="27" t="str">
        <f t="shared" si="80"/>
        <v/>
      </c>
      <c r="V144" s="27">
        <f t="shared" ca="1" si="81"/>
        <v>12</v>
      </c>
      <c r="W144" s="27"/>
      <c r="X144" s="28">
        <f ca="1">IF(OR(Z144=1,AA144=1,AB144=1,AC144=1,AD144=1),0,(SUMPRODUCT((groupe='Base de donnée'!C144)*(OFFSET(groupe,,1)='Base de donnée'!F144)*(OFFSET(groupe,,2)='Base de donnée'!H144)*(OFFSET(groupe,,5)))))</f>
        <v>0</v>
      </c>
      <c r="Y144" s="28"/>
      <c r="Z144" s="7"/>
      <c r="AA144" s="7"/>
      <c r="AB144" s="7"/>
      <c r="AC144" s="7"/>
      <c r="AD144" s="7"/>
      <c r="AE144" s="7"/>
    </row>
    <row r="145" spans="1:31" s="30" customFormat="1" x14ac:dyDescent="0.25">
      <c r="A145" s="6" t="s">
        <v>38</v>
      </c>
      <c r="B145" s="26" t="str">
        <f>VLOOKUP(GestionPersonnelRDJ[[#This Row],[Nom Prénom]],Personnels!Personnels,2,0)</f>
        <v>AMP</v>
      </c>
      <c r="C145" s="21" t="str">
        <f>VLOOKUP(GestionPersonnelRDJ[[#This Row],[Nom Prénom]],Personnels!Personnels,3,0)</f>
        <v>Passerelle</v>
      </c>
      <c r="D145" s="21" t="str">
        <f>VLOOKUP(GestionPersonnelRDJ[[#This Row],[Nom Prénom]],Personnels!Personnels,4,0)</f>
        <v>FH</v>
      </c>
      <c r="E145" s="2">
        <f>INT(MOD(INT((GestionPersonnelRDJ[[#This Row],[Date]]-2)/7)+0.6,52+5/28))+1</f>
        <v>50</v>
      </c>
      <c r="F145" s="7">
        <v>4</v>
      </c>
      <c r="G145" s="8">
        <v>40889</v>
      </c>
      <c r="H145" s="5" t="str">
        <f t="shared" ref="H145:H151" si="87">TEXT(WEEKDAY(G145),"jjjj")</f>
        <v>lundi</v>
      </c>
      <c r="I145" s="27">
        <f ca="1">SUMPRODUCT((groupe='Base de donnée'!C145)*(OFFSET(groupe,,1)='Base de donnée'!F145)*(OFFSET(groupe,,2)='Base de donnée'!H145)*(OFFSET(groupe,,3)))</f>
        <v>7.5</v>
      </c>
      <c r="J145" s="70">
        <f ca="1">SUMPRODUCT((groupe='Base de donnée'!C145)*(OFFSET(groupe,,1)='Base de donnée'!F145)*(OFFSET(groupe,,2)='Base de donnée'!H145)*(OFFSET(groupe,,6)))</f>
        <v>10</v>
      </c>
      <c r="K145" s="70">
        <f ca="1">SUMPRODUCT((groupe='Base de donnée'!C145)*(OFFSET(groupe,,1)='Base de donnée'!F145)*(OFFSET(groupe,,2)='Base de donnée'!H145)*(OFFSET(groupe,,7)))</f>
        <v>12</v>
      </c>
      <c r="L145" s="71">
        <f ca="1">SUMPRODUCT((groupe='Base de donnée'!C145)*(OFFSET(groupe,,1)='Base de donnée'!F145)*(OFFSET(groupe,,2)='Base de donnée'!H145)*(OFFSET(groupe,,8)))</f>
        <v>12</v>
      </c>
      <c r="M145" s="71">
        <f ca="1">SUMPRODUCT((groupe='Base de donnée'!C145)*(OFFSET(groupe,,1)='Base de donnée'!F145)*(OFFSET(groupe,,2)='Base de donnée'!H145)*(OFFSET(groupe,,9)))</f>
        <v>17.5</v>
      </c>
      <c r="N145" s="27">
        <f t="shared" ca="1" si="83"/>
        <v>7.5</v>
      </c>
      <c r="O145" s="27">
        <f t="shared" ca="1" si="84"/>
        <v>7.5</v>
      </c>
      <c r="P145" s="49">
        <f t="shared" ref="P145:P151" ca="1" si="88">IF(I145-O145-(W145+X145)&lt;=0,0,I145-O145-(W145+X145))</f>
        <v>0</v>
      </c>
      <c r="Q145" s="49">
        <f t="shared" ref="Q145:Q151" ca="1" si="89">IF(O145-I145-(W145+X145)&lt;=0,0,O145-I145-(W145+X145))</f>
        <v>0</v>
      </c>
      <c r="R145" s="27"/>
      <c r="S145" s="27" t="str">
        <f t="shared" si="79"/>
        <v/>
      </c>
      <c r="T145" s="27"/>
      <c r="U145" s="27" t="str">
        <f t="shared" si="80"/>
        <v/>
      </c>
      <c r="V145" s="27" t="str">
        <f t="shared" si="81"/>
        <v/>
      </c>
      <c r="W145" s="27"/>
      <c r="X145" s="28">
        <f ca="1">IF(OR(Z145=1,AA145=1,AB145=1,AC145=1,AD145=1),0,(SUMPRODUCT((groupe='Base de donnée'!C145)*(OFFSET(groupe,,1)='Base de donnée'!F145)*(OFFSET(groupe,,2)='Base de donnée'!H145)*(OFFSET(groupe,,5)))))</f>
        <v>0</v>
      </c>
      <c r="Y145" s="28"/>
      <c r="Z145" s="7"/>
      <c r="AA145" s="7"/>
      <c r="AB145" s="7"/>
      <c r="AC145" s="7"/>
      <c r="AD145" s="7"/>
      <c r="AE145" s="7"/>
    </row>
    <row r="146" spans="1:31" s="30" customFormat="1" x14ac:dyDescent="0.25">
      <c r="A146" s="6" t="s">
        <v>38</v>
      </c>
      <c r="B146" s="26" t="str">
        <f>VLOOKUP(GestionPersonnelRDJ[[#This Row],[Nom Prénom]],Personnels!Personnels,2,0)</f>
        <v>AMP</v>
      </c>
      <c r="C146" s="21" t="str">
        <f>VLOOKUP(GestionPersonnelRDJ[[#This Row],[Nom Prénom]],Personnels!Personnels,3,0)</f>
        <v>Passerelle</v>
      </c>
      <c r="D146" s="21" t="str">
        <f>VLOOKUP(GestionPersonnelRDJ[[#This Row],[Nom Prénom]],Personnels!Personnels,4,0)</f>
        <v>FH</v>
      </c>
      <c r="E146" s="2">
        <f>INT(MOD(INT((GestionPersonnelRDJ[[#This Row],[Date]]-2)/7)+0.6,52+5/28))+1</f>
        <v>50</v>
      </c>
      <c r="F146" s="7">
        <v>4</v>
      </c>
      <c r="G146" s="8">
        <v>40890</v>
      </c>
      <c r="H146" s="5" t="str">
        <f t="shared" si="87"/>
        <v>mardi</v>
      </c>
      <c r="I146" s="27">
        <f ca="1">SUMPRODUCT((groupe='Base de donnée'!C146)*(OFFSET(groupe,,1)='Base de donnée'!F146)*(OFFSET(groupe,,2)='Base de donnée'!H146)*(OFFSET(groupe,,3)))</f>
        <v>7.5</v>
      </c>
      <c r="J146" s="70">
        <f ca="1">SUMPRODUCT((groupe='Base de donnée'!C146)*(OFFSET(groupe,,1)='Base de donnée'!F146)*(OFFSET(groupe,,2)='Base de donnée'!H146)*(OFFSET(groupe,,6)))</f>
        <v>9.5</v>
      </c>
      <c r="K146" s="70">
        <f ca="1">SUMPRODUCT((groupe='Base de donnée'!C146)*(OFFSET(groupe,,1)='Base de donnée'!F146)*(OFFSET(groupe,,2)='Base de donnée'!H146)*(OFFSET(groupe,,7)))</f>
        <v>12</v>
      </c>
      <c r="L146" s="71">
        <f ca="1">SUMPRODUCT((groupe='Base de donnée'!C146)*(OFFSET(groupe,,1)='Base de donnée'!F146)*(OFFSET(groupe,,2)='Base de donnée'!H146)*(OFFSET(groupe,,8)))</f>
        <v>12</v>
      </c>
      <c r="M146" s="73">
        <v>19</v>
      </c>
      <c r="N146" s="27">
        <f t="shared" ca="1" si="83"/>
        <v>9.5</v>
      </c>
      <c r="O146" s="27">
        <f t="shared" ca="1" si="84"/>
        <v>9.5</v>
      </c>
      <c r="P146" s="49">
        <f t="shared" ca="1" si="88"/>
        <v>0</v>
      </c>
      <c r="Q146" s="49">
        <f t="shared" ca="1" si="89"/>
        <v>2</v>
      </c>
      <c r="R146" s="27"/>
      <c r="S146" s="27" t="str">
        <f t="shared" si="79"/>
        <v/>
      </c>
      <c r="T146" s="27"/>
      <c r="U146" s="27" t="str">
        <f t="shared" si="80"/>
        <v/>
      </c>
      <c r="V146" s="27" t="str">
        <f t="shared" si="81"/>
        <v/>
      </c>
      <c r="W146" s="27"/>
      <c r="X146" s="28">
        <f ca="1">IF(OR(Z146=1,AA146=1,AB146=1,AC146=1,AD146=1),0,(SUMPRODUCT((groupe='Base de donnée'!C146)*(OFFSET(groupe,,1)='Base de donnée'!F146)*(OFFSET(groupe,,2)='Base de donnée'!H146)*(OFFSET(groupe,,5)))))</f>
        <v>0</v>
      </c>
      <c r="Y146" s="28"/>
      <c r="Z146" s="7"/>
      <c r="AA146" s="7"/>
      <c r="AB146" s="7"/>
      <c r="AC146" s="7"/>
      <c r="AD146" s="7"/>
      <c r="AE146" s="7"/>
    </row>
    <row r="147" spans="1:31" s="30" customFormat="1" x14ac:dyDescent="0.25">
      <c r="A147" s="6" t="s">
        <v>38</v>
      </c>
      <c r="B147" s="26" t="str">
        <f>VLOOKUP(GestionPersonnelRDJ[[#This Row],[Nom Prénom]],Personnels!Personnels,2,0)</f>
        <v>AMP</v>
      </c>
      <c r="C147" s="21" t="str">
        <f>VLOOKUP(GestionPersonnelRDJ[[#This Row],[Nom Prénom]],Personnels!Personnels,3,0)</f>
        <v>Passerelle</v>
      </c>
      <c r="D147" s="21" t="str">
        <f>VLOOKUP(GestionPersonnelRDJ[[#This Row],[Nom Prénom]],Personnels!Personnels,4,0)</f>
        <v>FH</v>
      </c>
      <c r="E147" s="2">
        <f>INT(MOD(INT((GestionPersonnelRDJ[[#This Row],[Date]]-2)/7)+0.6,52+5/28))+1</f>
        <v>50</v>
      </c>
      <c r="F147" s="7">
        <v>4</v>
      </c>
      <c r="G147" s="8">
        <v>40891</v>
      </c>
      <c r="H147" s="5" t="str">
        <f t="shared" si="87"/>
        <v>mercredi</v>
      </c>
      <c r="I147" s="27">
        <f ca="1">SUMPRODUCT((groupe='Base de donnée'!C147)*(OFFSET(groupe,,1)='Base de donnée'!F147)*(OFFSET(groupe,,2)='Base de donnée'!H147)*(OFFSET(groupe,,3)))</f>
        <v>7.5</v>
      </c>
      <c r="J147" s="70">
        <f ca="1">SUMPRODUCT((groupe='Base de donnée'!C147)*(OFFSET(groupe,,1)='Base de donnée'!F147)*(OFFSET(groupe,,2)='Base de donnée'!H147)*(OFFSET(groupe,,6)))</f>
        <v>10</v>
      </c>
      <c r="K147" s="70">
        <f ca="1">SUMPRODUCT((groupe='Base de donnée'!C147)*(OFFSET(groupe,,1)='Base de donnée'!F147)*(OFFSET(groupe,,2)='Base de donnée'!H147)*(OFFSET(groupe,,7)))</f>
        <v>12</v>
      </c>
      <c r="L147" s="71">
        <f ca="1">SUMPRODUCT((groupe='Base de donnée'!C147)*(OFFSET(groupe,,1)='Base de donnée'!F147)*(OFFSET(groupe,,2)='Base de donnée'!H147)*(OFFSET(groupe,,8)))</f>
        <v>12</v>
      </c>
      <c r="M147" s="71">
        <f ca="1">SUMPRODUCT((groupe='Base de donnée'!C147)*(OFFSET(groupe,,1)='Base de donnée'!F147)*(OFFSET(groupe,,2)='Base de donnée'!H147)*(OFFSET(groupe,,9)))</f>
        <v>17.5</v>
      </c>
      <c r="N147" s="27">
        <f t="shared" ca="1" si="83"/>
        <v>7.5</v>
      </c>
      <c r="O147" s="27">
        <f t="shared" ca="1" si="84"/>
        <v>7.5</v>
      </c>
      <c r="P147" s="49">
        <f t="shared" ca="1" si="88"/>
        <v>0</v>
      </c>
      <c r="Q147" s="49">
        <f t="shared" ca="1" si="89"/>
        <v>0</v>
      </c>
      <c r="R147" s="27"/>
      <c r="S147" s="27" t="str">
        <f t="shared" si="79"/>
        <v/>
      </c>
      <c r="T147" s="27"/>
      <c r="U147" s="27" t="str">
        <f t="shared" si="80"/>
        <v/>
      </c>
      <c r="V147" s="27" t="str">
        <f t="shared" si="81"/>
        <v/>
      </c>
      <c r="W147" s="27"/>
      <c r="X147" s="28">
        <f ca="1">IF(OR(Z147=1,AA147=1,AB147=1,AC147=1,AD147=1),0,(SUMPRODUCT((groupe='Base de donnée'!C147)*(OFFSET(groupe,,1)='Base de donnée'!F147)*(OFFSET(groupe,,2)='Base de donnée'!H147)*(OFFSET(groupe,,5)))))</f>
        <v>0</v>
      </c>
      <c r="Y147" s="28"/>
      <c r="Z147" s="7"/>
      <c r="AA147" s="7"/>
      <c r="AB147" s="7"/>
      <c r="AC147" s="7"/>
      <c r="AD147" s="7"/>
      <c r="AE147" s="7"/>
    </row>
    <row r="148" spans="1:31" s="30" customFormat="1" x14ac:dyDescent="0.25">
      <c r="A148" s="6" t="s">
        <v>38</v>
      </c>
      <c r="B148" s="26" t="str">
        <f>VLOOKUP(GestionPersonnelRDJ[[#This Row],[Nom Prénom]],Personnels!Personnels,2,0)</f>
        <v>AMP</v>
      </c>
      <c r="C148" s="21" t="str">
        <f>VLOOKUP(GestionPersonnelRDJ[[#This Row],[Nom Prénom]],Personnels!Personnels,3,0)</f>
        <v>Passerelle</v>
      </c>
      <c r="D148" s="21" t="str">
        <f>VLOOKUP(GestionPersonnelRDJ[[#This Row],[Nom Prénom]],Personnels!Personnels,4,0)</f>
        <v>FH</v>
      </c>
      <c r="E148" s="2">
        <f>INT(MOD(INT((GestionPersonnelRDJ[[#This Row],[Date]]-2)/7)+0.6,52+5/28))+1</f>
        <v>50</v>
      </c>
      <c r="F148" s="7">
        <v>4</v>
      </c>
      <c r="G148" s="8">
        <v>40892</v>
      </c>
      <c r="H148" s="5" t="str">
        <f t="shared" si="87"/>
        <v>jeudi</v>
      </c>
      <c r="I148" s="27">
        <f ca="1">SUMPRODUCT((groupe='Base de donnée'!C148)*(OFFSET(groupe,,1)='Base de donnée'!F148)*(OFFSET(groupe,,2)='Base de donnée'!H148)*(OFFSET(groupe,,3)))</f>
        <v>7.5</v>
      </c>
      <c r="J148" s="70">
        <f ca="1">SUMPRODUCT((groupe='Base de donnée'!C148)*(OFFSET(groupe,,1)='Base de donnée'!F148)*(OFFSET(groupe,,2)='Base de donnée'!H148)*(OFFSET(groupe,,6)))</f>
        <v>10</v>
      </c>
      <c r="K148" s="70">
        <f ca="1">SUMPRODUCT((groupe='Base de donnée'!C148)*(OFFSET(groupe,,1)='Base de donnée'!F148)*(OFFSET(groupe,,2)='Base de donnée'!H148)*(OFFSET(groupe,,7)))</f>
        <v>12</v>
      </c>
      <c r="L148" s="71">
        <f ca="1">SUMPRODUCT((groupe='Base de donnée'!C148)*(OFFSET(groupe,,1)='Base de donnée'!F148)*(OFFSET(groupe,,2)='Base de donnée'!H148)*(OFFSET(groupe,,8)))</f>
        <v>12</v>
      </c>
      <c r="M148" s="71">
        <f ca="1">SUMPRODUCT((groupe='Base de donnée'!C148)*(OFFSET(groupe,,1)='Base de donnée'!F148)*(OFFSET(groupe,,2)='Base de donnée'!H148)*(OFFSET(groupe,,9)))</f>
        <v>17.5</v>
      </c>
      <c r="N148" s="27">
        <f t="shared" ca="1" si="83"/>
        <v>7.5</v>
      </c>
      <c r="O148" s="27">
        <f t="shared" ca="1" si="84"/>
        <v>7.5</v>
      </c>
      <c r="P148" s="49">
        <f t="shared" ca="1" si="88"/>
        <v>0</v>
      </c>
      <c r="Q148" s="49">
        <f t="shared" ca="1" si="89"/>
        <v>0</v>
      </c>
      <c r="R148" s="27"/>
      <c r="S148" s="27" t="str">
        <f t="shared" si="79"/>
        <v/>
      </c>
      <c r="T148" s="27"/>
      <c r="U148" s="27" t="str">
        <f t="shared" si="80"/>
        <v/>
      </c>
      <c r="V148" s="27" t="str">
        <f t="shared" si="81"/>
        <v/>
      </c>
      <c r="W148" s="27"/>
      <c r="X148" s="28">
        <f ca="1">IF(OR(Z148=1,AA148=1,AB148=1,AC148=1,AD148=1),0,(SUMPRODUCT((groupe='Base de donnée'!C148)*(OFFSET(groupe,,1)='Base de donnée'!F148)*(OFFSET(groupe,,2)='Base de donnée'!H148)*(OFFSET(groupe,,5)))))</f>
        <v>0</v>
      </c>
      <c r="Y148" s="28"/>
      <c r="Z148" s="7"/>
      <c r="AA148" s="7"/>
      <c r="AB148" s="7"/>
      <c r="AC148" s="7"/>
      <c r="AD148" s="7"/>
      <c r="AE148" s="7"/>
    </row>
    <row r="149" spans="1:31" s="30" customFormat="1" x14ac:dyDescent="0.25">
      <c r="A149" s="6" t="s">
        <v>38</v>
      </c>
      <c r="B149" s="26" t="str">
        <f>VLOOKUP(GestionPersonnelRDJ[[#This Row],[Nom Prénom]],Personnels!Personnels,2,0)</f>
        <v>AMP</v>
      </c>
      <c r="C149" s="21" t="str">
        <f>VLOOKUP(GestionPersonnelRDJ[[#This Row],[Nom Prénom]],Personnels!Personnels,3,0)</f>
        <v>Passerelle</v>
      </c>
      <c r="D149" s="21" t="str">
        <f>VLOOKUP(GestionPersonnelRDJ[[#This Row],[Nom Prénom]],Personnels!Personnels,4,0)</f>
        <v>FH</v>
      </c>
      <c r="E149" s="2">
        <f>INT(MOD(INT((GestionPersonnelRDJ[[#This Row],[Date]]-2)/7)+0.6,52+5/28))+1</f>
        <v>50</v>
      </c>
      <c r="F149" s="7">
        <v>4</v>
      </c>
      <c r="G149" s="8">
        <v>40893</v>
      </c>
      <c r="H149" s="5" t="str">
        <f t="shared" si="87"/>
        <v>vendredi</v>
      </c>
      <c r="I149" s="27">
        <f ca="1">SUMPRODUCT((groupe='Base de donnée'!C149)*(OFFSET(groupe,,1)='Base de donnée'!F149)*(OFFSET(groupe,,2)='Base de donnée'!H149)*(OFFSET(groupe,,3)))</f>
        <v>7</v>
      </c>
      <c r="J149" s="70">
        <f ca="1">SUMPRODUCT((groupe='Base de donnée'!C149)*(OFFSET(groupe,,1)='Base de donnée'!F149)*(OFFSET(groupe,,2)='Base de donnée'!H149)*(OFFSET(groupe,,6)))</f>
        <v>9.5</v>
      </c>
      <c r="K149" s="70">
        <f ca="1">SUMPRODUCT((groupe='Base de donnée'!C149)*(OFFSET(groupe,,1)='Base de donnée'!F149)*(OFFSET(groupe,,2)='Base de donnée'!H149)*(OFFSET(groupe,,7)))</f>
        <v>12</v>
      </c>
      <c r="L149" s="71">
        <f ca="1">SUMPRODUCT((groupe='Base de donnée'!C149)*(OFFSET(groupe,,1)='Base de donnée'!F149)*(OFFSET(groupe,,2)='Base de donnée'!H149)*(OFFSET(groupe,,8)))</f>
        <v>12</v>
      </c>
      <c r="M149" s="71">
        <f ca="1">SUMPRODUCT((groupe='Base de donnée'!C149)*(OFFSET(groupe,,1)='Base de donnée'!F149)*(OFFSET(groupe,,2)='Base de donnée'!H149)*(OFFSET(groupe,,9)))</f>
        <v>16.5</v>
      </c>
      <c r="N149" s="27">
        <f t="shared" ca="1" si="83"/>
        <v>7</v>
      </c>
      <c r="O149" s="27">
        <f t="shared" ca="1" si="84"/>
        <v>7</v>
      </c>
      <c r="P149" s="49">
        <f t="shared" ca="1" si="88"/>
        <v>0</v>
      </c>
      <c r="Q149" s="49">
        <f t="shared" ca="1" si="89"/>
        <v>0</v>
      </c>
      <c r="R149" s="27"/>
      <c r="S149" s="27" t="str">
        <f t="shared" si="79"/>
        <v/>
      </c>
      <c r="T149" s="27"/>
      <c r="U149" s="27" t="str">
        <f t="shared" si="80"/>
        <v/>
      </c>
      <c r="V149" s="27" t="str">
        <f t="shared" si="81"/>
        <v/>
      </c>
      <c r="W149" s="27"/>
      <c r="X149" s="28">
        <f ca="1">IF(OR(Z149=1,AA149=1,AB149=1,AC149=1,AD149=1),0,(SUMPRODUCT((groupe='Base de donnée'!C149)*(OFFSET(groupe,,1)='Base de donnée'!F149)*(OFFSET(groupe,,2)='Base de donnée'!H149)*(OFFSET(groupe,,5)))))</f>
        <v>0</v>
      </c>
      <c r="Y149" s="28"/>
      <c r="Z149" s="7"/>
      <c r="AA149" s="7"/>
      <c r="AB149" s="7"/>
      <c r="AC149" s="7"/>
      <c r="AD149" s="7"/>
      <c r="AE149" s="7"/>
    </row>
    <row r="150" spans="1:31" s="30" customFormat="1" x14ac:dyDescent="0.25">
      <c r="A150" s="6" t="s">
        <v>38</v>
      </c>
      <c r="B150" s="26" t="str">
        <f>VLOOKUP(GestionPersonnelRDJ[[#This Row],[Nom Prénom]],Personnels!Personnels,2,0)</f>
        <v>AMP</v>
      </c>
      <c r="C150" s="21" t="str">
        <f>VLOOKUP(GestionPersonnelRDJ[[#This Row],[Nom Prénom]],Personnels!Personnels,3,0)</f>
        <v>Passerelle</v>
      </c>
      <c r="D150" s="21" t="str">
        <f>VLOOKUP(GestionPersonnelRDJ[[#This Row],[Nom Prénom]],Personnels!Personnels,4,0)</f>
        <v>FH</v>
      </c>
      <c r="E150" s="2">
        <f>INT(MOD(INT((GestionPersonnelRDJ[[#This Row],[Date]]-2)/7)+0.6,52+5/28))+1</f>
        <v>50</v>
      </c>
      <c r="F150" s="7">
        <v>4</v>
      </c>
      <c r="G150" s="8">
        <v>40894</v>
      </c>
      <c r="H150" s="5" t="str">
        <f t="shared" si="87"/>
        <v>samedi</v>
      </c>
      <c r="I150" s="27">
        <f ca="1">SUMPRODUCT((groupe='Base de donnée'!C150)*(OFFSET(groupe,,1)='Base de donnée'!F150)*(OFFSET(groupe,,2)='Base de donnée'!H150)*(OFFSET(groupe,,3)))</f>
        <v>0</v>
      </c>
      <c r="J150" s="70">
        <f ca="1">SUMPRODUCT((groupe='Base de donnée'!C150)*(OFFSET(groupe,,1)='Base de donnée'!F150)*(OFFSET(groupe,,2)='Base de donnée'!H150)*(OFFSET(groupe,,6)))</f>
        <v>0</v>
      </c>
      <c r="K150" s="70">
        <f ca="1">SUMPRODUCT((groupe='Base de donnée'!C150)*(OFFSET(groupe,,1)='Base de donnée'!F150)*(OFFSET(groupe,,2)='Base de donnée'!H150)*(OFFSET(groupe,,7)))</f>
        <v>0</v>
      </c>
      <c r="L150" s="71">
        <f ca="1">SUMPRODUCT((groupe='Base de donnée'!C150)*(OFFSET(groupe,,1)='Base de donnée'!F150)*(OFFSET(groupe,,2)='Base de donnée'!H150)*(OFFSET(groupe,,8)))</f>
        <v>0</v>
      </c>
      <c r="M150" s="71">
        <f ca="1">SUMPRODUCT((groupe='Base de donnée'!C150)*(OFFSET(groupe,,1)='Base de donnée'!F150)*(OFFSET(groupe,,2)='Base de donnée'!H150)*(OFFSET(groupe,,9)))</f>
        <v>0</v>
      </c>
      <c r="N150" s="27">
        <f t="shared" ca="1" si="83"/>
        <v>0</v>
      </c>
      <c r="O150" s="27">
        <f t="shared" ca="1" si="84"/>
        <v>0</v>
      </c>
      <c r="P150" s="49">
        <f t="shared" ca="1" si="88"/>
        <v>0</v>
      </c>
      <c r="Q150" s="49">
        <f t="shared" ca="1" si="89"/>
        <v>0</v>
      </c>
      <c r="R150" s="27"/>
      <c r="S150" s="27" t="str">
        <f t="shared" si="79"/>
        <v/>
      </c>
      <c r="T150" s="27"/>
      <c r="U150" s="27" t="str">
        <f t="shared" si="80"/>
        <v/>
      </c>
      <c r="V150" s="27" t="str">
        <f t="shared" si="81"/>
        <v/>
      </c>
      <c r="W150" s="27"/>
      <c r="X150" s="28">
        <f ca="1">IF(OR(Z150=1,AA150=1,AB150=1,AC150=1,AD150=1),0,(SUMPRODUCT((groupe='Base de donnée'!C150)*(OFFSET(groupe,,1)='Base de donnée'!F150)*(OFFSET(groupe,,2)='Base de donnée'!H150)*(OFFSET(groupe,,5)))))</f>
        <v>0</v>
      </c>
      <c r="Y150" s="28"/>
      <c r="Z150" s="7"/>
      <c r="AA150" s="7"/>
      <c r="AB150" s="7"/>
      <c r="AC150" s="7"/>
      <c r="AD150" s="7"/>
      <c r="AE150" s="7"/>
    </row>
    <row r="151" spans="1:31" s="30" customFormat="1" x14ac:dyDescent="0.25">
      <c r="A151" s="6" t="s">
        <v>38</v>
      </c>
      <c r="B151" s="26" t="str">
        <f>VLOOKUP(GestionPersonnelRDJ[[#This Row],[Nom Prénom]],Personnels!Personnels,2,0)</f>
        <v>AMP</v>
      </c>
      <c r="C151" s="21" t="str">
        <f>VLOOKUP(GestionPersonnelRDJ[[#This Row],[Nom Prénom]],Personnels!Personnels,3,0)</f>
        <v>Passerelle</v>
      </c>
      <c r="D151" s="21" t="str">
        <f>VLOOKUP(GestionPersonnelRDJ[[#This Row],[Nom Prénom]],Personnels!Personnels,4,0)</f>
        <v>FH</v>
      </c>
      <c r="E151" s="2">
        <f>INT(MOD(INT((GestionPersonnelRDJ[[#This Row],[Date]]-2)/7)+0.6,52+5/28))+1</f>
        <v>50</v>
      </c>
      <c r="F151" s="7">
        <v>4</v>
      </c>
      <c r="G151" s="8">
        <v>40895</v>
      </c>
      <c r="H151" s="5" t="str">
        <f t="shared" si="87"/>
        <v>dimanche</v>
      </c>
      <c r="I151" s="27">
        <f ca="1">SUMPRODUCT((groupe='Base de donnée'!C151)*(OFFSET(groupe,,1)='Base de donnée'!F151)*(OFFSET(groupe,,2)='Base de donnée'!H151)*(OFFSET(groupe,,3)))</f>
        <v>0</v>
      </c>
      <c r="J151" s="70">
        <f ca="1">SUMPRODUCT((groupe='Base de donnée'!C151)*(OFFSET(groupe,,1)='Base de donnée'!F151)*(OFFSET(groupe,,2)='Base de donnée'!H151)*(OFFSET(groupe,,6)))</f>
        <v>0</v>
      </c>
      <c r="K151" s="70">
        <f ca="1">SUMPRODUCT((groupe='Base de donnée'!C151)*(OFFSET(groupe,,1)='Base de donnée'!F151)*(OFFSET(groupe,,2)='Base de donnée'!H151)*(OFFSET(groupe,,7)))</f>
        <v>0</v>
      </c>
      <c r="L151" s="71">
        <f ca="1">SUMPRODUCT((groupe='Base de donnée'!C151)*(OFFSET(groupe,,1)='Base de donnée'!F151)*(OFFSET(groupe,,2)='Base de donnée'!H151)*(OFFSET(groupe,,8)))</f>
        <v>0</v>
      </c>
      <c r="M151" s="71">
        <f ca="1">SUMPRODUCT((groupe='Base de donnée'!C151)*(OFFSET(groupe,,1)='Base de donnée'!F151)*(OFFSET(groupe,,2)='Base de donnée'!H151)*(OFFSET(groupe,,9)))</f>
        <v>0</v>
      </c>
      <c r="N151" s="27">
        <f t="shared" ca="1" si="83"/>
        <v>0</v>
      </c>
      <c r="O151" s="27">
        <f t="shared" ca="1" si="84"/>
        <v>0</v>
      </c>
      <c r="P151" s="49">
        <f t="shared" ca="1" si="88"/>
        <v>0</v>
      </c>
      <c r="Q151" s="49">
        <f t="shared" ca="1" si="89"/>
        <v>0</v>
      </c>
      <c r="R151" s="27"/>
      <c r="S151" s="27">
        <f t="shared" ca="1" si="79"/>
        <v>0</v>
      </c>
      <c r="T151" s="27"/>
      <c r="U151" s="27" t="str">
        <f t="shared" si="80"/>
        <v/>
      </c>
      <c r="V151" s="27">
        <f t="shared" ca="1" si="81"/>
        <v>0</v>
      </c>
      <c r="W151" s="27"/>
      <c r="X151" s="28">
        <f ca="1">IF(OR(Z151=1,AA151=1,AB151=1,AC151=1,AD151=1),0,(SUMPRODUCT((groupe='Base de donnée'!C151)*(OFFSET(groupe,,1)='Base de donnée'!F151)*(OFFSET(groupe,,2)='Base de donnée'!H151)*(OFFSET(groupe,,5)))))</f>
        <v>0</v>
      </c>
      <c r="Y151" s="28"/>
      <c r="Z151" s="7"/>
      <c r="AA151" s="7"/>
      <c r="AB151" s="7"/>
      <c r="AC151" s="7"/>
      <c r="AD151" s="7"/>
      <c r="AE151" s="7"/>
    </row>
  </sheetData>
  <sheetProtection selectLockedCells="1"/>
  <mergeCells count="8">
    <mergeCell ref="J1:M1"/>
    <mergeCell ref="J2:K2"/>
    <mergeCell ref="L2:M2"/>
    <mergeCell ref="AF2:AG2"/>
    <mergeCell ref="AH1:AM1"/>
    <mergeCell ref="AL2:AM2"/>
    <mergeCell ref="AJ2:AK2"/>
    <mergeCell ref="AH2:AI2"/>
  </mergeCells>
  <conditionalFormatting sqref="N152:N1048576 I2 I1:J1 I3:M3 I4:I151">
    <cfRule type="dataBar" priority="15">
      <dataBar>
        <cfvo type="min"/>
        <cfvo type="max"/>
        <color theme="9" tint="-0.249977111117893"/>
      </dataBar>
    </cfRule>
  </conditionalFormatting>
  <conditionalFormatting sqref="P152:Q1048576 O1:O3">
    <cfRule type="dataBar" priority="13">
      <dataBar>
        <cfvo type="min"/>
        <cfvo type="max"/>
        <color rgb="FF63C384"/>
      </dataBar>
    </cfRule>
  </conditionalFormatting>
  <conditionalFormatting sqref="N4:N151">
    <cfRule type="cellIs" dxfId="63" priority="5" operator="greaterThan">
      <formula>12</formula>
    </cfRule>
  </conditionalFormatting>
  <conditionalFormatting sqref="O4:O151">
    <cfRule type="cellIs" dxfId="62" priority="1" operator="greaterThan">
      <formula>12</formula>
    </cfRule>
  </conditionalFormatting>
  <conditionalFormatting sqref="N3:O3">
    <cfRule type="dataBar" priority="444">
      <dataBar>
        <cfvo type="min"/>
        <cfvo type="max"/>
        <color rgb="FF638EC6"/>
      </dataBar>
    </cfRule>
  </conditionalFormatting>
  <conditionalFormatting sqref="I4:I151">
    <cfRule type="dataBar" priority="611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{049C6CEA-48D6-4FDD-A02B-4E33AB3FA76D}</x14:id>
        </ext>
      </extLst>
    </cfRule>
  </conditionalFormatting>
  <dataValidations count="1">
    <dataValidation type="whole" allowBlank="1" showInputMessage="1" showErrorMessage="1" errorTitle="Semaine calendaire" error="vous pouvez écrire un_x000a_nombre entre 1 et 53" sqref="E4:E151">
      <formula1>1</formula1>
      <formula2>53</formula2>
    </dataValidation>
  </dataValidations>
  <pageMargins left="0.34" right="0.27" top="0.42" bottom="0.49" header="0.16" footer="0.31496062992125984"/>
  <pageSetup paperSize="9" scale="51" fitToHeight="0" orientation="landscape" horizontalDpi="360" verticalDpi="360" r:id="rId1"/>
  <headerFooter>
    <oddHeader>&amp;C&amp;"-,Gras"&amp;12Base de donnée du Personnel
Du Foyer d'Hébergement</oddHeader>
    <oddFooter>&amp;C&amp;P&amp;R&amp;D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9C6CEA-48D6-4FDD-A02B-4E33AB3FA76D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I4:I151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Personnels!$F$3:$F$57</xm:f>
          </x14:formula1>
          <xm:sqref>A4:A151</xm:sqref>
        </x14:dataValidation>
        <x14:dataValidation type="list" allowBlank="1" showInputMessage="1" showErrorMessage="1">
          <x14:formula1>
            <xm:f>'Liste Formations'!$A$2:$A$18</xm:f>
          </x14:formula1>
          <xm:sqref>AG4:AG151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57"/>
  <sheetViews>
    <sheetView topLeftCell="A25" zoomScale="160" zoomScaleNormal="160" workbookViewId="0">
      <selection activeCell="B31" sqref="B31"/>
    </sheetView>
  </sheetViews>
  <sheetFormatPr baseColWidth="10" defaultColWidth="11.5703125" defaultRowHeight="12.75" x14ac:dyDescent="0.2"/>
  <cols>
    <col min="1" max="1" width="11.5703125" style="22"/>
    <col min="2" max="2" width="21.85546875" style="22" bestFit="1" customWidth="1"/>
    <col min="3" max="5" width="11.5703125" style="22"/>
    <col min="6" max="6" width="28.140625" style="22" bestFit="1" customWidth="1"/>
    <col min="7" max="16384" width="11.5703125" style="22"/>
  </cols>
  <sheetData>
    <row r="2" spans="2:6" x14ac:dyDescent="0.2">
      <c r="B2" s="22" t="s">
        <v>40</v>
      </c>
      <c r="C2" s="22" t="s">
        <v>0</v>
      </c>
      <c r="D2" s="22" t="s">
        <v>1</v>
      </c>
      <c r="E2" s="22" t="s">
        <v>73</v>
      </c>
    </row>
    <row r="3" spans="2:6" x14ac:dyDescent="0.2">
      <c r="B3" s="24" t="s">
        <v>25</v>
      </c>
      <c r="C3" s="24" t="s">
        <v>13</v>
      </c>
      <c r="D3" s="24" t="s">
        <v>118</v>
      </c>
      <c r="E3" s="22" t="s">
        <v>42</v>
      </c>
      <c r="F3" s="25" t="str">
        <f>Table[[#This Row],[NOM Prénom]]</f>
        <v>ALEXANDRE Claudine</v>
      </c>
    </row>
    <row r="4" spans="2:6" x14ac:dyDescent="0.2">
      <c r="B4" s="31" t="s">
        <v>80</v>
      </c>
      <c r="C4" s="23" t="s">
        <v>7</v>
      </c>
      <c r="D4" s="22" t="s">
        <v>81</v>
      </c>
      <c r="E4" s="52" t="s">
        <v>82</v>
      </c>
      <c r="F4" s="25" t="str">
        <f>Table[[#This Row],[NOM Prénom]]</f>
        <v>AUDY Catherine</v>
      </c>
    </row>
    <row r="5" spans="2:6" x14ac:dyDescent="0.2">
      <c r="B5" s="23" t="s">
        <v>77</v>
      </c>
      <c r="C5" s="23" t="s">
        <v>12</v>
      </c>
      <c r="D5" s="22" t="s">
        <v>41</v>
      </c>
      <c r="E5" s="22" t="s">
        <v>42</v>
      </c>
      <c r="F5" s="25" t="str">
        <f>Table[[#This Row],[NOM Prénom]]</f>
        <v>BAILLACHE-AHMED Vanessa</v>
      </c>
    </row>
    <row r="6" spans="2:6" x14ac:dyDescent="0.2">
      <c r="B6" s="31" t="s">
        <v>83</v>
      </c>
      <c r="C6" s="23" t="s">
        <v>12</v>
      </c>
      <c r="D6" s="22" t="s">
        <v>158</v>
      </c>
      <c r="E6" s="52" t="s">
        <v>84</v>
      </c>
      <c r="F6" s="25" t="str">
        <f>Table[[#This Row],[NOM Prénom]]</f>
        <v>BRATTI Dominique</v>
      </c>
    </row>
    <row r="7" spans="2:6" x14ac:dyDescent="0.2">
      <c r="B7" s="31" t="s">
        <v>85</v>
      </c>
      <c r="C7" s="23" t="s">
        <v>12</v>
      </c>
      <c r="D7" s="22" t="s">
        <v>142</v>
      </c>
      <c r="E7" s="52" t="s">
        <v>84</v>
      </c>
      <c r="F7" s="25" t="str">
        <f>Table[[#This Row],[NOM Prénom]]</f>
        <v>CABANTOUS Mathieu</v>
      </c>
    </row>
    <row r="8" spans="2:6" x14ac:dyDescent="0.2">
      <c r="B8" s="31" t="s">
        <v>86</v>
      </c>
      <c r="C8" s="23" t="s">
        <v>13</v>
      </c>
      <c r="D8" s="22" t="s">
        <v>141</v>
      </c>
      <c r="E8" s="52" t="s">
        <v>84</v>
      </c>
      <c r="F8" s="25" t="str">
        <f>Table[[#This Row],[NOM Prénom]]</f>
        <v>CACITTI Florence</v>
      </c>
    </row>
    <row r="9" spans="2:6" x14ac:dyDescent="0.2">
      <c r="B9" s="31" t="s">
        <v>87</v>
      </c>
      <c r="C9" s="23" t="s">
        <v>88</v>
      </c>
      <c r="D9" s="22" t="s">
        <v>128</v>
      </c>
      <c r="E9" s="52" t="s">
        <v>42</v>
      </c>
      <c r="F9" s="25" t="str">
        <f>Table[[#This Row],[NOM Prénom]]</f>
        <v>CARLOT Jocelyne</v>
      </c>
    </row>
    <row r="10" spans="2:6" x14ac:dyDescent="0.2">
      <c r="B10" s="31" t="s">
        <v>161</v>
      </c>
      <c r="C10" s="23" t="s">
        <v>7</v>
      </c>
      <c r="D10" s="22" t="s">
        <v>45</v>
      </c>
      <c r="E10" s="52" t="s">
        <v>42</v>
      </c>
      <c r="F10" s="25" t="str">
        <f>Table[[#This Row],[NOM Prénom]]</f>
        <v>CARRE Vanessa</v>
      </c>
    </row>
    <row r="11" spans="2:6" x14ac:dyDescent="0.2">
      <c r="B11" s="31" t="s">
        <v>89</v>
      </c>
      <c r="C11" s="23" t="s">
        <v>13</v>
      </c>
      <c r="D11" s="22" t="s">
        <v>90</v>
      </c>
      <c r="E11" s="52" t="s">
        <v>82</v>
      </c>
      <c r="F11" s="25" t="str">
        <f>Table[[#This Row],[NOM Prénom]]</f>
        <v>CHABANAS Céline</v>
      </c>
    </row>
    <row r="12" spans="2:6" x14ac:dyDescent="0.2">
      <c r="B12" s="31" t="s">
        <v>76</v>
      </c>
      <c r="C12" s="23" t="s">
        <v>13</v>
      </c>
      <c r="D12" s="22" t="s">
        <v>74</v>
      </c>
      <c r="E12" s="52" t="s">
        <v>42</v>
      </c>
      <c r="F12" s="25" t="str">
        <f>Table[[#This Row],[NOM Prénom]]</f>
        <v>CHARTIER Carole</v>
      </c>
    </row>
    <row r="13" spans="2:6" x14ac:dyDescent="0.2">
      <c r="B13" s="24" t="s">
        <v>26</v>
      </c>
      <c r="C13" s="24" t="s">
        <v>7</v>
      </c>
      <c r="D13" s="22" t="s">
        <v>75</v>
      </c>
      <c r="E13" s="22" t="s">
        <v>42</v>
      </c>
      <c r="F13" s="25" t="str">
        <f>Table[[#This Row],[NOM Prénom]]</f>
        <v>CLEMENT Sylviane</v>
      </c>
    </row>
    <row r="14" spans="2:6" x14ac:dyDescent="0.2">
      <c r="B14" s="24" t="s">
        <v>18</v>
      </c>
      <c r="C14" s="24" t="s">
        <v>12</v>
      </c>
      <c r="D14" s="22" t="s">
        <v>75</v>
      </c>
      <c r="E14" s="22" t="s">
        <v>42</v>
      </c>
      <c r="F14" s="25" t="str">
        <f>Table[[#This Row],[NOM Prénom]]</f>
        <v>CLOZEL Yvette</v>
      </c>
    </row>
    <row r="15" spans="2:6" x14ac:dyDescent="0.2">
      <c r="B15" s="24" t="s">
        <v>78</v>
      </c>
      <c r="C15" s="24" t="s">
        <v>12</v>
      </c>
      <c r="D15" s="22" t="s">
        <v>74</v>
      </c>
      <c r="E15" s="22" t="s">
        <v>42</v>
      </c>
      <c r="F15" s="25" t="str">
        <f>Table[[#This Row],[NOM Prénom]]</f>
        <v>DE CHABALIER Mathieu</v>
      </c>
    </row>
    <row r="16" spans="2:6" x14ac:dyDescent="0.2">
      <c r="B16" s="24" t="s">
        <v>27</v>
      </c>
      <c r="C16" s="24" t="s">
        <v>13</v>
      </c>
      <c r="D16" s="22" t="s">
        <v>41</v>
      </c>
      <c r="E16" s="22" t="s">
        <v>42</v>
      </c>
      <c r="F16" s="25" t="str">
        <f>Table[[#This Row],[NOM Prénom]]</f>
        <v>DELOBEL Cathy</v>
      </c>
    </row>
    <row r="17" spans="2:6" x14ac:dyDescent="0.2">
      <c r="B17" s="24" t="s">
        <v>79</v>
      </c>
      <c r="C17" s="24" t="s">
        <v>7</v>
      </c>
      <c r="D17" s="22" t="s">
        <v>8</v>
      </c>
      <c r="E17" s="22" t="s">
        <v>42</v>
      </c>
      <c r="F17" s="25" t="str">
        <f>Table[[#This Row],[NOM Prénom]]</f>
        <v>DELOY Lilian</v>
      </c>
    </row>
    <row r="18" spans="2:6" x14ac:dyDescent="0.2">
      <c r="B18" s="24" t="s">
        <v>28</v>
      </c>
      <c r="C18" s="24" t="s">
        <v>13</v>
      </c>
      <c r="D18" s="22" t="s">
        <v>43</v>
      </c>
      <c r="E18" s="22" t="s">
        <v>42</v>
      </c>
      <c r="F18" s="25" t="str">
        <f>Table[[#This Row],[NOM Prénom]]</f>
        <v>DELRIEUX Guy</v>
      </c>
    </row>
    <row r="19" spans="2:6" x14ac:dyDescent="0.2">
      <c r="B19" s="31" t="s">
        <v>91</v>
      </c>
      <c r="C19" s="23" t="s">
        <v>92</v>
      </c>
      <c r="D19" s="22" t="s">
        <v>132</v>
      </c>
      <c r="E19" s="52" t="s">
        <v>82</v>
      </c>
      <c r="F19" s="25" t="str">
        <f>Table[[#This Row],[NOM Prénom]]</f>
        <v>DEMOURS Anne-Marie</v>
      </c>
    </row>
    <row r="20" spans="2:6" x14ac:dyDescent="0.2">
      <c r="B20" s="31" t="s">
        <v>93</v>
      </c>
      <c r="C20" s="23" t="s">
        <v>12</v>
      </c>
      <c r="D20" s="22" t="s">
        <v>81</v>
      </c>
      <c r="E20" s="52" t="s">
        <v>82</v>
      </c>
      <c r="F20" s="25" t="str">
        <f>Table[[#This Row],[NOM Prénom]]</f>
        <v>DJEBABLI Mona</v>
      </c>
    </row>
    <row r="21" spans="2:6" x14ac:dyDescent="0.2">
      <c r="B21" s="31" t="s">
        <v>94</v>
      </c>
      <c r="C21" s="23" t="s">
        <v>13</v>
      </c>
      <c r="D21" s="22" t="s">
        <v>81</v>
      </c>
      <c r="E21" s="52" t="s">
        <v>82</v>
      </c>
      <c r="F21" s="25" t="str">
        <f>Table[[#This Row],[NOM Prénom]]</f>
        <v>DODE Ophélie</v>
      </c>
    </row>
    <row r="22" spans="2:6" x14ac:dyDescent="0.2">
      <c r="B22" s="31" t="s">
        <v>95</v>
      </c>
      <c r="C22" s="23" t="s">
        <v>88</v>
      </c>
      <c r="D22" s="22" t="s">
        <v>128</v>
      </c>
      <c r="E22" s="52" t="s">
        <v>42</v>
      </c>
      <c r="F22" s="25" t="str">
        <f>Table[[#This Row],[NOM Prénom]]</f>
        <v>DUDA Sébastien</v>
      </c>
    </row>
    <row r="23" spans="2:6" x14ac:dyDescent="0.2">
      <c r="B23" s="31" t="s">
        <v>157</v>
      </c>
      <c r="C23" s="23" t="s">
        <v>12</v>
      </c>
      <c r="D23" s="22" t="s">
        <v>81</v>
      </c>
      <c r="E23" s="52" t="s">
        <v>82</v>
      </c>
      <c r="F23" s="25" t="str">
        <f>Table[[#This Row],[NOM Prénom]]</f>
        <v>DUPERRET Frédéric</v>
      </c>
    </row>
    <row r="24" spans="2:6" x14ac:dyDescent="0.2">
      <c r="B24" s="24" t="s">
        <v>29</v>
      </c>
      <c r="C24" s="24" t="s">
        <v>7</v>
      </c>
      <c r="D24" s="22" t="s">
        <v>74</v>
      </c>
      <c r="E24" s="22" t="s">
        <v>42</v>
      </c>
      <c r="F24" s="25" t="str">
        <f>Table[[#This Row],[NOM Prénom]]</f>
        <v>FAVERON Marie</v>
      </c>
    </row>
    <row r="25" spans="2:6" x14ac:dyDescent="0.2">
      <c r="B25" s="23" t="s">
        <v>30</v>
      </c>
      <c r="C25" s="23" t="s">
        <v>13</v>
      </c>
      <c r="D25" s="22" t="s">
        <v>43</v>
      </c>
      <c r="E25" s="22" t="s">
        <v>42</v>
      </c>
      <c r="F25" s="25" t="str">
        <f>Table[[#This Row],[NOM Prénom]]</f>
        <v>GONON Laetitia</v>
      </c>
    </row>
    <row r="26" spans="2:6" x14ac:dyDescent="0.2">
      <c r="B26" s="24" t="s">
        <v>31</v>
      </c>
      <c r="C26" s="24" t="s">
        <v>7</v>
      </c>
      <c r="D26" s="22" t="s">
        <v>45</v>
      </c>
      <c r="E26" s="22" t="s">
        <v>42</v>
      </c>
      <c r="F26" s="25" t="str">
        <f>Table[[#This Row],[NOM Prénom]]</f>
        <v>GRAEFF Bruno</v>
      </c>
    </row>
    <row r="27" spans="2:6" x14ac:dyDescent="0.2">
      <c r="B27" s="24" t="s">
        <v>96</v>
      </c>
      <c r="C27" s="24" t="s">
        <v>7</v>
      </c>
      <c r="D27" s="22" t="s">
        <v>134</v>
      </c>
      <c r="E27" s="22" t="s">
        <v>84</v>
      </c>
      <c r="F27" s="25" t="str">
        <f>Table[[#This Row],[NOM Prénom]]</f>
        <v>GROLET Dominique</v>
      </c>
    </row>
    <row r="28" spans="2:6" x14ac:dyDescent="0.2">
      <c r="B28" s="24" t="s">
        <v>97</v>
      </c>
      <c r="C28" s="24" t="s">
        <v>88</v>
      </c>
      <c r="D28" s="22" t="s">
        <v>129</v>
      </c>
      <c r="E28" s="22" t="s">
        <v>42</v>
      </c>
      <c r="F28" s="25" t="str">
        <f>Table[[#This Row],[NOM Prénom]]</f>
        <v>GUEDG Christine</v>
      </c>
    </row>
    <row r="29" spans="2:6" x14ac:dyDescent="0.2">
      <c r="B29" s="24" t="s">
        <v>10</v>
      </c>
      <c r="C29" s="24" t="s">
        <v>13</v>
      </c>
      <c r="D29" s="22" t="s">
        <v>45</v>
      </c>
      <c r="E29" s="22" t="s">
        <v>42</v>
      </c>
      <c r="F29" s="25" t="str">
        <f>Table[[#This Row],[NOM Prénom]]</f>
        <v>HOURIEZ Sophie</v>
      </c>
    </row>
    <row r="30" spans="2:6" x14ac:dyDescent="0.2">
      <c r="B30" s="24" t="s">
        <v>177</v>
      </c>
      <c r="C30" s="24" t="s">
        <v>7</v>
      </c>
      <c r="D30" s="22" t="s">
        <v>90</v>
      </c>
      <c r="E30" s="22" t="s">
        <v>82</v>
      </c>
      <c r="F30" s="25" t="str">
        <f>Table[[#This Row],[NOM Prénom]]</f>
        <v>LACHISE Erika</v>
      </c>
    </row>
    <row r="31" spans="2:6" x14ac:dyDescent="0.2">
      <c r="B31" s="24" t="s">
        <v>98</v>
      </c>
      <c r="C31" s="24" t="s">
        <v>7</v>
      </c>
      <c r="D31" s="22" t="s">
        <v>90</v>
      </c>
      <c r="E31" s="22" t="s">
        <v>82</v>
      </c>
      <c r="F31" s="25" t="str">
        <f>Table[[#This Row],[NOM Prénom]]</f>
        <v>LAFAURY Dominique</v>
      </c>
    </row>
    <row r="32" spans="2:6" x14ac:dyDescent="0.2">
      <c r="B32" s="24" t="s">
        <v>11</v>
      </c>
      <c r="C32" s="24" t="s">
        <v>12</v>
      </c>
      <c r="D32" s="22" t="s">
        <v>8</v>
      </c>
      <c r="E32" s="22" t="s">
        <v>42</v>
      </c>
      <c r="F32" s="25" t="str">
        <f>Table[[#This Row],[NOM Prénom]]</f>
        <v>LAMBERET Christine</v>
      </c>
    </row>
    <row r="33" spans="2:6" x14ac:dyDescent="0.2">
      <c r="B33" s="24" t="s">
        <v>143</v>
      </c>
      <c r="C33" s="24" t="s">
        <v>12</v>
      </c>
      <c r="D33" s="22" t="s">
        <v>135</v>
      </c>
      <c r="E33" s="22" t="s">
        <v>84</v>
      </c>
      <c r="F33" s="25" t="str">
        <f>Table[[#This Row],[NOM Prénom]]</f>
        <v>LAGNEAU Christina</v>
      </c>
    </row>
    <row r="34" spans="2:6" x14ac:dyDescent="0.2">
      <c r="B34" s="24" t="s">
        <v>99</v>
      </c>
      <c r="C34" s="24" t="s">
        <v>12</v>
      </c>
      <c r="D34" s="22" t="s">
        <v>144</v>
      </c>
      <c r="E34" s="22" t="s">
        <v>84</v>
      </c>
      <c r="F34" s="25" t="str">
        <f>Table[[#This Row],[NOM Prénom]]</f>
        <v>LAZERT Céline</v>
      </c>
    </row>
    <row r="35" spans="2:6" x14ac:dyDescent="0.2">
      <c r="B35" s="24" t="s">
        <v>32</v>
      </c>
      <c r="C35" s="24" t="s">
        <v>13</v>
      </c>
      <c r="D35" s="22" t="s">
        <v>41</v>
      </c>
      <c r="E35" s="22" t="s">
        <v>42</v>
      </c>
      <c r="F35" s="25" t="str">
        <f>Table[[#This Row],[NOM Prénom]]</f>
        <v>LEVEQUE Christine</v>
      </c>
    </row>
    <row r="36" spans="2:6" x14ac:dyDescent="0.2">
      <c r="B36" s="24" t="s">
        <v>33</v>
      </c>
      <c r="C36" s="24" t="s">
        <v>13</v>
      </c>
      <c r="D36" s="22" t="s">
        <v>44</v>
      </c>
      <c r="E36" s="22" t="s">
        <v>42</v>
      </c>
      <c r="F36" s="25" t="str">
        <f>Table[[#This Row],[NOM Prénom]]</f>
        <v>LUCANIA Séverine</v>
      </c>
    </row>
    <row r="37" spans="2:6" x14ac:dyDescent="0.2">
      <c r="B37" s="24" t="s">
        <v>100</v>
      </c>
      <c r="C37" s="24" t="s">
        <v>92</v>
      </c>
      <c r="D37" s="22" t="s">
        <v>128</v>
      </c>
      <c r="E37" s="22" t="s">
        <v>42</v>
      </c>
      <c r="F37" s="25" t="str">
        <f>Table[[#This Row],[NOM Prénom]]</f>
        <v>MACIA Marie-Chantal</v>
      </c>
    </row>
    <row r="38" spans="2:6" x14ac:dyDescent="0.2">
      <c r="B38" s="24" t="s">
        <v>176</v>
      </c>
      <c r="C38" s="24" t="s">
        <v>12</v>
      </c>
      <c r="D38" s="22" t="s">
        <v>90</v>
      </c>
      <c r="E38" s="22" t="s">
        <v>82</v>
      </c>
      <c r="F38" s="25" t="str">
        <f>Table[[#This Row],[NOM Prénom]]</f>
        <v>MARTIN Guillaume</v>
      </c>
    </row>
    <row r="39" spans="2:6" x14ac:dyDescent="0.2">
      <c r="B39" s="24" t="s">
        <v>34</v>
      </c>
      <c r="C39" s="24" t="s">
        <v>13</v>
      </c>
      <c r="D39" s="22" t="s">
        <v>45</v>
      </c>
      <c r="E39" s="22" t="s">
        <v>42</v>
      </c>
      <c r="F39" s="25" t="str">
        <f>Table[[#This Row],[NOM Prénom]]</f>
        <v>MONOD Sandrine</v>
      </c>
    </row>
    <row r="40" spans="2:6" x14ac:dyDescent="0.2">
      <c r="B40" s="24" t="s">
        <v>35</v>
      </c>
      <c r="C40" s="24" t="s">
        <v>7</v>
      </c>
      <c r="D40" s="22" t="s">
        <v>44</v>
      </c>
      <c r="E40" s="22" t="s">
        <v>42</v>
      </c>
      <c r="F40" s="25" t="str">
        <f>Table[[#This Row],[NOM Prénom]]</f>
        <v>MORAND Pierre</v>
      </c>
    </row>
    <row r="41" spans="2:6" x14ac:dyDescent="0.2">
      <c r="B41" s="24" t="s">
        <v>36</v>
      </c>
      <c r="C41" s="24" t="s">
        <v>13</v>
      </c>
      <c r="D41" s="22" t="s">
        <v>75</v>
      </c>
      <c r="E41" s="22" t="s">
        <v>42</v>
      </c>
      <c r="F41" s="25" t="str">
        <f>Table[[#This Row],[NOM Prénom]]</f>
        <v>MURE Françoise</v>
      </c>
    </row>
    <row r="42" spans="2:6" x14ac:dyDescent="0.2">
      <c r="B42" s="24" t="s">
        <v>6</v>
      </c>
      <c r="C42" s="24" t="s">
        <v>7</v>
      </c>
      <c r="D42" s="22" t="s">
        <v>43</v>
      </c>
      <c r="E42" s="22" t="s">
        <v>42</v>
      </c>
      <c r="F42" s="25" t="str">
        <f>Table[[#This Row],[NOM Prénom]]</f>
        <v>NEGRE Christine</v>
      </c>
    </row>
    <row r="43" spans="2:6" x14ac:dyDescent="0.2">
      <c r="B43" s="24" t="s">
        <v>37</v>
      </c>
      <c r="C43" s="24" t="s">
        <v>12</v>
      </c>
      <c r="D43" s="22" t="s">
        <v>44</v>
      </c>
      <c r="E43" s="22" t="s">
        <v>42</v>
      </c>
      <c r="F43" s="25" t="str">
        <f>Table[[#This Row],[NOM Prénom]]</f>
        <v>NOSSEN Jany</v>
      </c>
    </row>
    <row r="44" spans="2:6" x14ac:dyDescent="0.2">
      <c r="B44" s="24" t="s">
        <v>101</v>
      </c>
      <c r="C44" s="24" t="s">
        <v>88</v>
      </c>
      <c r="D44" s="22" t="s">
        <v>82</v>
      </c>
      <c r="E44" s="22" t="s">
        <v>82</v>
      </c>
      <c r="F44" s="25" t="str">
        <f>Table[[#This Row],[NOM Prénom]]</f>
        <v>NOUVEL Jacqueline</v>
      </c>
    </row>
    <row r="45" spans="2:6" x14ac:dyDescent="0.2">
      <c r="B45" s="24" t="s">
        <v>102</v>
      </c>
      <c r="C45" s="24" t="s">
        <v>13</v>
      </c>
      <c r="D45" s="22" t="s">
        <v>75</v>
      </c>
      <c r="E45" s="22" t="s">
        <v>42</v>
      </c>
      <c r="F45" s="25" t="str">
        <f>Table[[#This Row],[NOM Prénom]]</f>
        <v>PONCET Michael</v>
      </c>
    </row>
    <row r="46" spans="2:6" x14ac:dyDescent="0.2">
      <c r="B46" s="24" t="s">
        <v>38</v>
      </c>
      <c r="C46" s="24" t="s">
        <v>12</v>
      </c>
      <c r="D46" s="22" t="s">
        <v>75</v>
      </c>
      <c r="E46" s="22" t="s">
        <v>42</v>
      </c>
      <c r="F46" s="25" t="str">
        <f>Table[[#This Row],[NOM Prénom]]</f>
        <v>PONCET Odile</v>
      </c>
    </row>
    <row r="47" spans="2:6" x14ac:dyDescent="0.2">
      <c r="B47" s="24" t="s">
        <v>103</v>
      </c>
      <c r="C47" s="24" t="s">
        <v>12</v>
      </c>
      <c r="D47" s="22" t="s">
        <v>90</v>
      </c>
      <c r="E47" s="22" t="s">
        <v>82</v>
      </c>
      <c r="F47" s="25" t="str">
        <f>Table[[#This Row],[NOM Prénom]]</f>
        <v>RIAS Violaine</v>
      </c>
    </row>
    <row r="48" spans="2:6" x14ac:dyDescent="0.2">
      <c r="B48" s="24" t="s">
        <v>104</v>
      </c>
      <c r="C48" s="24" t="s">
        <v>13</v>
      </c>
      <c r="D48" s="22" t="s">
        <v>140</v>
      </c>
      <c r="E48" s="22" t="s">
        <v>82</v>
      </c>
      <c r="F48" s="25" t="str">
        <f>Table[[#This Row],[NOM Prénom]]</f>
        <v>SABATIER Ghislaine</v>
      </c>
    </row>
    <row r="49" spans="2:6" x14ac:dyDescent="0.2">
      <c r="B49" s="24" t="s">
        <v>105</v>
      </c>
      <c r="C49" s="24" t="s">
        <v>88</v>
      </c>
      <c r="D49" s="22" t="s">
        <v>82</v>
      </c>
      <c r="E49" s="22" t="s">
        <v>82</v>
      </c>
      <c r="F49" s="25" t="str">
        <f>Table[[#This Row],[NOM Prénom]]</f>
        <v>SIMONIN Alexandre</v>
      </c>
    </row>
    <row r="50" spans="2:6" x14ac:dyDescent="0.2">
      <c r="B50" s="24" t="s">
        <v>162</v>
      </c>
      <c r="C50" s="24" t="s">
        <v>12</v>
      </c>
      <c r="D50" s="22" t="s">
        <v>163</v>
      </c>
      <c r="E50" s="22" t="s">
        <v>82</v>
      </c>
      <c r="F50" s="25" t="str">
        <f>Table[[#This Row],[NOM Prénom]]</f>
        <v>SPOTO Anne-Sarine</v>
      </c>
    </row>
    <row r="51" spans="2:6" x14ac:dyDescent="0.2">
      <c r="B51" s="24" t="s">
        <v>106</v>
      </c>
      <c r="C51" s="24" t="s">
        <v>12</v>
      </c>
      <c r="D51" s="22" t="s">
        <v>81</v>
      </c>
      <c r="E51" s="22" t="s">
        <v>82</v>
      </c>
      <c r="F51" s="25" t="str">
        <f>Table[[#This Row],[NOM Prénom]]</f>
        <v>TETARD Aurélia</v>
      </c>
    </row>
    <row r="52" spans="2:6" x14ac:dyDescent="0.2">
      <c r="B52" s="24" t="s">
        <v>107</v>
      </c>
      <c r="C52" s="24" t="s">
        <v>13</v>
      </c>
      <c r="D52" s="22" t="s">
        <v>139</v>
      </c>
      <c r="E52" s="22" t="s">
        <v>84</v>
      </c>
      <c r="F52" s="25" t="str">
        <f>Table[[#This Row],[NOM Prénom]]</f>
        <v>THEVENET Brigitte</v>
      </c>
    </row>
    <row r="53" spans="2:6" x14ac:dyDescent="0.2">
      <c r="B53" s="24" t="s">
        <v>108</v>
      </c>
      <c r="C53" s="24" t="s">
        <v>12</v>
      </c>
      <c r="D53" s="22" t="s">
        <v>136</v>
      </c>
      <c r="E53" s="22" t="s">
        <v>84</v>
      </c>
      <c r="F53" s="25" t="str">
        <f>Table[[#This Row],[NOM Prénom]]</f>
        <v>THIBONNET Sophie</v>
      </c>
    </row>
    <row r="54" spans="2:6" x14ac:dyDescent="0.2">
      <c r="B54" s="23" t="s">
        <v>39</v>
      </c>
      <c r="C54" s="23" t="s">
        <v>7</v>
      </c>
      <c r="D54" s="22" t="s">
        <v>41</v>
      </c>
      <c r="E54" s="22" t="s">
        <v>42</v>
      </c>
      <c r="F54" s="25" t="str">
        <f>Table[[#This Row],[NOM Prénom]]</f>
        <v>YVERNEL Florian</v>
      </c>
    </row>
    <row r="55" spans="2:6" x14ac:dyDescent="0.2">
      <c r="B55" s="24" t="s">
        <v>109</v>
      </c>
      <c r="C55" s="24" t="s">
        <v>7</v>
      </c>
      <c r="D55" s="22" t="s">
        <v>137</v>
      </c>
      <c r="E55" s="22" t="s">
        <v>84</v>
      </c>
      <c r="F55" s="25" t="str">
        <f>Table[[#This Row],[NOM Prénom]]</f>
        <v>ZELLER Catherine</v>
      </c>
    </row>
    <row r="56" spans="2:6" x14ac:dyDescent="0.2">
      <c r="B56" s="24" t="s">
        <v>110</v>
      </c>
      <c r="C56" s="24" t="s">
        <v>88</v>
      </c>
      <c r="D56" s="22" t="s">
        <v>129</v>
      </c>
      <c r="E56" s="22" t="s">
        <v>42</v>
      </c>
      <c r="F56" s="25" t="str">
        <f>Table[[#This Row],[NOM Prénom]]</f>
        <v>ZMIJEWSKI Janine</v>
      </c>
    </row>
    <row r="57" spans="2:6" x14ac:dyDescent="0.2">
      <c r="B57" s="24" t="s">
        <v>111</v>
      </c>
      <c r="C57" s="24" t="s">
        <v>12</v>
      </c>
      <c r="D57" s="22" t="s">
        <v>138</v>
      </c>
      <c r="E57" s="22" t="s">
        <v>84</v>
      </c>
      <c r="F57" s="25" t="str">
        <f>Table[[#This Row],[NOM Prénom]]</f>
        <v>ZONOU Jennifer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9"/>
  <sheetViews>
    <sheetView zoomScale="160" zoomScaleNormal="160" workbookViewId="0">
      <selection activeCell="A17" sqref="A17"/>
    </sheetView>
  </sheetViews>
  <sheetFormatPr baseColWidth="10" defaultRowHeight="15" x14ac:dyDescent="0.25"/>
  <cols>
    <col min="1" max="1" width="21" bestFit="1" customWidth="1"/>
    <col min="2" max="2" width="21" customWidth="1"/>
    <col min="3" max="3" width="4.140625" bestFit="1" customWidth="1"/>
    <col min="4" max="4" width="5.140625" bestFit="1" customWidth="1"/>
    <col min="5" max="5" width="3" bestFit="1" customWidth="1"/>
    <col min="6" max="6" width="6.28515625" customWidth="1"/>
    <col min="7" max="7" width="12.5703125" bestFit="1" customWidth="1"/>
    <col min="8" max="8" width="8.42578125" bestFit="1" customWidth="1"/>
    <col min="9" max="9" width="4.85546875" bestFit="1" customWidth="1"/>
    <col min="10" max="10" width="6.85546875" bestFit="1" customWidth="1"/>
    <col min="11" max="11" width="7" bestFit="1" customWidth="1"/>
    <col min="12" max="12" width="8.42578125" bestFit="1" customWidth="1"/>
    <col min="13" max="13" width="4.85546875" bestFit="1" customWidth="1"/>
    <col min="14" max="14" width="6.85546875" bestFit="1" customWidth="1"/>
    <col min="15" max="15" width="7" bestFit="1" customWidth="1"/>
    <col min="16" max="16" width="6.28515625" bestFit="1" customWidth="1"/>
    <col min="17" max="17" width="8.42578125" bestFit="1" customWidth="1"/>
    <col min="18" max="18" width="5.85546875" bestFit="1" customWidth="1"/>
    <col min="19" max="19" width="7.85546875" bestFit="1" customWidth="1"/>
    <col min="20" max="20" width="5.85546875" bestFit="1" customWidth="1"/>
    <col min="21" max="21" width="7.85546875" bestFit="1" customWidth="1"/>
    <col min="22" max="22" width="8" bestFit="1" customWidth="1"/>
    <col min="23" max="23" width="9.42578125" bestFit="1" customWidth="1"/>
    <col min="24" max="24" width="8.5703125" bestFit="1" customWidth="1"/>
    <col min="25" max="25" width="11.140625" bestFit="1" customWidth="1"/>
    <col min="26" max="26" width="12.5703125" bestFit="1" customWidth="1"/>
  </cols>
  <sheetData>
    <row r="3" spans="1:2" x14ac:dyDescent="0.25">
      <c r="A3" s="3" t="s">
        <v>23</v>
      </c>
      <c r="B3" t="s">
        <v>117</v>
      </c>
    </row>
    <row r="4" spans="1:2" x14ac:dyDescent="0.25">
      <c r="A4" s="4" t="s">
        <v>41</v>
      </c>
      <c r="B4" s="2">
        <v>221.5</v>
      </c>
    </row>
    <row r="5" spans="1:2" x14ac:dyDescent="0.25">
      <c r="A5" s="4" t="s">
        <v>44</v>
      </c>
      <c r="B5" s="2">
        <v>222</v>
      </c>
    </row>
    <row r="6" spans="1:2" x14ac:dyDescent="0.25">
      <c r="A6" s="4" t="s">
        <v>45</v>
      </c>
      <c r="B6" s="2">
        <v>222</v>
      </c>
    </row>
    <row r="7" spans="1:2" x14ac:dyDescent="0.25">
      <c r="A7" s="4" t="s">
        <v>90</v>
      </c>
      <c r="B7" s="2">
        <v>148</v>
      </c>
    </row>
    <row r="8" spans="1:2" x14ac:dyDescent="0.25">
      <c r="A8" s="4" t="s">
        <v>81</v>
      </c>
      <c r="B8" s="2">
        <v>185</v>
      </c>
    </row>
    <row r="9" spans="1:2" x14ac:dyDescent="0.25">
      <c r="A9" s="4" t="s">
        <v>43</v>
      </c>
      <c r="B9" s="2">
        <v>222</v>
      </c>
    </row>
    <row r="10" spans="1:2" x14ac:dyDescent="0.25">
      <c r="A10" s="4" t="s">
        <v>8</v>
      </c>
      <c r="B10" s="2">
        <v>222</v>
      </c>
    </row>
    <row r="11" spans="1:2" x14ac:dyDescent="0.25">
      <c r="A11" s="4" t="s">
        <v>75</v>
      </c>
      <c r="B11" s="2">
        <v>148</v>
      </c>
    </row>
    <row r="12" spans="1:2" x14ac:dyDescent="0.25">
      <c r="A12" s="4" t="s">
        <v>74</v>
      </c>
      <c r="B12" s="2">
        <v>222</v>
      </c>
    </row>
    <row r="13" spans="1:2" x14ac:dyDescent="0.25">
      <c r="A13" s="4" t="s">
        <v>118</v>
      </c>
      <c r="B13" s="69">
        <v>70</v>
      </c>
    </row>
    <row r="14" spans="1:2" x14ac:dyDescent="0.25">
      <c r="A14" s="4" t="s">
        <v>129</v>
      </c>
      <c r="B14" s="2">
        <v>26.25</v>
      </c>
    </row>
    <row r="15" spans="1:2" x14ac:dyDescent="0.25">
      <c r="A15" s="4" t="s">
        <v>128</v>
      </c>
      <c r="B15" s="2">
        <v>36.5</v>
      </c>
    </row>
    <row r="16" spans="1:2" x14ac:dyDescent="0.25">
      <c r="A16" s="4" t="s">
        <v>82</v>
      </c>
      <c r="B16" s="2">
        <v>71</v>
      </c>
    </row>
    <row r="17" spans="1:2" x14ac:dyDescent="0.25">
      <c r="A17" s="4" t="s">
        <v>142</v>
      </c>
      <c r="B17" s="2">
        <v>35</v>
      </c>
    </row>
    <row r="18" spans="1:2" x14ac:dyDescent="0.25">
      <c r="A18" s="4" t="s">
        <v>164</v>
      </c>
      <c r="B18" s="2">
        <v>105</v>
      </c>
    </row>
    <row r="19" spans="1:2" x14ac:dyDescent="0.25">
      <c r="A19" s="4" t="s">
        <v>24</v>
      </c>
      <c r="B19" s="2">
        <v>2156.25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35"/>
  <sheetViews>
    <sheetView zoomScale="160" zoomScaleNormal="160" workbookViewId="0">
      <pane xSplit="1" ySplit="1" topLeftCell="B252" activePane="bottomRight" state="frozen"/>
      <selection pane="topRight" activeCell="B1" sqref="B1"/>
      <selection pane="bottomLeft" activeCell="A2" sqref="A2"/>
      <selection pane="bottomRight" activeCell="J202" sqref="J202"/>
    </sheetView>
  </sheetViews>
  <sheetFormatPr baseColWidth="10" defaultRowHeight="15" x14ac:dyDescent="0.25"/>
  <cols>
    <col min="2" max="2" width="14.140625" customWidth="1"/>
    <col min="4" max="4" width="14.5703125" customWidth="1"/>
    <col min="5" max="5" width="27.5703125" hidden="1" customWidth="1"/>
    <col min="7" max="10" width="6.28515625" customWidth="1"/>
  </cols>
  <sheetData>
    <row r="1" spans="1:10" s="29" customFormat="1" ht="21.6" customHeight="1" thickBot="1" x14ac:dyDescent="0.3">
      <c r="A1" s="53" t="s">
        <v>1</v>
      </c>
      <c r="B1" s="54" t="s">
        <v>9</v>
      </c>
      <c r="C1" s="54" t="s">
        <v>46</v>
      </c>
      <c r="D1" s="54" t="s">
        <v>14</v>
      </c>
      <c r="E1" s="55" t="s">
        <v>70</v>
      </c>
      <c r="F1" s="56" t="s">
        <v>56</v>
      </c>
      <c r="G1" s="57" t="s">
        <v>112</v>
      </c>
      <c r="H1" s="57" t="s">
        <v>113</v>
      </c>
      <c r="I1" s="57" t="s">
        <v>114</v>
      </c>
      <c r="J1" s="57" t="s">
        <v>115</v>
      </c>
    </row>
    <row r="2" spans="1:10" ht="16.5" thickTop="1" x14ac:dyDescent="0.25">
      <c r="A2" s="58" t="s">
        <v>8</v>
      </c>
      <c r="B2" s="59">
        <v>1</v>
      </c>
      <c r="C2" s="59" t="s">
        <v>49</v>
      </c>
      <c r="D2" s="59">
        <f>(J2-I2)+(H2-G2)</f>
        <v>8.5</v>
      </c>
      <c r="E2" s="60"/>
      <c r="F2" s="60"/>
      <c r="G2" s="61"/>
      <c r="H2" s="62"/>
      <c r="I2" s="65">
        <v>14</v>
      </c>
      <c r="J2" s="65">
        <v>22.5</v>
      </c>
    </row>
    <row r="3" spans="1:10" ht="15.75" x14ac:dyDescent="0.25">
      <c r="A3" s="58" t="s">
        <v>8</v>
      </c>
      <c r="B3" s="59">
        <v>1</v>
      </c>
      <c r="C3" s="59" t="s">
        <v>50</v>
      </c>
      <c r="D3" s="59">
        <f t="shared" ref="D3:D108" si="0">(J3-I3)+(H3-G3)</f>
        <v>9</v>
      </c>
      <c r="E3" s="63"/>
      <c r="F3" s="63"/>
      <c r="G3" s="62">
        <v>9.5</v>
      </c>
      <c r="H3" s="62">
        <v>12.5</v>
      </c>
      <c r="I3" s="62">
        <v>16.5</v>
      </c>
      <c r="J3" s="62">
        <v>22.5</v>
      </c>
    </row>
    <row r="4" spans="1:10" ht="15.75" x14ac:dyDescent="0.25">
      <c r="A4" s="58" t="s">
        <v>8</v>
      </c>
      <c r="B4" s="59">
        <v>1</v>
      </c>
      <c r="C4" s="59" t="s">
        <v>51</v>
      </c>
      <c r="D4" s="59">
        <f t="shared" si="0"/>
        <v>0</v>
      </c>
      <c r="E4" s="63"/>
      <c r="F4" s="63"/>
      <c r="G4" s="62"/>
      <c r="H4" s="62"/>
      <c r="I4" s="62"/>
      <c r="J4" s="62"/>
    </row>
    <row r="5" spans="1:10" ht="15.75" x14ac:dyDescent="0.25">
      <c r="A5" s="58" t="s">
        <v>8</v>
      </c>
      <c r="B5" s="59">
        <v>1</v>
      </c>
      <c r="C5" s="59" t="s">
        <v>52</v>
      </c>
      <c r="D5" s="59">
        <f t="shared" si="0"/>
        <v>0</v>
      </c>
      <c r="E5" s="63"/>
      <c r="F5" s="63"/>
      <c r="G5" s="62"/>
      <c r="H5" s="62"/>
      <c r="I5" s="62"/>
      <c r="J5" s="62"/>
    </row>
    <row r="6" spans="1:10" ht="15.75" x14ac:dyDescent="0.25">
      <c r="A6" s="58" t="s">
        <v>8</v>
      </c>
      <c r="B6" s="59">
        <v>1</v>
      </c>
      <c r="C6" s="59" t="s">
        <v>53</v>
      </c>
      <c r="D6" s="59">
        <f t="shared" si="0"/>
        <v>0</v>
      </c>
      <c r="E6" s="63"/>
      <c r="F6" s="63"/>
      <c r="G6" s="62"/>
      <c r="H6" s="62"/>
      <c r="I6" s="62"/>
      <c r="J6" s="62"/>
    </row>
    <row r="7" spans="1:10" ht="15.75" x14ac:dyDescent="0.25">
      <c r="A7" s="58" t="s">
        <v>8</v>
      </c>
      <c r="B7" s="59">
        <v>1</v>
      </c>
      <c r="C7" s="59" t="s">
        <v>54</v>
      </c>
      <c r="D7" s="59">
        <f t="shared" si="0"/>
        <v>12</v>
      </c>
      <c r="E7" s="63"/>
      <c r="F7" s="63"/>
      <c r="G7" s="62"/>
      <c r="H7" s="62"/>
      <c r="I7" s="62">
        <v>10</v>
      </c>
      <c r="J7" s="62">
        <v>22</v>
      </c>
    </row>
    <row r="8" spans="1:10" ht="15.75" x14ac:dyDescent="0.25">
      <c r="A8" s="58" t="s">
        <v>8</v>
      </c>
      <c r="B8" s="59">
        <v>1</v>
      </c>
      <c r="C8" s="59" t="s">
        <v>55</v>
      </c>
      <c r="D8" s="59">
        <f t="shared" si="0"/>
        <v>12</v>
      </c>
      <c r="E8" s="63"/>
      <c r="F8" s="63"/>
      <c r="G8" s="62"/>
      <c r="H8" s="62"/>
      <c r="I8" s="62">
        <v>10</v>
      </c>
      <c r="J8" s="62">
        <v>22</v>
      </c>
    </row>
    <row r="9" spans="1:10" ht="15.75" x14ac:dyDescent="0.25">
      <c r="A9" s="58" t="s">
        <v>8</v>
      </c>
      <c r="B9" s="59">
        <v>2</v>
      </c>
      <c r="C9" s="59" t="s">
        <v>49</v>
      </c>
      <c r="D9" s="59">
        <f t="shared" si="0"/>
        <v>0</v>
      </c>
      <c r="E9" s="63"/>
      <c r="F9" s="63"/>
      <c r="G9" s="62"/>
      <c r="H9" s="62"/>
      <c r="I9" s="62"/>
      <c r="J9" s="62"/>
    </row>
    <row r="10" spans="1:10" ht="15.75" x14ac:dyDescent="0.25">
      <c r="A10" s="58" t="s">
        <v>8</v>
      </c>
      <c r="B10" s="59">
        <v>2</v>
      </c>
      <c r="C10" s="59" t="s">
        <v>50</v>
      </c>
      <c r="D10" s="59">
        <f t="shared" si="0"/>
        <v>6.5</v>
      </c>
      <c r="E10" s="63"/>
      <c r="F10" s="66"/>
      <c r="G10" s="62">
        <v>9.5</v>
      </c>
      <c r="H10" s="62">
        <v>12.5</v>
      </c>
      <c r="I10" s="62">
        <v>16.5</v>
      </c>
      <c r="J10" s="62">
        <v>20</v>
      </c>
    </row>
    <row r="11" spans="1:10" ht="15.75" x14ac:dyDescent="0.25">
      <c r="A11" s="58" t="s">
        <v>8</v>
      </c>
      <c r="B11" s="59">
        <v>2</v>
      </c>
      <c r="C11" s="59" t="s">
        <v>51</v>
      </c>
      <c r="D11" s="59">
        <f t="shared" si="0"/>
        <v>8</v>
      </c>
      <c r="E11" s="63"/>
      <c r="F11" s="63"/>
      <c r="G11" s="62">
        <v>7</v>
      </c>
      <c r="H11" s="62">
        <v>9.5</v>
      </c>
      <c r="I11" s="62">
        <v>16.5</v>
      </c>
      <c r="J11" s="62">
        <v>22</v>
      </c>
    </row>
    <row r="12" spans="1:10" ht="15.75" x14ac:dyDescent="0.25">
      <c r="A12" s="58" t="s">
        <v>8</v>
      </c>
      <c r="B12" s="59">
        <v>2</v>
      </c>
      <c r="C12" s="59" t="s">
        <v>52</v>
      </c>
      <c r="D12" s="59">
        <f t="shared" si="0"/>
        <v>6</v>
      </c>
      <c r="E12" s="63"/>
      <c r="F12" s="63"/>
      <c r="G12" s="62"/>
      <c r="H12" s="62"/>
      <c r="I12" s="62">
        <v>14</v>
      </c>
      <c r="J12" s="62">
        <v>20</v>
      </c>
    </row>
    <row r="13" spans="1:10" ht="15.75" x14ac:dyDescent="0.25">
      <c r="A13" s="58" t="s">
        <v>8</v>
      </c>
      <c r="B13" s="59">
        <v>2</v>
      </c>
      <c r="C13" s="59" t="s">
        <v>53</v>
      </c>
      <c r="D13" s="59">
        <f t="shared" si="0"/>
        <v>9.5</v>
      </c>
      <c r="E13" s="63"/>
      <c r="F13" s="63"/>
      <c r="G13" s="62">
        <v>7</v>
      </c>
      <c r="H13" s="62">
        <v>12</v>
      </c>
      <c r="I13" s="62">
        <v>12</v>
      </c>
      <c r="J13" s="62">
        <v>16.5</v>
      </c>
    </row>
    <row r="14" spans="1:10" ht="15.75" x14ac:dyDescent="0.25">
      <c r="A14" s="58" t="s">
        <v>8</v>
      </c>
      <c r="B14" s="59">
        <v>2</v>
      </c>
      <c r="C14" s="59" t="s">
        <v>54</v>
      </c>
      <c r="D14" s="59">
        <f t="shared" si="0"/>
        <v>0</v>
      </c>
      <c r="E14" s="63"/>
      <c r="F14" s="63"/>
      <c r="G14" s="62"/>
      <c r="H14" s="62"/>
      <c r="I14" s="62"/>
      <c r="J14" s="62"/>
    </row>
    <row r="15" spans="1:10" ht="15.75" x14ac:dyDescent="0.25">
      <c r="A15" s="58" t="s">
        <v>8</v>
      </c>
      <c r="B15" s="59">
        <v>2</v>
      </c>
      <c r="C15" s="59" t="s">
        <v>55</v>
      </c>
      <c r="D15" s="59">
        <f t="shared" si="0"/>
        <v>0</v>
      </c>
      <c r="E15" s="63"/>
      <c r="F15" s="63"/>
      <c r="G15" s="62"/>
      <c r="H15" s="62"/>
      <c r="I15" s="62"/>
      <c r="J15" s="62"/>
    </row>
    <row r="16" spans="1:10" ht="15.75" x14ac:dyDescent="0.25">
      <c r="A16" s="58" t="s">
        <v>8</v>
      </c>
      <c r="B16" s="59">
        <v>3</v>
      </c>
      <c r="C16" s="59" t="s">
        <v>49</v>
      </c>
      <c r="D16" s="59">
        <f t="shared" si="0"/>
        <v>10.5</v>
      </c>
      <c r="E16" s="63"/>
      <c r="F16" s="63"/>
      <c r="G16" s="62">
        <v>7</v>
      </c>
      <c r="H16" s="62">
        <v>9.5</v>
      </c>
      <c r="I16" s="62">
        <v>14</v>
      </c>
      <c r="J16" s="62">
        <v>22</v>
      </c>
    </row>
    <row r="17" spans="1:10" ht="15.75" x14ac:dyDescent="0.25">
      <c r="A17" s="58" t="s">
        <v>8</v>
      </c>
      <c r="B17" s="59">
        <v>3</v>
      </c>
      <c r="C17" s="59" t="s">
        <v>50</v>
      </c>
      <c r="D17" s="59">
        <f t="shared" si="0"/>
        <v>9</v>
      </c>
      <c r="E17" s="63"/>
      <c r="F17" s="63"/>
      <c r="G17" s="62">
        <v>9.5</v>
      </c>
      <c r="H17" s="62">
        <v>12.5</v>
      </c>
      <c r="I17" s="62">
        <v>16.5</v>
      </c>
      <c r="J17" s="62">
        <v>22.5</v>
      </c>
    </row>
    <row r="18" spans="1:10" ht="15.75" x14ac:dyDescent="0.25">
      <c r="A18" s="58" t="s">
        <v>8</v>
      </c>
      <c r="B18" s="59">
        <v>3</v>
      </c>
      <c r="C18" s="59" t="s">
        <v>51</v>
      </c>
      <c r="D18" s="59">
        <f t="shared" si="0"/>
        <v>6</v>
      </c>
      <c r="E18" s="63"/>
      <c r="F18" s="63"/>
      <c r="G18" s="62"/>
      <c r="H18" s="62"/>
      <c r="I18" s="62">
        <v>16.5</v>
      </c>
      <c r="J18" s="62">
        <v>22.5</v>
      </c>
    </row>
    <row r="19" spans="1:10" ht="15.75" x14ac:dyDescent="0.25">
      <c r="A19" s="58" t="s">
        <v>8</v>
      </c>
      <c r="B19" s="59">
        <v>3</v>
      </c>
      <c r="C19" s="59" t="s">
        <v>52</v>
      </c>
      <c r="D19" s="59">
        <f t="shared" si="0"/>
        <v>8.5</v>
      </c>
      <c r="E19" s="63"/>
      <c r="F19" s="63"/>
      <c r="G19" s="62"/>
      <c r="H19" s="62"/>
      <c r="I19" s="62">
        <v>14</v>
      </c>
      <c r="J19" s="62">
        <v>22.5</v>
      </c>
    </row>
    <row r="20" spans="1:10" ht="15.75" x14ac:dyDescent="0.25">
      <c r="A20" s="58" t="s">
        <v>8</v>
      </c>
      <c r="B20" s="59">
        <v>3</v>
      </c>
      <c r="C20" s="59" t="s">
        <v>53</v>
      </c>
      <c r="D20" s="59">
        <f t="shared" si="0"/>
        <v>0</v>
      </c>
      <c r="E20" s="63"/>
      <c r="F20" s="63"/>
      <c r="G20" s="62"/>
      <c r="H20" s="62"/>
      <c r="I20" s="62"/>
      <c r="J20" s="62"/>
    </row>
    <row r="21" spans="1:10" ht="15.75" x14ac:dyDescent="0.25">
      <c r="A21" s="58" t="s">
        <v>8</v>
      </c>
      <c r="B21" s="59">
        <v>3</v>
      </c>
      <c r="C21" s="59" t="s">
        <v>54</v>
      </c>
      <c r="D21" s="59">
        <f t="shared" si="0"/>
        <v>0</v>
      </c>
      <c r="E21" s="63"/>
      <c r="F21" s="63"/>
      <c r="G21" s="62"/>
      <c r="H21" s="62"/>
      <c r="I21" s="62"/>
      <c r="J21" s="62"/>
    </row>
    <row r="22" spans="1:10" ht="15.75" x14ac:dyDescent="0.25">
      <c r="A22" s="58" t="s">
        <v>8</v>
      </c>
      <c r="B22" s="59">
        <v>3</v>
      </c>
      <c r="C22" s="59" t="s">
        <v>55</v>
      </c>
      <c r="D22" s="59">
        <f t="shared" si="0"/>
        <v>0</v>
      </c>
      <c r="E22" s="63"/>
      <c r="F22" s="63"/>
      <c r="G22" s="62"/>
      <c r="H22" s="62"/>
      <c r="I22" s="62"/>
      <c r="J22" s="62"/>
    </row>
    <row r="23" spans="1:10" ht="15.75" x14ac:dyDescent="0.25">
      <c r="A23" s="58" t="s">
        <v>8</v>
      </c>
      <c r="B23" s="59">
        <v>4</v>
      </c>
      <c r="C23" s="59" t="s">
        <v>49</v>
      </c>
      <c r="D23" s="59">
        <f t="shared" si="0"/>
        <v>8.5</v>
      </c>
      <c r="E23" s="63"/>
      <c r="F23" s="63"/>
      <c r="G23" s="62"/>
      <c r="H23" s="62"/>
      <c r="I23" s="62">
        <v>14</v>
      </c>
      <c r="J23" s="62">
        <v>22.5</v>
      </c>
    </row>
    <row r="24" spans="1:10" ht="15.75" x14ac:dyDescent="0.25">
      <c r="A24" s="58" t="s">
        <v>8</v>
      </c>
      <c r="B24" s="59">
        <v>4</v>
      </c>
      <c r="C24" s="59" t="s">
        <v>50</v>
      </c>
      <c r="D24" s="59">
        <f t="shared" si="0"/>
        <v>8.5</v>
      </c>
      <c r="E24" s="63"/>
      <c r="F24" s="63"/>
      <c r="G24" s="62">
        <v>9.5</v>
      </c>
      <c r="H24" s="62">
        <v>12.5</v>
      </c>
      <c r="I24" s="62">
        <v>16.5</v>
      </c>
      <c r="J24" s="62">
        <v>22</v>
      </c>
    </row>
    <row r="25" spans="1:10" ht="15.75" x14ac:dyDescent="0.25">
      <c r="A25" s="58" t="s">
        <v>8</v>
      </c>
      <c r="B25" s="59">
        <v>4</v>
      </c>
      <c r="C25" s="59" t="s">
        <v>51</v>
      </c>
      <c r="D25" s="59">
        <f t="shared" si="0"/>
        <v>0</v>
      </c>
      <c r="E25" s="63"/>
      <c r="F25" s="63"/>
      <c r="G25" s="62"/>
      <c r="H25" s="62"/>
      <c r="I25" s="62"/>
      <c r="J25" s="62"/>
    </row>
    <row r="26" spans="1:10" ht="15.75" x14ac:dyDescent="0.25">
      <c r="A26" s="58" t="s">
        <v>8</v>
      </c>
      <c r="B26" s="59">
        <v>4</v>
      </c>
      <c r="C26" s="59" t="s">
        <v>52</v>
      </c>
      <c r="D26" s="59">
        <f t="shared" si="0"/>
        <v>0</v>
      </c>
      <c r="E26" s="63"/>
      <c r="F26" s="63"/>
      <c r="G26" s="62"/>
      <c r="H26" s="62"/>
      <c r="I26" s="62"/>
      <c r="J26" s="62"/>
    </row>
    <row r="27" spans="1:10" ht="15.75" x14ac:dyDescent="0.25">
      <c r="A27" s="58" t="s">
        <v>8</v>
      </c>
      <c r="B27" s="59">
        <v>4</v>
      </c>
      <c r="C27" s="59" t="s">
        <v>53</v>
      </c>
      <c r="D27" s="59">
        <f t="shared" si="0"/>
        <v>0</v>
      </c>
      <c r="E27" s="63"/>
      <c r="F27" s="63"/>
      <c r="G27" s="62"/>
      <c r="H27" s="62"/>
      <c r="I27" s="62"/>
      <c r="J27" s="62"/>
    </row>
    <row r="28" spans="1:10" ht="15.75" x14ac:dyDescent="0.25">
      <c r="A28" s="58" t="s">
        <v>8</v>
      </c>
      <c r="B28" s="59">
        <v>4</v>
      </c>
      <c r="C28" s="59" t="s">
        <v>54</v>
      </c>
      <c r="D28" s="59">
        <f t="shared" si="0"/>
        <v>12</v>
      </c>
      <c r="E28" s="63"/>
      <c r="F28" s="63"/>
      <c r="G28" s="62"/>
      <c r="H28" s="62"/>
      <c r="I28" s="62">
        <v>8</v>
      </c>
      <c r="J28" s="62">
        <v>20</v>
      </c>
    </row>
    <row r="29" spans="1:10" ht="15.75" x14ac:dyDescent="0.25">
      <c r="A29" s="58" t="s">
        <v>8</v>
      </c>
      <c r="B29" s="59">
        <v>4</v>
      </c>
      <c r="C29" s="59" t="s">
        <v>55</v>
      </c>
      <c r="D29" s="59">
        <f t="shared" si="0"/>
        <v>12</v>
      </c>
      <c r="E29" s="63"/>
      <c r="F29" s="63"/>
      <c r="G29" s="62"/>
      <c r="H29" s="62"/>
      <c r="I29" s="62">
        <v>8</v>
      </c>
      <c r="J29" s="62">
        <v>20</v>
      </c>
    </row>
    <row r="30" spans="1:10" ht="15.75" x14ac:dyDescent="0.25">
      <c r="A30" s="58" t="s">
        <v>8</v>
      </c>
      <c r="B30" s="59">
        <v>5</v>
      </c>
      <c r="C30" s="59" t="s">
        <v>49</v>
      </c>
      <c r="D30" s="59">
        <f t="shared" si="0"/>
        <v>0</v>
      </c>
      <c r="E30" s="63"/>
      <c r="F30" s="63"/>
      <c r="G30" s="62"/>
      <c r="H30" s="62"/>
      <c r="I30" s="62"/>
      <c r="J30" s="62"/>
    </row>
    <row r="31" spans="1:10" ht="15.75" x14ac:dyDescent="0.25">
      <c r="A31" s="58" t="s">
        <v>8</v>
      </c>
      <c r="B31" s="59">
        <v>5</v>
      </c>
      <c r="C31" s="59" t="s">
        <v>50</v>
      </c>
      <c r="D31" s="59">
        <f t="shared" si="0"/>
        <v>11.5</v>
      </c>
      <c r="E31" s="63"/>
      <c r="F31" s="63"/>
      <c r="G31" s="62">
        <v>7</v>
      </c>
      <c r="H31" s="62">
        <v>12.5</v>
      </c>
      <c r="I31" s="62">
        <v>16.5</v>
      </c>
      <c r="J31" s="62">
        <v>22.5</v>
      </c>
    </row>
    <row r="32" spans="1:10" ht="15.75" x14ac:dyDescent="0.25">
      <c r="A32" s="58" t="s">
        <v>8</v>
      </c>
      <c r="B32" s="59">
        <v>5</v>
      </c>
      <c r="C32" s="59" t="s">
        <v>51</v>
      </c>
      <c r="D32" s="59">
        <f t="shared" si="0"/>
        <v>8.5</v>
      </c>
      <c r="E32" s="63"/>
      <c r="F32" s="63"/>
      <c r="G32" s="62"/>
      <c r="H32" s="62"/>
      <c r="I32" s="62">
        <v>14</v>
      </c>
      <c r="J32" s="62">
        <v>22.5</v>
      </c>
    </row>
    <row r="33" spans="1:10" ht="15.75" x14ac:dyDescent="0.25">
      <c r="A33" s="58" t="s">
        <v>8</v>
      </c>
      <c r="B33" s="59">
        <v>5</v>
      </c>
      <c r="C33" s="59" t="s">
        <v>52</v>
      </c>
      <c r="D33" s="59">
        <f t="shared" si="0"/>
        <v>8.5</v>
      </c>
      <c r="E33" s="63"/>
      <c r="F33" s="63"/>
      <c r="G33" s="62"/>
      <c r="H33" s="62"/>
      <c r="I33" s="62">
        <v>14</v>
      </c>
      <c r="J33" s="62">
        <v>22.5</v>
      </c>
    </row>
    <row r="34" spans="1:10" ht="15.75" x14ac:dyDescent="0.25">
      <c r="A34" s="58" t="s">
        <v>8</v>
      </c>
      <c r="B34" s="59">
        <v>5</v>
      </c>
      <c r="C34" s="59" t="s">
        <v>53</v>
      </c>
      <c r="D34" s="59">
        <f t="shared" si="0"/>
        <v>7.5</v>
      </c>
      <c r="E34" s="63"/>
      <c r="F34" s="63"/>
      <c r="G34" s="62"/>
      <c r="H34" s="62"/>
      <c r="I34" s="62">
        <v>15.5</v>
      </c>
      <c r="J34" s="62">
        <v>23</v>
      </c>
    </row>
    <row r="35" spans="1:10" ht="15.75" x14ac:dyDescent="0.25">
      <c r="A35" s="58" t="s">
        <v>8</v>
      </c>
      <c r="B35" s="59">
        <v>5</v>
      </c>
      <c r="C35" s="59" t="s">
        <v>54</v>
      </c>
      <c r="D35" s="59">
        <f t="shared" si="0"/>
        <v>0</v>
      </c>
      <c r="E35" s="63"/>
      <c r="F35" s="63"/>
      <c r="G35" s="62"/>
      <c r="H35" s="62"/>
      <c r="I35" s="62"/>
      <c r="J35" s="62"/>
    </row>
    <row r="36" spans="1:10" ht="15.75" x14ac:dyDescent="0.25">
      <c r="A36" s="58" t="s">
        <v>8</v>
      </c>
      <c r="B36" s="59">
        <v>5</v>
      </c>
      <c r="C36" s="59" t="s">
        <v>55</v>
      </c>
      <c r="D36" s="59">
        <f t="shared" si="0"/>
        <v>0</v>
      </c>
      <c r="E36" s="63"/>
      <c r="F36" s="63"/>
      <c r="G36" s="62"/>
      <c r="H36" s="62"/>
      <c r="I36" s="62"/>
      <c r="J36" s="62"/>
    </row>
    <row r="37" spans="1:10" ht="15.75" x14ac:dyDescent="0.25">
      <c r="A37" s="58" t="s">
        <v>8</v>
      </c>
      <c r="B37" s="59">
        <v>6</v>
      </c>
      <c r="C37" s="59" t="s">
        <v>49</v>
      </c>
      <c r="D37" s="59">
        <f t="shared" si="0"/>
        <v>8</v>
      </c>
      <c r="E37" s="63"/>
      <c r="F37" s="63"/>
      <c r="G37" s="62"/>
      <c r="H37" s="62"/>
      <c r="I37" s="62">
        <v>14</v>
      </c>
      <c r="J37" s="62">
        <v>22</v>
      </c>
    </row>
    <row r="38" spans="1:10" ht="15.75" x14ac:dyDescent="0.25">
      <c r="A38" s="58" t="s">
        <v>8</v>
      </c>
      <c r="B38" s="59">
        <v>6</v>
      </c>
      <c r="C38" s="59" t="s">
        <v>50</v>
      </c>
      <c r="D38" s="59">
        <f t="shared" si="0"/>
        <v>8.5</v>
      </c>
      <c r="E38" s="63"/>
      <c r="F38" s="63"/>
      <c r="G38" s="62">
        <v>9.5</v>
      </c>
      <c r="H38" s="62">
        <v>12.5</v>
      </c>
      <c r="I38" s="62">
        <v>16.5</v>
      </c>
      <c r="J38" s="62">
        <v>22</v>
      </c>
    </row>
    <row r="39" spans="1:10" ht="15.75" x14ac:dyDescent="0.25">
      <c r="A39" s="58" t="s">
        <v>8</v>
      </c>
      <c r="B39" s="59">
        <v>6</v>
      </c>
      <c r="C39" s="59" t="s">
        <v>51</v>
      </c>
      <c r="D39" s="59">
        <f t="shared" si="0"/>
        <v>6</v>
      </c>
      <c r="E39" s="63"/>
      <c r="F39" s="63">
        <v>6</v>
      </c>
      <c r="G39" s="62"/>
      <c r="H39" s="62"/>
      <c r="I39" s="62">
        <v>16</v>
      </c>
      <c r="J39" s="62">
        <v>22</v>
      </c>
    </row>
    <row r="40" spans="1:10" ht="15.75" x14ac:dyDescent="0.25">
      <c r="A40" s="58" t="s">
        <v>8</v>
      </c>
      <c r="B40" s="59">
        <v>6</v>
      </c>
      <c r="C40" s="59" t="s">
        <v>52</v>
      </c>
      <c r="D40" s="59">
        <f t="shared" si="0"/>
        <v>10.5</v>
      </c>
      <c r="E40" s="63"/>
      <c r="F40" s="63"/>
      <c r="G40" s="62">
        <v>7</v>
      </c>
      <c r="H40" s="62">
        <v>9.5</v>
      </c>
      <c r="I40" s="62">
        <v>14</v>
      </c>
      <c r="J40" s="62">
        <v>22</v>
      </c>
    </row>
    <row r="41" spans="1:10" ht="15.75" x14ac:dyDescent="0.25">
      <c r="A41" s="58" t="s">
        <v>8</v>
      </c>
      <c r="B41" s="59">
        <v>6</v>
      </c>
      <c r="C41" s="59" t="s">
        <v>53</v>
      </c>
      <c r="D41" s="59">
        <f t="shared" si="0"/>
        <v>6.5</v>
      </c>
      <c r="E41" s="63"/>
      <c r="F41" s="63"/>
      <c r="G41" s="62"/>
      <c r="H41" s="62"/>
      <c r="I41" s="62">
        <v>15.5</v>
      </c>
      <c r="J41" s="62">
        <v>22</v>
      </c>
    </row>
    <row r="42" spans="1:10" ht="15.75" x14ac:dyDescent="0.25">
      <c r="A42" s="58" t="s">
        <v>8</v>
      </c>
      <c r="B42" s="59">
        <v>6</v>
      </c>
      <c r="C42" s="59" t="s">
        <v>54</v>
      </c>
      <c r="D42" s="59">
        <f t="shared" si="0"/>
        <v>0</v>
      </c>
      <c r="E42" s="63"/>
      <c r="F42" s="63"/>
      <c r="G42" s="62"/>
      <c r="H42" s="62"/>
      <c r="I42" s="62"/>
      <c r="J42" s="62"/>
    </row>
    <row r="43" spans="1:10" ht="15.75" x14ac:dyDescent="0.25">
      <c r="A43" s="58" t="s">
        <v>8</v>
      </c>
      <c r="B43" s="59">
        <v>6</v>
      </c>
      <c r="C43" s="59" t="s">
        <v>55</v>
      </c>
      <c r="D43" s="59">
        <f t="shared" si="0"/>
        <v>0</v>
      </c>
      <c r="E43" s="63"/>
      <c r="F43" s="63"/>
      <c r="G43" s="62"/>
      <c r="H43" s="62"/>
      <c r="I43" s="62"/>
      <c r="J43" s="62"/>
    </row>
    <row r="44" spans="1:10" ht="15.75" x14ac:dyDescent="0.25">
      <c r="A44" s="58" t="s">
        <v>129</v>
      </c>
      <c r="B44" s="59">
        <v>1</v>
      </c>
      <c r="C44" s="59" t="s">
        <v>49</v>
      </c>
      <c r="D44" s="59">
        <f t="shared" si="0"/>
        <v>8.75</v>
      </c>
      <c r="E44" s="67"/>
      <c r="F44" s="67"/>
      <c r="G44" s="62">
        <v>0</v>
      </c>
      <c r="H44" s="62">
        <v>7.16</v>
      </c>
      <c r="I44" s="62">
        <v>22.41</v>
      </c>
      <c r="J44" s="62">
        <v>24</v>
      </c>
    </row>
    <row r="45" spans="1:10" ht="15.75" x14ac:dyDescent="0.25">
      <c r="A45" s="58" t="s">
        <v>129</v>
      </c>
      <c r="B45" s="59">
        <v>1</v>
      </c>
      <c r="C45" s="59" t="s">
        <v>50</v>
      </c>
      <c r="D45" s="59">
        <f t="shared" si="0"/>
        <v>7.16</v>
      </c>
      <c r="E45" s="67"/>
      <c r="F45" s="67"/>
      <c r="G45" s="62">
        <v>0</v>
      </c>
      <c r="H45" s="62">
        <v>7.16</v>
      </c>
      <c r="I45" s="62"/>
      <c r="J45" s="62"/>
    </row>
    <row r="46" spans="1:10" ht="15.75" x14ac:dyDescent="0.25">
      <c r="A46" s="58" t="s">
        <v>129</v>
      </c>
      <c r="B46" s="59">
        <v>1</v>
      </c>
      <c r="C46" s="59" t="s">
        <v>51</v>
      </c>
      <c r="D46" s="59">
        <f t="shared" si="0"/>
        <v>0</v>
      </c>
      <c r="E46" s="67"/>
      <c r="F46" s="67"/>
      <c r="G46" s="62"/>
      <c r="H46" s="62"/>
      <c r="I46" s="62"/>
      <c r="J46" s="62"/>
    </row>
    <row r="47" spans="1:10" ht="15.75" x14ac:dyDescent="0.25">
      <c r="A47" s="58" t="s">
        <v>129</v>
      </c>
      <c r="B47" s="59">
        <v>1</v>
      </c>
      <c r="C47" s="59" t="s">
        <v>52</v>
      </c>
      <c r="D47" s="59">
        <f t="shared" si="0"/>
        <v>0</v>
      </c>
      <c r="E47" s="67"/>
      <c r="F47" s="67"/>
      <c r="G47" s="62"/>
      <c r="H47" s="62"/>
      <c r="I47" s="62"/>
      <c r="J47" s="62"/>
    </row>
    <row r="48" spans="1:10" ht="15.75" x14ac:dyDescent="0.25">
      <c r="A48" s="58" t="s">
        <v>129</v>
      </c>
      <c r="B48" s="59">
        <v>1</v>
      </c>
      <c r="C48" s="59" t="s">
        <v>53</v>
      </c>
      <c r="D48" s="59">
        <f t="shared" si="0"/>
        <v>0</v>
      </c>
      <c r="E48" s="67"/>
      <c r="F48" s="67"/>
      <c r="G48" s="62"/>
      <c r="H48" s="62"/>
      <c r="I48" s="62"/>
      <c r="J48" s="62"/>
    </row>
    <row r="49" spans="1:10" ht="15.75" x14ac:dyDescent="0.25">
      <c r="A49" s="58" t="s">
        <v>129</v>
      </c>
      <c r="B49" s="59">
        <v>1</v>
      </c>
      <c r="C49" s="59" t="s">
        <v>54</v>
      </c>
      <c r="D49" s="59">
        <f t="shared" si="0"/>
        <v>1.0899999999999999</v>
      </c>
      <c r="E49" s="67"/>
      <c r="F49" s="67"/>
      <c r="G49" s="62"/>
      <c r="H49" s="62"/>
      <c r="I49" s="62">
        <v>22.91</v>
      </c>
      <c r="J49" s="62">
        <v>24</v>
      </c>
    </row>
    <row r="50" spans="1:10" ht="15.75" x14ac:dyDescent="0.25">
      <c r="A50" s="58" t="s">
        <v>129</v>
      </c>
      <c r="B50" s="59">
        <v>1</v>
      </c>
      <c r="C50" s="59" t="s">
        <v>55</v>
      </c>
      <c r="D50" s="59">
        <f t="shared" si="0"/>
        <v>9.25</v>
      </c>
      <c r="E50" s="67"/>
      <c r="F50" s="67"/>
      <c r="G50" s="62">
        <v>0</v>
      </c>
      <c r="H50" s="62">
        <v>8.16</v>
      </c>
      <c r="I50" s="62">
        <v>22.91</v>
      </c>
      <c r="J50" s="62">
        <v>24</v>
      </c>
    </row>
    <row r="51" spans="1:10" ht="15.75" x14ac:dyDescent="0.25">
      <c r="A51" s="58" t="s">
        <v>128</v>
      </c>
      <c r="B51" s="59">
        <v>1</v>
      </c>
      <c r="C51" s="59" t="s">
        <v>49</v>
      </c>
      <c r="D51" s="59">
        <f t="shared" si="0"/>
        <v>0</v>
      </c>
      <c r="E51" s="67"/>
      <c r="F51" s="67"/>
      <c r="G51" s="62"/>
      <c r="H51" s="62"/>
      <c r="I51" s="62"/>
      <c r="J51" s="62"/>
    </row>
    <row r="52" spans="1:10" ht="15.75" x14ac:dyDescent="0.25">
      <c r="A52" s="58" t="s">
        <v>128</v>
      </c>
      <c r="B52" s="59">
        <v>1</v>
      </c>
      <c r="C52" s="59" t="s">
        <v>50</v>
      </c>
      <c r="D52" s="59">
        <f t="shared" si="0"/>
        <v>1.75</v>
      </c>
      <c r="E52" s="67"/>
      <c r="F52" s="67"/>
      <c r="G52" s="62"/>
      <c r="H52" s="62"/>
      <c r="I52" s="62">
        <v>22.25</v>
      </c>
      <c r="J52" s="62">
        <v>24</v>
      </c>
    </row>
    <row r="53" spans="1:10" ht="15.75" x14ac:dyDescent="0.25">
      <c r="A53" s="58" t="s">
        <v>128</v>
      </c>
      <c r="B53" s="59">
        <v>1</v>
      </c>
      <c r="C53" s="59" t="s">
        <v>51</v>
      </c>
      <c r="D53" s="59">
        <f t="shared" si="0"/>
        <v>9</v>
      </c>
      <c r="E53" s="67"/>
      <c r="F53" s="67"/>
      <c r="G53" s="62">
        <v>0</v>
      </c>
      <c r="H53" s="62">
        <v>7.25</v>
      </c>
      <c r="I53" s="62">
        <v>22.25</v>
      </c>
      <c r="J53" s="62">
        <v>24</v>
      </c>
    </row>
    <row r="54" spans="1:10" ht="15.75" x14ac:dyDescent="0.25">
      <c r="A54" s="58" t="s">
        <v>128</v>
      </c>
      <c r="B54" s="59">
        <v>1</v>
      </c>
      <c r="C54" s="59" t="s">
        <v>52</v>
      </c>
      <c r="D54" s="59">
        <f t="shared" si="0"/>
        <v>9</v>
      </c>
      <c r="E54" s="67"/>
      <c r="F54" s="67"/>
      <c r="G54" s="62">
        <v>0</v>
      </c>
      <c r="H54" s="62">
        <v>7.25</v>
      </c>
      <c r="I54" s="62">
        <v>22.25</v>
      </c>
      <c r="J54" s="62">
        <v>24</v>
      </c>
    </row>
    <row r="55" spans="1:10" ht="15.75" x14ac:dyDescent="0.25">
      <c r="A55" s="58" t="s">
        <v>128</v>
      </c>
      <c r="B55" s="59">
        <v>1</v>
      </c>
      <c r="C55" s="59" t="s">
        <v>53</v>
      </c>
      <c r="D55" s="59">
        <f t="shared" si="0"/>
        <v>8.5</v>
      </c>
      <c r="E55" s="67"/>
      <c r="F55" s="67"/>
      <c r="G55" s="62">
        <v>0</v>
      </c>
      <c r="H55" s="62">
        <v>7.25</v>
      </c>
      <c r="I55" s="62">
        <v>22.75</v>
      </c>
      <c r="J55" s="62">
        <v>24</v>
      </c>
    </row>
    <row r="56" spans="1:10" ht="15.75" x14ac:dyDescent="0.25">
      <c r="A56" s="58" t="s">
        <v>128</v>
      </c>
      <c r="B56" s="59">
        <v>1</v>
      </c>
      <c r="C56" s="59" t="s">
        <v>54</v>
      </c>
      <c r="D56" s="59">
        <f t="shared" si="0"/>
        <v>8.25</v>
      </c>
      <c r="E56" s="67"/>
      <c r="F56" s="67"/>
      <c r="G56" s="62">
        <v>0</v>
      </c>
      <c r="H56" s="62">
        <v>8.25</v>
      </c>
      <c r="I56" s="62"/>
      <c r="J56" s="62"/>
    </row>
    <row r="57" spans="1:10" ht="15.75" x14ac:dyDescent="0.25">
      <c r="A57" s="58" t="s">
        <v>128</v>
      </c>
      <c r="B57" s="59">
        <v>1</v>
      </c>
      <c r="C57" s="59" t="s">
        <v>55</v>
      </c>
      <c r="D57" s="59">
        <f t="shared" si="0"/>
        <v>0</v>
      </c>
      <c r="E57" s="67"/>
      <c r="F57" s="67"/>
      <c r="G57" s="62"/>
      <c r="H57" s="62"/>
      <c r="I57" s="62"/>
      <c r="J57" s="62"/>
    </row>
    <row r="58" spans="1:10" ht="15.75" x14ac:dyDescent="0.25">
      <c r="A58" s="58" t="s">
        <v>142</v>
      </c>
      <c r="B58" s="59">
        <v>1</v>
      </c>
      <c r="C58" s="59" t="s">
        <v>49</v>
      </c>
      <c r="D58" s="59">
        <f t="shared" si="0"/>
        <v>4</v>
      </c>
      <c r="E58" s="67"/>
      <c r="F58" s="67"/>
      <c r="G58" s="62"/>
      <c r="H58" s="62"/>
      <c r="I58" s="62">
        <v>15</v>
      </c>
      <c r="J58" s="62">
        <v>19</v>
      </c>
    </row>
    <row r="59" spans="1:10" ht="15.75" x14ac:dyDescent="0.25">
      <c r="A59" s="58" t="s">
        <v>142</v>
      </c>
      <c r="B59" s="59">
        <v>1</v>
      </c>
      <c r="C59" s="59" t="s">
        <v>50</v>
      </c>
      <c r="D59" s="59">
        <f t="shared" si="0"/>
        <v>6</v>
      </c>
      <c r="E59" s="67"/>
      <c r="F59" s="67"/>
      <c r="G59" s="62">
        <v>10</v>
      </c>
      <c r="H59" s="62">
        <v>12</v>
      </c>
      <c r="I59" s="62">
        <v>12</v>
      </c>
      <c r="J59" s="62">
        <v>16</v>
      </c>
    </row>
    <row r="60" spans="1:10" ht="15.75" x14ac:dyDescent="0.25">
      <c r="A60" s="58" t="s">
        <v>142</v>
      </c>
      <c r="B60" s="59">
        <v>1</v>
      </c>
      <c r="C60" s="59" t="s">
        <v>51</v>
      </c>
      <c r="D60" s="59">
        <f t="shared" si="0"/>
        <v>7.5</v>
      </c>
      <c r="E60" s="67"/>
      <c r="F60" s="67"/>
      <c r="G60" s="62">
        <v>9.25</v>
      </c>
      <c r="H60" s="62">
        <v>12</v>
      </c>
      <c r="I60" s="62">
        <v>12</v>
      </c>
      <c r="J60" s="62">
        <v>16.75</v>
      </c>
    </row>
    <row r="61" spans="1:10" ht="15.75" x14ac:dyDescent="0.25">
      <c r="A61" s="58" t="s">
        <v>142</v>
      </c>
      <c r="B61" s="59">
        <v>1</v>
      </c>
      <c r="C61" s="59" t="s">
        <v>52</v>
      </c>
      <c r="D61" s="59">
        <f t="shared" si="0"/>
        <v>0</v>
      </c>
      <c r="E61" s="67"/>
      <c r="F61" s="67"/>
      <c r="G61" s="62"/>
      <c r="H61" s="62"/>
      <c r="I61" s="62"/>
      <c r="J61" s="62"/>
    </row>
    <row r="62" spans="1:10" ht="15.75" x14ac:dyDescent="0.25">
      <c r="A62" s="58" t="s">
        <v>142</v>
      </c>
      <c r="B62" s="59">
        <v>1</v>
      </c>
      <c r="C62" s="59" t="s">
        <v>53</v>
      </c>
      <c r="D62" s="59">
        <f t="shared" si="0"/>
        <v>0</v>
      </c>
      <c r="E62" s="67"/>
      <c r="F62" s="67"/>
      <c r="G62" s="62"/>
      <c r="H62" s="62"/>
      <c r="I62" s="62"/>
      <c r="J62" s="62"/>
    </row>
    <row r="63" spans="1:10" ht="15.75" x14ac:dyDescent="0.25">
      <c r="A63" s="58" t="s">
        <v>142</v>
      </c>
      <c r="B63" s="59">
        <v>1</v>
      </c>
      <c r="C63" s="59" t="s">
        <v>54</v>
      </c>
      <c r="D63" s="59">
        <f t="shared" si="0"/>
        <v>0</v>
      </c>
      <c r="E63" s="67"/>
      <c r="F63" s="67"/>
      <c r="G63" s="62"/>
      <c r="H63" s="62"/>
      <c r="I63" s="62"/>
      <c r="J63" s="62"/>
    </row>
    <row r="64" spans="1:10" ht="15.75" x14ac:dyDescent="0.25">
      <c r="A64" s="58" t="s">
        <v>142</v>
      </c>
      <c r="B64" s="59">
        <v>1</v>
      </c>
      <c r="C64" s="59" t="s">
        <v>55</v>
      </c>
      <c r="D64" s="59">
        <f t="shared" si="0"/>
        <v>0</v>
      </c>
      <c r="E64" s="67"/>
      <c r="F64" s="67"/>
      <c r="G64" s="62"/>
      <c r="H64" s="62"/>
      <c r="I64" s="62"/>
      <c r="J64" s="62"/>
    </row>
    <row r="65" spans="1:10" ht="15.75" x14ac:dyDescent="0.25">
      <c r="A65" s="58" t="s">
        <v>142</v>
      </c>
      <c r="B65" s="59">
        <v>2</v>
      </c>
      <c r="C65" s="59" t="s">
        <v>49</v>
      </c>
      <c r="D65" s="59">
        <f t="shared" si="0"/>
        <v>4</v>
      </c>
      <c r="E65" s="67"/>
      <c r="F65" s="67"/>
      <c r="G65" s="62"/>
      <c r="H65" s="62"/>
      <c r="I65" s="62">
        <v>12</v>
      </c>
      <c r="J65" s="62">
        <v>16</v>
      </c>
    </row>
    <row r="66" spans="1:10" ht="15.75" x14ac:dyDescent="0.25">
      <c r="A66" s="58" t="s">
        <v>142</v>
      </c>
      <c r="B66" s="59">
        <v>2</v>
      </c>
      <c r="C66" s="59" t="s">
        <v>50</v>
      </c>
      <c r="D66" s="59">
        <f t="shared" si="0"/>
        <v>6</v>
      </c>
      <c r="E66" s="67"/>
      <c r="F66" s="67"/>
      <c r="G66" s="62">
        <v>10</v>
      </c>
      <c r="H66" s="62">
        <v>12</v>
      </c>
      <c r="I66" s="62">
        <v>12</v>
      </c>
      <c r="J66" s="62">
        <v>16</v>
      </c>
    </row>
    <row r="67" spans="1:10" ht="15.75" x14ac:dyDescent="0.25">
      <c r="A67" s="58" t="s">
        <v>142</v>
      </c>
      <c r="B67" s="59">
        <v>2</v>
      </c>
      <c r="C67" s="59" t="s">
        <v>51</v>
      </c>
      <c r="D67" s="59">
        <f t="shared" si="0"/>
        <v>7.5</v>
      </c>
      <c r="E67" s="67"/>
      <c r="F67" s="67"/>
      <c r="G67" s="62">
        <v>9.25</v>
      </c>
      <c r="H67" s="62">
        <v>12</v>
      </c>
      <c r="I67" s="62">
        <v>12</v>
      </c>
      <c r="J67" s="62">
        <v>16.75</v>
      </c>
    </row>
    <row r="68" spans="1:10" ht="15.75" x14ac:dyDescent="0.25">
      <c r="A68" s="58" t="s">
        <v>142</v>
      </c>
      <c r="B68" s="59">
        <v>2</v>
      </c>
      <c r="C68" s="59" t="s">
        <v>52</v>
      </c>
      <c r="D68" s="59">
        <f t="shared" si="0"/>
        <v>0</v>
      </c>
      <c r="E68" s="67"/>
      <c r="F68" s="67"/>
      <c r="G68" s="62"/>
      <c r="H68" s="62"/>
      <c r="I68" s="62"/>
      <c r="J68" s="62"/>
    </row>
    <row r="69" spans="1:10" ht="15.75" x14ac:dyDescent="0.25">
      <c r="A69" s="58" t="s">
        <v>142</v>
      </c>
      <c r="B69" s="59">
        <v>2</v>
      </c>
      <c r="C69" s="59" t="s">
        <v>53</v>
      </c>
      <c r="D69" s="59">
        <f t="shared" si="0"/>
        <v>0</v>
      </c>
      <c r="E69" s="67"/>
      <c r="F69" s="67"/>
      <c r="G69" s="62"/>
      <c r="H69" s="62"/>
      <c r="I69" s="62"/>
      <c r="J69" s="62"/>
    </row>
    <row r="70" spans="1:10" ht="15.75" x14ac:dyDescent="0.25">
      <c r="A70" s="58" t="s">
        <v>142</v>
      </c>
      <c r="B70" s="59">
        <v>2</v>
      </c>
      <c r="C70" s="59" t="s">
        <v>54</v>
      </c>
      <c r="D70" s="59">
        <f t="shared" si="0"/>
        <v>0</v>
      </c>
      <c r="E70" s="67"/>
      <c r="F70" s="67"/>
      <c r="G70" s="62"/>
      <c r="H70" s="62"/>
      <c r="I70" s="62"/>
      <c r="J70" s="62"/>
    </row>
    <row r="71" spans="1:10" ht="15.75" x14ac:dyDescent="0.25">
      <c r="A71" s="58" t="s">
        <v>142</v>
      </c>
      <c r="B71" s="59">
        <v>2</v>
      </c>
      <c r="C71" s="59" t="s">
        <v>55</v>
      </c>
      <c r="D71" s="59">
        <f t="shared" si="0"/>
        <v>0</v>
      </c>
      <c r="E71" s="67"/>
      <c r="F71" s="67"/>
      <c r="G71" s="62"/>
      <c r="H71" s="62"/>
      <c r="I71" s="62"/>
      <c r="J71" s="62"/>
    </row>
    <row r="72" spans="1:10" ht="15.75" x14ac:dyDescent="0.25">
      <c r="A72" s="58" t="s">
        <v>82</v>
      </c>
      <c r="B72" s="59">
        <v>1</v>
      </c>
      <c r="C72" s="59" t="s">
        <v>49</v>
      </c>
      <c r="D72" s="59">
        <f t="shared" si="0"/>
        <v>7.25</v>
      </c>
      <c r="E72" s="67"/>
      <c r="F72" s="67"/>
      <c r="G72" s="62">
        <v>0</v>
      </c>
      <c r="H72" s="62">
        <v>7.25</v>
      </c>
      <c r="I72" s="62"/>
      <c r="J72" s="62"/>
    </row>
    <row r="73" spans="1:10" ht="15.75" x14ac:dyDescent="0.25">
      <c r="A73" s="58" t="s">
        <v>82</v>
      </c>
      <c r="B73" s="59">
        <v>1</v>
      </c>
      <c r="C73" s="59" t="s">
        <v>50</v>
      </c>
      <c r="D73" s="59">
        <f t="shared" si="0"/>
        <v>0</v>
      </c>
      <c r="E73" s="67"/>
      <c r="F73" s="67"/>
      <c r="G73" s="62"/>
      <c r="H73" s="62"/>
      <c r="I73" s="62"/>
      <c r="J73" s="62"/>
    </row>
    <row r="74" spans="1:10" ht="15.75" x14ac:dyDescent="0.25">
      <c r="A74" s="58" t="s">
        <v>82</v>
      </c>
      <c r="B74" s="59">
        <v>1</v>
      </c>
      <c r="C74" s="59" t="s">
        <v>51</v>
      </c>
      <c r="D74" s="59">
        <f t="shared" si="0"/>
        <v>2.75</v>
      </c>
      <c r="E74" s="67"/>
      <c r="F74" s="67"/>
      <c r="G74" s="62"/>
      <c r="H74" s="62"/>
      <c r="I74" s="62">
        <v>21.25</v>
      </c>
      <c r="J74" s="62">
        <v>24</v>
      </c>
    </row>
    <row r="75" spans="1:10" ht="15.75" x14ac:dyDescent="0.25">
      <c r="A75" s="58" t="s">
        <v>82</v>
      </c>
      <c r="B75" s="59">
        <v>1</v>
      </c>
      <c r="C75" s="59" t="s">
        <v>52</v>
      </c>
      <c r="D75" s="59">
        <f t="shared" si="0"/>
        <v>10</v>
      </c>
      <c r="E75" s="67"/>
      <c r="F75" s="67"/>
      <c r="G75" s="62">
        <v>0</v>
      </c>
      <c r="H75" s="62">
        <v>7.25</v>
      </c>
      <c r="I75" s="62">
        <v>21.25</v>
      </c>
      <c r="J75" s="62">
        <v>24</v>
      </c>
    </row>
    <row r="76" spans="1:10" ht="15.75" x14ac:dyDescent="0.25">
      <c r="A76" s="58" t="s">
        <v>82</v>
      </c>
      <c r="B76" s="59">
        <v>1</v>
      </c>
      <c r="C76" s="59" t="s">
        <v>53</v>
      </c>
      <c r="D76" s="59">
        <f t="shared" si="0"/>
        <v>9.5</v>
      </c>
      <c r="E76" s="67"/>
      <c r="F76" s="67"/>
      <c r="G76" s="62">
        <v>0</v>
      </c>
      <c r="H76" s="62">
        <v>7.25</v>
      </c>
      <c r="I76" s="62">
        <v>21.75</v>
      </c>
      <c r="J76" s="62">
        <v>24</v>
      </c>
    </row>
    <row r="77" spans="1:10" ht="15.75" x14ac:dyDescent="0.25">
      <c r="A77" s="58" t="s">
        <v>82</v>
      </c>
      <c r="B77" s="59">
        <v>1</v>
      </c>
      <c r="C77" s="59" t="s">
        <v>54</v>
      </c>
      <c r="D77" s="59">
        <f t="shared" si="0"/>
        <v>8.25</v>
      </c>
      <c r="E77" s="67"/>
      <c r="F77" s="67"/>
      <c r="G77" s="62">
        <v>0</v>
      </c>
      <c r="H77" s="62">
        <v>8.25</v>
      </c>
      <c r="I77" s="62"/>
      <c r="J77" s="62"/>
    </row>
    <row r="78" spans="1:10" ht="15.75" x14ac:dyDescent="0.25">
      <c r="A78" s="58" t="s">
        <v>82</v>
      </c>
      <c r="B78" s="59">
        <v>1</v>
      </c>
      <c r="C78" s="59" t="s">
        <v>55</v>
      </c>
      <c r="D78" s="59">
        <f t="shared" si="0"/>
        <v>0</v>
      </c>
      <c r="E78" s="67"/>
      <c r="F78" s="67"/>
      <c r="G78" s="62"/>
      <c r="H78" s="62"/>
      <c r="I78" s="62"/>
      <c r="J78" s="62"/>
    </row>
    <row r="79" spans="1:10" ht="15.75" x14ac:dyDescent="0.25">
      <c r="A79" s="58" t="s">
        <v>82</v>
      </c>
      <c r="B79" s="59">
        <v>2</v>
      </c>
      <c r="C79" s="59" t="s">
        <v>49</v>
      </c>
      <c r="D79" s="59">
        <f t="shared" si="0"/>
        <v>2.75</v>
      </c>
      <c r="E79" s="67"/>
      <c r="F79" s="67"/>
      <c r="G79" s="62"/>
      <c r="H79" s="62"/>
      <c r="I79" s="62">
        <v>21.25</v>
      </c>
      <c r="J79" s="62">
        <v>24</v>
      </c>
    </row>
    <row r="80" spans="1:10" ht="15.75" x14ac:dyDescent="0.25">
      <c r="A80" s="58" t="s">
        <v>82</v>
      </c>
      <c r="B80" s="59">
        <v>2</v>
      </c>
      <c r="C80" s="59" t="s">
        <v>50</v>
      </c>
      <c r="D80" s="59">
        <f t="shared" si="0"/>
        <v>10</v>
      </c>
      <c r="E80" s="67"/>
      <c r="F80" s="67"/>
      <c r="G80" s="62">
        <v>0</v>
      </c>
      <c r="H80" s="62">
        <v>7.25</v>
      </c>
      <c r="I80" s="62">
        <v>21.25</v>
      </c>
      <c r="J80" s="62">
        <v>24</v>
      </c>
    </row>
    <row r="81" spans="1:10" ht="15.75" x14ac:dyDescent="0.25">
      <c r="A81" s="58" t="s">
        <v>82</v>
      </c>
      <c r="B81" s="59">
        <v>2</v>
      </c>
      <c r="C81" s="59" t="s">
        <v>51</v>
      </c>
      <c r="D81" s="59">
        <f t="shared" si="0"/>
        <v>7.25</v>
      </c>
      <c r="E81" s="67"/>
      <c r="F81" s="67"/>
      <c r="G81" s="62">
        <v>0</v>
      </c>
      <c r="H81" s="62">
        <v>7.25</v>
      </c>
      <c r="I81" s="62"/>
      <c r="J81" s="62"/>
    </row>
    <row r="82" spans="1:10" ht="15.75" x14ac:dyDescent="0.25">
      <c r="A82" s="58" t="s">
        <v>82</v>
      </c>
      <c r="B82" s="59">
        <v>2</v>
      </c>
      <c r="C82" s="59" t="s">
        <v>52</v>
      </c>
      <c r="D82" s="59">
        <f t="shared" si="0"/>
        <v>0</v>
      </c>
      <c r="E82" s="67"/>
      <c r="F82" s="67"/>
      <c r="G82" s="62"/>
      <c r="H82" s="62"/>
      <c r="I82" s="62"/>
      <c r="J82" s="62"/>
    </row>
    <row r="83" spans="1:10" ht="15.75" x14ac:dyDescent="0.25">
      <c r="A83" s="58" t="s">
        <v>82</v>
      </c>
      <c r="B83" s="59">
        <v>2</v>
      </c>
      <c r="C83" s="59" t="s">
        <v>53</v>
      </c>
      <c r="D83" s="59">
        <f t="shared" si="0"/>
        <v>0</v>
      </c>
      <c r="E83" s="67"/>
      <c r="F83" s="67"/>
      <c r="G83" s="62"/>
      <c r="H83" s="62"/>
      <c r="I83" s="62"/>
      <c r="J83" s="62"/>
    </row>
    <row r="84" spans="1:10" ht="15.75" x14ac:dyDescent="0.25">
      <c r="A84" s="58" t="s">
        <v>82</v>
      </c>
      <c r="B84" s="59">
        <v>2</v>
      </c>
      <c r="C84" s="59" t="s">
        <v>54</v>
      </c>
      <c r="D84" s="59">
        <f t="shared" si="0"/>
        <v>2.25</v>
      </c>
      <c r="E84" s="67"/>
      <c r="F84" s="67"/>
      <c r="G84" s="62"/>
      <c r="H84" s="62"/>
      <c r="I84" s="62">
        <v>21.75</v>
      </c>
      <c r="J84" s="62">
        <v>24</v>
      </c>
    </row>
    <row r="85" spans="1:10" ht="15.75" x14ac:dyDescent="0.25">
      <c r="A85" s="58" t="s">
        <v>82</v>
      </c>
      <c r="B85" s="59">
        <v>2</v>
      </c>
      <c r="C85" s="59" t="s">
        <v>55</v>
      </c>
      <c r="D85" s="59">
        <f t="shared" si="0"/>
        <v>11</v>
      </c>
      <c r="E85" s="67"/>
      <c r="F85" s="67"/>
      <c r="G85" s="62">
        <v>0</v>
      </c>
      <c r="H85" s="62">
        <v>8.25</v>
      </c>
      <c r="I85" s="62">
        <v>21.25</v>
      </c>
      <c r="J85" s="62">
        <v>24</v>
      </c>
    </row>
    <row r="86" spans="1:10" ht="15.75" x14ac:dyDescent="0.25">
      <c r="A86" s="58" t="s">
        <v>75</v>
      </c>
      <c r="B86" s="59">
        <v>1</v>
      </c>
      <c r="C86" s="59" t="s">
        <v>49</v>
      </c>
      <c r="D86" s="59">
        <f t="shared" si="0"/>
        <v>10</v>
      </c>
      <c r="E86" s="67"/>
      <c r="F86" s="67"/>
      <c r="G86" s="62">
        <v>7</v>
      </c>
      <c r="H86" s="62">
        <v>12</v>
      </c>
      <c r="I86" s="62">
        <v>12</v>
      </c>
      <c r="J86" s="62">
        <v>17</v>
      </c>
    </row>
    <row r="87" spans="1:10" ht="15.75" x14ac:dyDescent="0.25">
      <c r="A87" s="58" t="s">
        <v>75</v>
      </c>
      <c r="B87" s="59">
        <v>1</v>
      </c>
      <c r="C87" s="59" t="s">
        <v>50</v>
      </c>
      <c r="D87" s="59">
        <f t="shared" si="0"/>
        <v>3</v>
      </c>
      <c r="E87" s="67"/>
      <c r="F87" s="67"/>
      <c r="G87" s="62">
        <v>9.5</v>
      </c>
      <c r="H87" s="62">
        <v>12.5</v>
      </c>
      <c r="I87" s="62"/>
      <c r="J87" s="62"/>
    </row>
    <row r="88" spans="1:10" ht="15.75" x14ac:dyDescent="0.25">
      <c r="A88" s="58" t="s">
        <v>75</v>
      </c>
      <c r="B88" s="59">
        <v>1</v>
      </c>
      <c r="C88" s="59" t="s">
        <v>51</v>
      </c>
      <c r="D88" s="59">
        <f t="shared" si="0"/>
        <v>0</v>
      </c>
      <c r="E88" s="67"/>
      <c r="F88" s="67"/>
      <c r="G88" s="62"/>
      <c r="H88" s="62"/>
      <c r="I88" s="62"/>
      <c r="J88" s="62"/>
    </row>
    <row r="89" spans="1:10" ht="15.75" x14ac:dyDescent="0.25">
      <c r="A89" s="58" t="s">
        <v>75</v>
      </c>
      <c r="B89" s="59">
        <v>1</v>
      </c>
      <c r="C89" s="59" t="s">
        <v>52</v>
      </c>
      <c r="D89" s="59">
        <f t="shared" si="0"/>
        <v>0</v>
      </c>
      <c r="E89" s="67"/>
      <c r="F89" s="67"/>
      <c r="G89" s="62"/>
      <c r="H89" s="62"/>
      <c r="I89" s="62"/>
      <c r="J89" s="62"/>
    </row>
    <row r="90" spans="1:10" ht="15.75" x14ac:dyDescent="0.25">
      <c r="A90" s="58" t="s">
        <v>75</v>
      </c>
      <c r="B90" s="59">
        <v>1</v>
      </c>
      <c r="C90" s="59" t="s">
        <v>53</v>
      </c>
      <c r="D90" s="59">
        <f t="shared" si="0"/>
        <v>0</v>
      </c>
      <c r="E90" s="67"/>
      <c r="F90" s="67"/>
      <c r="G90" s="62"/>
      <c r="H90" s="62"/>
      <c r="I90" s="62"/>
      <c r="J90" s="62"/>
    </row>
    <row r="91" spans="1:10" ht="15.75" x14ac:dyDescent="0.25">
      <c r="A91" s="58" t="s">
        <v>75</v>
      </c>
      <c r="B91" s="59">
        <v>1</v>
      </c>
      <c r="C91" s="59" t="s">
        <v>54</v>
      </c>
      <c r="D91" s="59">
        <f t="shared" si="0"/>
        <v>12</v>
      </c>
      <c r="E91" s="67"/>
      <c r="F91" s="67"/>
      <c r="G91" s="62">
        <v>8.5</v>
      </c>
      <c r="H91" s="62">
        <v>12</v>
      </c>
      <c r="I91" s="62">
        <v>12</v>
      </c>
      <c r="J91" s="62">
        <v>20.5</v>
      </c>
    </row>
    <row r="92" spans="1:10" ht="15.75" x14ac:dyDescent="0.25">
      <c r="A92" s="58" t="s">
        <v>75</v>
      </c>
      <c r="B92" s="59">
        <v>1</v>
      </c>
      <c r="C92" s="59" t="s">
        <v>55</v>
      </c>
      <c r="D92" s="59">
        <f t="shared" si="0"/>
        <v>12</v>
      </c>
      <c r="E92" s="67"/>
      <c r="F92" s="67"/>
      <c r="G92" s="62">
        <v>8.5</v>
      </c>
      <c r="H92" s="62">
        <v>12</v>
      </c>
      <c r="I92" s="62">
        <v>12</v>
      </c>
      <c r="J92" s="62">
        <v>20.5</v>
      </c>
    </row>
    <row r="93" spans="1:10" ht="15.75" x14ac:dyDescent="0.25">
      <c r="A93" s="58" t="s">
        <v>75</v>
      </c>
      <c r="B93" s="59">
        <v>2</v>
      </c>
      <c r="C93" s="59" t="s">
        <v>49</v>
      </c>
      <c r="D93" s="59">
        <f t="shared" si="0"/>
        <v>0</v>
      </c>
      <c r="E93" s="67"/>
      <c r="F93" s="67"/>
      <c r="G93" s="62"/>
      <c r="H93" s="62"/>
      <c r="I93" s="62"/>
      <c r="J93" s="62"/>
    </row>
    <row r="94" spans="1:10" ht="15.75" x14ac:dyDescent="0.25">
      <c r="A94" s="58" t="s">
        <v>75</v>
      </c>
      <c r="B94" s="59">
        <v>2</v>
      </c>
      <c r="C94" s="59" t="s">
        <v>50</v>
      </c>
      <c r="D94" s="59">
        <f t="shared" si="0"/>
        <v>9.5</v>
      </c>
      <c r="E94" s="67"/>
      <c r="F94" s="67">
        <v>4</v>
      </c>
      <c r="G94" s="62">
        <v>7</v>
      </c>
      <c r="H94" s="62">
        <v>12.5</v>
      </c>
      <c r="I94" s="62">
        <v>16.5</v>
      </c>
      <c r="J94" s="62">
        <v>20.5</v>
      </c>
    </row>
    <row r="95" spans="1:10" ht="15.75" x14ac:dyDescent="0.25">
      <c r="A95" s="58" t="s">
        <v>75</v>
      </c>
      <c r="B95" s="59">
        <v>2</v>
      </c>
      <c r="C95" s="59" t="s">
        <v>51</v>
      </c>
      <c r="D95" s="59">
        <f t="shared" si="0"/>
        <v>10</v>
      </c>
      <c r="E95" s="67"/>
      <c r="F95" s="67"/>
      <c r="G95" s="62">
        <v>7</v>
      </c>
      <c r="H95" s="62">
        <v>12</v>
      </c>
      <c r="I95" s="62">
        <v>12</v>
      </c>
      <c r="J95" s="62">
        <v>17</v>
      </c>
    </row>
    <row r="96" spans="1:10" ht="15.75" x14ac:dyDescent="0.25">
      <c r="A96" s="58" t="s">
        <v>75</v>
      </c>
      <c r="B96" s="59">
        <v>2</v>
      </c>
      <c r="C96" s="59" t="s">
        <v>52</v>
      </c>
      <c r="D96" s="59">
        <f t="shared" si="0"/>
        <v>7</v>
      </c>
      <c r="E96" s="67"/>
      <c r="F96" s="67"/>
      <c r="G96" s="62">
        <v>7</v>
      </c>
      <c r="H96" s="62">
        <v>12</v>
      </c>
      <c r="I96" s="62">
        <v>12</v>
      </c>
      <c r="J96" s="62">
        <v>14</v>
      </c>
    </row>
    <row r="97" spans="1:10" ht="15.75" x14ac:dyDescent="0.25">
      <c r="A97" s="58" t="s">
        <v>75</v>
      </c>
      <c r="B97" s="59">
        <v>2</v>
      </c>
      <c r="C97" s="59" t="s">
        <v>53</v>
      </c>
      <c r="D97" s="59">
        <f t="shared" si="0"/>
        <v>9</v>
      </c>
      <c r="E97" s="67"/>
      <c r="F97" s="67"/>
      <c r="G97" s="62">
        <v>7</v>
      </c>
      <c r="H97" s="62">
        <v>12</v>
      </c>
      <c r="I97" s="62">
        <v>12</v>
      </c>
      <c r="J97" s="62">
        <v>16</v>
      </c>
    </row>
    <row r="98" spans="1:10" ht="15.75" x14ac:dyDescent="0.25">
      <c r="A98" s="58" t="s">
        <v>75</v>
      </c>
      <c r="B98" s="59">
        <v>2</v>
      </c>
      <c r="C98" s="59" t="s">
        <v>54</v>
      </c>
      <c r="D98" s="59">
        <f t="shared" si="0"/>
        <v>0</v>
      </c>
      <c r="E98" s="67"/>
      <c r="F98" s="67"/>
      <c r="G98" s="62"/>
      <c r="H98" s="62"/>
      <c r="I98" s="62"/>
      <c r="J98" s="62"/>
    </row>
    <row r="99" spans="1:10" ht="15.75" x14ac:dyDescent="0.25">
      <c r="A99" s="58" t="s">
        <v>75</v>
      </c>
      <c r="B99" s="59">
        <v>2</v>
      </c>
      <c r="C99" s="59" t="s">
        <v>55</v>
      </c>
      <c r="D99" s="59">
        <f t="shared" si="0"/>
        <v>0</v>
      </c>
      <c r="E99" s="67"/>
      <c r="F99" s="67"/>
      <c r="G99" s="62"/>
      <c r="H99" s="62"/>
      <c r="I99" s="62"/>
      <c r="J99" s="62"/>
    </row>
    <row r="100" spans="1:10" ht="15.75" x14ac:dyDescent="0.25">
      <c r="A100" s="58" t="s">
        <v>75</v>
      </c>
      <c r="B100" s="59">
        <v>3</v>
      </c>
      <c r="C100" s="59" t="s">
        <v>49</v>
      </c>
      <c r="D100" s="59">
        <f t="shared" si="0"/>
        <v>5.5</v>
      </c>
      <c r="E100" s="67"/>
      <c r="F100" s="67"/>
      <c r="G100" s="62"/>
      <c r="H100" s="62"/>
      <c r="I100" s="62">
        <v>16.5</v>
      </c>
      <c r="J100" s="62">
        <v>22</v>
      </c>
    </row>
    <row r="101" spans="1:10" ht="15.75" x14ac:dyDescent="0.25">
      <c r="A101" s="58" t="s">
        <v>75</v>
      </c>
      <c r="B101" s="59">
        <v>3</v>
      </c>
      <c r="C101" s="59" t="s">
        <v>50</v>
      </c>
      <c r="D101" s="59">
        <f t="shared" si="0"/>
        <v>12</v>
      </c>
      <c r="E101" s="67"/>
      <c r="F101" s="67"/>
      <c r="G101" s="62">
        <v>9.5</v>
      </c>
      <c r="H101" s="62">
        <v>12.5</v>
      </c>
      <c r="I101" s="62">
        <v>12.5</v>
      </c>
      <c r="J101" s="62">
        <v>21.5</v>
      </c>
    </row>
    <row r="102" spans="1:10" ht="15.75" x14ac:dyDescent="0.25">
      <c r="A102" s="58" t="s">
        <v>75</v>
      </c>
      <c r="B102" s="59">
        <v>3</v>
      </c>
      <c r="C102" s="59" t="s">
        <v>51</v>
      </c>
      <c r="D102" s="59">
        <f t="shared" si="0"/>
        <v>6</v>
      </c>
      <c r="E102" s="67"/>
      <c r="F102" s="67"/>
      <c r="G102" s="62"/>
      <c r="H102" s="62"/>
      <c r="I102" s="62">
        <v>16.5</v>
      </c>
      <c r="J102" s="62">
        <v>22.5</v>
      </c>
    </row>
    <row r="103" spans="1:10" ht="15.75" x14ac:dyDescent="0.25">
      <c r="A103" s="58" t="s">
        <v>75</v>
      </c>
      <c r="B103" s="59">
        <v>3</v>
      </c>
      <c r="C103" s="59" t="s">
        <v>52</v>
      </c>
      <c r="D103" s="59">
        <f t="shared" si="0"/>
        <v>8.5</v>
      </c>
      <c r="E103" s="67"/>
      <c r="F103" s="67"/>
      <c r="G103" s="62"/>
      <c r="H103" s="62"/>
      <c r="I103" s="62">
        <v>13.5</v>
      </c>
      <c r="J103" s="62">
        <v>22</v>
      </c>
    </row>
    <row r="104" spans="1:10" ht="15.75" x14ac:dyDescent="0.25">
      <c r="A104" s="58" t="s">
        <v>75</v>
      </c>
      <c r="B104" s="59">
        <v>3</v>
      </c>
      <c r="C104" s="59" t="s">
        <v>53</v>
      </c>
      <c r="D104" s="59">
        <f t="shared" si="0"/>
        <v>6.5</v>
      </c>
      <c r="E104" s="67"/>
      <c r="F104" s="67"/>
      <c r="G104" s="62"/>
      <c r="H104" s="62"/>
      <c r="I104" s="62">
        <v>15.5</v>
      </c>
      <c r="J104" s="62">
        <v>22</v>
      </c>
    </row>
    <row r="105" spans="1:10" ht="15.75" x14ac:dyDescent="0.25">
      <c r="A105" s="58" t="s">
        <v>75</v>
      </c>
      <c r="B105" s="59">
        <v>3</v>
      </c>
      <c r="C105" s="59" t="s">
        <v>54</v>
      </c>
      <c r="D105" s="59">
        <f t="shared" si="0"/>
        <v>0</v>
      </c>
      <c r="E105" s="67"/>
      <c r="F105" s="67"/>
      <c r="G105" s="62"/>
      <c r="H105" s="62"/>
      <c r="I105" s="62"/>
      <c r="J105" s="62"/>
    </row>
    <row r="106" spans="1:10" ht="15.75" x14ac:dyDescent="0.25">
      <c r="A106" s="58" t="s">
        <v>75</v>
      </c>
      <c r="B106" s="59">
        <v>3</v>
      </c>
      <c r="C106" s="59" t="s">
        <v>55</v>
      </c>
      <c r="D106" s="59">
        <f t="shared" si="0"/>
        <v>0</v>
      </c>
      <c r="E106" s="67"/>
      <c r="F106" s="67"/>
      <c r="G106" s="62"/>
      <c r="H106" s="62"/>
      <c r="I106" s="62"/>
      <c r="J106" s="62"/>
    </row>
    <row r="107" spans="1:10" ht="15.75" x14ac:dyDescent="0.25">
      <c r="A107" s="58" t="s">
        <v>75</v>
      </c>
      <c r="B107" s="59">
        <v>4</v>
      </c>
      <c r="C107" s="59" t="s">
        <v>49</v>
      </c>
      <c r="D107" s="59">
        <f t="shared" si="0"/>
        <v>7.5</v>
      </c>
      <c r="E107" s="67"/>
      <c r="F107" s="67"/>
      <c r="G107" s="62">
        <v>10</v>
      </c>
      <c r="H107" s="62">
        <v>12</v>
      </c>
      <c r="I107" s="62">
        <v>12</v>
      </c>
      <c r="J107" s="62">
        <v>17.5</v>
      </c>
    </row>
    <row r="108" spans="1:10" ht="15.75" x14ac:dyDescent="0.25">
      <c r="A108" s="58" t="s">
        <v>75</v>
      </c>
      <c r="B108" s="59">
        <v>4</v>
      </c>
      <c r="C108" s="59" t="s">
        <v>50</v>
      </c>
      <c r="D108" s="59">
        <f t="shared" si="0"/>
        <v>7.5</v>
      </c>
      <c r="E108" s="67"/>
      <c r="F108" s="67"/>
      <c r="G108" s="62">
        <v>9.5</v>
      </c>
      <c r="H108" s="62">
        <v>12</v>
      </c>
      <c r="I108" s="62">
        <v>12</v>
      </c>
      <c r="J108" s="62">
        <v>17</v>
      </c>
    </row>
    <row r="109" spans="1:10" ht="15.75" x14ac:dyDescent="0.25">
      <c r="A109" s="58" t="s">
        <v>75</v>
      </c>
      <c r="B109" s="59">
        <v>4</v>
      </c>
      <c r="C109" s="59" t="s">
        <v>51</v>
      </c>
      <c r="D109" s="59">
        <f t="shared" ref="D109:D114" si="1">(J109-I109)+(H109-G109)</f>
        <v>7.5</v>
      </c>
      <c r="E109" s="67"/>
      <c r="F109" s="67"/>
      <c r="G109" s="62">
        <v>10</v>
      </c>
      <c r="H109" s="62">
        <v>12</v>
      </c>
      <c r="I109" s="62">
        <v>12</v>
      </c>
      <c r="J109" s="62">
        <v>17.5</v>
      </c>
    </row>
    <row r="110" spans="1:10" ht="15.75" x14ac:dyDescent="0.25">
      <c r="A110" s="58" t="s">
        <v>75</v>
      </c>
      <c r="B110" s="59">
        <v>4</v>
      </c>
      <c r="C110" s="59" t="s">
        <v>52</v>
      </c>
      <c r="D110" s="59">
        <f t="shared" si="1"/>
        <v>7.5</v>
      </c>
      <c r="E110" s="67"/>
      <c r="F110" s="67"/>
      <c r="G110" s="62">
        <v>10</v>
      </c>
      <c r="H110" s="62">
        <v>12</v>
      </c>
      <c r="I110" s="62">
        <v>12</v>
      </c>
      <c r="J110" s="62">
        <v>17.5</v>
      </c>
    </row>
    <row r="111" spans="1:10" ht="15.75" x14ac:dyDescent="0.25">
      <c r="A111" s="58" t="s">
        <v>75</v>
      </c>
      <c r="B111" s="59">
        <v>4</v>
      </c>
      <c r="C111" s="59" t="s">
        <v>53</v>
      </c>
      <c r="D111" s="59">
        <f t="shared" si="1"/>
        <v>7</v>
      </c>
      <c r="E111" s="67"/>
      <c r="F111" s="67"/>
      <c r="G111" s="62">
        <v>9.5</v>
      </c>
      <c r="H111" s="62">
        <v>12</v>
      </c>
      <c r="I111" s="62">
        <v>12</v>
      </c>
      <c r="J111" s="62">
        <v>16.5</v>
      </c>
    </row>
    <row r="112" spans="1:10" ht="15.75" x14ac:dyDescent="0.25">
      <c r="A112" s="58" t="s">
        <v>75</v>
      </c>
      <c r="B112" s="59">
        <v>4</v>
      </c>
      <c r="C112" s="59" t="s">
        <v>54</v>
      </c>
      <c r="D112" s="59">
        <f t="shared" si="1"/>
        <v>0</v>
      </c>
      <c r="E112" s="67"/>
      <c r="F112" s="67"/>
      <c r="G112" s="62"/>
      <c r="H112" s="62"/>
      <c r="I112" s="62"/>
      <c r="J112" s="62"/>
    </row>
    <row r="113" spans="1:10" ht="16.5" thickBot="1" x14ac:dyDescent="0.3">
      <c r="A113" s="58" t="s">
        <v>75</v>
      </c>
      <c r="B113" s="59">
        <v>4</v>
      </c>
      <c r="C113" s="59" t="s">
        <v>55</v>
      </c>
      <c r="D113" s="59">
        <f t="shared" si="1"/>
        <v>0</v>
      </c>
      <c r="E113" s="67"/>
      <c r="F113" s="67"/>
      <c r="G113" s="62"/>
      <c r="H113" s="62"/>
      <c r="I113" s="62"/>
      <c r="J113" s="62"/>
    </row>
    <row r="114" spans="1:10" ht="16.5" thickTop="1" x14ac:dyDescent="0.25">
      <c r="A114" s="58" t="s">
        <v>41</v>
      </c>
      <c r="B114" s="59">
        <v>1</v>
      </c>
      <c r="C114" s="59" t="s">
        <v>49</v>
      </c>
      <c r="D114" s="59">
        <f t="shared" si="1"/>
        <v>8.5</v>
      </c>
      <c r="E114" s="60"/>
      <c r="F114" s="60"/>
      <c r="G114" s="61"/>
      <c r="H114" s="62"/>
      <c r="I114" s="65">
        <v>14</v>
      </c>
      <c r="J114" s="65">
        <v>22.5</v>
      </c>
    </row>
    <row r="115" spans="1:10" ht="15.75" x14ac:dyDescent="0.25">
      <c r="A115" s="58" t="s">
        <v>41</v>
      </c>
      <c r="B115" s="59">
        <v>1</v>
      </c>
      <c r="C115" s="59" t="s">
        <v>50</v>
      </c>
      <c r="D115" s="59">
        <f t="shared" ref="D115:D178" si="2">(J115-I115)+(H115-G115)</f>
        <v>9</v>
      </c>
      <c r="E115" s="63"/>
      <c r="F115" s="63"/>
      <c r="G115" s="62">
        <v>9.5</v>
      </c>
      <c r="H115" s="62">
        <v>12.5</v>
      </c>
      <c r="I115" s="62">
        <v>16.5</v>
      </c>
      <c r="J115" s="62">
        <v>22.5</v>
      </c>
    </row>
    <row r="116" spans="1:10" ht="15.75" x14ac:dyDescent="0.25">
      <c r="A116" s="58" t="s">
        <v>41</v>
      </c>
      <c r="B116" s="59">
        <v>1</v>
      </c>
      <c r="C116" s="59" t="s">
        <v>51</v>
      </c>
      <c r="D116" s="59">
        <f t="shared" si="2"/>
        <v>0</v>
      </c>
      <c r="E116" s="63"/>
      <c r="F116" s="63"/>
      <c r="G116" s="62"/>
      <c r="H116" s="62"/>
      <c r="I116" s="62"/>
      <c r="J116" s="62"/>
    </row>
    <row r="117" spans="1:10" ht="15.75" x14ac:dyDescent="0.25">
      <c r="A117" s="58" t="s">
        <v>41</v>
      </c>
      <c r="B117" s="59">
        <v>1</v>
      </c>
      <c r="C117" s="59" t="s">
        <v>52</v>
      </c>
      <c r="D117" s="59">
        <f t="shared" si="2"/>
        <v>0</v>
      </c>
      <c r="E117" s="63"/>
      <c r="F117" s="63"/>
      <c r="G117" s="62"/>
      <c r="H117" s="62"/>
      <c r="I117" s="62"/>
      <c r="J117" s="62"/>
    </row>
    <row r="118" spans="1:10" ht="15.75" x14ac:dyDescent="0.25">
      <c r="A118" s="58" t="s">
        <v>41</v>
      </c>
      <c r="B118" s="59">
        <v>1</v>
      </c>
      <c r="C118" s="59" t="s">
        <v>53</v>
      </c>
      <c r="D118" s="59">
        <f t="shared" si="2"/>
        <v>0</v>
      </c>
      <c r="E118" s="63"/>
      <c r="F118" s="63"/>
      <c r="G118" s="62"/>
      <c r="H118" s="62"/>
      <c r="I118" s="62"/>
      <c r="J118" s="62"/>
    </row>
    <row r="119" spans="1:10" ht="15.75" x14ac:dyDescent="0.25">
      <c r="A119" s="58" t="s">
        <v>41</v>
      </c>
      <c r="B119" s="59">
        <v>1</v>
      </c>
      <c r="C119" s="59" t="s">
        <v>54</v>
      </c>
      <c r="D119" s="59">
        <f t="shared" si="2"/>
        <v>12</v>
      </c>
      <c r="E119" s="63"/>
      <c r="F119" s="63"/>
      <c r="G119" s="62"/>
      <c r="H119" s="62"/>
      <c r="I119" s="62">
        <v>10</v>
      </c>
      <c r="J119" s="62">
        <v>22</v>
      </c>
    </row>
    <row r="120" spans="1:10" ht="15.75" x14ac:dyDescent="0.25">
      <c r="A120" s="58" t="s">
        <v>41</v>
      </c>
      <c r="B120" s="59">
        <v>1</v>
      </c>
      <c r="C120" s="59" t="s">
        <v>55</v>
      </c>
      <c r="D120" s="59">
        <f t="shared" si="2"/>
        <v>12</v>
      </c>
      <c r="E120" s="63"/>
      <c r="F120" s="63"/>
      <c r="G120" s="62"/>
      <c r="H120" s="62"/>
      <c r="I120" s="62">
        <v>10</v>
      </c>
      <c r="J120" s="62">
        <v>22</v>
      </c>
    </row>
    <row r="121" spans="1:10" ht="15.75" x14ac:dyDescent="0.25">
      <c r="A121" s="58" t="s">
        <v>41</v>
      </c>
      <c r="B121" s="59">
        <v>2</v>
      </c>
      <c r="C121" s="59" t="s">
        <v>49</v>
      </c>
      <c r="D121" s="59">
        <f t="shared" si="2"/>
        <v>0</v>
      </c>
      <c r="E121" s="63"/>
      <c r="F121" s="63"/>
      <c r="G121" s="62"/>
      <c r="H121" s="62"/>
      <c r="I121" s="62"/>
      <c r="J121" s="62"/>
    </row>
    <row r="122" spans="1:10" ht="15.75" x14ac:dyDescent="0.25">
      <c r="A122" s="58" t="s">
        <v>41</v>
      </c>
      <c r="B122" s="59">
        <v>2</v>
      </c>
      <c r="C122" s="59" t="s">
        <v>50</v>
      </c>
      <c r="D122" s="59">
        <f t="shared" si="2"/>
        <v>6.5</v>
      </c>
      <c r="E122" s="63"/>
      <c r="F122" s="66"/>
      <c r="G122" s="62">
        <v>9.5</v>
      </c>
      <c r="H122" s="62">
        <v>12.5</v>
      </c>
      <c r="I122" s="62">
        <v>16.5</v>
      </c>
      <c r="J122" s="62">
        <v>20</v>
      </c>
    </row>
    <row r="123" spans="1:10" ht="15.75" x14ac:dyDescent="0.25">
      <c r="A123" s="58" t="s">
        <v>41</v>
      </c>
      <c r="B123" s="59">
        <v>2</v>
      </c>
      <c r="C123" s="59" t="s">
        <v>51</v>
      </c>
      <c r="D123" s="59">
        <f t="shared" si="2"/>
        <v>8</v>
      </c>
      <c r="E123" s="63"/>
      <c r="F123" s="63"/>
      <c r="G123" s="62">
        <v>7</v>
      </c>
      <c r="H123" s="62">
        <v>9.5</v>
      </c>
      <c r="I123" s="62">
        <v>16.5</v>
      </c>
      <c r="J123" s="62">
        <v>22</v>
      </c>
    </row>
    <row r="124" spans="1:10" ht="15.75" x14ac:dyDescent="0.25">
      <c r="A124" s="58" t="s">
        <v>41</v>
      </c>
      <c r="B124" s="59">
        <v>2</v>
      </c>
      <c r="C124" s="59" t="s">
        <v>52</v>
      </c>
      <c r="D124" s="59">
        <f t="shared" si="2"/>
        <v>6</v>
      </c>
      <c r="E124" s="63"/>
      <c r="F124" s="63"/>
      <c r="G124" s="62"/>
      <c r="H124" s="62"/>
      <c r="I124" s="62">
        <v>14</v>
      </c>
      <c r="J124" s="62">
        <v>20</v>
      </c>
    </row>
    <row r="125" spans="1:10" ht="15.75" x14ac:dyDescent="0.25">
      <c r="A125" s="58" t="s">
        <v>41</v>
      </c>
      <c r="B125" s="59">
        <v>2</v>
      </c>
      <c r="C125" s="59" t="s">
        <v>53</v>
      </c>
      <c r="D125" s="59">
        <f t="shared" si="2"/>
        <v>9.5</v>
      </c>
      <c r="E125" s="63"/>
      <c r="F125" s="63"/>
      <c r="G125" s="62">
        <v>7</v>
      </c>
      <c r="H125" s="62">
        <v>12</v>
      </c>
      <c r="I125" s="62">
        <v>12</v>
      </c>
      <c r="J125" s="62">
        <v>16.5</v>
      </c>
    </row>
    <row r="126" spans="1:10" ht="15.75" x14ac:dyDescent="0.25">
      <c r="A126" s="58" t="s">
        <v>41</v>
      </c>
      <c r="B126" s="59">
        <v>2</v>
      </c>
      <c r="C126" s="59" t="s">
        <v>54</v>
      </c>
      <c r="D126" s="59">
        <f t="shared" si="2"/>
        <v>0</v>
      </c>
      <c r="E126" s="63"/>
      <c r="F126" s="63"/>
      <c r="G126" s="62"/>
      <c r="H126" s="62"/>
      <c r="I126" s="62"/>
      <c r="J126" s="62"/>
    </row>
    <row r="127" spans="1:10" ht="15.75" x14ac:dyDescent="0.25">
      <c r="A127" s="58" t="s">
        <v>41</v>
      </c>
      <c r="B127" s="59">
        <v>2</v>
      </c>
      <c r="C127" s="59" t="s">
        <v>55</v>
      </c>
      <c r="D127" s="59">
        <f t="shared" si="2"/>
        <v>0</v>
      </c>
      <c r="E127" s="63"/>
      <c r="F127" s="63"/>
      <c r="G127" s="62"/>
      <c r="H127" s="62"/>
      <c r="I127" s="62"/>
      <c r="J127" s="62"/>
    </row>
    <row r="128" spans="1:10" ht="15.75" x14ac:dyDescent="0.25">
      <c r="A128" s="58" t="s">
        <v>41</v>
      </c>
      <c r="B128" s="59">
        <v>3</v>
      </c>
      <c r="C128" s="59" t="s">
        <v>49</v>
      </c>
      <c r="D128" s="59">
        <f t="shared" si="2"/>
        <v>10.5</v>
      </c>
      <c r="E128" s="63"/>
      <c r="F128" s="63"/>
      <c r="G128" s="62">
        <v>7</v>
      </c>
      <c r="H128" s="62">
        <v>9.5</v>
      </c>
      <c r="I128" s="62">
        <v>14</v>
      </c>
      <c r="J128" s="62">
        <v>22</v>
      </c>
    </row>
    <row r="129" spans="1:10" ht="15.75" x14ac:dyDescent="0.25">
      <c r="A129" s="58" t="s">
        <v>41</v>
      </c>
      <c r="B129" s="59">
        <v>3</v>
      </c>
      <c r="C129" s="59" t="s">
        <v>50</v>
      </c>
      <c r="D129" s="59">
        <f t="shared" si="2"/>
        <v>9</v>
      </c>
      <c r="E129" s="63"/>
      <c r="F129" s="63"/>
      <c r="G129" s="62">
        <v>9.5</v>
      </c>
      <c r="H129" s="62">
        <v>12.5</v>
      </c>
      <c r="I129" s="62">
        <v>16.5</v>
      </c>
      <c r="J129" s="62">
        <v>22.5</v>
      </c>
    </row>
    <row r="130" spans="1:10" ht="15.75" x14ac:dyDescent="0.25">
      <c r="A130" s="58" t="s">
        <v>41</v>
      </c>
      <c r="B130" s="59">
        <v>3</v>
      </c>
      <c r="C130" s="59" t="s">
        <v>51</v>
      </c>
      <c r="D130" s="59">
        <f t="shared" si="2"/>
        <v>6</v>
      </c>
      <c r="E130" s="63"/>
      <c r="F130" s="63"/>
      <c r="G130" s="62"/>
      <c r="H130" s="62"/>
      <c r="I130" s="62">
        <v>16.5</v>
      </c>
      <c r="J130" s="62">
        <v>22.5</v>
      </c>
    </row>
    <row r="131" spans="1:10" ht="15.75" x14ac:dyDescent="0.25">
      <c r="A131" s="58" t="s">
        <v>41</v>
      </c>
      <c r="B131" s="59">
        <v>3</v>
      </c>
      <c r="C131" s="59" t="s">
        <v>52</v>
      </c>
      <c r="D131" s="59">
        <f t="shared" si="2"/>
        <v>8.5</v>
      </c>
      <c r="E131" s="63"/>
      <c r="F131" s="63"/>
      <c r="G131" s="62"/>
      <c r="H131" s="62"/>
      <c r="I131" s="62">
        <v>14</v>
      </c>
      <c r="J131" s="62">
        <v>22.5</v>
      </c>
    </row>
    <row r="132" spans="1:10" ht="15.75" x14ac:dyDescent="0.25">
      <c r="A132" s="58" t="s">
        <v>41</v>
      </c>
      <c r="B132" s="59">
        <v>3</v>
      </c>
      <c r="C132" s="59" t="s">
        <v>53</v>
      </c>
      <c r="D132" s="59">
        <f t="shared" si="2"/>
        <v>0</v>
      </c>
      <c r="E132" s="63"/>
      <c r="F132" s="63"/>
      <c r="G132" s="62"/>
      <c r="H132" s="62"/>
      <c r="I132" s="62"/>
      <c r="J132" s="62"/>
    </row>
    <row r="133" spans="1:10" ht="15.75" x14ac:dyDescent="0.25">
      <c r="A133" s="58" t="s">
        <v>41</v>
      </c>
      <c r="B133" s="59">
        <v>3</v>
      </c>
      <c r="C133" s="59" t="s">
        <v>54</v>
      </c>
      <c r="D133" s="59">
        <f t="shared" si="2"/>
        <v>0</v>
      </c>
      <c r="E133" s="63"/>
      <c r="F133" s="63"/>
      <c r="G133" s="62"/>
      <c r="H133" s="62"/>
      <c r="I133" s="62"/>
      <c r="J133" s="62"/>
    </row>
    <row r="134" spans="1:10" ht="15.75" x14ac:dyDescent="0.25">
      <c r="A134" s="58" t="s">
        <v>41</v>
      </c>
      <c r="B134" s="59">
        <v>3</v>
      </c>
      <c r="C134" s="59" t="s">
        <v>55</v>
      </c>
      <c r="D134" s="59">
        <f t="shared" si="2"/>
        <v>0</v>
      </c>
      <c r="E134" s="63"/>
      <c r="F134" s="63"/>
      <c r="G134" s="62"/>
      <c r="H134" s="62"/>
      <c r="I134" s="62"/>
      <c r="J134" s="62"/>
    </row>
    <row r="135" spans="1:10" ht="15.75" x14ac:dyDescent="0.25">
      <c r="A135" s="58" t="s">
        <v>41</v>
      </c>
      <c r="B135" s="59">
        <v>4</v>
      </c>
      <c r="C135" s="59" t="s">
        <v>49</v>
      </c>
      <c r="D135" s="59">
        <f t="shared" si="2"/>
        <v>8.5</v>
      </c>
      <c r="E135" s="63"/>
      <c r="F135" s="63"/>
      <c r="G135" s="62"/>
      <c r="H135" s="62"/>
      <c r="I135" s="62">
        <v>14</v>
      </c>
      <c r="J135" s="62">
        <v>22.5</v>
      </c>
    </row>
    <row r="136" spans="1:10" ht="15.75" x14ac:dyDescent="0.25">
      <c r="A136" s="58" t="s">
        <v>41</v>
      </c>
      <c r="B136" s="59">
        <v>4</v>
      </c>
      <c r="C136" s="59" t="s">
        <v>50</v>
      </c>
      <c r="D136" s="59">
        <f t="shared" si="2"/>
        <v>8.5</v>
      </c>
      <c r="E136" s="63"/>
      <c r="F136" s="63"/>
      <c r="G136" s="62">
        <v>9.5</v>
      </c>
      <c r="H136" s="62">
        <v>12.5</v>
      </c>
      <c r="I136" s="62">
        <v>16.5</v>
      </c>
      <c r="J136" s="62">
        <v>22</v>
      </c>
    </row>
    <row r="137" spans="1:10" ht="15.75" x14ac:dyDescent="0.25">
      <c r="A137" s="58" t="s">
        <v>41</v>
      </c>
      <c r="B137" s="59">
        <v>4</v>
      </c>
      <c r="C137" s="59" t="s">
        <v>51</v>
      </c>
      <c r="D137" s="59">
        <f t="shared" si="2"/>
        <v>0</v>
      </c>
      <c r="E137" s="63"/>
      <c r="F137" s="63"/>
      <c r="G137" s="62"/>
      <c r="H137" s="62"/>
      <c r="I137" s="62"/>
      <c r="J137" s="62"/>
    </row>
    <row r="138" spans="1:10" ht="15.75" x14ac:dyDescent="0.25">
      <c r="A138" s="58" t="s">
        <v>41</v>
      </c>
      <c r="B138" s="59">
        <v>4</v>
      </c>
      <c r="C138" s="59" t="s">
        <v>52</v>
      </c>
      <c r="D138" s="59">
        <f t="shared" si="2"/>
        <v>0</v>
      </c>
      <c r="E138" s="63"/>
      <c r="F138" s="63"/>
      <c r="G138" s="62"/>
      <c r="H138" s="62"/>
      <c r="I138" s="62"/>
      <c r="J138" s="62"/>
    </row>
    <row r="139" spans="1:10" ht="15.75" x14ac:dyDescent="0.25">
      <c r="A139" s="58" t="s">
        <v>41</v>
      </c>
      <c r="B139" s="59">
        <v>4</v>
      </c>
      <c r="C139" s="59" t="s">
        <v>53</v>
      </c>
      <c r="D139" s="59">
        <f t="shared" si="2"/>
        <v>0</v>
      </c>
      <c r="E139" s="63"/>
      <c r="F139" s="63"/>
      <c r="G139" s="62"/>
      <c r="H139" s="62"/>
      <c r="I139" s="62"/>
      <c r="J139" s="62"/>
    </row>
    <row r="140" spans="1:10" ht="15.75" x14ac:dyDescent="0.25">
      <c r="A140" s="58" t="s">
        <v>41</v>
      </c>
      <c r="B140" s="59">
        <v>4</v>
      </c>
      <c r="C140" s="59" t="s">
        <v>54</v>
      </c>
      <c r="D140" s="59">
        <f t="shared" si="2"/>
        <v>12</v>
      </c>
      <c r="E140" s="63"/>
      <c r="F140" s="63"/>
      <c r="G140" s="62"/>
      <c r="H140" s="62"/>
      <c r="I140" s="62">
        <v>8</v>
      </c>
      <c r="J140" s="62">
        <v>20</v>
      </c>
    </row>
    <row r="141" spans="1:10" ht="15.75" x14ac:dyDescent="0.25">
      <c r="A141" s="58" t="s">
        <v>41</v>
      </c>
      <c r="B141" s="59">
        <v>4</v>
      </c>
      <c r="C141" s="59" t="s">
        <v>55</v>
      </c>
      <c r="D141" s="59">
        <f t="shared" si="2"/>
        <v>12</v>
      </c>
      <c r="E141" s="63"/>
      <c r="F141" s="63"/>
      <c r="G141" s="62"/>
      <c r="H141" s="62"/>
      <c r="I141" s="62">
        <v>8</v>
      </c>
      <c r="J141" s="62">
        <v>20</v>
      </c>
    </row>
    <row r="142" spans="1:10" ht="15.75" x14ac:dyDescent="0.25">
      <c r="A142" s="58" t="s">
        <v>41</v>
      </c>
      <c r="B142" s="59">
        <v>5</v>
      </c>
      <c r="C142" s="59" t="s">
        <v>49</v>
      </c>
      <c r="D142" s="59">
        <f t="shared" si="2"/>
        <v>0</v>
      </c>
      <c r="E142" s="63"/>
      <c r="F142" s="63"/>
      <c r="G142" s="62"/>
      <c r="H142" s="62"/>
      <c r="I142" s="62"/>
      <c r="J142" s="62"/>
    </row>
    <row r="143" spans="1:10" ht="15.75" x14ac:dyDescent="0.25">
      <c r="A143" s="58" t="s">
        <v>41</v>
      </c>
      <c r="B143" s="59">
        <v>5</v>
      </c>
      <c r="C143" s="59" t="s">
        <v>50</v>
      </c>
      <c r="D143" s="59">
        <f t="shared" si="2"/>
        <v>11.5</v>
      </c>
      <c r="E143" s="63"/>
      <c r="F143" s="63"/>
      <c r="G143" s="62">
        <v>7</v>
      </c>
      <c r="H143" s="62">
        <v>12.5</v>
      </c>
      <c r="I143" s="62">
        <v>16.5</v>
      </c>
      <c r="J143" s="62">
        <v>22.5</v>
      </c>
    </row>
    <row r="144" spans="1:10" ht="15.75" x14ac:dyDescent="0.25">
      <c r="A144" s="58" t="s">
        <v>41</v>
      </c>
      <c r="B144" s="59">
        <v>5</v>
      </c>
      <c r="C144" s="59" t="s">
        <v>51</v>
      </c>
      <c r="D144" s="59">
        <f t="shared" si="2"/>
        <v>8</v>
      </c>
      <c r="E144" s="63"/>
      <c r="F144" s="63"/>
      <c r="G144" s="62"/>
      <c r="H144" s="62"/>
      <c r="I144" s="62">
        <v>14.5</v>
      </c>
      <c r="J144" s="62">
        <v>22.5</v>
      </c>
    </row>
    <row r="145" spans="1:10" ht="15.75" x14ac:dyDescent="0.25">
      <c r="A145" s="58" t="s">
        <v>41</v>
      </c>
      <c r="B145" s="59">
        <v>5</v>
      </c>
      <c r="C145" s="59" t="s">
        <v>52</v>
      </c>
      <c r="D145" s="59">
        <f t="shared" si="2"/>
        <v>8.5</v>
      </c>
      <c r="E145" s="63"/>
      <c r="F145" s="63"/>
      <c r="G145" s="62"/>
      <c r="H145" s="62"/>
      <c r="I145" s="62">
        <v>14</v>
      </c>
      <c r="J145" s="62">
        <v>22.5</v>
      </c>
    </row>
    <row r="146" spans="1:10" ht="15.75" x14ac:dyDescent="0.25">
      <c r="A146" s="58" t="s">
        <v>41</v>
      </c>
      <c r="B146" s="59">
        <v>5</v>
      </c>
      <c r="C146" s="59" t="s">
        <v>53</v>
      </c>
      <c r="D146" s="59">
        <f t="shared" si="2"/>
        <v>7.5</v>
      </c>
      <c r="E146" s="63"/>
      <c r="F146" s="63"/>
      <c r="G146" s="62"/>
      <c r="H146" s="62"/>
      <c r="I146" s="62">
        <v>15.5</v>
      </c>
      <c r="J146" s="62">
        <v>23</v>
      </c>
    </row>
    <row r="147" spans="1:10" ht="15.75" x14ac:dyDescent="0.25">
      <c r="A147" s="58" t="s">
        <v>41</v>
      </c>
      <c r="B147" s="59">
        <v>5</v>
      </c>
      <c r="C147" s="59" t="s">
        <v>54</v>
      </c>
      <c r="D147" s="59">
        <f t="shared" si="2"/>
        <v>0</v>
      </c>
      <c r="E147" s="63"/>
      <c r="F147" s="63"/>
      <c r="G147" s="62"/>
      <c r="H147" s="62"/>
      <c r="I147" s="62"/>
      <c r="J147" s="62"/>
    </row>
    <row r="148" spans="1:10" ht="15.75" x14ac:dyDescent="0.25">
      <c r="A148" s="58" t="s">
        <v>41</v>
      </c>
      <c r="B148" s="59">
        <v>5</v>
      </c>
      <c r="C148" s="59" t="s">
        <v>55</v>
      </c>
      <c r="D148" s="59">
        <f t="shared" si="2"/>
        <v>0</v>
      </c>
      <c r="E148" s="63"/>
      <c r="F148" s="63"/>
      <c r="G148" s="62"/>
      <c r="H148" s="62"/>
      <c r="I148" s="62"/>
      <c r="J148" s="62"/>
    </row>
    <row r="149" spans="1:10" ht="15.75" x14ac:dyDescent="0.25">
      <c r="A149" s="58" t="s">
        <v>41</v>
      </c>
      <c r="B149" s="59">
        <v>6</v>
      </c>
      <c r="C149" s="59" t="s">
        <v>49</v>
      </c>
      <c r="D149" s="59">
        <f t="shared" si="2"/>
        <v>8</v>
      </c>
      <c r="E149" s="63"/>
      <c r="F149" s="63"/>
      <c r="G149" s="62"/>
      <c r="H149" s="62"/>
      <c r="I149" s="62">
        <v>14</v>
      </c>
      <c r="J149" s="62">
        <v>22</v>
      </c>
    </row>
    <row r="150" spans="1:10" ht="15.75" x14ac:dyDescent="0.25">
      <c r="A150" s="58" t="s">
        <v>41</v>
      </c>
      <c r="B150" s="59">
        <v>6</v>
      </c>
      <c r="C150" s="59" t="s">
        <v>50</v>
      </c>
      <c r="D150" s="59">
        <f t="shared" si="2"/>
        <v>8.5</v>
      </c>
      <c r="E150" s="63"/>
      <c r="F150" s="63"/>
      <c r="G150" s="62">
        <v>9.5</v>
      </c>
      <c r="H150" s="62">
        <v>12.5</v>
      </c>
      <c r="I150" s="62">
        <v>16.5</v>
      </c>
      <c r="J150" s="62">
        <v>22</v>
      </c>
    </row>
    <row r="151" spans="1:10" ht="15.75" x14ac:dyDescent="0.25">
      <c r="A151" s="58" t="s">
        <v>41</v>
      </c>
      <c r="B151" s="59">
        <v>6</v>
      </c>
      <c r="C151" s="59" t="s">
        <v>51</v>
      </c>
      <c r="D151" s="59">
        <f t="shared" si="2"/>
        <v>6</v>
      </c>
      <c r="E151" s="63"/>
      <c r="F151" s="63">
        <v>6</v>
      </c>
      <c r="G151" s="62"/>
      <c r="H151" s="62"/>
      <c r="I151" s="62">
        <v>16</v>
      </c>
      <c r="J151" s="62">
        <v>22</v>
      </c>
    </row>
    <row r="152" spans="1:10" ht="15.75" x14ac:dyDescent="0.25">
      <c r="A152" s="58" t="s">
        <v>41</v>
      </c>
      <c r="B152" s="59">
        <v>6</v>
      </c>
      <c r="C152" s="59" t="s">
        <v>52</v>
      </c>
      <c r="D152" s="59">
        <f t="shared" si="2"/>
        <v>10.5</v>
      </c>
      <c r="E152" s="63"/>
      <c r="F152" s="63"/>
      <c r="G152" s="62">
        <v>7</v>
      </c>
      <c r="H152" s="62">
        <v>9.5</v>
      </c>
      <c r="I152" s="62">
        <v>14</v>
      </c>
      <c r="J152" s="62">
        <v>22</v>
      </c>
    </row>
    <row r="153" spans="1:10" ht="15.75" x14ac:dyDescent="0.25">
      <c r="A153" s="58" t="s">
        <v>41</v>
      </c>
      <c r="B153" s="59">
        <v>6</v>
      </c>
      <c r="C153" s="59" t="s">
        <v>53</v>
      </c>
      <c r="D153" s="59">
        <f t="shared" si="2"/>
        <v>6.5</v>
      </c>
      <c r="E153" s="63"/>
      <c r="F153" s="63"/>
      <c r="G153" s="62"/>
      <c r="H153" s="62"/>
      <c r="I153" s="62">
        <v>15.5</v>
      </c>
      <c r="J153" s="62">
        <v>22</v>
      </c>
    </row>
    <row r="154" spans="1:10" ht="15.75" x14ac:dyDescent="0.25">
      <c r="A154" s="58" t="s">
        <v>41</v>
      </c>
      <c r="B154" s="59">
        <v>6</v>
      </c>
      <c r="C154" s="59" t="s">
        <v>54</v>
      </c>
      <c r="D154" s="59">
        <f t="shared" si="2"/>
        <v>0</v>
      </c>
      <c r="E154" s="63"/>
      <c r="F154" s="63"/>
      <c r="G154" s="62"/>
      <c r="H154" s="62"/>
      <c r="I154" s="62"/>
      <c r="J154" s="62"/>
    </row>
    <row r="155" spans="1:10" ht="15.75" x14ac:dyDescent="0.25">
      <c r="A155" s="58" t="s">
        <v>41</v>
      </c>
      <c r="B155" s="59">
        <v>6</v>
      </c>
      <c r="C155" s="59" t="s">
        <v>55</v>
      </c>
      <c r="D155" s="59">
        <f t="shared" si="2"/>
        <v>0</v>
      </c>
      <c r="E155" s="63"/>
      <c r="F155" s="63"/>
      <c r="G155" s="62"/>
      <c r="H155" s="62"/>
      <c r="I155" s="62"/>
      <c r="J155" s="62"/>
    </row>
    <row r="156" spans="1:10" ht="15.75" x14ac:dyDescent="0.25">
      <c r="A156" s="58" t="s">
        <v>90</v>
      </c>
      <c r="B156" s="59">
        <v>1</v>
      </c>
      <c r="C156" s="59" t="s">
        <v>49</v>
      </c>
      <c r="D156" s="59">
        <f t="shared" si="2"/>
        <v>7</v>
      </c>
      <c r="E156" s="63"/>
      <c r="F156" s="63"/>
      <c r="G156" s="62">
        <v>9</v>
      </c>
      <c r="H156" s="62">
        <v>12</v>
      </c>
      <c r="I156" s="62">
        <v>12</v>
      </c>
      <c r="J156" s="62">
        <v>16</v>
      </c>
    </row>
    <row r="157" spans="1:10" ht="15.75" x14ac:dyDescent="0.25">
      <c r="A157" s="58" t="s">
        <v>90</v>
      </c>
      <c r="B157" s="59">
        <v>1</v>
      </c>
      <c r="C157" s="59" t="s">
        <v>50</v>
      </c>
      <c r="D157" s="59">
        <f t="shared" si="2"/>
        <v>10</v>
      </c>
      <c r="E157" s="63"/>
      <c r="F157" s="63"/>
      <c r="G157" s="62">
        <v>7</v>
      </c>
      <c r="H157" s="62">
        <v>12</v>
      </c>
      <c r="I157" s="62">
        <v>12</v>
      </c>
      <c r="J157" s="62">
        <v>17</v>
      </c>
    </row>
    <row r="158" spans="1:10" ht="15.75" x14ac:dyDescent="0.25">
      <c r="A158" s="58" t="s">
        <v>90</v>
      </c>
      <c r="B158" s="59">
        <v>1</v>
      </c>
      <c r="C158" s="59" t="s">
        <v>51</v>
      </c>
      <c r="D158" s="59">
        <f t="shared" si="2"/>
        <v>0</v>
      </c>
      <c r="E158" s="63"/>
      <c r="F158" s="63"/>
      <c r="G158" s="62"/>
      <c r="H158" s="62"/>
      <c r="I158" s="62"/>
      <c r="J158" s="62"/>
    </row>
    <row r="159" spans="1:10" ht="15.75" x14ac:dyDescent="0.25">
      <c r="A159" s="58" t="s">
        <v>90</v>
      </c>
      <c r="B159" s="59">
        <v>1</v>
      </c>
      <c r="C159" s="59" t="s">
        <v>52</v>
      </c>
      <c r="D159" s="59">
        <f t="shared" si="2"/>
        <v>0</v>
      </c>
      <c r="E159" s="63"/>
      <c r="F159" s="63"/>
      <c r="G159" s="62"/>
      <c r="H159" s="62"/>
      <c r="I159" s="62"/>
      <c r="J159" s="62"/>
    </row>
    <row r="160" spans="1:10" ht="15.75" x14ac:dyDescent="0.25">
      <c r="A160" s="58" t="s">
        <v>90</v>
      </c>
      <c r="B160" s="59">
        <v>1</v>
      </c>
      <c r="C160" s="59" t="s">
        <v>53</v>
      </c>
      <c r="D160" s="59">
        <f t="shared" si="2"/>
        <v>0</v>
      </c>
      <c r="E160" s="63"/>
      <c r="F160" s="63"/>
      <c r="G160" s="62"/>
      <c r="H160" s="62"/>
      <c r="I160" s="62"/>
      <c r="J160" s="62"/>
    </row>
    <row r="161" spans="1:10" ht="15.75" x14ac:dyDescent="0.25">
      <c r="A161" s="58" t="s">
        <v>90</v>
      </c>
      <c r="B161" s="59">
        <v>1</v>
      </c>
      <c r="C161" s="59" t="s">
        <v>54</v>
      </c>
      <c r="D161" s="59">
        <f t="shared" si="2"/>
        <v>12</v>
      </c>
      <c r="E161" s="63"/>
      <c r="F161" s="63"/>
      <c r="G161" s="62">
        <v>9</v>
      </c>
      <c r="H161" s="62">
        <v>12</v>
      </c>
      <c r="I161" s="62">
        <v>12</v>
      </c>
      <c r="J161" s="62">
        <v>21</v>
      </c>
    </row>
    <row r="162" spans="1:10" ht="15.75" x14ac:dyDescent="0.25">
      <c r="A162" s="58" t="s">
        <v>90</v>
      </c>
      <c r="B162" s="59">
        <v>1</v>
      </c>
      <c r="C162" s="59" t="s">
        <v>55</v>
      </c>
      <c r="D162" s="59">
        <f t="shared" si="2"/>
        <v>12</v>
      </c>
      <c r="E162" s="63"/>
      <c r="F162" s="63"/>
      <c r="G162" s="62">
        <v>9</v>
      </c>
      <c r="H162" s="62">
        <v>12</v>
      </c>
      <c r="I162" s="62">
        <v>12</v>
      </c>
      <c r="J162" s="62">
        <v>21</v>
      </c>
    </row>
    <row r="163" spans="1:10" ht="15.75" x14ac:dyDescent="0.25">
      <c r="A163" s="58" t="s">
        <v>90</v>
      </c>
      <c r="B163" s="59">
        <v>2</v>
      </c>
      <c r="C163" s="59" t="s">
        <v>49</v>
      </c>
      <c r="D163" s="59">
        <f t="shared" si="2"/>
        <v>0</v>
      </c>
      <c r="E163" s="63"/>
      <c r="F163" s="63"/>
      <c r="G163" s="62"/>
      <c r="H163" s="62"/>
      <c r="I163" s="62"/>
      <c r="J163" s="62"/>
    </row>
    <row r="164" spans="1:10" ht="15.75" x14ac:dyDescent="0.25">
      <c r="A164" s="58" t="s">
        <v>90</v>
      </c>
      <c r="B164" s="59">
        <v>2</v>
      </c>
      <c r="C164" s="59" t="s">
        <v>50</v>
      </c>
      <c r="D164" s="59">
        <f t="shared" si="2"/>
        <v>6.5</v>
      </c>
      <c r="E164" s="63"/>
      <c r="F164" s="63"/>
      <c r="G164" s="62"/>
      <c r="H164" s="62"/>
      <c r="I164" s="62">
        <v>13.5</v>
      </c>
      <c r="J164" s="62">
        <v>20</v>
      </c>
    </row>
    <row r="165" spans="1:10" ht="15.75" x14ac:dyDescent="0.25">
      <c r="A165" s="58" t="s">
        <v>90</v>
      </c>
      <c r="B165" s="59">
        <v>2</v>
      </c>
      <c r="C165" s="59" t="s">
        <v>51</v>
      </c>
      <c r="D165" s="59">
        <f t="shared" si="2"/>
        <v>10</v>
      </c>
      <c r="E165" s="63"/>
      <c r="F165" s="63"/>
      <c r="G165" s="62">
        <v>7</v>
      </c>
      <c r="H165" s="62">
        <v>12</v>
      </c>
      <c r="I165" s="62">
        <v>12</v>
      </c>
      <c r="J165" s="62">
        <v>17</v>
      </c>
    </row>
    <row r="166" spans="1:10" ht="15.75" x14ac:dyDescent="0.25">
      <c r="A166" s="58" t="s">
        <v>90</v>
      </c>
      <c r="B166" s="59">
        <v>2</v>
      </c>
      <c r="C166" s="59" t="s">
        <v>52</v>
      </c>
      <c r="D166" s="59">
        <f t="shared" si="2"/>
        <v>10</v>
      </c>
      <c r="E166" s="63"/>
      <c r="F166" s="63"/>
      <c r="G166" s="62">
        <v>7</v>
      </c>
      <c r="H166" s="62">
        <v>12</v>
      </c>
      <c r="I166" s="62">
        <v>12</v>
      </c>
      <c r="J166" s="62">
        <v>17</v>
      </c>
    </row>
    <row r="167" spans="1:10" ht="15.75" x14ac:dyDescent="0.25">
      <c r="A167" s="58" t="s">
        <v>90</v>
      </c>
      <c r="B167" s="59">
        <v>2</v>
      </c>
      <c r="C167" s="59" t="s">
        <v>53</v>
      </c>
      <c r="D167" s="59">
        <f t="shared" si="2"/>
        <v>10</v>
      </c>
      <c r="E167" s="63"/>
      <c r="F167" s="63"/>
      <c r="G167" s="62">
        <v>7</v>
      </c>
      <c r="H167" s="62">
        <v>12</v>
      </c>
      <c r="I167" s="62">
        <v>12</v>
      </c>
      <c r="J167" s="62">
        <v>17</v>
      </c>
    </row>
    <row r="168" spans="1:10" ht="15.75" x14ac:dyDescent="0.25">
      <c r="A168" s="58" t="s">
        <v>90</v>
      </c>
      <c r="B168" s="59">
        <v>2</v>
      </c>
      <c r="C168" s="59" t="s">
        <v>54</v>
      </c>
      <c r="D168" s="59">
        <f t="shared" si="2"/>
        <v>0</v>
      </c>
      <c r="E168" s="63"/>
      <c r="F168" s="63"/>
      <c r="G168" s="62"/>
      <c r="H168" s="62"/>
      <c r="I168" s="62"/>
      <c r="J168" s="62"/>
    </row>
    <row r="169" spans="1:10" ht="15.75" x14ac:dyDescent="0.25">
      <c r="A169" s="58" t="s">
        <v>90</v>
      </c>
      <c r="B169" s="59">
        <v>2</v>
      </c>
      <c r="C169" s="59" t="s">
        <v>55</v>
      </c>
      <c r="D169" s="59">
        <f t="shared" si="2"/>
        <v>0</v>
      </c>
      <c r="E169" s="63"/>
      <c r="F169" s="63"/>
      <c r="G169" s="62"/>
      <c r="H169" s="62"/>
      <c r="I169" s="62"/>
      <c r="J169" s="62"/>
    </row>
    <row r="170" spans="1:10" ht="15.75" x14ac:dyDescent="0.25">
      <c r="A170" s="58" t="s">
        <v>90</v>
      </c>
      <c r="B170" s="59">
        <v>3</v>
      </c>
      <c r="C170" s="59" t="s">
        <v>49</v>
      </c>
      <c r="D170" s="59">
        <f t="shared" si="2"/>
        <v>8.5</v>
      </c>
      <c r="E170" s="63"/>
      <c r="F170" s="63"/>
      <c r="G170" s="62"/>
      <c r="H170" s="62"/>
      <c r="I170" s="62">
        <v>13.5</v>
      </c>
      <c r="J170" s="62">
        <v>22</v>
      </c>
    </row>
    <row r="171" spans="1:10" ht="15.75" x14ac:dyDescent="0.25">
      <c r="A171" s="58" t="s">
        <v>90</v>
      </c>
      <c r="B171" s="59">
        <v>3</v>
      </c>
      <c r="C171" s="59" t="s">
        <v>50</v>
      </c>
      <c r="D171" s="59">
        <f t="shared" si="2"/>
        <v>8.5</v>
      </c>
      <c r="E171" s="63"/>
      <c r="F171" s="63"/>
      <c r="G171" s="62"/>
      <c r="H171" s="62"/>
      <c r="I171" s="62">
        <v>13.5</v>
      </c>
      <c r="J171" s="62">
        <v>22</v>
      </c>
    </row>
    <row r="172" spans="1:10" ht="15.75" x14ac:dyDescent="0.25">
      <c r="A172" s="58" t="s">
        <v>90</v>
      </c>
      <c r="B172" s="59">
        <v>3</v>
      </c>
      <c r="C172" s="59" t="s">
        <v>51</v>
      </c>
      <c r="D172" s="59">
        <f t="shared" si="2"/>
        <v>7.5</v>
      </c>
      <c r="E172" s="63"/>
      <c r="F172" s="63"/>
      <c r="G172" s="62"/>
      <c r="H172" s="62"/>
      <c r="I172" s="62">
        <v>13.5</v>
      </c>
      <c r="J172" s="62">
        <v>21</v>
      </c>
    </row>
    <row r="173" spans="1:10" ht="15.75" x14ac:dyDescent="0.25">
      <c r="A173" s="58" t="s">
        <v>90</v>
      </c>
      <c r="B173" s="59">
        <v>3</v>
      </c>
      <c r="C173" s="59" t="s">
        <v>52</v>
      </c>
      <c r="D173" s="59">
        <f t="shared" si="2"/>
        <v>8</v>
      </c>
      <c r="E173" s="63"/>
      <c r="F173" s="63"/>
      <c r="G173" s="62">
        <v>8</v>
      </c>
      <c r="H173" s="62">
        <v>12</v>
      </c>
      <c r="I173" s="62">
        <v>12</v>
      </c>
      <c r="J173" s="62">
        <v>16</v>
      </c>
    </row>
    <row r="174" spans="1:10" ht="15.75" x14ac:dyDescent="0.25">
      <c r="A174" s="58" t="s">
        <v>90</v>
      </c>
      <c r="B174" s="59">
        <v>3</v>
      </c>
      <c r="C174" s="59" t="s">
        <v>53</v>
      </c>
      <c r="D174" s="59">
        <f t="shared" si="2"/>
        <v>0</v>
      </c>
      <c r="E174" s="63"/>
      <c r="F174" s="63"/>
      <c r="G174" s="62"/>
      <c r="H174" s="62"/>
      <c r="I174" s="62"/>
      <c r="J174" s="62"/>
    </row>
    <row r="175" spans="1:10" ht="15.75" x14ac:dyDescent="0.25">
      <c r="A175" s="58" t="s">
        <v>90</v>
      </c>
      <c r="B175" s="59">
        <v>3</v>
      </c>
      <c r="C175" s="59" t="s">
        <v>54</v>
      </c>
      <c r="D175" s="59">
        <f t="shared" si="2"/>
        <v>0</v>
      </c>
      <c r="E175" s="63"/>
      <c r="F175" s="63"/>
      <c r="G175" s="62"/>
      <c r="H175" s="62"/>
      <c r="I175" s="62"/>
      <c r="J175" s="62"/>
    </row>
    <row r="176" spans="1:10" ht="15.75" x14ac:dyDescent="0.25">
      <c r="A176" s="58" t="s">
        <v>90</v>
      </c>
      <c r="B176" s="59">
        <v>3</v>
      </c>
      <c r="C176" s="59" t="s">
        <v>55</v>
      </c>
      <c r="D176" s="59">
        <f t="shared" si="2"/>
        <v>0</v>
      </c>
      <c r="E176" s="63"/>
      <c r="F176" s="63"/>
      <c r="G176" s="62"/>
      <c r="H176" s="62"/>
      <c r="I176" s="62"/>
      <c r="J176" s="62"/>
    </row>
    <row r="177" spans="1:10" ht="15.75" x14ac:dyDescent="0.25">
      <c r="A177" s="58" t="s">
        <v>90</v>
      </c>
      <c r="B177" s="59">
        <v>4</v>
      </c>
      <c r="C177" s="59" t="s">
        <v>49</v>
      </c>
      <c r="D177" s="59">
        <f t="shared" si="2"/>
        <v>9</v>
      </c>
      <c r="E177" s="63"/>
      <c r="F177" s="63"/>
      <c r="G177" s="62">
        <v>7</v>
      </c>
      <c r="H177" s="62">
        <v>12</v>
      </c>
      <c r="I177" s="62">
        <v>12</v>
      </c>
      <c r="J177" s="62">
        <v>16</v>
      </c>
    </row>
    <row r="178" spans="1:10" ht="15.75" x14ac:dyDescent="0.25">
      <c r="A178" s="58" t="s">
        <v>90</v>
      </c>
      <c r="B178" s="59">
        <v>4</v>
      </c>
      <c r="C178" s="59" t="s">
        <v>50</v>
      </c>
      <c r="D178" s="59">
        <f t="shared" si="2"/>
        <v>8</v>
      </c>
      <c r="E178" s="63"/>
      <c r="F178" s="63"/>
      <c r="G178" s="62">
        <v>9</v>
      </c>
      <c r="H178" s="62">
        <v>12</v>
      </c>
      <c r="I178" s="62">
        <v>12</v>
      </c>
      <c r="J178" s="62">
        <v>17</v>
      </c>
    </row>
    <row r="179" spans="1:10" ht="15.75" x14ac:dyDescent="0.25">
      <c r="A179" s="58" t="s">
        <v>90</v>
      </c>
      <c r="B179" s="59">
        <v>4</v>
      </c>
      <c r="C179" s="59" t="s">
        <v>51</v>
      </c>
      <c r="D179" s="59">
        <f t="shared" ref="D179:D263" si="3">(J179-I179)+(H179-G179)</f>
        <v>4</v>
      </c>
      <c r="E179" s="63"/>
      <c r="F179" s="63">
        <v>4</v>
      </c>
      <c r="G179" s="62"/>
      <c r="H179" s="62"/>
      <c r="I179" s="62">
        <v>14</v>
      </c>
      <c r="J179" s="62">
        <v>18</v>
      </c>
    </row>
    <row r="180" spans="1:10" ht="15.75" x14ac:dyDescent="0.25">
      <c r="A180" s="58" t="s">
        <v>90</v>
      </c>
      <c r="B180" s="59">
        <v>4</v>
      </c>
      <c r="C180" s="59" t="s">
        <v>52</v>
      </c>
      <c r="D180" s="59">
        <f t="shared" si="3"/>
        <v>8.5</v>
      </c>
      <c r="E180" s="63"/>
      <c r="F180" s="63"/>
      <c r="G180" s="62"/>
      <c r="H180" s="62"/>
      <c r="I180" s="62">
        <v>13.5</v>
      </c>
      <c r="J180" s="62">
        <v>22</v>
      </c>
    </row>
    <row r="181" spans="1:10" ht="15.75" x14ac:dyDescent="0.25">
      <c r="A181" s="58" t="s">
        <v>90</v>
      </c>
      <c r="B181" s="59">
        <v>4</v>
      </c>
      <c r="C181" s="59" t="s">
        <v>53</v>
      </c>
      <c r="D181" s="59">
        <f t="shared" si="3"/>
        <v>8.5</v>
      </c>
      <c r="E181" s="63"/>
      <c r="F181" s="63"/>
      <c r="G181" s="62"/>
      <c r="H181" s="62"/>
      <c r="I181" s="62">
        <v>13.5</v>
      </c>
      <c r="J181" s="62">
        <v>22</v>
      </c>
    </row>
    <row r="182" spans="1:10" ht="15.75" x14ac:dyDescent="0.25">
      <c r="A182" s="58" t="s">
        <v>90</v>
      </c>
      <c r="B182" s="59">
        <v>4</v>
      </c>
      <c r="C182" s="59" t="s">
        <v>54</v>
      </c>
      <c r="D182" s="59">
        <f t="shared" si="3"/>
        <v>0</v>
      </c>
      <c r="E182" s="63"/>
      <c r="F182" s="63"/>
      <c r="G182" s="62"/>
      <c r="H182" s="62"/>
      <c r="I182" s="62"/>
      <c r="J182" s="62"/>
    </row>
    <row r="183" spans="1:10" ht="15.75" x14ac:dyDescent="0.25">
      <c r="A183" s="58" t="s">
        <v>90</v>
      </c>
      <c r="B183" s="59">
        <v>4</v>
      </c>
      <c r="C183" s="59" t="s">
        <v>55</v>
      </c>
      <c r="D183" s="59">
        <f t="shared" si="3"/>
        <v>0</v>
      </c>
      <c r="E183" s="63"/>
      <c r="F183" s="63"/>
      <c r="G183" s="62"/>
      <c r="H183" s="62"/>
      <c r="I183" s="62"/>
      <c r="J183" s="62"/>
    </row>
    <row r="184" spans="1:10" ht="15.75" x14ac:dyDescent="0.25">
      <c r="A184" s="58" t="s">
        <v>164</v>
      </c>
      <c r="B184" s="59">
        <v>1</v>
      </c>
      <c r="C184" s="59" t="s">
        <v>49</v>
      </c>
      <c r="D184" s="59">
        <f t="shared" si="3"/>
        <v>8.5</v>
      </c>
      <c r="E184" s="63"/>
      <c r="F184" s="63"/>
      <c r="G184" s="62"/>
      <c r="H184" s="62"/>
      <c r="I184" s="62">
        <v>13.5</v>
      </c>
      <c r="J184" s="62">
        <v>22</v>
      </c>
    </row>
    <row r="185" spans="1:10" ht="15.75" x14ac:dyDescent="0.25">
      <c r="A185" s="58" t="s">
        <v>164</v>
      </c>
      <c r="B185" s="59">
        <v>1</v>
      </c>
      <c r="C185" s="59" t="s">
        <v>50</v>
      </c>
      <c r="D185" s="59">
        <f t="shared" si="3"/>
        <v>8.5</v>
      </c>
      <c r="E185" s="63"/>
      <c r="F185" s="63"/>
      <c r="G185" s="62"/>
      <c r="H185" s="62"/>
      <c r="I185" s="62">
        <v>13.5</v>
      </c>
      <c r="J185" s="62">
        <v>22</v>
      </c>
    </row>
    <row r="186" spans="1:10" ht="15.75" x14ac:dyDescent="0.25">
      <c r="A186" s="58" t="s">
        <v>164</v>
      </c>
      <c r="B186" s="59">
        <v>1</v>
      </c>
      <c r="C186" s="59" t="s">
        <v>51</v>
      </c>
      <c r="D186" s="59">
        <f t="shared" si="3"/>
        <v>0</v>
      </c>
      <c r="E186" s="63"/>
      <c r="F186" s="63"/>
      <c r="G186" s="62"/>
      <c r="H186" s="62"/>
      <c r="I186" s="62"/>
      <c r="J186" s="62"/>
    </row>
    <row r="187" spans="1:10" ht="15.75" x14ac:dyDescent="0.25">
      <c r="A187" s="58" t="s">
        <v>164</v>
      </c>
      <c r="B187" s="59">
        <v>1</v>
      </c>
      <c r="C187" s="59" t="s">
        <v>52</v>
      </c>
      <c r="D187" s="59">
        <f t="shared" si="3"/>
        <v>0</v>
      </c>
      <c r="E187" s="63"/>
      <c r="F187" s="63"/>
      <c r="G187" s="62"/>
      <c r="H187" s="62"/>
      <c r="I187" s="62"/>
      <c r="J187" s="62"/>
    </row>
    <row r="188" spans="1:10" ht="15.75" x14ac:dyDescent="0.25">
      <c r="A188" s="58" t="s">
        <v>164</v>
      </c>
      <c r="B188" s="59">
        <v>1</v>
      </c>
      <c r="C188" s="59" t="s">
        <v>53</v>
      </c>
      <c r="D188" s="59">
        <f t="shared" si="3"/>
        <v>0</v>
      </c>
      <c r="E188" s="63"/>
      <c r="F188" s="63"/>
      <c r="G188" s="62"/>
      <c r="H188" s="62"/>
      <c r="I188" s="62"/>
      <c r="J188" s="62"/>
    </row>
    <row r="189" spans="1:10" ht="15.75" x14ac:dyDescent="0.25">
      <c r="A189" s="58" t="s">
        <v>164</v>
      </c>
      <c r="B189" s="59">
        <v>1</v>
      </c>
      <c r="C189" s="59" t="s">
        <v>54</v>
      </c>
      <c r="D189" s="59">
        <f t="shared" si="3"/>
        <v>10</v>
      </c>
      <c r="E189" s="63"/>
      <c r="F189" s="63"/>
      <c r="G189" s="62">
        <v>8</v>
      </c>
      <c r="H189" s="62">
        <v>12</v>
      </c>
      <c r="I189" s="62">
        <v>12</v>
      </c>
      <c r="J189" s="62">
        <v>18</v>
      </c>
    </row>
    <row r="190" spans="1:10" ht="15.75" x14ac:dyDescent="0.25">
      <c r="A190" s="58" t="s">
        <v>164</v>
      </c>
      <c r="B190" s="59">
        <v>1</v>
      </c>
      <c r="C190" s="59" t="s">
        <v>55</v>
      </c>
      <c r="D190" s="59">
        <f t="shared" si="3"/>
        <v>10</v>
      </c>
      <c r="E190" s="63"/>
      <c r="F190" s="63"/>
      <c r="G190" s="62">
        <v>8</v>
      </c>
      <c r="H190" s="62">
        <v>12</v>
      </c>
      <c r="I190" s="62">
        <v>12</v>
      </c>
      <c r="J190" s="62">
        <v>18</v>
      </c>
    </row>
    <row r="191" spans="1:10" ht="15.75" x14ac:dyDescent="0.25">
      <c r="A191" s="58" t="s">
        <v>164</v>
      </c>
      <c r="B191" s="59">
        <v>2</v>
      </c>
      <c r="C191" s="59" t="s">
        <v>49</v>
      </c>
      <c r="D191" s="59">
        <f t="shared" si="3"/>
        <v>0</v>
      </c>
      <c r="E191" s="63"/>
      <c r="F191" s="63"/>
      <c r="G191" s="62"/>
      <c r="H191" s="62"/>
      <c r="I191" s="62"/>
      <c r="J191" s="62"/>
    </row>
    <row r="192" spans="1:10" ht="15.75" x14ac:dyDescent="0.25">
      <c r="A192" s="58" t="s">
        <v>164</v>
      </c>
      <c r="B192" s="59">
        <v>2</v>
      </c>
      <c r="C192" s="59" t="s">
        <v>50</v>
      </c>
      <c r="D192" s="59">
        <f t="shared" si="3"/>
        <v>10</v>
      </c>
      <c r="E192" s="63"/>
      <c r="F192" s="63"/>
      <c r="G192" s="62">
        <v>7</v>
      </c>
      <c r="H192" s="62">
        <v>12</v>
      </c>
      <c r="I192" s="62">
        <v>12</v>
      </c>
      <c r="J192" s="62">
        <v>17</v>
      </c>
    </row>
    <row r="193" spans="1:10" ht="15.75" x14ac:dyDescent="0.25">
      <c r="A193" s="58" t="s">
        <v>164</v>
      </c>
      <c r="B193" s="59">
        <v>2</v>
      </c>
      <c r="C193" s="59" t="s">
        <v>51</v>
      </c>
      <c r="D193" s="59">
        <f t="shared" si="3"/>
        <v>6.5</v>
      </c>
      <c r="E193" s="63"/>
      <c r="F193" s="63"/>
      <c r="G193" s="62">
        <v>7</v>
      </c>
      <c r="H193" s="62">
        <v>12</v>
      </c>
      <c r="I193" s="62">
        <v>12</v>
      </c>
      <c r="J193" s="62">
        <v>13.5</v>
      </c>
    </row>
    <row r="194" spans="1:10" ht="15.75" x14ac:dyDescent="0.25">
      <c r="A194" s="58" t="s">
        <v>164</v>
      </c>
      <c r="B194" s="59">
        <v>2</v>
      </c>
      <c r="C194" s="59" t="s">
        <v>52</v>
      </c>
      <c r="D194" s="59">
        <f t="shared" si="3"/>
        <v>8.5</v>
      </c>
      <c r="E194" s="63"/>
      <c r="F194" s="63"/>
      <c r="G194" s="62"/>
      <c r="H194" s="62"/>
      <c r="I194" s="62">
        <v>13.5</v>
      </c>
      <c r="J194" s="62">
        <v>22</v>
      </c>
    </row>
    <row r="195" spans="1:10" ht="15.75" x14ac:dyDescent="0.25">
      <c r="A195" s="58" t="s">
        <v>164</v>
      </c>
      <c r="B195" s="59">
        <v>2</v>
      </c>
      <c r="C195" s="59" t="s">
        <v>53</v>
      </c>
      <c r="D195" s="59">
        <f t="shared" si="3"/>
        <v>8.5</v>
      </c>
      <c r="E195" s="63"/>
      <c r="F195" s="63"/>
      <c r="G195" s="62"/>
      <c r="H195" s="62"/>
      <c r="I195" s="62">
        <v>13.5</v>
      </c>
      <c r="J195" s="62">
        <v>22</v>
      </c>
    </row>
    <row r="196" spans="1:10" ht="15.75" x14ac:dyDescent="0.25">
      <c r="A196" s="58" t="s">
        <v>164</v>
      </c>
      <c r="B196" s="59">
        <v>2</v>
      </c>
      <c r="C196" s="59" t="s">
        <v>54</v>
      </c>
      <c r="D196" s="59">
        <f t="shared" si="3"/>
        <v>0</v>
      </c>
      <c r="E196" s="63"/>
      <c r="F196" s="63"/>
      <c r="G196" s="62"/>
      <c r="H196" s="62"/>
      <c r="I196" s="62"/>
      <c r="J196" s="62"/>
    </row>
    <row r="197" spans="1:10" ht="15.75" x14ac:dyDescent="0.25">
      <c r="A197" s="58" t="s">
        <v>164</v>
      </c>
      <c r="B197" s="59">
        <v>2</v>
      </c>
      <c r="C197" s="59" t="s">
        <v>55</v>
      </c>
      <c r="D197" s="59">
        <f t="shared" si="3"/>
        <v>0</v>
      </c>
      <c r="E197" s="63"/>
      <c r="F197" s="63"/>
      <c r="G197" s="62"/>
      <c r="H197" s="62"/>
      <c r="I197" s="62"/>
      <c r="J197" s="62"/>
    </row>
    <row r="198" spans="1:10" ht="15.75" x14ac:dyDescent="0.25">
      <c r="A198" s="58" t="s">
        <v>164</v>
      </c>
      <c r="B198" s="59">
        <v>3</v>
      </c>
      <c r="C198" s="59" t="s">
        <v>49</v>
      </c>
      <c r="D198" s="59">
        <f t="shared" si="3"/>
        <v>7.5</v>
      </c>
      <c r="E198" s="63"/>
      <c r="F198" s="63"/>
      <c r="G198" s="62"/>
      <c r="H198" s="62"/>
      <c r="I198" s="62">
        <v>13.5</v>
      </c>
      <c r="J198" s="62">
        <v>21</v>
      </c>
    </row>
    <row r="199" spans="1:10" ht="15.75" x14ac:dyDescent="0.25">
      <c r="A199" s="58" t="s">
        <v>164</v>
      </c>
      <c r="B199" s="59">
        <v>3</v>
      </c>
      <c r="C199" s="59" t="s">
        <v>50</v>
      </c>
      <c r="D199" s="59">
        <f t="shared" si="3"/>
        <v>9</v>
      </c>
      <c r="E199" s="63"/>
      <c r="F199" s="63"/>
      <c r="G199" s="62">
        <v>8</v>
      </c>
      <c r="H199" s="62">
        <v>12</v>
      </c>
      <c r="I199" s="62">
        <v>12</v>
      </c>
      <c r="J199" s="62">
        <v>17</v>
      </c>
    </row>
    <row r="200" spans="1:10" ht="15.75" x14ac:dyDescent="0.25">
      <c r="A200" s="58" t="s">
        <v>164</v>
      </c>
      <c r="B200" s="59">
        <v>3</v>
      </c>
      <c r="C200" s="59" t="s">
        <v>51</v>
      </c>
      <c r="D200" s="59">
        <f t="shared" si="3"/>
        <v>8</v>
      </c>
      <c r="E200" s="63"/>
      <c r="F200" s="63"/>
      <c r="G200" s="62">
        <v>7</v>
      </c>
      <c r="H200" s="62">
        <v>12</v>
      </c>
      <c r="I200" s="62">
        <v>12</v>
      </c>
      <c r="J200" s="62">
        <v>15</v>
      </c>
    </row>
    <row r="201" spans="1:10" ht="15.75" x14ac:dyDescent="0.25">
      <c r="A201" s="58" t="s">
        <v>164</v>
      </c>
      <c r="B201" s="59">
        <v>3</v>
      </c>
      <c r="C201" s="59" t="s">
        <v>52</v>
      </c>
      <c r="D201" s="59">
        <f t="shared" si="3"/>
        <v>10</v>
      </c>
      <c r="E201" s="63"/>
      <c r="F201" s="63"/>
      <c r="G201" s="62">
        <v>8</v>
      </c>
      <c r="H201" s="62">
        <v>12</v>
      </c>
      <c r="I201" s="62">
        <v>12</v>
      </c>
      <c r="J201" s="62">
        <v>18</v>
      </c>
    </row>
    <row r="202" spans="1:10" ht="15.75" x14ac:dyDescent="0.25">
      <c r="A202" s="58" t="s">
        <v>164</v>
      </c>
      <c r="B202" s="59">
        <v>3</v>
      </c>
      <c r="C202" s="59" t="s">
        <v>53</v>
      </c>
      <c r="D202" s="59">
        <f t="shared" si="3"/>
        <v>0</v>
      </c>
      <c r="E202" s="63"/>
      <c r="F202" s="63"/>
      <c r="G202" s="62"/>
      <c r="H202" s="62"/>
      <c r="I202" s="62"/>
      <c r="J202" s="62"/>
    </row>
    <row r="203" spans="1:10" ht="15.75" x14ac:dyDescent="0.25">
      <c r="A203" s="58" t="s">
        <v>164</v>
      </c>
      <c r="B203" s="59">
        <v>3</v>
      </c>
      <c r="C203" s="59" t="s">
        <v>54</v>
      </c>
      <c r="D203" s="59">
        <f t="shared" si="3"/>
        <v>0</v>
      </c>
      <c r="E203" s="63"/>
      <c r="F203" s="63"/>
      <c r="G203" s="62"/>
      <c r="H203" s="62"/>
      <c r="I203" s="62"/>
      <c r="J203" s="62"/>
    </row>
    <row r="204" spans="1:10" ht="15.75" x14ac:dyDescent="0.25">
      <c r="A204" s="58" t="s">
        <v>164</v>
      </c>
      <c r="B204" s="59">
        <v>3</v>
      </c>
      <c r="C204" s="59" t="s">
        <v>55</v>
      </c>
      <c r="D204" s="59">
        <f t="shared" si="3"/>
        <v>0</v>
      </c>
      <c r="E204" s="63"/>
      <c r="F204" s="63"/>
      <c r="G204" s="62"/>
      <c r="H204" s="62"/>
      <c r="I204" s="62"/>
      <c r="J204" s="62"/>
    </row>
    <row r="205" spans="1:10" ht="15.75" x14ac:dyDescent="0.25">
      <c r="A205" s="58" t="s">
        <v>81</v>
      </c>
      <c r="B205" s="59">
        <v>1</v>
      </c>
      <c r="C205" s="59" t="s">
        <v>49</v>
      </c>
      <c r="D205" s="59">
        <f t="shared" si="3"/>
        <v>6</v>
      </c>
      <c r="E205" s="63"/>
      <c r="F205" s="63"/>
      <c r="G205" s="62">
        <v>8</v>
      </c>
      <c r="H205" s="62">
        <v>12</v>
      </c>
      <c r="I205" s="62">
        <v>12</v>
      </c>
      <c r="J205" s="62">
        <v>14</v>
      </c>
    </row>
    <row r="206" spans="1:10" ht="15.75" x14ac:dyDescent="0.25">
      <c r="A206" s="58" t="s">
        <v>81</v>
      </c>
      <c r="B206" s="59">
        <v>1</v>
      </c>
      <c r="C206" s="59" t="s">
        <v>50</v>
      </c>
      <c r="D206" s="59">
        <f t="shared" si="3"/>
        <v>10</v>
      </c>
      <c r="E206" s="63"/>
      <c r="F206" s="63"/>
      <c r="G206" s="62">
        <v>7</v>
      </c>
      <c r="H206" s="62">
        <v>12</v>
      </c>
      <c r="I206" s="62">
        <v>12</v>
      </c>
      <c r="J206" s="62">
        <v>17</v>
      </c>
    </row>
    <row r="207" spans="1:10" ht="15.75" x14ac:dyDescent="0.25">
      <c r="A207" s="58" t="s">
        <v>81</v>
      </c>
      <c r="B207" s="59">
        <v>1</v>
      </c>
      <c r="C207" s="59" t="s">
        <v>51</v>
      </c>
      <c r="D207" s="59">
        <f t="shared" si="3"/>
        <v>0</v>
      </c>
      <c r="E207" s="63"/>
      <c r="F207" s="63"/>
      <c r="G207" s="62"/>
      <c r="H207" s="62"/>
      <c r="I207" s="62"/>
      <c r="J207" s="62"/>
    </row>
    <row r="208" spans="1:10" ht="15.75" x14ac:dyDescent="0.25">
      <c r="A208" s="58" t="s">
        <v>81</v>
      </c>
      <c r="B208" s="59">
        <v>1</v>
      </c>
      <c r="C208" s="59" t="s">
        <v>52</v>
      </c>
      <c r="D208" s="59">
        <f t="shared" si="3"/>
        <v>0</v>
      </c>
      <c r="E208" s="63"/>
      <c r="F208" s="63"/>
      <c r="G208" s="62"/>
      <c r="H208" s="62"/>
      <c r="I208" s="62"/>
      <c r="J208" s="62"/>
    </row>
    <row r="209" spans="1:10" ht="15.75" x14ac:dyDescent="0.25">
      <c r="A209" s="58" t="s">
        <v>81</v>
      </c>
      <c r="B209" s="59">
        <v>1</v>
      </c>
      <c r="C209" s="59" t="s">
        <v>53</v>
      </c>
      <c r="D209" s="59">
        <f t="shared" si="3"/>
        <v>0</v>
      </c>
      <c r="E209" s="63"/>
      <c r="F209" s="63"/>
      <c r="G209" s="62"/>
      <c r="H209" s="62"/>
      <c r="I209" s="62"/>
      <c r="J209" s="62"/>
    </row>
    <row r="210" spans="1:10" ht="15.75" x14ac:dyDescent="0.25">
      <c r="A210" s="58" t="s">
        <v>81</v>
      </c>
      <c r="B210" s="59">
        <v>1</v>
      </c>
      <c r="C210" s="59" t="s">
        <v>54</v>
      </c>
      <c r="D210" s="59">
        <f t="shared" si="3"/>
        <v>12</v>
      </c>
      <c r="E210" s="63"/>
      <c r="F210" s="63"/>
      <c r="G210" s="62">
        <v>7.5</v>
      </c>
      <c r="H210" s="62">
        <v>12</v>
      </c>
      <c r="I210" s="62">
        <v>12</v>
      </c>
      <c r="J210" s="62">
        <v>19.5</v>
      </c>
    </row>
    <row r="211" spans="1:10" ht="15.75" x14ac:dyDescent="0.25">
      <c r="A211" s="58" t="s">
        <v>81</v>
      </c>
      <c r="B211" s="59">
        <v>1</v>
      </c>
      <c r="C211" s="59" t="s">
        <v>55</v>
      </c>
      <c r="D211" s="59">
        <f t="shared" si="3"/>
        <v>12</v>
      </c>
      <c r="E211" s="63"/>
      <c r="F211" s="63"/>
      <c r="G211" s="62">
        <v>8</v>
      </c>
      <c r="H211" s="62">
        <v>12</v>
      </c>
      <c r="I211" s="62">
        <v>12</v>
      </c>
      <c r="J211" s="62">
        <v>20</v>
      </c>
    </row>
    <row r="212" spans="1:10" ht="15.75" x14ac:dyDescent="0.25">
      <c r="A212" s="58" t="s">
        <v>81</v>
      </c>
      <c r="B212" s="59">
        <v>2</v>
      </c>
      <c r="C212" s="59" t="s">
        <v>49</v>
      </c>
      <c r="D212" s="59">
        <f t="shared" si="3"/>
        <v>0</v>
      </c>
      <c r="E212" s="63"/>
      <c r="F212" s="63"/>
      <c r="G212" s="62"/>
      <c r="H212" s="62"/>
      <c r="I212" s="62"/>
      <c r="J212" s="62"/>
    </row>
    <row r="213" spans="1:10" ht="15.75" x14ac:dyDescent="0.25">
      <c r="A213" s="58" t="s">
        <v>81</v>
      </c>
      <c r="B213" s="59">
        <v>2</v>
      </c>
      <c r="C213" s="59" t="s">
        <v>50</v>
      </c>
      <c r="D213" s="59">
        <f t="shared" si="3"/>
        <v>9</v>
      </c>
      <c r="E213" s="63"/>
      <c r="F213" s="63"/>
      <c r="G213" s="62">
        <v>8</v>
      </c>
      <c r="H213" s="62">
        <v>12</v>
      </c>
      <c r="I213" s="62">
        <v>12</v>
      </c>
      <c r="J213" s="62">
        <v>17</v>
      </c>
    </row>
    <row r="214" spans="1:10" ht="15.75" x14ac:dyDescent="0.25">
      <c r="A214" s="58" t="s">
        <v>81</v>
      </c>
      <c r="B214" s="59">
        <v>2</v>
      </c>
      <c r="C214" s="59" t="s">
        <v>51</v>
      </c>
      <c r="D214" s="59">
        <f t="shared" si="3"/>
        <v>10</v>
      </c>
      <c r="E214" s="63"/>
      <c r="F214" s="63"/>
      <c r="G214" s="62">
        <v>7</v>
      </c>
      <c r="H214" s="62">
        <v>12</v>
      </c>
      <c r="I214" s="62">
        <v>12</v>
      </c>
      <c r="J214" s="62">
        <v>17</v>
      </c>
    </row>
    <row r="215" spans="1:10" ht="15.75" x14ac:dyDescent="0.25">
      <c r="A215" s="58" t="s">
        <v>81</v>
      </c>
      <c r="B215" s="59">
        <v>2</v>
      </c>
      <c r="C215" s="59" t="s">
        <v>52</v>
      </c>
      <c r="D215" s="59">
        <f t="shared" si="3"/>
        <v>8</v>
      </c>
      <c r="E215" s="63"/>
      <c r="F215" s="63"/>
      <c r="G215" s="62">
        <v>7</v>
      </c>
      <c r="H215" s="62">
        <v>12</v>
      </c>
      <c r="I215" s="62">
        <v>12</v>
      </c>
      <c r="J215" s="62">
        <v>15</v>
      </c>
    </row>
    <row r="216" spans="1:10" ht="15.75" x14ac:dyDescent="0.25">
      <c r="A216" s="58" t="s">
        <v>81</v>
      </c>
      <c r="B216" s="59">
        <v>2</v>
      </c>
      <c r="C216" s="59" t="s">
        <v>53</v>
      </c>
      <c r="D216" s="59">
        <f t="shared" si="3"/>
        <v>10</v>
      </c>
      <c r="E216" s="63"/>
      <c r="F216" s="63"/>
      <c r="G216" s="62">
        <v>8</v>
      </c>
      <c r="H216" s="62">
        <v>12</v>
      </c>
      <c r="I216" s="62">
        <v>12</v>
      </c>
      <c r="J216" s="62">
        <v>18</v>
      </c>
    </row>
    <row r="217" spans="1:10" ht="15.75" x14ac:dyDescent="0.25">
      <c r="A217" s="58" t="s">
        <v>81</v>
      </c>
      <c r="B217" s="59">
        <v>2</v>
      </c>
      <c r="C217" s="59" t="s">
        <v>54</v>
      </c>
      <c r="D217" s="59">
        <f t="shared" si="3"/>
        <v>0</v>
      </c>
      <c r="E217" s="63"/>
      <c r="F217" s="63"/>
      <c r="G217" s="62"/>
      <c r="H217" s="62"/>
      <c r="I217" s="62"/>
      <c r="J217" s="62"/>
    </row>
    <row r="218" spans="1:10" ht="15.75" x14ac:dyDescent="0.25">
      <c r="A218" s="58" t="s">
        <v>81</v>
      </c>
      <c r="B218" s="59">
        <v>2</v>
      </c>
      <c r="C218" s="59" t="s">
        <v>55</v>
      </c>
      <c r="D218" s="59">
        <f t="shared" si="3"/>
        <v>0</v>
      </c>
      <c r="E218" s="63"/>
      <c r="F218" s="63"/>
      <c r="G218" s="62"/>
      <c r="H218" s="62"/>
      <c r="I218" s="62"/>
      <c r="J218" s="62"/>
    </row>
    <row r="219" spans="1:10" ht="15.75" x14ac:dyDescent="0.25">
      <c r="A219" s="58" t="s">
        <v>81</v>
      </c>
      <c r="B219" s="59">
        <v>3</v>
      </c>
      <c r="C219" s="59" t="s">
        <v>49</v>
      </c>
      <c r="D219" s="59">
        <f t="shared" si="3"/>
        <v>8.5</v>
      </c>
      <c r="E219" s="63"/>
      <c r="F219" s="63"/>
      <c r="G219" s="62"/>
      <c r="H219" s="62"/>
      <c r="I219" s="62">
        <v>13.5</v>
      </c>
      <c r="J219" s="62">
        <v>22</v>
      </c>
    </row>
    <row r="220" spans="1:10" ht="15.75" x14ac:dyDescent="0.25">
      <c r="A220" s="58" t="s">
        <v>81</v>
      </c>
      <c r="B220" s="59">
        <v>3</v>
      </c>
      <c r="C220" s="59" t="s">
        <v>50</v>
      </c>
      <c r="D220" s="59">
        <f t="shared" si="3"/>
        <v>7.5</v>
      </c>
      <c r="E220" s="63"/>
      <c r="F220" s="63"/>
      <c r="G220" s="62"/>
      <c r="H220" s="62"/>
      <c r="I220" s="62">
        <v>13.5</v>
      </c>
      <c r="J220" s="62">
        <v>21</v>
      </c>
    </row>
    <row r="221" spans="1:10" ht="15.75" x14ac:dyDescent="0.25">
      <c r="A221" s="58" t="s">
        <v>81</v>
      </c>
      <c r="B221" s="59">
        <v>3</v>
      </c>
      <c r="C221" s="59" t="s">
        <v>51</v>
      </c>
      <c r="D221" s="59">
        <f t="shared" si="3"/>
        <v>10</v>
      </c>
      <c r="E221" s="63"/>
      <c r="F221" s="63"/>
      <c r="G221" s="62">
        <v>8</v>
      </c>
      <c r="H221" s="62">
        <v>12</v>
      </c>
      <c r="I221" s="62">
        <v>12</v>
      </c>
      <c r="J221" s="62">
        <v>18</v>
      </c>
    </row>
    <row r="222" spans="1:10" ht="15.75" x14ac:dyDescent="0.25">
      <c r="A222" s="58" t="s">
        <v>81</v>
      </c>
      <c r="B222" s="59">
        <v>3</v>
      </c>
      <c r="C222" s="59" t="s">
        <v>52</v>
      </c>
      <c r="D222" s="59">
        <f t="shared" si="3"/>
        <v>5</v>
      </c>
      <c r="E222" s="63"/>
      <c r="F222" s="63">
        <v>5</v>
      </c>
      <c r="G222" s="62"/>
      <c r="H222" s="62"/>
      <c r="I222" s="62">
        <v>14</v>
      </c>
      <c r="J222" s="62">
        <v>19</v>
      </c>
    </row>
    <row r="223" spans="1:10" ht="15.75" x14ac:dyDescent="0.25">
      <c r="A223" s="58" t="s">
        <v>81</v>
      </c>
      <c r="B223" s="59">
        <v>3</v>
      </c>
      <c r="C223" s="59" t="s">
        <v>53</v>
      </c>
      <c r="D223" s="59">
        <f t="shared" si="3"/>
        <v>7</v>
      </c>
      <c r="E223" s="63"/>
      <c r="F223" s="63"/>
      <c r="G223" s="62">
        <v>7</v>
      </c>
      <c r="H223" s="62">
        <v>14</v>
      </c>
      <c r="I223" s="62"/>
      <c r="J223" s="62"/>
    </row>
    <row r="224" spans="1:10" ht="15.75" x14ac:dyDescent="0.25">
      <c r="A224" s="58" t="s">
        <v>81</v>
      </c>
      <c r="B224" s="59">
        <v>3</v>
      </c>
      <c r="C224" s="59" t="s">
        <v>54</v>
      </c>
      <c r="D224" s="59">
        <f t="shared" si="3"/>
        <v>0</v>
      </c>
      <c r="E224" s="63"/>
      <c r="F224" s="63"/>
      <c r="G224" s="62"/>
      <c r="H224" s="62"/>
      <c r="I224" s="62"/>
      <c r="J224" s="62"/>
    </row>
    <row r="225" spans="1:10" ht="15.75" x14ac:dyDescent="0.25">
      <c r="A225" s="58" t="s">
        <v>81</v>
      </c>
      <c r="B225" s="59">
        <v>3</v>
      </c>
      <c r="C225" s="59" t="s">
        <v>55</v>
      </c>
      <c r="D225" s="59">
        <f t="shared" si="3"/>
        <v>0</v>
      </c>
      <c r="E225" s="63"/>
      <c r="F225" s="63"/>
      <c r="G225" s="62"/>
      <c r="H225" s="62"/>
      <c r="I225" s="62"/>
      <c r="J225" s="62"/>
    </row>
    <row r="226" spans="1:10" ht="15.75" x14ac:dyDescent="0.25">
      <c r="A226" s="58" t="s">
        <v>81</v>
      </c>
      <c r="B226" s="59">
        <v>4</v>
      </c>
      <c r="C226" s="59" t="s">
        <v>49</v>
      </c>
      <c r="D226" s="59">
        <f t="shared" si="3"/>
        <v>10</v>
      </c>
      <c r="E226" s="63"/>
      <c r="F226" s="63"/>
      <c r="G226" s="62">
        <v>7</v>
      </c>
      <c r="H226" s="62">
        <v>12</v>
      </c>
      <c r="I226" s="62">
        <v>12</v>
      </c>
      <c r="J226" s="62">
        <v>17</v>
      </c>
    </row>
    <row r="227" spans="1:10" ht="15.75" x14ac:dyDescent="0.25">
      <c r="A227" s="58" t="s">
        <v>81</v>
      </c>
      <c r="B227" s="59">
        <v>4</v>
      </c>
      <c r="C227" s="59" t="s">
        <v>50</v>
      </c>
      <c r="D227" s="59">
        <f t="shared" si="3"/>
        <v>6.5</v>
      </c>
      <c r="E227" s="63"/>
      <c r="F227" s="63"/>
      <c r="G227" s="62"/>
      <c r="H227" s="62"/>
      <c r="I227" s="62">
        <v>13.5</v>
      </c>
      <c r="J227" s="62">
        <v>20</v>
      </c>
    </row>
    <row r="228" spans="1:10" ht="15.75" x14ac:dyDescent="0.25">
      <c r="A228" s="58" t="s">
        <v>81</v>
      </c>
      <c r="B228" s="59">
        <v>4</v>
      </c>
      <c r="C228" s="59" t="s">
        <v>51</v>
      </c>
      <c r="D228" s="59">
        <f t="shared" si="3"/>
        <v>0</v>
      </c>
      <c r="E228" s="63"/>
      <c r="F228" s="63"/>
      <c r="G228" s="62"/>
      <c r="H228" s="62"/>
      <c r="I228" s="62"/>
      <c r="J228" s="62"/>
    </row>
    <row r="229" spans="1:10" ht="15.75" x14ac:dyDescent="0.25">
      <c r="A229" s="58" t="s">
        <v>81</v>
      </c>
      <c r="B229" s="59">
        <v>4</v>
      </c>
      <c r="C229" s="59" t="s">
        <v>52</v>
      </c>
      <c r="D229" s="59">
        <f t="shared" si="3"/>
        <v>0</v>
      </c>
      <c r="E229" s="63"/>
      <c r="F229" s="63"/>
      <c r="G229" s="62"/>
      <c r="H229" s="62"/>
      <c r="I229" s="62"/>
      <c r="J229" s="62"/>
    </row>
    <row r="230" spans="1:10" ht="15.75" x14ac:dyDescent="0.25">
      <c r="A230" s="58" t="s">
        <v>81</v>
      </c>
      <c r="B230" s="59">
        <v>4</v>
      </c>
      <c r="C230" s="59" t="s">
        <v>53</v>
      </c>
      <c r="D230" s="59">
        <f t="shared" si="3"/>
        <v>0</v>
      </c>
      <c r="E230" s="63"/>
      <c r="F230" s="63"/>
      <c r="G230" s="62"/>
      <c r="H230" s="62"/>
      <c r="I230" s="62"/>
      <c r="J230" s="62"/>
    </row>
    <row r="231" spans="1:10" ht="15.75" x14ac:dyDescent="0.25">
      <c r="A231" s="58" t="s">
        <v>81</v>
      </c>
      <c r="B231" s="59">
        <v>4</v>
      </c>
      <c r="C231" s="59" t="s">
        <v>54</v>
      </c>
      <c r="D231" s="59">
        <f t="shared" si="3"/>
        <v>12</v>
      </c>
      <c r="E231" s="63"/>
      <c r="F231" s="63"/>
      <c r="G231" s="62">
        <v>10</v>
      </c>
      <c r="H231" s="62">
        <v>12</v>
      </c>
      <c r="I231" s="62">
        <v>12</v>
      </c>
      <c r="J231" s="62">
        <v>22</v>
      </c>
    </row>
    <row r="232" spans="1:10" ht="15.75" x14ac:dyDescent="0.25">
      <c r="A232" s="58" t="s">
        <v>81</v>
      </c>
      <c r="B232" s="59">
        <v>4</v>
      </c>
      <c r="C232" s="59" t="s">
        <v>55</v>
      </c>
      <c r="D232" s="59">
        <f t="shared" si="3"/>
        <v>12</v>
      </c>
      <c r="E232" s="63"/>
      <c r="F232" s="63"/>
      <c r="G232" s="62">
        <v>10</v>
      </c>
      <c r="H232" s="62">
        <v>12</v>
      </c>
      <c r="I232" s="62">
        <v>12</v>
      </c>
      <c r="J232" s="62">
        <v>22</v>
      </c>
    </row>
    <row r="233" spans="1:10" ht="15.75" x14ac:dyDescent="0.25">
      <c r="A233" s="58" t="s">
        <v>81</v>
      </c>
      <c r="B233" s="59">
        <v>5</v>
      </c>
      <c r="C233" s="59" t="s">
        <v>49</v>
      </c>
      <c r="D233" s="59">
        <f t="shared" si="3"/>
        <v>0</v>
      </c>
      <c r="E233" s="63"/>
      <c r="F233" s="63"/>
      <c r="G233" s="62"/>
      <c r="H233" s="62"/>
      <c r="I233" s="62"/>
      <c r="J233" s="62"/>
    </row>
    <row r="234" spans="1:10" ht="15.75" x14ac:dyDescent="0.25">
      <c r="A234" s="58" t="s">
        <v>81</v>
      </c>
      <c r="B234" s="59">
        <v>5</v>
      </c>
      <c r="C234" s="59" t="s">
        <v>50</v>
      </c>
      <c r="D234" s="59">
        <f t="shared" si="3"/>
        <v>3.5</v>
      </c>
      <c r="E234" s="63"/>
      <c r="F234" s="63"/>
      <c r="G234" s="62"/>
      <c r="H234" s="62"/>
      <c r="I234" s="62">
        <v>13.5</v>
      </c>
      <c r="J234" s="62">
        <v>17</v>
      </c>
    </row>
    <row r="235" spans="1:10" ht="15.75" x14ac:dyDescent="0.25">
      <c r="A235" s="58" t="s">
        <v>81</v>
      </c>
      <c r="B235" s="59">
        <v>5</v>
      </c>
      <c r="C235" s="59" t="s">
        <v>51</v>
      </c>
      <c r="D235" s="59">
        <f t="shared" si="3"/>
        <v>8.5</v>
      </c>
      <c r="E235" s="63"/>
      <c r="F235" s="63"/>
      <c r="G235" s="62"/>
      <c r="H235" s="62"/>
      <c r="I235" s="62">
        <v>13.5</v>
      </c>
      <c r="J235" s="62">
        <v>22</v>
      </c>
    </row>
    <row r="236" spans="1:10" ht="15.75" x14ac:dyDescent="0.25">
      <c r="A236" s="58" t="s">
        <v>81</v>
      </c>
      <c r="B236" s="59">
        <v>5</v>
      </c>
      <c r="C236" s="59" t="s">
        <v>52</v>
      </c>
      <c r="D236" s="59">
        <f t="shared" si="3"/>
        <v>10</v>
      </c>
      <c r="E236" s="63"/>
      <c r="F236" s="63"/>
      <c r="G236" s="62">
        <v>11.5</v>
      </c>
      <c r="H236" s="62">
        <v>12</v>
      </c>
      <c r="I236" s="62">
        <v>12</v>
      </c>
      <c r="J236" s="62">
        <v>21.5</v>
      </c>
    </row>
    <row r="237" spans="1:10" ht="15.75" x14ac:dyDescent="0.25">
      <c r="A237" s="58" t="s">
        <v>81</v>
      </c>
      <c r="B237" s="59">
        <v>5</v>
      </c>
      <c r="C237" s="59" t="s">
        <v>53</v>
      </c>
      <c r="D237" s="59">
        <f t="shared" si="3"/>
        <v>7.5</v>
      </c>
      <c r="E237" s="63"/>
      <c r="F237" s="63"/>
      <c r="G237" s="62"/>
      <c r="H237" s="62"/>
      <c r="I237" s="62">
        <v>13.5</v>
      </c>
      <c r="J237" s="62">
        <v>21</v>
      </c>
    </row>
    <row r="238" spans="1:10" ht="15.75" x14ac:dyDescent="0.25">
      <c r="A238" s="58" t="s">
        <v>81</v>
      </c>
      <c r="B238" s="59">
        <v>5</v>
      </c>
      <c r="C238" s="59" t="s">
        <v>54</v>
      </c>
      <c r="D238" s="59">
        <f t="shared" si="3"/>
        <v>0</v>
      </c>
      <c r="E238" s="63"/>
      <c r="F238" s="63"/>
      <c r="G238" s="62"/>
      <c r="H238" s="62"/>
      <c r="I238" s="62"/>
      <c r="J238" s="62"/>
    </row>
    <row r="239" spans="1:10" ht="15.75" x14ac:dyDescent="0.25">
      <c r="A239" s="58" t="s">
        <v>81</v>
      </c>
      <c r="B239" s="59">
        <v>5</v>
      </c>
      <c r="C239" s="59" t="s">
        <v>55</v>
      </c>
      <c r="D239" s="59">
        <f t="shared" si="3"/>
        <v>0</v>
      </c>
      <c r="E239" s="63"/>
      <c r="F239" s="63"/>
      <c r="G239" s="62"/>
      <c r="H239" s="62"/>
      <c r="I239" s="62"/>
      <c r="J239" s="62"/>
    </row>
    <row r="240" spans="1:10" ht="15.75" x14ac:dyDescent="0.25">
      <c r="A240" s="58" t="s">
        <v>43</v>
      </c>
      <c r="B240" s="59">
        <v>1</v>
      </c>
      <c r="C240" s="59" t="s">
        <v>49</v>
      </c>
      <c r="D240" s="59">
        <f t="shared" si="3"/>
        <v>8.5</v>
      </c>
      <c r="E240" s="63"/>
      <c r="F240" s="63"/>
      <c r="G240" s="62"/>
      <c r="H240" s="62"/>
      <c r="I240" s="62">
        <v>14</v>
      </c>
      <c r="J240" s="62">
        <v>22.5</v>
      </c>
    </row>
    <row r="241" spans="1:10" ht="15.75" x14ac:dyDescent="0.25">
      <c r="A241" s="58" t="s">
        <v>43</v>
      </c>
      <c r="B241" s="59">
        <v>1</v>
      </c>
      <c r="C241" s="59" t="s">
        <v>50</v>
      </c>
      <c r="D241" s="59">
        <f t="shared" si="3"/>
        <v>9</v>
      </c>
      <c r="E241" s="63"/>
      <c r="F241" s="63"/>
      <c r="G241" s="62">
        <v>9.5</v>
      </c>
      <c r="H241" s="62">
        <v>12.5</v>
      </c>
      <c r="I241" s="62">
        <v>16.5</v>
      </c>
      <c r="J241" s="62">
        <v>22.5</v>
      </c>
    </row>
    <row r="242" spans="1:10" ht="15.75" x14ac:dyDescent="0.25">
      <c r="A242" s="58" t="s">
        <v>43</v>
      </c>
      <c r="B242" s="59">
        <v>1</v>
      </c>
      <c r="C242" s="59" t="s">
        <v>51</v>
      </c>
      <c r="D242" s="59">
        <f t="shared" si="3"/>
        <v>0</v>
      </c>
      <c r="E242" s="63"/>
      <c r="F242" s="63"/>
      <c r="G242" s="62"/>
      <c r="H242" s="62"/>
      <c r="I242" s="62"/>
      <c r="J242" s="62"/>
    </row>
    <row r="243" spans="1:10" ht="15.75" x14ac:dyDescent="0.25">
      <c r="A243" s="58" t="s">
        <v>43</v>
      </c>
      <c r="B243" s="59">
        <v>1</v>
      </c>
      <c r="C243" s="59" t="s">
        <v>52</v>
      </c>
      <c r="D243" s="59">
        <f t="shared" si="3"/>
        <v>0</v>
      </c>
      <c r="E243" s="63"/>
      <c r="F243" s="63"/>
      <c r="G243" s="62"/>
      <c r="H243" s="62"/>
      <c r="I243" s="62"/>
      <c r="J243" s="62"/>
    </row>
    <row r="244" spans="1:10" ht="15.75" x14ac:dyDescent="0.25">
      <c r="A244" s="58" t="s">
        <v>43</v>
      </c>
      <c r="B244" s="59">
        <v>1</v>
      </c>
      <c r="C244" s="59" t="s">
        <v>53</v>
      </c>
      <c r="D244" s="59">
        <f t="shared" si="3"/>
        <v>0</v>
      </c>
      <c r="E244" s="63"/>
      <c r="F244" s="63"/>
      <c r="G244" s="62"/>
      <c r="H244" s="62"/>
      <c r="I244" s="62"/>
      <c r="J244" s="62"/>
    </row>
    <row r="245" spans="1:10" ht="15.75" x14ac:dyDescent="0.25">
      <c r="A245" s="58" t="s">
        <v>43</v>
      </c>
      <c r="B245" s="59">
        <v>1</v>
      </c>
      <c r="C245" s="59" t="s">
        <v>54</v>
      </c>
      <c r="D245" s="59">
        <f t="shared" si="3"/>
        <v>12</v>
      </c>
      <c r="E245" s="63"/>
      <c r="F245" s="63"/>
      <c r="G245" s="62">
        <v>11</v>
      </c>
      <c r="H245" s="62">
        <v>12</v>
      </c>
      <c r="I245" s="62">
        <v>12</v>
      </c>
      <c r="J245" s="62">
        <v>23</v>
      </c>
    </row>
    <row r="246" spans="1:10" ht="15.75" x14ac:dyDescent="0.25">
      <c r="A246" s="58" t="s">
        <v>43</v>
      </c>
      <c r="B246" s="59">
        <v>1</v>
      </c>
      <c r="C246" s="59" t="s">
        <v>55</v>
      </c>
      <c r="D246" s="59">
        <f t="shared" si="3"/>
        <v>12</v>
      </c>
      <c r="E246" s="63"/>
      <c r="F246" s="63"/>
      <c r="G246" s="62">
        <v>11</v>
      </c>
      <c r="H246" s="62">
        <v>12</v>
      </c>
      <c r="I246" s="62">
        <v>12</v>
      </c>
      <c r="J246" s="62">
        <v>23</v>
      </c>
    </row>
    <row r="247" spans="1:10" ht="15.75" x14ac:dyDescent="0.25">
      <c r="A247" s="58" t="s">
        <v>43</v>
      </c>
      <c r="B247" s="59">
        <v>2</v>
      </c>
      <c r="C247" s="59" t="s">
        <v>49</v>
      </c>
      <c r="D247" s="59">
        <f t="shared" si="3"/>
        <v>0</v>
      </c>
      <c r="E247" s="63"/>
      <c r="F247" s="63"/>
      <c r="G247" s="62"/>
      <c r="H247" s="62"/>
      <c r="I247" s="62"/>
      <c r="J247" s="62"/>
    </row>
    <row r="248" spans="1:10" ht="15.75" x14ac:dyDescent="0.25">
      <c r="A248" s="58" t="s">
        <v>43</v>
      </c>
      <c r="B248" s="59">
        <v>2</v>
      </c>
      <c r="C248" s="59" t="s">
        <v>50</v>
      </c>
      <c r="D248" s="59">
        <f t="shared" si="3"/>
        <v>9</v>
      </c>
      <c r="E248" s="63"/>
      <c r="F248" s="63">
        <v>6</v>
      </c>
      <c r="G248" s="62">
        <v>9.5</v>
      </c>
      <c r="H248" s="62">
        <v>12.5</v>
      </c>
      <c r="I248" s="62">
        <v>16.5</v>
      </c>
      <c r="J248" s="62">
        <v>22.5</v>
      </c>
    </row>
    <row r="249" spans="1:10" ht="15.75" x14ac:dyDescent="0.25">
      <c r="A249" s="58" t="s">
        <v>43</v>
      </c>
      <c r="B249" s="59">
        <v>2</v>
      </c>
      <c r="C249" s="59" t="s">
        <v>51</v>
      </c>
      <c r="D249" s="59">
        <f t="shared" si="3"/>
        <v>8</v>
      </c>
      <c r="E249" s="63"/>
      <c r="F249" s="63"/>
      <c r="G249" s="62"/>
      <c r="H249" s="62"/>
      <c r="I249" s="62">
        <v>14.5</v>
      </c>
      <c r="J249" s="62">
        <v>22.5</v>
      </c>
    </row>
    <row r="250" spans="1:10" ht="15.75" x14ac:dyDescent="0.25">
      <c r="A250" s="58" t="s">
        <v>43</v>
      </c>
      <c r="B250" s="59">
        <v>2</v>
      </c>
      <c r="C250" s="59" t="s">
        <v>52</v>
      </c>
      <c r="D250" s="59">
        <f t="shared" si="3"/>
        <v>6</v>
      </c>
      <c r="E250" s="63"/>
      <c r="F250" s="63"/>
      <c r="G250" s="62"/>
      <c r="H250" s="62"/>
      <c r="I250" s="62">
        <v>14</v>
      </c>
      <c r="J250" s="62">
        <v>20</v>
      </c>
    </row>
    <row r="251" spans="1:10" ht="15.75" x14ac:dyDescent="0.25">
      <c r="A251" s="58" t="s">
        <v>43</v>
      </c>
      <c r="B251" s="59">
        <v>2</v>
      </c>
      <c r="C251" s="59" t="s">
        <v>53</v>
      </c>
      <c r="D251" s="59">
        <f t="shared" si="3"/>
        <v>10</v>
      </c>
      <c r="E251" s="63"/>
      <c r="F251" s="63"/>
      <c r="G251" s="62">
        <v>7</v>
      </c>
      <c r="H251" s="62">
        <v>9.5</v>
      </c>
      <c r="I251" s="62">
        <v>15.5</v>
      </c>
      <c r="J251" s="62">
        <v>23</v>
      </c>
    </row>
    <row r="252" spans="1:10" ht="15.75" x14ac:dyDescent="0.25">
      <c r="A252" s="58" t="s">
        <v>43</v>
      </c>
      <c r="B252" s="59">
        <v>2</v>
      </c>
      <c r="C252" s="59" t="s">
        <v>54</v>
      </c>
      <c r="D252" s="59">
        <f t="shared" si="3"/>
        <v>0</v>
      </c>
      <c r="E252" s="63"/>
      <c r="F252" s="63"/>
      <c r="G252" s="62"/>
      <c r="H252" s="62"/>
      <c r="I252" s="62"/>
      <c r="J252" s="62"/>
    </row>
    <row r="253" spans="1:10" ht="15.75" x14ac:dyDescent="0.25">
      <c r="A253" s="58" t="s">
        <v>43</v>
      </c>
      <c r="B253" s="59">
        <v>2</v>
      </c>
      <c r="C253" s="59" t="s">
        <v>55</v>
      </c>
      <c r="D253" s="59">
        <f t="shared" si="3"/>
        <v>0</v>
      </c>
      <c r="E253" s="63"/>
      <c r="F253" s="63"/>
      <c r="G253" s="62"/>
      <c r="H253" s="62"/>
      <c r="I253" s="62"/>
      <c r="J253" s="62"/>
    </row>
    <row r="254" spans="1:10" ht="15.75" x14ac:dyDescent="0.25">
      <c r="A254" s="58" t="s">
        <v>43</v>
      </c>
      <c r="B254" s="59">
        <v>3</v>
      </c>
      <c r="C254" s="59" t="s">
        <v>49</v>
      </c>
      <c r="D254" s="59">
        <f t="shared" si="3"/>
        <v>8</v>
      </c>
      <c r="E254" s="63"/>
      <c r="F254" s="63"/>
      <c r="G254" s="62"/>
      <c r="H254" s="62"/>
      <c r="I254" s="62">
        <v>14</v>
      </c>
      <c r="J254" s="62">
        <v>22</v>
      </c>
    </row>
    <row r="255" spans="1:10" ht="15.75" x14ac:dyDescent="0.25">
      <c r="A255" s="58" t="s">
        <v>43</v>
      </c>
      <c r="B255" s="59">
        <v>3</v>
      </c>
      <c r="C255" s="59" t="s">
        <v>50</v>
      </c>
      <c r="D255" s="59">
        <f t="shared" si="3"/>
        <v>7.5</v>
      </c>
      <c r="E255" s="63"/>
      <c r="F255" s="63"/>
      <c r="G255" s="62">
        <v>9.5</v>
      </c>
      <c r="H255" s="62">
        <v>12.5</v>
      </c>
      <c r="I255" s="62">
        <v>16.5</v>
      </c>
      <c r="J255" s="62">
        <v>21</v>
      </c>
    </row>
    <row r="256" spans="1:10" ht="15.75" x14ac:dyDescent="0.25">
      <c r="A256" s="58" t="s">
        <v>43</v>
      </c>
      <c r="B256" s="59">
        <v>3</v>
      </c>
      <c r="C256" s="59" t="s">
        <v>51</v>
      </c>
      <c r="D256" s="59">
        <f t="shared" si="3"/>
        <v>10</v>
      </c>
      <c r="E256" s="63"/>
      <c r="F256" s="63"/>
      <c r="G256" s="62">
        <v>9</v>
      </c>
      <c r="H256" s="62">
        <v>12</v>
      </c>
      <c r="I256" s="62">
        <v>12</v>
      </c>
      <c r="J256" s="62">
        <v>19</v>
      </c>
    </row>
    <row r="257" spans="1:10" ht="15.75" x14ac:dyDescent="0.25">
      <c r="A257" s="58" t="s">
        <v>43</v>
      </c>
      <c r="B257" s="59">
        <v>3</v>
      </c>
      <c r="C257" s="59" t="s">
        <v>52</v>
      </c>
      <c r="D257" s="59">
        <f t="shared" si="3"/>
        <v>11</v>
      </c>
      <c r="E257" s="63"/>
      <c r="F257" s="63"/>
      <c r="G257" s="62">
        <v>7</v>
      </c>
      <c r="H257" s="62">
        <v>9.5</v>
      </c>
      <c r="I257" s="62">
        <v>14</v>
      </c>
      <c r="J257" s="62">
        <v>22.5</v>
      </c>
    </row>
    <row r="258" spans="1:10" ht="15.75" x14ac:dyDescent="0.25">
      <c r="A258" s="58" t="s">
        <v>43</v>
      </c>
      <c r="B258" s="59">
        <v>3</v>
      </c>
      <c r="C258" s="59" t="s">
        <v>53</v>
      </c>
      <c r="D258" s="59">
        <f t="shared" si="3"/>
        <v>0</v>
      </c>
      <c r="E258" s="63"/>
      <c r="F258" s="63"/>
      <c r="G258" s="62"/>
      <c r="H258" s="62"/>
      <c r="I258" s="62"/>
      <c r="J258" s="62"/>
    </row>
    <row r="259" spans="1:10" ht="15.75" x14ac:dyDescent="0.25">
      <c r="A259" s="58" t="s">
        <v>43</v>
      </c>
      <c r="B259" s="59">
        <v>3</v>
      </c>
      <c r="C259" s="59" t="s">
        <v>54</v>
      </c>
      <c r="D259" s="59">
        <f t="shared" si="3"/>
        <v>0</v>
      </c>
      <c r="E259" s="63"/>
      <c r="F259" s="63"/>
      <c r="G259" s="62"/>
      <c r="H259" s="62"/>
      <c r="I259" s="62"/>
      <c r="J259" s="62"/>
    </row>
    <row r="260" spans="1:10" ht="15.75" x14ac:dyDescent="0.25">
      <c r="A260" s="58" t="s">
        <v>43</v>
      </c>
      <c r="B260" s="59">
        <v>3</v>
      </c>
      <c r="C260" s="59" t="s">
        <v>55</v>
      </c>
      <c r="D260" s="59">
        <f t="shared" si="3"/>
        <v>0</v>
      </c>
      <c r="E260" s="63"/>
      <c r="F260" s="63"/>
      <c r="G260" s="62"/>
      <c r="H260" s="62"/>
      <c r="I260" s="62"/>
      <c r="J260" s="62"/>
    </row>
    <row r="261" spans="1:10" ht="15.75" x14ac:dyDescent="0.25">
      <c r="A261" s="58" t="s">
        <v>43</v>
      </c>
      <c r="B261" s="59">
        <v>4</v>
      </c>
      <c r="C261" s="59" t="s">
        <v>49</v>
      </c>
      <c r="D261" s="59">
        <f t="shared" si="3"/>
        <v>8.5</v>
      </c>
      <c r="E261" s="63"/>
      <c r="F261" s="63"/>
      <c r="G261" s="62"/>
      <c r="H261" s="62"/>
      <c r="I261" s="62">
        <v>14</v>
      </c>
      <c r="J261" s="62">
        <v>22.5</v>
      </c>
    </row>
    <row r="262" spans="1:10" ht="15.75" x14ac:dyDescent="0.25">
      <c r="A262" s="58" t="s">
        <v>43</v>
      </c>
      <c r="B262" s="59">
        <v>4</v>
      </c>
      <c r="C262" s="59" t="s">
        <v>50</v>
      </c>
      <c r="D262" s="59">
        <f t="shared" si="3"/>
        <v>9</v>
      </c>
      <c r="E262" s="63"/>
      <c r="F262" s="63"/>
      <c r="G262" s="62">
        <v>9.5</v>
      </c>
      <c r="H262" s="62">
        <v>12.5</v>
      </c>
      <c r="I262" s="62">
        <v>16.5</v>
      </c>
      <c r="J262" s="62">
        <v>22.5</v>
      </c>
    </row>
    <row r="263" spans="1:10" ht="15.75" x14ac:dyDescent="0.25">
      <c r="A263" s="58" t="s">
        <v>43</v>
      </c>
      <c r="B263" s="59">
        <v>4</v>
      </c>
      <c r="C263" s="59" t="s">
        <v>51</v>
      </c>
      <c r="D263" s="59">
        <f t="shared" si="3"/>
        <v>0</v>
      </c>
      <c r="E263" s="63"/>
      <c r="F263" s="63"/>
      <c r="G263" s="62"/>
      <c r="H263" s="62"/>
      <c r="I263" s="62"/>
      <c r="J263" s="62"/>
    </row>
    <row r="264" spans="1:10" ht="15.75" x14ac:dyDescent="0.25">
      <c r="A264" s="58" t="s">
        <v>43</v>
      </c>
      <c r="B264" s="59">
        <v>4</v>
      </c>
      <c r="C264" s="59" t="s">
        <v>52</v>
      </c>
      <c r="D264" s="59">
        <f t="shared" ref="D264:D355" si="4">(J264-I264)+(H264-G264)</f>
        <v>0</v>
      </c>
      <c r="E264" s="63"/>
      <c r="F264" s="63"/>
      <c r="G264" s="62"/>
      <c r="H264" s="62"/>
      <c r="I264" s="62"/>
      <c r="J264" s="62"/>
    </row>
    <row r="265" spans="1:10" ht="15.75" x14ac:dyDescent="0.25">
      <c r="A265" s="58" t="s">
        <v>43</v>
      </c>
      <c r="B265" s="59">
        <v>4</v>
      </c>
      <c r="C265" s="59" t="s">
        <v>53</v>
      </c>
      <c r="D265" s="59">
        <f t="shared" si="4"/>
        <v>0</v>
      </c>
      <c r="E265" s="63"/>
      <c r="F265" s="63"/>
      <c r="G265" s="62"/>
      <c r="H265" s="62"/>
      <c r="I265" s="62"/>
      <c r="J265" s="62"/>
    </row>
    <row r="266" spans="1:10" ht="15.75" x14ac:dyDescent="0.25">
      <c r="A266" s="58" t="s">
        <v>43</v>
      </c>
      <c r="B266" s="59">
        <v>4</v>
      </c>
      <c r="C266" s="59" t="s">
        <v>54</v>
      </c>
      <c r="D266" s="59">
        <f t="shared" si="4"/>
        <v>12</v>
      </c>
      <c r="E266" s="63"/>
      <c r="F266" s="63"/>
      <c r="G266" s="62">
        <v>11</v>
      </c>
      <c r="H266" s="62">
        <v>12</v>
      </c>
      <c r="I266" s="62">
        <v>12</v>
      </c>
      <c r="J266" s="62">
        <v>23</v>
      </c>
    </row>
    <row r="267" spans="1:10" ht="15.75" x14ac:dyDescent="0.25">
      <c r="A267" s="58" t="s">
        <v>43</v>
      </c>
      <c r="B267" s="59">
        <v>4</v>
      </c>
      <c r="C267" s="59" t="s">
        <v>55</v>
      </c>
      <c r="D267" s="59">
        <f t="shared" si="4"/>
        <v>12</v>
      </c>
      <c r="E267" s="63"/>
      <c r="F267" s="63"/>
      <c r="G267" s="62">
        <v>11</v>
      </c>
      <c r="H267" s="62">
        <v>12</v>
      </c>
      <c r="I267" s="62">
        <v>12</v>
      </c>
      <c r="J267" s="62">
        <v>23</v>
      </c>
    </row>
    <row r="268" spans="1:10" ht="15.75" x14ac:dyDescent="0.25">
      <c r="A268" s="58" t="s">
        <v>43</v>
      </c>
      <c r="B268" s="59">
        <v>5</v>
      </c>
      <c r="C268" s="59" t="s">
        <v>49</v>
      </c>
      <c r="D268" s="59">
        <f t="shared" si="4"/>
        <v>0</v>
      </c>
      <c r="E268" s="63"/>
      <c r="F268" s="63"/>
      <c r="G268" s="62"/>
      <c r="H268" s="62"/>
      <c r="I268" s="62"/>
      <c r="J268" s="62"/>
    </row>
    <row r="269" spans="1:10" ht="15.75" x14ac:dyDescent="0.25">
      <c r="A269" s="58" t="s">
        <v>43</v>
      </c>
      <c r="B269" s="59">
        <v>5</v>
      </c>
      <c r="C269" s="59" t="s">
        <v>50</v>
      </c>
      <c r="D269" s="59">
        <f t="shared" si="4"/>
        <v>8.5</v>
      </c>
      <c r="E269" s="63"/>
      <c r="F269" s="63"/>
      <c r="G269" s="62">
        <v>9.5</v>
      </c>
      <c r="H269" s="62">
        <v>12.5</v>
      </c>
      <c r="I269" s="62">
        <v>16.5</v>
      </c>
      <c r="J269" s="62">
        <v>22</v>
      </c>
    </row>
    <row r="270" spans="1:10" ht="15.75" x14ac:dyDescent="0.25">
      <c r="A270" s="58" t="s">
        <v>43</v>
      </c>
      <c r="B270" s="59">
        <v>5</v>
      </c>
      <c r="C270" s="59" t="s">
        <v>51</v>
      </c>
      <c r="D270" s="59">
        <f t="shared" si="4"/>
        <v>8.5</v>
      </c>
      <c r="E270" s="63"/>
      <c r="F270" s="63"/>
      <c r="G270" s="62"/>
      <c r="H270" s="62"/>
      <c r="I270" s="62">
        <v>14</v>
      </c>
      <c r="J270" s="62">
        <v>22.5</v>
      </c>
    </row>
    <row r="271" spans="1:10" ht="15.75" x14ac:dyDescent="0.25">
      <c r="A271" s="58" t="s">
        <v>43</v>
      </c>
      <c r="B271" s="59">
        <v>5</v>
      </c>
      <c r="C271" s="59" t="s">
        <v>52</v>
      </c>
      <c r="D271" s="59">
        <f t="shared" si="4"/>
        <v>6</v>
      </c>
      <c r="E271" s="63"/>
      <c r="F271" s="63"/>
      <c r="G271" s="62"/>
      <c r="H271" s="62"/>
      <c r="I271" s="62">
        <v>14</v>
      </c>
      <c r="J271" s="62">
        <v>20</v>
      </c>
    </row>
    <row r="272" spans="1:10" ht="15.75" x14ac:dyDescent="0.25">
      <c r="A272" s="58" t="s">
        <v>43</v>
      </c>
      <c r="B272" s="59">
        <v>5</v>
      </c>
      <c r="C272" s="59" t="s">
        <v>53</v>
      </c>
      <c r="D272" s="59">
        <f t="shared" si="4"/>
        <v>10</v>
      </c>
      <c r="E272" s="63"/>
      <c r="F272" s="63"/>
      <c r="G272" s="62">
        <v>7</v>
      </c>
      <c r="H272" s="62">
        <v>9.5</v>
      </c>
      <c r="I272" s="62">
        <v>15.5</v>
      </c>
      <c r="J272" s="62">
        <v>23</v>
      </c>
    </row>
    <row r="273" spans="1:10" ht="15.75" x14ac:dyDescent="0.25">
      <c r="A273" s="58" t="s">
        <v>43</v>
      </c>
      <c r="B273" s="59">
        <v>5</v>
      </c>
      <c r="C273" s="59" t="s">
        <v>54</v>
      </c>
      <c r="D273" s="59">
        <f t="shared" si="4"/>
        <v>0</v>
      </c>
      <c r="E273" s="63"/>
      <c r="F273" s="63"/>
      <c r="G273" s="62"/>
      <c r="H273" s="62"/>
      <c r="I273" s="62"/>
      <c r="J273" s="62"/>
    </row>
    <row r="274" spans="1:10" ht="15.75" x14ac:dyDescent="0.25">
      <c r="A274" s="58" t="s">
        <v>43</v>
      </c>
      <c r="B274" s="59">
        <v>5</v>
      </c>
      <c r="C274" s="59" t="s">
        <v>55</v>
      </c>
      <c r="D274" s="59">
        <f t="shared" si="4"/>
        <v>0</v>
      </c>
      <c r="E274" s="63"/>
      <c r="F274" s="63"/>
      <c r="G274" s="62"/>
      <c r="H274" s="62"/>
      <c r="I274" s="62"/>
      <c r="J274" s="62"/>
    </row>
    <row r="275" spans="1:10" ht="15.75" x14ac:dyDescent="0.25">
      <c r="A275" s="58" t="s">
        <v>43</v>
      </c>
      <c r="B275" s="59">
        <v>6</v>
      </c>
      <c r="C275" s="59" t="s">
        <v>49</v>
      </c>
      <c r="D275" s="59">
        <f t="shared" si="4"/>
        <v>8</v>
      </c>
      <c r="E275" s="63"/>
      <c r="F275" s="63"/>
      <c r="G275" s="62"/>
      <c r="H275" s="62"/>
      <c r="I275" s="62">
        <v>14</v>
      </c>
      <c r="J275" s="62">
        <v>22</v>
      </c>
    </row>
    <row r="276" spans="1:10" ht="15.75" x14ac:dyDescent="0.25">
      <c r="A276" s="58" t="s">
        <v>43</v>
      </c>
      <c r="B276" s="59">
        <v>6</v>
      </c>
      <c r="C276" s="59" t="s">
        <v>50</v>
      </c>
      <c r="D276" s="59">
        <f t="shared" si="4"/>
        <v>7.5</v>
      </c>
      <c r="E276" s="63"/>
      <c r="F276" s="63"/>
      <c r="G276" s="62">
        <v>9.5</v>
      </c>
      <c r="H276" s="62">
        <v>12.5</v>
      </c>
      <c r="I276" s="62">
        <v>16.5</v>
      </c>
      <c r="J276" s="62">
        <v>21</v>
      </c>
    </row>
    <row r="277" spans="1:10" ht="15.75" x14ac:dyDescent="0.25">
      <c r="A277" s="58" t="s">
        <v>43</v>
      </c>
      <c r="B277" s="59">
        <v>6</v>
      </c>
      <c r="C277" s="59" t="s">
        <v>51</v>
      </c>
      <c r="D277" s="59">
        <f t="shared" si="4"/>
        <v>10</v>
      </c>
      <c r="E277" s="63"/>
      <c r="F277" s="63"/>
      <c r="G277" s="62">
        <v>9</v>
      </c>
      <c r="H277" s="62">
        <v>12</v>
      </c>
      <c r="I277" s="62">
        <v>12</v>
      </c>
      <c r="J277" s="62">
        <v>19</v>
      </c>
    </row>
    <row r="278" spans="1:10" ht="15.75" x14ac:dyDescent="0.25">
      <c r="A278" s="58" t="s">
        <v>43</v>
      </c>
      <c r="B278" s="59">
        <v>6</v>
      </c>
      <c r="C278" s="59" t="s">
        <v>52</v>
      </c>
      <c r="D278" s="59">
        <f t="shared" si="4"/>
        <v>11</v>
      </c>
      <c r="E278" s="63"/>
      <c r="F278" s="63"/>
      <c r="G278" s="62">
        <v>7</v>
      </c>
      <c r="H278" s="62">
        <v>9.5</v>
      </c>
      <c r="I278" s="62">
        <v>14</v>
      </c>
      <c r="J278" s="62">
        <v>22.5</v>
      </c>
    </row>
    <row r="279" spans="1:10" ht="15.75" x14ac:dyDescent="0.25">
      <c r="A279" s="58" t="s">
        <v>43</v>
      </c>
      <c r="B279" s="59">
        <v>6</v>
      </c>
      <c r="C279" s="59" t="s">
        <v>53</v>
      </c>
      <c r="D279" s="59">
        <f t="shared" si="4"/>
        <v>0</v>
      </c>
      <c r="E279" s="63"/>
      <c r="F279" s="63"/>
      <c r="G279" s="62"/>
      <c r="H279" s="62"/>
      <c r="I279" s="62"/>
      <c r="J279" s="62"/>
    </row>
    <row r="280" spans="1:10" ht="15.75" x14ac:dyDescent="0.25">
      <c r="A280" s="58" t="s">
        <v>43</v>
      </c>
      <c r="B280" s="59">
        <v>6</v>
      </c>
      <c r="C280" s="59" t="s">
        <v>54</v>
      </c>
      <c r="D280" s="59">
        <f t="shared" si="4"/>
        <v>0</v>
      </c>
      <c r="E280" s="63"/>
      <c r="F280" s="63"/>
      <c r="G280" s="62"/>
      <c r="H280" s="62"/>
      <c r="I280" s="62"/>
      <c r="J280" s="62"/>
    </row>
    <row r="281" spans="1:10" ht="15.75" x14ac:dyDescent="0.25">
      <c r="A281" s="58" t="s">
        <v>43</v>
      </c>
      <c r="B281" s="59">
        <v>6</v>
      </c>
      <c r="C281" s="59" t="s">
        <v>55</v>
      </c>
      <c r="D281" s="59">
        <f t="shared" si="4"/>
        <v>0</v>
      </c>
      <c r="E281" s="63"/>
      <c r="F281" s="63"/>
      <c r="G281" s="62"/>
      <c r="H281" s="62"/>
      <c r="I281" s="62"/>
      <c r="J281" s="62"/>
    </row>
    <row r="282" spans="1:10" ht="15.75" x14ac:dyDescent="0.25">
      <c r="A282" s="58" t="s">
        <v>74</v>
      </c>
      <c r="B282" s="59">
        <v>1</v>
      </c>
      <c r="C282" s="59" t="s">
        <v>49</v>
      </c>
      <c r="D282" s="59">
        <f t="shared" si="4"/>
        <v>8.5</v>
      </c>
      <c r="E282" s="63"/>
      <c r="F282" s="63"/>
      <c r="G282" s="62"/>
      <c r="H282" s="62"/>
      <c r="I282" s="62">
        <v>14</v>
      </c>
      <c r="J282" s="62">
        <v>22.5</v>
      </c>
    </row>
    <row r="283" spans="1:10" ht="15.75" x14ac:dyDescent="0.25">
      <c r="A283" s="58" t="s">
        <v>74</v>
      </c>
      <c r="B283" s="59">
        <v>1</v>
      </c>
      <c r="C283" s="59" t="s">
        <v>50</v>
      </c>
      <c r="D283" s="59">
        <f t="shared" si="4"/>
        <v>9</v>
      </c>
      <c r="E283" s="63"/>
      <c r="F283" s="63"/>
      <c r="G283" s="62">
        <v>9.5</v>
      </c>
      <c r="H283" s="62">
        <v>12.5</v>
      </c>
      <c r="I283" s="62">
        <v>16.5</v>
      </c>
      <c r="J283" s="62">
        <v>22.5</v>
      </c>
    </row>
    <row r="284" spans="1:10" ht="15.75" x14ac:dyDescent="0.25">
      <c r="A284" s="58" t="s">
        <v>74</v>
      </c>
      <c r="B284" s="59">
        <v>1</v>
      </c>
      <c r="C284" s="59" t="s">
        <v>51</v>
      </c>
      <c r="D284" s="59">
        <f t="shared" si="4"/>
        <v>0</v>
      </c>
      <c r="E284" s="63"/>
      <c r="F284" s="63"/>
      <c r="G284" s="62"/>
      <c r="H284" s="62"/>
      <c r="I284" s="62"/>
      <c r="J284" s="62"/>
    </row>
    <row r="285" spans="1:10" ht="15.75" x14ac:dyDescent="0.25">
      <c r="A285" s="58" t="s">
        <v>74</v>
      </c>
      <c r="B285" s="59">
        <v>1</v>
      </c>
      <c r="C285" s="59" t="s">
        <v>52</v>
      </c>
      <c r="D285" s="59">
        <f t="shared" si="4"/>
        <v>0</v>
      </c>
      <c r="E285" s="63"/>
      <c r="F285" s="63"/>
      <c r="G285" s="62"/>
      <c r="H285" s="62"/>
      <c r="I285" s="62"/>
      <c r="J285" s="62"/>
    </row>
    <row r="286" spans="1:10" ht="15.75" x14ac:dyDescent="0.25">
      <c r="A286" s="58" t="s">
        <v>74</v>
      </c>
      <c r="B286" s="59">
        <v>1</v>
      </c>
      <c r="C286" s="59" t="s">
        <v>53</v>
      </c>
      <c r="D286" s="59">
        <f t="shared" si="4"/>
        <v>0</v>
      </c>
      <c r="E286" s="63"/>
      <c r="F286" s="63"/>
      <c r="G286" s="62"/>
      <c r="H286" s="62"/>
      <c r="I286" s="62"/>
      <c r="J286" s="62"/>
    </row>
    <row r="287" spans="1:10" ht="15.75" x14ac:dyDescent="0.25">
      <c r="A287" s="58" t="s">
        <v>74</v>
      </c>
      <c r="B287" s="59">
        <v>1</v>
      </c>
      <c r="C287" s="59" t="s">
        <v>54</v>
      </c>
      <c r="D287" s="59">
        <f t="shared" si="4"/>
        <v>12</v>
      </c>
      <c r="E287" s="63"/>
      <c r="F287" s="63"/>
      <c r="G287" s="62">
        <v>9</v>
      </c>
      <c r="H287" s="62">
        <v>12</v>
      </c>
      <c r="I287" s="62">
        <v>12</v>
      </c>
      <c r="J287" s="62">
        <v>21</v>
      </c>
    </row>
    <row r="288" spans="1:10" ht="15.75" x14ac:dyDescent="0.25">
      <c r="A288" s="58" t="s">
        <v>74</v>
      </c>
      <c r="B288" s="59">
        <v>1</v>
      </c>
      <c r="C288" s="59" t="s">
        <v>55</v>
      </c>
      <c r="D288" s="59">
        <f t="shared" si="4"/>
        <v>12</v>
      </c>
      <c r="E288" s="63"/>
      <c r="F288" s="63"/>
      <c r="G288" s="62">
        <v>9</v>
      </c>
      <c r="H288" s="62">
        <v>12</v>
      </c>
      <c r="I288" s="62">
        <v>12</v>
      </c>
      <c r="J288" s="62">
        <v>21</v>
      </c>
    </row>
    <row r="289" spans="1:10" ht="15.75" x14ac:dyDescent="0.25">
      <c r="A289" s="58" t="s">
        <v>74</v>
      </c>
      <c r="B289" s="59">
        <v>2</v>
      </c>
      <c r="C289" s="59" t="s">
        <v>49</v>
      </c>
      <c r="D289" s="59">
        <f t="shared" si="4"/>
        <v>0</v>
      </c>
      <c r="E289" s="63"/>
      <c r="F289" s="63"/>
      <c r="G289" s="62"/>
      <c r="H289" s="62"/>
      <c r="I289" s="62"/>
      <c r="J289" s="62"/>
    </row>
    <row r="290" spans="1:10" ht="15.75" x14ac:dyDescent="0.25">
      <c r="A290" s="58" t="s">
        <v>74</v>
      </c>
      <c r="B290" s="59">
        <v>2</v>
      </c>
      <c r="C290" s="59" t="s">
        <v>50</v>
      </c>
      <c r="D290" s="59">
        <f t="shared" si="4"/>
        <v>11.5</v>
      </c>
      <c r="E290" s="63"/>
      <c r="F290" s="63">
        <v>6</v>
      </c>
      <c r="G290" s="62">
        <v>7</v>
      </c>
      <c r="H290" s="62">
        <v>12.5</v>
      </c>
      <c r="I290" s="62">
        <v>16.5</v>
      </c>
      <c r="J290" s="62">
        <v>22.5</v>
      </c>
    </row>
    <row r="291" spans="1:10" ht="15.75" x14ac:dyDescent="0.25">
      <c r="A291" s="58" t="s">
        <v>74</v>
      </c>
      <c r="B291" s="59">
        <v>2</v>
      </c>
      <c r="C291" s="59" t="s">
        <v>51</v>
      </c>
      <c r="D291" s="59">
        <f t="shared" si="4"/>
        <v>5.5</v>
      </c>
      <c r="E291" s="63"/>
      <c r="F291" s="63"/>
      <c r="G291" s="62"/>
      <c r="H291" s="62"/>
      <c r="I291" s="62">
        <v>16.5</v>
      </c>
      <c r="J291" s="62">
        <v>22</v>
      </c>
    </row>
    <row r="292" spans="1:10" ht="15.75" x14ac:dyDescent="0.25">
      <c r="A292" s="58" t="s">
        <v>74</v>
      </c>
      <c r="B292" s="59">
        <v>2</v>
      </c>
      <c r="C292" s="59" t="s">
        <v>52</v>
      </c>
      <c r="D292" s="59">
        <f t="shared" si="4"/>
        <v>10</v>
      </c>
      <c r="E292" s="63"/>
      <c r="F292" s="63"/>
      <c r="G292" s="62">
        <v>9</v>
      </c>
      <c r="H292" s="62">
        <v>12</v>
      </c>
      <c r="I292" s="62">
        <v>12</v>
      </c>
      <c r="J292" s="62">
        <v>19</v>
      </c>
    </row>
    <row r="293" spans="1:10" ht="15.75" x14ac:dyDescent="0.25">
      <c r="A293" s="58" t="s">
        <v>74</v>
      </c>
      <c r="B293" s="59">
        <v>2</v>
      </c>
      <c r="C293" s="59" t="s">
        <v>53</v>
      </c>
      <c r="D293" s="59">
        <f t="shared" si="4"/>
        <v>10</v>
      </c>
      <c r="E293" s="63"/>
      <c r="F293" s="63"/>
      <c r="G293" s="62">
        <v>7</v>
      </c>
      <c r="H293" s="62">
        <v>9.5</v>
      </c>
      <c r="I293" s="62">
        <v>15.5</v>
      </c>
      <c r="J293" s="62">
        <v>23</v>
      </c>
    </row>
    <row r="294" spans="1:10" ht="15.75" x14ac:dyDescent="0.25">
      <c r="A294" s="58" t="s">
        <v>74</v>
      </c>
      <c r="B294" s="59">
        <v>2</v>
      </c>
      <c r="C294" s="59" t="s">
        <v>54</v>
      </c>
      <c r="D294" s="59">
        <f t="shared" si="4"/>
        <v>0</v>
      </c>
      <c r="E294" s="63"/>
      <c r="F294" s="63"/>
      <c r="G294" s="62"/>
      <c r="H294" s="62"/>
      <c r="I294" s="62"/>
      <c r="J294" s="62"/>
    </row>
    <row r="295" spans="1:10" ht="15.75" x14ac:dyDescent="0.25">
      <c r="A295" s="58" t="s">
        <v>74</v>
      </c>
      <c r="B295" s="59">
        <v>2</v>
      </c>
      <c r="C295" s="59" t="s">
        <v>55</v>
      </c>
      <c r="D295" s="59">
        <f t="shared" si="4"/>
        <v>0</v>
      </c>
      <c r="E295" s="63"/>
      <c r="F295" s="63"/>
      <c r="G295" s="62"/>
      <c r="H295" s="62"/>
      <c r="I295" s="62"/>
      <c r="J295" s="62"/>
    </row>
    <row r="296" spans="1:10" ht="15.75" x14ac:dyDescent="0.25">
      <c r="A296" s="58" t="s">
        <v>74</v>
      </c>
      <c r="B296" s="59">
        <v>3</v>
      </c>
      <c r="C296" s="59" t="s">
        <v>49</v>
      </c>
      <c r="D296" s="59">
        <f t="shared" si="4"/>
        <v>9.5</v>
      </c>
      <c r="E296" s="63"/>
      <c r="F296" s="63"/>
      <c r="G296" s="62">
        <v>7</v>
      </c>
      <c r="H296" s="62">
        <v>9.5</v>
      </c>
      <c r="I296" s="62">
        <v>14</v>
      </c>
      <c r="J296" s="62">
        <v>21</v>
      </c>
    </row>
    <row r="297" spans="1:10" ht="15.75" x14ac:dyDescent="0.25">
      <c r="A297" s="58" t="s">
        <v>74</v>
      </c>
      <c r="B297" s="59">
        <v>3</v>
      </c>
      <c r="C297" s="59" t="s">
        <v>50</v>
      </c>
      <c r="D297" s="59">
        <f t="shared" si="4"/>
        <v>6</v>
      </c>
      <c r="E297" s="63"/>
      <c r="F297" s="63"/>
      <c r="G297" s="62">
        <v>9.5</v>
      </c>
      <c r="H297" s="62">
        <v>12.5</v>
      </c>
      <c r="I297" s="62">
        <v>16.5</v>
      </c>
      <c r="J297" s="62">
        <v>19.5</v>
      </c>
    </row>
    <row r="298" spans="1:10" ht="15.75" x14ac:dyDescent="0.25">
      <c r="A298" s="58" t="s">
        <v>74</v>
      </c>
      <c r="B298" s="59">
        <v>3</v>
      </c>
      <c r="C298" s="59" t="s">
        <v>51</v>
      </c>
      <c r="D298" s="59">
        <f t="shared" si="4"/>
        <v>8.5</v>
      </c>
      <c r="E298" s="63"/>
      <c r="F298" s="63"/>
      <c r="G298" s="62">
        <v>7</v>
      </c>
      <c r="H298" s="62">
        <v>9.5</v>
      </c>
      <c r="I298" s="62">
        <v>16.5</v>
      </c>
      <c r="J298" s="62">
        <v>22.5</v>
      </c>
    </row>
    <row r="299" spans="1:10" ht="15.75" x14ac:dyDescent="0.25">
      <c r="A299" s="58" t="s">
        <v>74</v>
      </c>
      <c r="B299" s="59">
        <v>3</v>
      </c>
      <c r="C299" s="59" t="s">
        <v>52</v>
      </c>
      <c r="D299" s="59">
        <f t="shared" si="4"/>
        <v>8.5</v>
      </c>
      <c r="E299" s="63"/>
      <c r="F299" s="63"/>
      <c r="G299" s="62"/>
      <c r="H299" s="62"/>
      <c r="I299" s="62">
        <v>14</v>
      </c>
      <c r="J299" s="62">
        <v>22.5</v>
      </c>
    </row>
    <row r="300" spans="1:10" ht="15.75" x14ac:dyDescent="0.25">
      <c r="A300" s="58" t="s">
        <v>74</v>
      </c>
      <c r="B300" s="59">
        <v>3</v>
      </c>
      <c r="C300" s="59" t="s">
        <v>53</v>
      </c>
      <c r="D300" s="59">
        <f t="shared" si="4"/>
        <v>0</v>
      </c>
      <c r="E300" s="63"/>
      <c r="F300" s="63"/>
      <c r="G300" s="62"/>
      <c r="H300" s="62"/>
      <c r="I300" s="62"/>
      <c r="J300" s="62"/>
    </row>
    <row r="301" spans="1:10" ht="15.75" x14ac:dyDescent="0.25">
      <c r="A301" s="58" t="s">
        <v>74</v>
      </c>
      <c r="B301" s="59">
        <v>3</v>
      </c>
      <c r="C301" s="59" t="s">
        <v>54</v>
      </c>
      <c r="D301" s="59">
        <f t="shared" si="4"/>
        <v>0</v>
      </c>
      <c r="E301" s="63"/>
      <c r="F301" s="63"/>
      <c r="G301" s="62"/>
      <c r="H301" s="62"/>
      <c r="I301" s="62"/>
      <c r="J301" s="62"/>
    </row>
    <row r="302" spans="1:10" ht="15.75" x14ac:dyDescent="0.25">
      <c r="A302" s="58" t="s">
        <v>74</v>
      </c>
      <c r="B302" s="59">
        <v>3</v>
      </c>
      <c r="C302" s="59" t="s">
        <v>55</v>
      </c>
      <c r="D302" s="59">
        <f t="shared" si="4"/>
        <v>0</v>
      </c>
      <c r="E302" s="63"/>
      <c r="F302" s="63"/>
      <c r="G302" s="62"/>
      <c r="H302" s="62"/>
      <c r="I302" s="62"/>
      <c r="J302" s="62"/>
    </row>
    <row r="303" spans="1:10" ht="15.75" x14ac:dyDescent="0.25">
      <c r="A303" s="58" t="s">
        <v>74</v>
      </c>
      <c r="B303" s="59">
        <v>4</v>
      </c>
      <c r="C303" s="59" t="s">
        <v>49</v>
      </c>
      <c r="D303" s="59">
        <f t="shared" si="4"/>
        <v>8.5</v>
      </c>
      <c r="E303" s="63"/>
      <c r="F303" s="63"/>
      <c r="G303" s="62"/>
      <c r="H303" s="62"/>
      <c r="I303" s="62">
        <v>14</v>
      </c>
      <c r="J303" s="62">
        <v>22.5</v>
      </c>
    </row>
    <row r="304" spans="1:10" ht="15.75" x14ac:dyDescent="0.25">
      <c r="A304" s="58" t="s">
        <v>74</v>
      </c>
      <c r="B304" s="59">
        <v>4</v>
      </c>
      <c r="C304" s="59" t="s">
        <v>50</v>
      </c>
      <c r="D304" s="59">
        <f t="shared" si="4"/>
        <v>9</v>
      </c>
      <c r="E304" s="63"/>
      <c r="F304" s="63"/>
      <c r="G304" s="62">
        <v>9.5</v>
      </c>
      <c r="H304" s="62">
        <v>12.5</v>
      </c>
      <c r="I304" s="62">
        <v>16.5</v>
      </c>
      <c r="J304" s="62">
        <v>22.5</v>
      </c>
    </row>
    <row r="305" spans="1:10" ht="15.75" x14ac:dyDescent="0.25">
      <c r="A305" s="58" t="s">
        <v>74</v>
      </c>
      <c r="B305" s="59">
        <v>4</v>
      </c>
      <c r="C305" s="59" t="s">
        <v>51</v>
      </c>
      <c r="D305" s="59">
        <f t="shared" si="4"/>
        <v>0</v>
      </c>
      <c r="E305" s="63"/>
      <c r="F305" s="63"/>
      <c r="G305" s="62"/>
      <c r="H305" s="62"/>
      <c r="I305" s="62"/>
      <c r="J305" s="62"/>
    </row>
    <row r="306" spans="1:10" ht="15.75" x14ac:dyDescent="0.25">
      <c r="A306" s="58" t="s">
        <v>74</v>
      </c>
      <c r="B306" s="59">
        <v>4</v>
      </c>
      <c r="C306" s="59" t="s">
        <v>52</v>
      </c>
      <c r="D306" s="59">
        <f t="shared" si="4"/>
        <v>0</v>
      </c>
      <c r="E306" s="63"/>
      <c r="F306" s="63"/>
      <c r="G306" s="62"/>
      <c r="H306" s="62"/>
      <c r="I306" s="62"/>
      <c r="J306" s="62"/>
    </row>
    <row r="307" spans="1:10" ht="15.75" x14ac:dyDescent="0.25">
      <c r="A307" s="58" t="s">
        <v>74</v>
      </c>
      <c r="B307" s="59">
        <v>4</v>
      </c>
      <c r="C307" s="59" t="s">
        <v>53</v>
      </c>
      <c r="D307" s="59">
        <f t="shared" si="4"/>
        <v>0</v>
      </c>
      <c r="E307" s="63"/>
      <c r="F307" s="63"/>
      <c r="G307" s="62"/>
      <c r="H307" s="62"/>
      <c r="I307" s="62"/>
      <c r="J307" s="62"/>
    </row>
    <row r="308" spans="1:10" ht="15.75" x14ac:dyDescent="0.25">
      <c r="A308" s="58" t="s">
        <v>74</v>
      </c>
      <c r="B308" s="59">
        <v>4</v>
      </c>
      <c r="C308" s="59" t="s">
        <v>54</v>
      </c>
      <c r="D308" s="59">
        <f t="shared" si="4"/>
        <v>12</v>
      </c>
      <c r="E308" s="63"/>
      <c r="F308" s="63"/>
      <c r="G308" s="62">
        <v>9</v>
      </c>
      <c r="H308" s="62">
        <v>12</v>
      </c>
      <c r="I308" s="62">
        <v>12</v>
      </c>
      <c r="J308" s="62">
        <v>21</v>
      </c>
    </row>
    <row r="309" spans="1:10" ht="15.75" x14ac:dyDescent="0.25">
      <c r="A309" s="58" t="s">
        <v>74</v>
      </c>
      <c r="B309" s="59">
        <v>4</v>
      </c>
      <c r="C309" s="59" t="s">
        <v>55</v>
      </c>
      <c r="D309" s="59">
        <f t="shared" si="4"/>
        <v>12</v>
      </c>
      <c r="E309" s="63"/>
      <c r="F309" s="63"/>
      <c r="G309" s="62">
        <v>9</v>
      </c>
      <c r="H309" s="62">
        <v>12</v>
      </c>
      <c r="I309" s="62">
        <v>12</v>
      </c>
      <c r="J309" s="62">
        <v>21</v>
      </c>
    </row>
    <row r="310" spans="1:10" ht="15.75" x14ac:dyDescent="0.25">
      <c r="A310" s="58" t="s">
        <v>74</v>
      </c>
      <c r="B310" s="59">
        <v>5</v>
      </c>
      <c r="C310" s="59" t="s">
        <v>49</v>
      </c>
      <c r="D310" s="59">
        <f t="shared" si="4"/>
        <v>0</v>
      </c>
      <c r="E310" s="63"/>
      <c r="F310" s="63"/>
      <c r="G310" s="62"/>
      <c r="H310" s="62"/>
      <c r="I310" s="62"/>
      <c r="J310" s="62"/>
    </row>
    <row r="311" spans="1:10" ht="15.75" x14ac:dyDescent="0.25">
      <c r="A311" s="58" t="s">
        <v>74</v>
      </c>
      <c r="B311" s="59">
        <v>5</v>
      </c>
      <c r="C311" s="59" t="s">
        <v>50</v>
      </c>
      <c r="D311" s="59">
        <f t="shared" si="4"/>
        <v>11</v>
      </c>
      <c r="E311" s="63"/>
      <c r="F311" s="63"/>
      <c r="G311" s="62">
        <v>7</v>
      </c>
      <c r="H311" s="62">
        <v>12.5</v>
      </c>
      <c r="I311" s="62">
        <v>16.5</v>
      </c>
      <c r="J311" s="62">
        <v>22</v>
      </c>
    </row>
    <row r="312" spans="1:10" ht="15.75" x14ac:dyDescent="0.25">
      <c r="A312" s="58" t="s">
        <v>74</v>
      </c>
      <c r="B312" s="59">
        <v>5</v>
      </c>
      <c r="C312" s="59" t="s">
        <v>51</v>
      </c>
      <c r="D312" s="59">
        <f t="shared" si="4"/>
        <v>5.5</v>
      </c>
      <c r="E312" s="63"/>
      <c r="F312" s="63"/>
      <c r="G312" s="62"/>
      <c r="H312" s="62"/>
      <c r="I312" s="62">
        <v>16.5</v>
      </c>
      <c r="J312" s="62">
        <v>22</v>
      </c>
    </row>
    <row r="313" spans="1:10" ht="15.75" x14ac:dyDescent="0.25">
      <c r="A313" s="58" t="s">
        <v>74</v>
      </c>
      <c r="B313" s="59">
        <v>5</v>
      </c>
      <c r="C313" s="59" t="s">
        <v>52</v>
      </c>
      <c r="D313" s="59">
        <f t="shared" si="4"/>
        <v>10</v>
      </c>
      <c r="E313" s="63"/>
      <c r="F313" s="63"/>
      <c r="G313" s="62">
        <v>9</v>
      </c>
      <c r="H313" s="62">
        <v>12</v>
      </c>
      <c r="I313" s="62">
        <v>12</v>
      </c>
      <c r="J313" s="62">
        <v>19</v>
      </c>
    </row>
    <row r="314" spans="1:10" ht="15.75" x14ac:dyDescent="0.25">
      <c r="A314" s="58" t="s">
        <v>74</v>
      </c>
      <c r="B314" s="59">
        <v>5</v>
      </c>
      <c r="C314" s="59" t="s">
        <v>53</v>
      </c>
      <c r="D314" s="59">
        <f t="shared" si="4"/>
        <v>10</v>
      </c>
      <c r="E314" s="63"/>
      <c r="F314" s="63"/>
      <c r="G314" s="62">
        <v>7</v>
      </c>
      <c r="H314" s="62">
        <v>9.5</v>
      </c>
      <c r="I314" s="62">
        <v>15.5</v>
      </c>
      <c r="J314" s="62">
        <v>23</v>
      </c>
    </row>
    <row r="315" spans="1:10" ht="15.75" x14ac:dyDescent="0.25">
      <c r="A315" s="58" t="s">
        <v>74</v>
      </c>
      <c r="B315" s="59">
        <v>5</v>
      </c>
      <c r="C315" s="59" t="s">
        <v>54</v>
      </c>
      <c r="D315" s="59">
        <f t="shared" si="4"/>
        <v>0</v>
      </c>
      <c r="E315" s="63"/>
      <c r="F315" s="63"/>
      <c r="G315" s="62"/>
      <c r="H315" s="62"/>
      <c r="I315" s="62"/>
      <c r="J315" s="62"/>
    </row>
    <row r="316" spans="1:10" ht="15.75" x14ac:dyDescent="0.25">
      <c r="A316" s="58" t="s">
        <v>74</v>
      </c>
      <c r="B316" s="59">
        <v>5</v>
      </c>
      <c r="C316" s="59" t="s">
        <v>55</v>
      </c>
      <c r="D316" s="59">
        <f t="shared" si="4"/>
        <v>0</v>
      </c>
      <c r="E316" s="63"/>
      <c r="F316" s="63"/>
      <c r="G316" s="62"/>
      <c r="H316" s="62"/>
      <c r="I316" s="62"/>
      <c r="J316" s="62"/>
    </row>
    <row r="317" spans="1:10" ht="15.75" x14ac:dyDescent="0.25">
      <c r="A317" s="58" t="s">
        <v>74</v>
      </c>
      <c r="B317" s="59">
        <v>6</v>
      </c>
      <c r="C317" s="59" t="s">
        <v>49</v>
      </c>
      <c r="D317" s="59">
        <f t="shared" si="4"/>
        <v>9.5</v>
      </c>
      <c r="E317" s="63"/>
      <c r="F317" s="63"/>
      <c r="G317" s="62">
        <v>7</v>
      </c>
      <c r="H317" s="62">
        <v>9.5</v>
      </c>
      <c r="I317" s="62">
        <v>14</v>
      </c>
      <c r="J317" s="62">
        <v>21</v>
      </c>
    </row>
    <row r="318" spans="1:10" ht="15.75" x14ac:dyDescent="0.25">
      <c r="A318" s="58" t="s">
        <v>74</v>
      </c>
      <c r="B318" s="59">
        <v>6</v>
      </c>
      <c r="C318" s="59" t="s">
        <v>50</v>
      </c>
      <c r="D318" s="59">
        <f t="shared" si="4"/>
        <v>6.5</v>
      </c>
      <c r="E318" s="63"/>
      <c r="F318" s="63"/>
      <c r="G318" s="62">
        <v>9.5</v>
      </c>
      <c r="H318" s="62">
        <v>12.5</v>
      </c>
      <c r="I318" s="62">
        <v>16.5</v>
      </c>
      <c r="J318" s="62">
        <v>20</v>
      </c>
    </row>
    <row r="319" spans="1:10" ht="15.75" x14ac:dyDescent="0.25">
      <c r="A319" s="58" t="s">
        <v>74</v>
      </c>
      <c r="B319" s="59">
        <v>6</v>
      </c>
      <c r="C319" s="59" t="s">
        <v>51</v>
      </c>
      <c r="D319" s="59">
        <f t="shared" si="4"/>
        <v>8.5</v>
      </c>
      <c r="E319" s="63"/>
      <c r="F319" s="63"/>
      <c r="G319" s="62">
        <v>7</v>
      </c>
      <c r="H319" s="62">
        <v>9.5</v>
      </c>
      <c r="I319" s="62">
        <v>16.5</v>
      </c>
      <c r="J319" s="62">
        <v>22.5</v>
      </c>
    </row>
    <row r="320" spans="1:10" ht="15.75" x14ac:dyDescent="0.25">
      <c r="A320" s="58" t="s">
        <v>74</v>
      </c>
      <c r="B320" s="59">
        <v>6</v>
      </c>
      <c r="C320" s="59" t="s">
        <v>52</v>
      </c>
      <c r="D320" s="59">
        <f t="shared" si="4"/>
        <v>8.5</v>
      </c>
      <c r="E320" s="63"/>
      <c r="F320" s="63"/>
      <c r="G320" s="62"/>
      <c r="H320" s="62"/>
      <c r="I320" s="62">
        <v>14</v>
      </c>
      <c r="J320" s="62">
        <v>22.5</v>
      </c>
    </row>
    <row r="321" spans="1:10" ht="15.75" x14ac:dyDescent="0.25">
      <c r="A321" s="58" t="s">
        <v>74</v>
      </c>
      <c r="B321" s="59">
        <v>6</v>
      </c>
      <c r="C321" s="59" t="s">
        <v>53</v>
      </c>
      <c r="D321" s="59">
        <f t="shared" si="4"/>
        <v>0</v>
      </c>
      <c r="E321" s="63"/>
      <c r="F321" s="63"/>
      <c r="G321" s="62"/>
      <c r="H321" s="62"/>
      <c r="I321" s="62"/>
      <c r="J321" s="62"/>
    </row>
    <row r="322" spans="1:10" ht="15.75" x14ac:dyDescent="0.25">
      <c r="A322" s="58" t="s">
        <v>74</v>
      </c>
      <c r="B322" s="59">
        <v>6</v>
      </c>
      <c r="C322" s="59" t="s">
        <v>54</v>
      </c>
      <c r="D322" s="59">
        <f t="shared" si="4"/>
        <v>0</v>
      </c>
      <c r="E322" s="63"/>
      <c r="F322" s="63"/>
      <c r="G322" s="62"/>
      <c r="H322" s="62"/>
      <c r="I322" s="62"/>
      <c r="J322" s="62"/>
    </row>
    <row r="323" spans="1:10" ht="15.75" x14ac:dyDescent="0.25">
      <c r="A323" s="58" t="s">
        <v>74</v>
      </c>
      <c r="B323" s="59">
        <v>6</v>
      </c>
      <c r="C323" s="59" t="s">
        <v>55</v>
      </c>
      <c r="D323" s="59">
        <f t="shared" si="4"/>
        <v>0</v>
      </c>
      <c r="E323" s="63"/>
      <c r="F323" s="63"/>
      <c r="G323" s="62"/>
      <c r="H323" s="62"/>
      <c r="I323" s="62"/>
      <c r="J323" s="62"/>
    </row>
    <row r="324" spans="1:10" ht="15.75" x14ac:dyDescent="0.25">
      <c r="A324" s="58" t="s">
        <v>118</v>
      </c>
      <c r="B324" s="59">
        <v>1</v>
      </c>
      <c r="C324" s="59" t="s">
        <v>49</v>
      </c>
      <c r="D324" s="59">
        <f t="shared" si="4"/>
        <v>0</v>
      </c>
      <c r="E324" s="63"/>
      <c r="F324" s="63"/>
      <c r="G324" s="62"/>
      <c r="H324" s="62"/>
      <c r="I324" s="62"/>
      <c r="J324" s="62"/>
    </row>
    <row r="325" spans="1:10" ht="15.75" x14ac:dyDescent="0.25">
      <c r="A325" s="58" t="s">
        <v>118</v>
      </c>
      <c r="B325" s="59">
        <v>1</v>
      </c>
      <c r="C325" s="59" t="s">
        <v>50</v>
      </c>
      <c r="D325" s="59">
        <f t="shared" si="4"/>
        <v>3</v>
      </c>
      <c r="E325" s="63"/>
      <c r="F325" s="63"/>
      <c r="G325" s="62">
        <v>9.5</v>
      </c>
      <c r="H325" s="62">
        <v>12.5</v>
      </c>
      <c r="I325" s="62"/>
      <c r="J325" s="62"/>
    </row>
    <row r="326" spans="1:10" ht="15.75" x14ac:dyDescent="0.25">
      <c r="A326" s="58" t="s">
        <v>118</v>
      </c>
      <c r="B326" s="59">
        <v>1</v>
      </c>
      <c r="C326" s="59" t="s">
        <v>51</v>
      </c>
      <c r="D326" s="59">
        <f t="shared" si="4"/>
        <v>0</v>
      </c>
      <c r="E326" s="63"/>
      <c r="F326" s="63"/>
      <c r="G326" s="62"/>
      <c r="H326" s="62"/>
      <c r="I326" s="62"/>
      <c r="J326" s="62"/>
    </row>
    <row r="327" spans="1:10" ht="15.75" x14ac:dyDescent="0.25">
      <c r="A327" s="58" t="s">
        <v>118</v>
      </c>
      <c r="B327" s="59">
        <v>1</v>
      </c>
      <c r="C327" s="59" t="s">
        <v>52</v>
      </c>
      <c r="D327" s="59">
        <f t="shared" si="4"/>
        <v>2.5</v>
      </c>
      <c r="E327" s="63"/>
      <c r="F327" s="63"/>
      <c r="G327" s="62">
        <v>7</v>
      </c>
      <c r="H327" s="62">
        <v>9.5</v>
      </c>
      <c r="I327" s="62"/>
      <c r="J327" s="62"/>
    </row>
    <row r="328" spans="1:10" ht="15.75" x14ac:dyDescent="0.25">
      <c r="A328" s="58" t="s">
        <v>118</v>
      </c>
      <c r="B328" s="59">
        <v>1</v>
      </c>
      <c r="C328" s="59" t="s">
        <v>53</v>
      </c>
      <c r="D328" s="59">
        <f t="shared" si="4"/>
        <v>0</v>
      </c>
      <c r="E328" s="63"/>
      <c r="F328" s="63"/>
      <c r="G328" s="62"/>
      <c r="H328" s="62"/>
      <c r="I328" s="62"/>
      <c r="J328" s="62"/>
    </row>
    <row r="329" spans="1:10" ht="15.75" x14ac:dyDescent="0.25">
      <c r="A329" s="58" t="s">
        <v>118</v>
      </c>
      <c r="B329" s="59">
        <v>1</v>
      </c>
      <c r="C329" s="59" t="s">
        <v>54</v>
      </c>
      <c r="D329" s="59">
        <f t="shared" si="4"/>
        <v>8</v>
      </c>
      <c r="E329" s="63"/>
      <c r="F329" s="63"/>
      <c r="G329" s="62">
        <v>11</v>
      </c>
      <c r="H329" s="62">
        <v>12</v>
      </c>
      <c r="I329" s="62">
        <v>12</v>
      </c>
      <c r="J329" s="62">
        <v>19</v>
      </c>
    </row>
    <row r="330" spans="1:10" ht="15.75" x14ac:dyDescent="0.25">
      <c r="A330" s="58" t="s">
        <v>118</v>
      </c>
      <c r="B330" s="59">
        <v>1</v>
      </c>
      <c r="C330" s="59" t="s">
        <v>55</v>
      </c>
      <c r="D330" s="59">
        <f t="shared" si="4"/>
        <v>8</v>
      </c>
      <c r="E330" s="63"/>
      <c r="F330" s="63"/>
      <c r="G330" s="62">
        <v>11</v>
      </c>
      <c r="H330" s="62">
        <v>12</v>
      </c>
      <c r="I330" s="62">
        <v>12</v>
      </c>
      <c r="J330" s="62">
        <v>19</v>
      </c>
    </row>
    <row r="331" spans="1:10" ht="15.75" x14ac:dyDescent="0.25">
      <c r="A331" s="58" t="s">
        <v>118</v>
      </c>
      <c r="B331" s="59">
        <v>2</v>
      </c>
      <c r="C331" s="59" t="s">
        <v>49</v>
      </c>
      <c r="D331" s="59">
        <f t="shared" si="4"/>
        <v>7</v>
      </c>
      <c r="E331" s="63"/>
      <c r="F331" s="63"/>
      <c r="G331" s="62"/>
      <c r="H331" s="62"/>
      <c r="I331" s="62">
        <v>14</v>
      </c>
      <c r="J331" s="62">
        <v>21</v>
      </c>
    </row>
    <row r="332" spans="1:10" ht="15.75" x14ac:dyDescent="0.25">
      <c r="A332" s="58" t="s">
        <v>118</v>
      </c>
      <c r="B332" s="59">
        <v>2</v>
      </c>
      <c r="C332" s="59" t="s">
        <v>50</v>
      </c>
      <c r="D332" s="59">
        <f t="shared" si="4"/>
        <v>4.5</v>
      </c>
      <c r="E332" s="63"/>
      <c r="F332" s="63"/>
      <c r="G332" s="62"/>
      <c r="H332" s="62"/>
      <c r="I332" s="62">
        <v>16.5</v>
      </c>
      <c r="J332" s="62">
        <v>21</v>
      </c>
    </row>
    <row r="333" spans="1:10" ht="15.75" x14ac:dyDescent="0.25">
      <c r="A333" s="58" t="s">
        <v>118</v>
      </c>
      <c r="B333" s="59">
        <v>2</v>
      </c>
      <c r="C333" s="59" t="s">
        <v>51</v>
      </c>
      <c r="D333" s="59">
        <f t="shared" si="4"/>
        <v>0</v>
      </c>
      <c r="E333" s="63"/>
      <c r="F333" s="63"/>
      <c r="G333" s="62"/>
      <c r="H333" s="62"/>
      <c r="I333" s="62"/>
      <c r="J333" s="62"/>
    </row>
    <row r="334" spans="1:10" ht="15.75" x14ac:dyDescent="0.25">
      <c r="A334" s="58" t="s">
        <v>118</v>
      </c>
      <c r="B334" s="59">
        <v>2</v>
      </c>
      <c r="C334" s="59" t="s">
        <v>52</v>
      </c>
      <c r="D334" s="59">
        <f t="shared" si="4"/>
        <v>2.5</v>
      </c>
      <c r="E334" s="63"/>
      <c r="F334" s="63"/>
      <c r="G334" s="62">
        <v>7</v>
      </c>
      <c r="H334" s="62">
        <v>9.5</v>
      </c>
      <c r="I334" s="62"/>
      <c r="J334" s="62"/>
    </row>
    <row r="335" spans="1:10" ht="15.75" x14ac:dyDescent="0.25">
      <c r="A335" s="58" t="s">
        <v>118</v>
      </c>
      <c r="B335" s="59">
        <v>2</v>
      </c>
      <c r="C335" s="59" t="s">
        <v>53</v>
      </c>
      <c r="D335" s="59">
        <f t="shared" si="4"/>
        <v>5.5</v>
      </c>
      <c r="E335" s="63"/>
      <c r="F335" s="63"/>
      <c r="G335" s="62"/>
      <c r="H335" s="62"/>
      <c r="I335" s="62">
        <v>15.5</v>
      </c>
      <c r="J335" s="62">
        <v>21</v>
      </c>
    </row>
    <row r="336" spans="1:10" ht="15.75" x14ac:dyDescent="0.25">
      <c r="A336" s="58" t="s">
        <v>118</v>
      </c>
      <c r="B336" s="59">
        <v>2</v>
      </c>
      <c r="C336" s="59" t="s">
        <v>54</v>
      </c>
      <c r="D336" s="59">
        <f t="shared" si="4"/>
        <v>0</v>
      </c>
      <c r="E336" s="63"/>
      <c r="F336" s="63"/>
      <c r="G336" s="62"/>
      <c r="H336" s="62"/>
      <c r="I336" s="62"/>
      <c r="J336" s="62"/>
    </row>
    <row r="337" spans="1:10" ht="15.75" x14ac:dyDescent="0.25">
      <c r="A337" s="58" t="s">
        <v>118</v>
      </c>
      <c r="B337" s="59">
        <v>2</v>
      </c>
      <c r="C337" s="59" t="s">
        <v>55</v>
      </c>
      <c r="D337" s="59">
        <f t="shared" si="4"/>
        <v>0</v>
      </c>
      <c r="E337" s="63"/>
      <c r="F337" s="63"/>
      <c r="G337" s="62"/>
      <c r="H337" s="62"/>
      <c r="I337" s="62"/>
      <c r="J337" s="62"/>
    </row>
    <row r="338" spans="1:10" ht="15.75" x14ac:dyDescent="0.25">
      <c r="A338" s="58" t="s">
        <v>118</v>
      </c>
      <c r="B338" s="59">
        <v>3</v>
      </c>
      <c r="C338" s="59" t="s">
        <v>49</v>
      </c>
      <c r="D338" s="59">
        <f t="shared" si="4"/>
        <v>0</v>
      </c>
      <c r="E338" s="63"/>
      <c r="F338" s="63"/>
      <c r="G338" s="62"/>
      <c r="H338" s="62"/>
      <c r="I338" s="62"/>
      <c r="J338" s="62"/>
    </row>
    <row r="339" spans="1:10" ht="15.75" x14ac:dyDescent="0.25">
      <c r="A339" s="58" t="s">
        <v>118</v>
      </c>
      <c r="B339" s="59">
        <v>3</v>
      </c>
      <c r="C339" s="59" t="s">
        <v>50</v>
      </c>
      <c r="D339" s="59">
        <f t="shared" si="4"/>
        <v>3</v>
      </c>
      <c r="E339" s="63"/>
      <c r="F339" s="63"/>
      <c r="G339" s="62">
        <v>9.5</v>
      </c>
      <c r="H339" s="62">
        <v>12.5</v>
      </c>
      <c r="I339" s="62"/>
      <c r="J339" s="62"/>
    </row>
    <row r="340" spans="1:10" ht="15.75" x14ac:dyDescent="0.25">
      <c r="A340" s="58" t="s">
        <v>118</v>
      </c>
      <c r="B340" s="59">
        <v>3</v>
      </c>
      <c r="C340" s="59" t="s">
        <v>51</v>
      </c>
      <c r="D340" s="59">
        <f t="shared" si="4"/>
        <v>0</v>
      </c>
      <c r="E340" s="63"/>
      <c r="F340" s="63"/>
      <c r="G340" s="62"/>
      <c r="H340" s="62"/>
      <c r="I340" s="62"/>
      <c r="J340" s="62"/>
    </row>
    <row r="341" spans="1:10" ht="15.75" x14ac:dyDescent="0.25">
      <c r="A341" s="58" t="s">
        <v>118</v>
      </c>
      <c r="B341" s="59">
        <v>3</v>
      </c>
      <c r="C341" s="59" t="s">
        <v>52</v>
      </c>
      <c r="D341" s="59">
        <f t="shared" si="4"/>
        <v>9.5</v>
      </c>
      <c r="E341" s="63"/>
      <c r="F341" s="63"/>
      <c r="G341" s="62">
        <v>7</v>
      </c>
      <c r="H341" s="62">
        <v>9.5</v>
      </c>
      <c r="I341" s="62">
        <v>14</v>
      </c>
      <c r="J341" s="62">
        <v>21</v>
      </c>
    </row>
    <row r="342" spans="1:10" ht="15.75" x14ac:dyDescent="0.25">
      <c r="A342" s="58" t="s">
        <v>118</v>
      </c>
      <c r="B342" s="59">
        <v>3</v>
      </c>
      <c r="C342" s="59" t="s">
        <v>53</v>
      </c>
      <c r="D342" s="59">
        <f t="shared" si="4"/>
        <v>0</v>
      </c>
      <c r="E342" s="63"/>
      <c r="F342" s="63"/>
      <c r="G342" s="62"/>
      <c r="H342" s="62"/>
      <c r="I342" s="62"/>
      <c r="J342" s="62"/>
    </row>
    <row r="343" spans="1:10" ht="15.75" x14ac:dyDescent="0.25">
      <c r="A343" s="58" t="s">
        <v>118</v>
      </c>
      <c r="B343" s="59">
        <v>3</v>
      </c>
      <c r="C343" s="59" t="s">
        <v>54</v>
      </c>
      <c r="D343" s="59">
        <f t="shared" si="4"/>
        <v>0</v>
      </c>
      <c r="E343" s="63"/>
      <c r="F343" s="63"/>
      <c r="G343" s="62"/>
      <c r="H343" s="62"/>
      <c r="I343" s="62"/>
      <c r="J343" s="62"/>
    </row>
    <row r="344" spans="1:10" ht="15.75" x14ac:dyDescent="0.25">
      <c r="A344" s="58" t="s">
        <v>118</v>
      </c>
      <c r="B344" s="59">
        <v>3</v>
      </c>
      <c r="C344" s="59" t="s">
        <v>55</v>
      </c>
      <c r="D344" s="59">
        <f t="shared" si="4"/>
        <v>0</v>
      </c>
      <c r="E344" s="63"/>
      <c r="F344" s="63"/>
      <c r="G344" s="62"/>
      <c r="H344" s="62"/>
      <c r="I344" s="62"/>
      <c r="J344" s="62"/>
    </row>
    <row r="345" spans="1:10" ht="15.75" x14ac:dyDescent="0.25">
      <c r="A345" s="58" t="s">
        <v>118</v>
      </c>
      <c r="B345" s="59">
        <v>4</v>
      </c>
      <c r="C345" s="59" t="s">
        <v>49</v>
      </c>
      <c r="D345" s="59">
        <f t="shared" si="4"/>
        <v>5</v>
      </c>
      <c r="E345" s="63"/>
      <c r="F345" s="63"/>
      <c r="G345" s="62"/>
      <c r="H345" s="62"/>
      <c r="I345" s="62">
        <v>16.5</v>
      </c>
      <c r="J345" s="62">
        <v>21.5</v>
      </c>
    </row>
    <row r="346" spans="1:10" ht="15.75" x14ac:dyDescent="0.25">
      <c r="A346" s="58" t="s">
        <v>118</v>
      </c>
      <c r="B346" s="59">
        <v>4</v>
      </c>
      <c r="C346" s="59" t="s">
        <v>50</v>
      </c>
      <c r="D346" s="59">
        <f t="shared" si="4"/>
        <v>4.5</v>
      </c>
      <c r="E346" s="63"/>
      <c r="F346" s="63"/>
      <c r="G346" s="62"/>
      <c r="H346" s="62"/>
      <c r="I346" s="62">
        <v>16.5</v>
      </c>
      <c r="J346" s="62">
        <v>21</v>
      </c>
    </row>
    <row r="347" spans="1:10" ht="15.75" x14ac:dyDescent="0.25">
      <c r="A347" s="58" t="s">
        <v>118</v>
      </c>
      <c r="B347" s="59">
        <v>4</v>
      </c>
      <c r="C347" s="59" t="s">
        <v>51</v>
      </c>
      <c r="D347" s="59">
        <f t="shared" si="4"/>
        <v>0</v>
      </c>
      <c r="E347" s="63"/>
      <c r="F347" s="63"/>
      <c r="G347" s="62"/>
      <c r="H347" s="62"/>
      <c r="I347" s="62"/>
      <c r="J347" s="62"/>
    </row>
    <row r="348" spans="1:10" ht="15.75" x14ac:dyDescent="0.25">
      <c r="A348" s="58" t="s">
        <v>118</v>
      </c>
      <c r="B348" s="59">
        <v>4</v>
      </c>
      <c r="C348" s="59" t="s">
        <v>52</v>
      </c>
      <c r="D348" s="59">
        <f t="shared" si="4"/>
        <v>7</v>
      </c>
      <c r="E348" s="63"/>
      <c r="F348" s="63"/>
      <c r="G348" s="62">
        <v>7</v>
      </c>
      <c r="H348" s="62">
        <v>9.5</v>
      </c>
      <c r="I348" s="62">
        <v>16.5</v>
      </c>
      <c r="J348" s="62">
        <v>21</v>
      </c>
    </row>
    <row r="349" spans="1:10" ht="15.75" x14ac:dyDescent="0.25">
      <c r="A349" s="58" t="s">
        <v>118</v>
      </c>
      <c r="B349" s="59">
        <v>4</v>
      </c>
      <c r="C349" s="59" t="s">
        <v>53</v>
      </c>
      <c r="D349" s="59">
        <f t="shared" si="4"/>
        <v>0</v>
      </c>
      <c r="E349" s="63"/>
      <c r="F349" s="63"/>
      <c r="G349" s="62"/>
      <c r="H349" s="62"/>
      <c r="I349" s="62"/>
      <c r="J349" s="62"/>
    </row>
    <row r="350" spans="1:10" ht="15.75" x14ac:dyDescent="0.25">
      <c r="A350" s="58" t="s">
        <v>118</v>
      </c>
      <c r="B350" s="59">
        <v>4</v>
      </c>
      <c r="C350" s="59" t="s">
        <v>54</v>
      </c>
      <c r="D350" s="59">
        <f t="shared" si="4"/>
        <v>0</v>
      </c>
      <c r="E350" s="63"/>
      <c r="F350" s="63"/>
      <c r="G350" s="62"/>
      <c r="H350" s="62"/>
      <c r="I350" s="62"/>
      <c r="J350" s="62"/>
    </row>
    <row r="351" spans="1:10" ht="15.75" x14ac:dyDescent="0.25">
      <c r="A351" s="58" t="s">
        <v>118</v>
      </c>
      <c r="B351" s="59">
        <v>4</v>
      </c>
      <c r="C351" s="59" t="s">
        <v>55</v>
      </c>
      <c r="D351" s="59">
        <f t="shared" si="4"/>
        <v>0</v>
      </c>
      <c r="E351" s="63"/>
      <c r="F351" s="63"/>
      <c r="G351" s="62"/>
      <c r="H351" s="62"/>
      <c r="I351" s="62"/>
      <c r="J351" s="62"/>
    </row>
    <row r="352" spans="1:10" ht="15.75" x14ac:dyDescent="0.25">
      <c r="A352" s="58" t="s">
        <v>45</v>
      </c>
      <c r="B352" s="59">
        <v>1</v>
      </c>
      <c r="C352" s="59" t="s">
        <v>49</v>
      </c>
      <c r="D352" s="59">
        <f t="shared" si="4"/>
        <v>10</v>
      </c>
      <c r="E352" s="63"/>
      <c r="F352" s="63"/>
      <c r="G352" s="62">
        <v>7</v>
      </c>
      <c r="H352" s="62">
        <v>12</v>
      </c>
      <c r="I352" s="62">
        <v>12</v>
      </c>
      <c r="J352" s="62">
        <v>17</v>
      </c>
    </row>
    <row r="353" spans="1:10" ht="15.75" x14ac:dyDescent="0.25">
      <c r="A353" s="58" t="s">
        <v>45</v>
      </c>
      <c r="B353" s="59">
        <v>1</v>
      </c>
      <c r="C353" s="59" t="s">
        <v>50</v>
      </c>
      <c r="D353" s="59">
        <f t="shared" si="4"/>
        <v>8</v>
      </c>
      <c r="E353" s="63"/>
      <c r="F353" s="63"/>
      <c r="G353" s="62">
        <v>9.5</v>
      </c>
      <c r="H353" s="62">
        <v>12.5</v>
      </c>
      <c r="I353" s="62">
        <v>16.5</v>
      </c>
      <c r="J353" s="62">
        <v>21.5</v>
      </c>
    </row>
    <row r="354" spans="1:10" ht="15.75" x14ac:dyDescent="0.25">
      <c r="A354" s="58" t="s">
        <v>45</v>
      </c>
      <c r="B354" s="59">
        <v>1</v>
      </c>
      <c r="C354" s="59" t="s">
        <v>51</v>
      </c>
      <c r="D354" s="59">
        <f t="shared" si="4"/>
        <v>0</v>
      </c>
      <c r="E354" s="63"/>
      <c r="F354" s="63"/>
      <c r="G354" s="62"/>
      <c r="H354" s="62"/>
      <c r="I354" s="62"/>
      <c r="J354" s="62"/>
    </row>
    <row r="355" spans="1:10" ht="15.75" x14ac:dyDescent="0.25">
      <c r="A355" s="58" t="s">
        <v>45</v>
      </c>
      <c r="B355" s="59">
        <v>1</v>
      </c>
      <c r="C355" s="59" t="s">
        <v>52</v>
      </c>
      <c r="D355" s="59">
        <f t="shared" si="4"/>
        <v>0</v>
      </c>
      <c r="E355" s="63"/>
      <c r="F355" s="63"/>
      <c r="G355" s="62"/>
      <c r="H355" s="62"/>
      <c r="I355" s="62"/>
      <c r="J355" s="62"/>
    </row>
    <row r="356" spans="1:10" ht="15.75" x14ac:dyDescent="0.25">
      <c r="A356" s="58" t="s">
        <v>45</v>
      </c>
      <c r="B356" s="59">
        <v>1</v>
      </c>
      <c r="C356" s="59" t="s">
        <v>53</v>
      </c>
      <c r="D356" s="59">
        <f t="shared" ref="D356:D419" si="5">(J356-I356)+(H356-G356)</f>
        <v>0</v>
      </c>
      <c r="E356" s="63"/>
      <c r="F356" s="63"/>
      <c r="G356" s="62"/>
      <c r="H356" s="62"/>
      <c r="I356" s="62"/>
      <c r="J356" s="62"/>
    </row>
    <row r="357" spans="1:10" ht="15.75" x14ac:dyDescent="0.25">
      <c r="A357" s="58" t="s">
        <v>45</v>
      </c>
      <c r="B357" s="59">
        <v>1</v>
      </c>
      <c r="C357" s="59" t="s">
        <v>54</v>
      </c>
      <c r="D357" s="59">
        <f t="shared" si="5"/>
        <v>12</v>
      </c>
      <c r="E357" s="63"/>
      <c r="F357" s="63"/>
      <c r="G357" s="62">
        <v>9</v>
      </c>
      <c r="H357" s="62">
        <v>12</v>
      </c>
      <c r="I357" s="62">
        <v>12</v>
      </c>
      <c r="J357" s="62">
        <v>21</v>
      </c>
    </row>
    <row r="358" spans="1:10" ht="15.75" x14ac:dyDescent="0.25">
      <c r="A358" s="58" t="s">
        <v>45</v>
      </c>
      <c r="B358" s="59">
        <v>1</v>
      </c>
      <c r="C358" s="59" t="s">
        <v>55</v>
      </c>
      <c r="D358" s="59">
        <f t="shared" si="5"/>
        <v>12</v>
      </c>
      <c r="E358" s="63"/>
      <c r="F358" s="63"/>
      <c r="G358" s="62">
        <v>9</v>
      </c>
      <c r="H358" s="62">
        <v>12</v>
      </c>
      <c r="I358" s="62">
        <v>12</v>
      </c>
      <c r="J358" s="62">
        <v>21</v>
      </c>
    </row>
    <row r="359" spans="1:10" ht="15.75" x14ac:dyDescent="0.25">
      <c r="A359" s="58" t="s">
        <v>45</v>
      </c>
      <c r="B359" s="59">
        <v>2</v>
      </c>
      <c r="C359" s="59" t="s">
        <v>49</v>
      </c>
      <c r="D359" s="59">
        <f t="shared" si="5"/>
        <v>0</v>
      </c>
      <c r="E359" s="63"/>
      <c r="F359" s="63"/>
      <c r="G359" s="62"/>
      <c r="H359" s="62"/>
      <c r="I359" s="62"/>
      <c r="J359" s="62"/>
    </row>
    <row r="360" spans="1:10" ht="15.75" x14ac:dyDescent="0.25">
      <c r="A360" s="58" t="s">
        <v>45</v>
      </c>
      <c r="B360" s="59">
        <v>2</v>
      </c>
      <c r="C360" s="59" t="s">
        <v>50</v>
      </c>
      <c r="D360" s="59">
        <f t="shared" si="5"/>
        <v>11.5</v>
      </c>
      <c r="E360" s="63"/>
      <c r="F360" s="63">
        <v>6</v>
      </c>
      <c r="G360" s="62">
        <v>7</v>
      </c>
      <c r="H360" s="62">
        <v>12.5</v>
      </c>
      <c r="I360" s="62">
        <v>16</v>
      </c>
      <c r="J360" s="62">
        <v>22</v>
      </c>
    </row>
    <row r="361" spans="1:10" ht="15.75" x14ac:dyDescent="0.25">
      <c r="A361" s="58" t="s">
        <v>45</v>
      </c>
      <c r="B361" s="59">
        <v>2</v>
      </c>
      <c r="C361" s="59" t="s">
        <v>51</v>
      </c>
      <c r="D361" s="59">
        <f t="shared" si="5"/>
        <v>8.5</v>
      </c>
      <c r="E361" s="63"/>
      <c r="F361" s="63"/>
      <c r="G361" s="62">
        <v>7</v>
      </c>
      <c r="H361" s="62">
        <v>9.5</v>
      </c>
      <c r="I361" s="62">
        <v>16.5</v>
      </c>
      <c r="J361" s="62">
        <v>22.5</v>
      </c>
    </row>
    <row r="362" spans="1:10" ht="15.75" x14ac:dyDescent="0.25">
      <c r="A362" s="58" t="s">
        <v>45</v>
      </c>
      <c r="B362" s="59">
        <v>2</v>
      </c>
      <c r="C362" s="59" t="s">
        <v>52</v>
      </c>
      <c r="D362" s="59">
        <f t="shared" si="5"/>
        <v>8.5</v>
      </c>
      <c r="E362" s="63"/>
      <c r="F362" s="63"/>
      <c r="G362" s="62"/>
      <c r="H362" s="62"/>
      <c r="I362" s="62">
        <v>14</v>
      </c>
      <c r="J362" s="62">
        <v>22.5</v>
      </c>
    </row>
    <row r="363" spans="1:10" ht="15.75" x14ac:dyDescent="0.25">
      <c r="A363" s="58" t="s">
        <v>45</v>
      </c>
      <c r="B363" s="59">
        <v>2</v>
      </c>
      <c r="C363" s="59" t="s">
        <v>53</v>
      </c>
      <c r="D363" s="59">
        <f t="shared" si="5"/>
        <v>7.5</v>
      </c>
      <c r="E363" s="63"/>
      <c r="F363" s="63"/>
      <c r="G363" s="62"/>
      <c r="H363" s="62"/>
      <c r="I363" s="62">
        <v>15.5</v>
      </c>
      <c r="J363" s="62">
        <v>23</v>
      </c>
    </row>
    <row r="364" spans="1:10" ht="15.75" x14ac:dyDescent="0.25">
      <c r="A364" s="58" t="s">
        <v>45</v>
      </c>
      <c r="B364" s="59">
        <v>2</v>
      </c>
      <c r="C364" s="59" t="s">
        <v>54</v>
      </c>
      <c r="D364" s="59">
        <f t="shared" si="5"/>
        <v>0</v>
      </c>
      <c r="E364" s="63"/>
      <c r="F364" s="63"/>
      <c r="G364" s="62"/>
      <c r="H364" s="62"/>
      <c r="I364" s="62"/>
      <c r="J364" s="62"/>
    </row>
    <row r="365" spans="1:10" ht="15.75" x14ac:dyDescent="0.25">
      <c r="A365" s="58" t="s">
        <v>45</v>
      </c>
      <c r="B365" s="59">
        <v>2</v>
      </c>
      <c r="C365" s="59" t="s">
        <v>55</v>
      </c>
      <c r="D365" s="59">
        <f t="shared" si="5"/>
        <v>0</v>
      </c>
      <c r="E365" s="63"/>
      <c r="F365" s="63"/>
      <c r="G365" s="62"/>
      <c r="H365" s="62"/>
      <c r="I365" s="62"/>
      <c r="J365" s="62"/>
    </row>
    <row r="366" spans="1:10" ht="15.75" x14ac:dyDescent="0.25">
      <c r="A366" s="58" t="s">
        <v>45</v>
      </c>
      <c r="B366" s="59">
        <v>3</v>
      </c>
      <c r="C366" s="59" t="s">
        <v>49</v>
      </c>
      <c r="D366" s="59">
        <f t="shared" si="5"/>
        <v>8.5</v>
      </c>
      <c r="E366" s="63"/>
      <c r="F366" s="63"/>
      <c r="G366" s="62"/>
      <c r="H366" s="62"/>
      <c r="I366" s="62">
        <v>14</v>
      </c>
      <c r="J366" s="62">
        <v>22.5</v>
      </c>
    </row>
    <row r="367" spans="1:10" ht="15.75" x14ac:dyDescent="0.25">
      <c r="A367" s="58" t="s">
        <v>45</v>
      </c>
      <c r="B367" s="59">
        <v>3</v>
      </c>
      <c r="C367" s="59" t="s">
        <v>50</v>
      </c>
      <c r="D367" s="59">
        <f t="shared" si="5"/>
        <v>9</v>
      </c>
      <c r="E367" s="63"/>
      <c r="F367" s="63"/>
      <c r="G367" s="62">
        <v>9.5</v>
      </c>
      <c r="H367" s="62">
        <v>12.5</v>
      </c>
      <c r="I367" s="62">
        <v>16.5</v>
      </c>
      <c r="J367" s="62">
        <v>22.5</v>
      </c>
    </row>
    <row r="368" spans="1:10" ht="15.75" x14ac:dyDescent="0.25">
      <c r="A368" s="58" t="s">
        <v>45</v>
      </c>
      <c r="B368" s="59">
        <v>3</v>
      </c>
      <c r="C368" s="59" t="s">
        <v>51</v>
      </c>
      <c r="D368" s="59">
        <f t="shared" si="5"/>
        <v>6</v>
      </c>
      <c r="E368" s="63"/>
      <c r="F368" s="63"/>
      <c r="G368" s="62"/>
      <c r="H368" s="62"/>
      <c r="I368" s="62">
        <v>14</v>
      </c>
      <c r="J368" s="62">
        <v>20</v>
      </c>
    </row>
    <row r="369" spans="1:10" ht="15.75" x14ac:dyDescent="0.25">
      <c r="A369" s="58" t="s">
        <v>45</v>
      </c>
      <c r="B369" s="59">
        <v>3</v>
      </c>
      <c r="C369" s="59" t="s">
        <v>52</v>
      </c>
      <c r="D369" s="59">
        <f t="shared" si="5"/>
        <v>10.5</v>
      </c>
      <c r="E369" s="63"/>
      <c r="F369" s="63"/>
      <c r="G369" s="62">
        <v>7</v>
      </c>
      <c r="H369" s="62">
        <v>9.5</v>
      </c>
      <c r="I369" s="62">
        <v>14</v>
      </c>
      <c r="J369" s="62">
        <v>22</v>
      </c>
    </row>
    <row r="370" spans="1:10" ht="15.75" x14ac:dyDescent="0.25">
      <c r="A370" s="58" t="s">
        <v>45</v>
      </c>
      <c r="B370" s="59">
        <v>3</v>
      </c>
      <c r="C370" s="59" t="s">
        <v>53</v>
      </c>
      <c r="D370" s="59">
        <f t="shared" si="5"/>
        <v>0</v>
      </c>
      <c r="E370" s="63"/>
      <c r="F370" s="63"/>
      <c r="G370" s="62"/>
      <c r="H370" s="62"/>
      <c r="I370" s="62"/>
      <c r="J370" s="62"/>
    </row>
    <row r="371" spans="1:10" ht="15.75" x14ac:dyDescent="0.25">
      <c r="A371" s="58" t="s">
        <v>45</v>
      </c>
      <c r="B371" s="59">
        <v>3</v>
      </c>
      <c r="C371" s="59" t="s">
        <v>54</v>
      </c>
      <c r="D371" s="59">
        <f t="shared" si="5"/>
        <v>0</v>
      </c>
      <c r="E371" s="63"/>
      <c r="F371" s="63"/>
      <c r="G371" s="62"/>
      <c r="H371" s="62"/>
      <c r="I371" s="62"/>
      <c r="J371" s="62"/>
    </row>
    <row r="372" spans="1:10" ht="15.75" x14ac:dyDescent="0.25">
      <c r="A372" s="58" t="s">
        <v>45</v>
      </c>
      <c r="B372" s="59">
        <v>3</v>
      </c>
      <c r="C372" s="59" t="s">
        <v>55</v>
      </c>
      <c r="D372" s="59">
        <f t="shared" si="5"/>
        <v>0</v>
      </c>
      <c r="E372" s="63"/>
      <c r="F372" s="63"/>
      <c r="G372" s="62"/>
      <c r="H372" s="62"/>
      <c r="I372" s="62"/>
      <c r="J372" s="62"/>
    </row>
    <row r="373" spans="1:10" ht="15.75" x14ac:dyDescent="0.25">
      <c r="A373" s="58" t="s">
        <v>45</v>
      </c>
      <c r="B373" s="59">
        <v>4</v>
      </c>
      <c r="C373" s="59" t="s">
        <v>49</v>
      </c>
      <c r="D373" s="59">
        <f t="shared" si="5"/>
        <v>10</v>
      </c>
      <c r="E373" s="63"/>
      <c r="F373" s="63"/>
      <c r="G373" s="62">
        <v>7</v>
      </c>
      <c r="H373" s="62">
        <v>12</v>
      </c>
      <c r="I373" s="62">
        <v>12</v>
      </c>
      <c r="J373" s="62">
        <v>17</v>
      </c>
    </row>
    <row r="374" spans="1:10" ht="15.75" x14ac:dyDescent="0.25">
      <c r="A374" s="58" t="s">
        <v>45</v>
      </c>
      <c r="B374" s="59">
        <v>4</v>
      </c>
      <c r="C374" s="59" t="s">
        <v>50</v>
      </c>
      <c r="D374" s="59">
        <f t="shared" si="5"/>
        <v>8.5</v>
      </c>
      <c r="E374" s="63"/>
      <c r="F374" s="63"/>
      <c r="G374" s="62">
        <v>9.5</v>
      </c>
      <c r="H374" s="62">
        <v>12.5</v>
      </c>
      <c r="I374" s="62">
        <v>16.5</v>
      </c>
      <c r="J374" s="62">
        <v>22</v>
      </c>
    </row>
    <row r="375" spans="1:10" ht="15.75" x14ac:dyDescent="0.25">
      <c r="A375" s="58" t="s">
        <v>45</v>
      </c>
      <c r="B375" s="59">
        <v>4</v>
      </c>
      <c r="C375" s="59" t="s">
        <v>51</v>
      </c>
      <c r="D375" s="59">
        <f t="shared" si="5"/>
        <v>0</v>
      </c>
      <c r="E375" s="63"/>
      <c r="F375" s="63"/>
      <c r="G375" s="62"/>
      <c r="H375" s="62"/>
      <c r="I375" s="62"/>
      <c r="J375" s="62"/>
    </row>
    <row r="376" spans="1:10" ht="15.75" x14ac:dyDescent="0.25">
      <c r="A376" s="58" t="s">
        <v>45</v>
      </c>
      <c r="B376" s="59">
        <v>4</v>
      </c>
      <c r="C376" s="59" t="s">
        <v>52</v>
      </c>
      <c r="D376" s="59">
        <f t="shared" si="5"/>
        <v>0</v>
      </c>
      <c r="E376" s="63"/>
      <c r="F376" s="63"/>
      <c r="G376" s="62"/>
      <c r="H376" s="62"/>
      <c r="I376" s="62"/>
      <c r="J376" s="62"/>
    </row>
    <row r="377" spans="1:10" ht="15.75" x14ac:dyDescent="0.25">
      <c r="A377" s="58" t="s">
        <v>45</v>
      </c>
      <c r="B377" s="59">
        <v>4</v>
      </c>
      <c r="C377" s="59" t="s">
        <v>53</v>
      </c>
      <c r="D377" s="59">
        <f t="shared" si="5"/>
        <v>0</v>
      </c>
      <c r="E377" s="63"/>
      <c r="F377" s="63"/>
      <c r="G377" s="62"/>
      <c r="H377" s="62"/>
      <c r="I377" s="62"/>
      <c r="J377" s="62"/>
    </row>
    <row r="378" spans="1:10" ht="15.75" x14ac:dyDescent="0.25">
      <c r="A378" s="58" t="s">
        <v>45</v>
      </c>
      <c r="B378" s="59">
        <v>4</v>
      </c>
      <c r="C378" s="59" t="s">
        <v>54</v>
      </c>
      <c r="D378" s="59">
        <f t="shared" si="5"/>
        <v>12</v>
      </c>
      <c r="E378" s="63"/>
      <c r="F378" s="63"/>
      <c r="G378" s="62">
        <v>9</v>
      </c>
      <c r="H378" s="62">
        <v>12</v>
      </c>
      <c r="I378" s="62">
        <v>12</v>
      </c>
      <c r="J378" s="62">
        <v>21</v>
      </c>
    </row>
    <row r="379" spans="1:10" ht="15.75" x14ac:dyDescent="0.25">
      <c r="A379" s="58" t="s">
        <v>45</v>
      </c>
      <c r="B379" s="59">
        <v>4</v>
      </c>
      <c r="C379" s="59" t="s">
        <v>55</v>
      </c>
      <c r="D379" s="59">
        <f t="shared" si="5"/>
        <v>12</v>
      </c>
      <c r="E379" s="63"/>
      <c r="F379" s="63"/>
      <c r="G379" s="62">
        <v>9</v>
      </c>
      <c r="H379" s="62">
        <v>12</v>
      </c>
      <c r="I379" s="62">
        <v>12</v>
      </c>
      <c r="J379" s="62">
        <v>21</v>
      </c>
    </row>
    <row r="380" spans="1:10" ht="15.75" x14ac:dyDescent="0.25">
      <c r="A380" s="58" t="s">
        <v>45</v>
      </c>
      <c r="B380" s="59">
        <v>5</v>
      </c>
      <c r="C380" s="59" t="s">
        <v>49</v>
      </c>
      <c r="D380" s="59">
        <f t="shared" si="5"/>
        <v>0</v>
      </c>
      <c r="E380" s="63"/>
      <c r="F380" s="63"/>
      <c r="G380" s="62"/>
      <c r="H380" s="62"/>
      <c r="I380" s="62"/>
      <c r="J380" s="62"/>
    </row>
    <row r="381" spans="1:10" ht="15.75" x14ac:dyDescent="0.25">
      <c r="A381" s="58" t="s">
        <v>45</v>
      </c>
      <c r="B381" s="59">
        <v>5</v>
      </c>
      <c r="C381" s="59" t="s">
        <v>50</v>
      </c>
      <c r="D381" s="59">
        <f t="shared" si="5"/>
        <v>9</v>
      </c>
      <c r="E381" s="63"/>
      <c r="F381" s="63"/>
      <c r="G381" s="62">
        <v>7</v>
      </c>
      <c r="H381" s="62">
        <v>12.5</v>
      </c>
      <c r="I381" s="62">
        <v>16.5</v>
      </c>
      <c r="J381" s="62">
        <v>20</v>
      </c>
    </row>
    <row r="382" spans="1:10" ht="15.75" x14ac:dyDescent="0.25">
      <c r="A382" s="58" t="s">
        <v>45</v>
      </c>
      <c r="B382" s="59">
        <v>5</v>
      </c>
      <c r="C382" s="59" t="s">
        <v>51</v>
      </c>
      <c r="D382" s="59">
        <f t="shared" si="5"/>
        <v>8.5</v>
      </c>
      <c r="E382" s="63"/>
      <c r="F382" s="63"/>
      <c r="G382" s="62">
        <v>7</v>
      </c>
      <c r="H382" s="62">
        <v>9.5</v>
      </c>
      <c r="I382" s="62">
        <v>16.5</v>
      </c>
      <c r="J382" s="62">
        <v>22.5</v>
      </c>
    </row>
    <row r="383" spans="1:10" ht="15.75" x14ac:dyDescent="0.25">
      <c r="A383" s="58" t="s">
        <v>45</v>
      </c>
      <c r="B383" s="59">
        <v>5</v>
      </c>
      <c r="C383" s="59" t="s">
        <v>52</v>
      </c>
      <c r="D383" s="59">
        <f t="shared" si="5"/>
        <v>8.5</v>
      </c>
      <c r="E383" s="63"/>
      <c r="F383" s="63"/>
      <c r="G383" s="62"/>
      <c r="H383" s="62"/>
      <c r="I383" s="62">
        <v>14</v>
      </c>
      <c r="J383" s="62">
        <v>22.5</v>
      </c>
    </row>
    <row r="384" spans="1:10" ht="15.75" x14ac:dyDescent="0.25">
      <c r="A384" s="58" t="s">
        <v>45</v>
      </c>
      <c r="B384" s="59">
        <v>5</v>
      </c>
      <c r="C384" s="59" t="s">
        <v>53</v>
      </c>
      <c r="D384" s="59">
        <f t="shared" si="5"/>
        <v>7.5</v>
      </c>
      <c r="E384" s="63"/>
      <c r="F384" s="63"/>
      <c r="G384" s="62"/>
      <c r="H384" s="62"/>
      <c r="I384" s="62">
        <v>15.5</v>
      </c>
      <c r="J384" s="62">
        <v>23</v>
      </c>
    </row>
    <row r="385" spans="1:10" ht="15.75" x14ac:dyDescent="0.25">
      <c r="A385" s="58" t="s">
        <v>45</v>
      </c>
      <c r="B385" s="59">
        <v>5</v>
      </c>
      <c r="C385" s="59" t="s">
        <v>54</v>
      </c>
      <c r="D385" s="59">
        <f t="shared" si="5"/>
        <v>0</v>
      </c>
      <c r="E385" s="63"/>
      <c r="F385" s="63"/>
      <c r="G385" s="62"/>
      <c r="H385" s="62"/>
      <c r="I385" s="62"/>
      <c r="J385" s="62"/>
    </row>
    <row r="386" spans="1:10" ht="15.75" x14ac:dyDescent="0.25">
      <c r="A386" s="58" t="s">
        <v>45</v>
      </c>
      <c r="B386" s="59">
        <v>5</v>
      </c>
      <c r="C386" s="59" t="s">
        <v>55</v>
      </c>
      <c r="D386" s="59">
        <f t="shared" si="5"/>
        <v>0</v>
      </c>
      <c r="E386" s="63"/>
      <c r="F386" s="63"/>
      <c r="G386" s="62"/>
      <c r="H386" s="62"/>
      <c r="I386" s="62"/>
      <c r="J386" s="62"/>
    </row>
    <row r="387" spans="1:10" ht="15.75" x14ac:dyDescent="0.25">
      <c r="A387" s="58" t="s">
        <v>45</v>
      </c>
      <c r="B387" s="59">
        <v>6</v>
      </c>
      <c r="C387" s="59" t="s">
        <v>49</v>
      </c>
      <c r="D387" s="59">
        <f t="shared" si="5"/>
        <v>8.5</v>
      </c>
      <c r="E387" s="63"/>
      <c r="F387" s="63"/>
      <c r="G387" s="62"/>
      <c r="H387" s="62"/>
      <c r="I387" s="62">
        <v>14</v>
      </c>
      <c r="J387" s="62">
        <v>22.5</v>
      </c>
    </row>
    <row r="388" spans="1:10" ht="15.75" x14ac:dyDescent="0.25">
      <c r="A388" s="58" t="s">
        <v>45</v>
      </c>
      <c r="B388" s="59">
        <v>6</v>
      </c>
      <c r="C388" s="59" t="s">
        <v>50</v>
      </c>
      <c r="D388" s="59">
        <f t="shared" si="5"/>
        <v>9</v>
      </c>
      <c r="E388" s="63"/>
      <c r="F388" s="63"/>
      <c r="G388" s="62">
        <v>9.5</v>
      </c>
      <c r="H388" s="62">
        <v>12.5</v>
      </c>
      <c r="I388" s="62">
        <v>16.5</v>
      </c>
      <c r="J388" s="62">
        <v>22.5</v>
      </c>
    </row>
    <row r="389" spans="1:10" ht="15.75" x14ac:dyDescent="0.25">
      <c r="A389" s="58" t="s">
        <v>45</v>
      </c>
      <c r="B389" s="59">
        <v>6</v>
      </c>
      <c r="C389" s="59" t="s">
        <v>51</v>
      </c>
      <c r="D389" s="59">
        <f t="shared" si="5"/>
        <v>6</v>
      </c>
      <c r="E389" s="63"/>
      <c r="F389" s="63"/>
      <c r="G389" s="62"/>
      <c r="H389" s="62"/>
      <c r="I389" s="62">
        <v>14</v>
      </c>
      <c r="J389" s="62">
        <v>20</v>
      </c>
    </row>
    <row r="390" spans="1:10" ht="15.75" x14ac:dyDescent="0.25">
      <c r="A390" s="58" t="s">
        <v>45</v>
      </c>
      <c r="B390" s="59">
        <v>6</v>
      </c>
      <c r="C390" s="59" t="s">
        <v>52</v>
      </c>
      <c r="D390" s="59">
        <f t="shared" si="5"/>
        <v>10.5</v>
      </c>
      <c r="E390" s="63"/>
      <c r="F390" s="63"/>
      <c r="G390" s="62">
        <v>7</v>
      </c>
      <c r="H390" s="62">
        <v>9.5</v>
      </c>
      <c r="I390" s="62">
        <v>14</v>
      </c>
      <c r="J390" s="62">
        <v>22</v>
      </c>
    </row>
    <row r="391" spans="1:10" ht="15.75" x14ac:dyDescent="0.25">
      <c r="A391" s="58" t="s">
        <v>45</v>
      </c>
      <c r="B391" s="59">
        <v>6</v>
      </c>
      <c r="C391" s="59" t="s">
        <v>53</v>
      </c>
      <c r="D391" s="59">
        <f t="shared" si="5"/>
        <v>0</v>
      </c>
      <c r="E391" s="63"/>
      <c r="F391" s="63"/>
      <c r="G391" s="62"/>
      <c r="H391" s="62"/>
      <c r="I391" s="62"/>
      <c r="J391" s="62"/>
    </row>
    <row r="392" spans="1:10" ht="15.75" x14ac:dyDescent="0.25">
      <c r="A392" s="58" t="s">
        <v>45</v>
      </c>
      <c r="B392" s="59">
        <v>6</v>
      </c>
      <c r="C392" s="59" t="s">
        <v>54</v>
      </c>
      <c r="D392" s="59">
        <f t="shared" si="5"/>
        <v>0</v>
      </c>
      <c r="E392" s="63"/>
      <c r="F392" s="63"/>
      <c r="G392" s="62"/>
      <c r="H392" s="62"/>
      <c r="I392" s="62"/>
      <c r="J392" s="62"/>
    </row>
    <row r="393" spans="1:10" ht="15.75" x14ac:dyDescent="0.25">
      <c r="A393" s="58" t="s">
        <v>45</v>
      </c>
      <c r="B393" s="59">
        <v>6</v>
      </c>
      <c r="C393" s="59" t="s">
        <v>55</v>
      </c>
      <c r="D393" s="59">
        <f t="shared" si="5"/>
        <v>0</v>
      </c>
      <c r="E393" s="63"/>
      <c r="F393" s="63"/>
      <c r="G393" s="62"/>
      <c r="H393" s="62"/>
      <c r="I393" s="62"/>
      <c r="J393" s="62"/>
    </row>
    <row r="394" spans="1:10" ht="15.75" x14ac:dyDescent="0.25">
      <c r="A394" s="58" t="s">
        <v>44</v>
      </c>
      <c r="B394" s="59">
        <v>1</v>
      </c>
      <c r="C394" s="59" t="s">
        <v>49</v>
      </c>
      <c r="D394" s="59">
        <f t="shared" si="5"/>
        <v>8.5</v>
      </c>
      <c r="E394" s="63"/>
      <c r="F394" s="63"/>
      <c r="G394" s="62"/>
      <c r="H394" s="62"/>
      <c r="I394" s="62">
        <v>14</v>
      </c>
      <c r="J394" s="62">
        <v>22.5</v>
      </c>
    </row>
    <row r="395" spans="1:10" ht="15.75" x14ac:dyDescent="0.25">
      <c r="A395" s="58" t="s">
        <v>44</v>
      </c>
      <c r="B395" s="59">
        <v>1</v>
      </c>
      <c r="C395" s="59" t="s">
        <v>50</v>
      </c>
      <c r="D395" s="59">
        <f t="shared" si="5"/>
        <v>9</v>
      </c>
      <c r="E395" s="63"/>
      <c r="F395" s="63"/>
      <c r="G395" s="62">
        <v>9.5</v>
      </c>
      <c r="H395" s="62">
        <v>12.5</v>
      </c>
      <c r="I395" s="62">
        <v>16.5</v>
      </c>
      <c r="J395" s="62">
        <v>22.5</v>
      </c>
    </row>
    <row r="396" spans="1:10" ht="15.75" x14ac:dyDescent="0.25">
      <c r="A396" s="58" t="s">
        <v>44</v>
      </c>
      <c r="B396" s="59">
        <v>1</v>
      </c>
      <c r="C396" s="59" t="s">
        <v>51</v>
      </c>
      <c r="D396" s="59">
        <f t="shared" si="5"/>
        <v>0</v>
      </c>
      <c r="E396" s="63"/>
      <c r="F396" s="63"/>
      <c r="G396" s="62"/>
      <c r="H396" s="62"/>
      <c r="I396" s="62"/>
      <c r="J396" s="62"/>
    </row>
    <row r="397" spans="1:10" ht="15.75" x14ac:dyDescent="0.25">
      <c r="A397" s="58" t="s">
        <v>44</v>
      </c>
      <c r="B397" s="59">
        <v>1</v>
      </c>
      <c r="C397" s="59" t="s">
        <v>52</v>
      </c>
      <c r="D397" s="59">
        <f t="shared" si="5"/>
        <v>0</v>
      </c>
      <c r="E397" s="63"/>
      <c r="F397" s="63"/>
      <c r="G397" s="62"/>
      <c r="H397" s="62"/>
      <c r="I397" s="62"/>
      <c r="J397" s="62"/>
    </row>
    <row r="398" spans="1:10" ht="15.75" x14ac:dyDescent="0.25">
      <c r="A398" s="58" t="s">
        <v>44</v>
      </c>
      <c r="B398" s="59">
        <v>1</v>
      </c>
      <c r="C398" s="59" t="s">
        <v>53</v>
      </c>
      <c r="D398" s="59">
        <f t="shared" si="5"/>
        <v>0</v>
      </c>
      <c r="E398" s="63"/>
      <c r="F398" s="63"/>
      <c r="G398" s="62"/>
      <c r="H398" s="62"/>
      <c r="I398" s="62"/>
      <c r="J398" s="62"/>
    </row>
    <row r="399" spans="1:10" ht="15.75" x14ac:dyDescent="0.25">
      <c r="A399" s="58" t="s">
        <v>44</v>
      </c>
      <c r="B399" s="59">
        <v>1</v>
      </c>
      <c r="C399" s="59" t="s">
        <v>54</v>
      </c>
      <c r="D399" s="59">
        <f t="shared" si="5"/>
        <v>12</v>
      </c>
      <c r="E399" s="63"/>
      <c r="F399" s="63"/>
      <c r="G399" s="62">
        <v>8</v>
      </c>
      <c r="H399" s="62">
        <v>12</v>
      </c>
      <c r="I399" s="62">
        <v>12</v>
      </c>
      <c r="J399" s="62">
        <v>20</v>
      </c>
    </row>
    <row r="400" spans="1:10" ht="15.75" x14ac:dyDescent="0.25">
      <c r="A400" s="58" t="s">
        <v>44</v>
      </c>
      <c r="B400" s="59">
        <v>1</v>
      </c>
      <c r="C400" s="59" t="s">
        <v>55</v>
      </c>
      <c r="D400" s="59">
        <f t="shared" si="5"/>
        <v>12</v>
      </c>
      <c r="E400" s="63"/>
      <c r="F400" s="63"/>
      <c r="G400" s="62">
        <v>8</v>
      </c>
      <c r="H400" s="62">
        <v>12</v>
      </c>
      <c r="I400" s="62">
        <v>12</v>
      </c>
      <c r="J400" s="62">
        <v>20</v>
      </c>
    </row>
    <row r="401" spans="1:10" ht="15.75" x14ac:dyDescent="0.25">
      <c r="A401" s="58" t="s">
        <v>44</v>
      </c>
      <c r="B401" s="59">
        <v>2</v>
      </c>
      <c r="C401" s="59" t="s">
        <v>49</v>
      </c>
      <c r="D401" s="59">
        <f t="shared" si="5"/>
        <v>0</v>
      </c>
      <c r="E401" s="63"/>
      <c r="F401" s="63"/>
      <c r="G401" s="62"/>
      <c r="H401" s="62"/>
      <c r="I401" s="62"/>
      <c r="J401" s="62"/>
    </row>
    <row r="402" spans="1:10" ht="15.75" x14ac:dyDescent="0.25">
      <c r="A402" s="58" t="s">
        <v>44</v>
      </c>
      <c r="B402" s="59">
        <v>2</v>
      </c>
      <c r="C402" s="59" t="s">
        <v>50</v>
      </c>
      <c r="D402" s="59">
        <f t="shared" si="5"/>
        <v>11.5</v>
      </c>
      <c r="E402" s="63"/>
      <c r="F402" s="63">
        <v>6</v>
      </c>
      <c r="G402" s="62">
        <v>7</v>
      </c>
      <c r="H402" s="62">
        <v>12.5</v>
      </c>
      <c r="I402" s="62">
        <v>16.5</v>
      </c>
      <c r="J402" s="62">
        <v>22.5</v>
      </c>
    </row>
    <row r="403" spans="1:10" ht="15.75" x14ac:dyDescent="0.25">
      <c r="A403" s="58" t="s">
        <v>44</v>
      </c>
      <c r="B403" s="59">
        <v>2</v>
      </c>
      <c r="C403" s="59" t="s">
        <v>51</v>
      </c>
      <c r="D403" s="59">
        <f t="shared" si="5"/>
        <v>6</v>
      </c>
      <c r="E403" s="63"/>
      <c r="F403" s="63"/>
      <c r="G403" s="62"/>
      <c r="H403" s="62"/>
      <c r="I403" s="62">
        <v>16.5</v>
      </c>
      <c r="J403" s="62">
        <v>22.5</v>
      </c>
    </row>
    <row r="404" spans="1:10" ht="15.75" x14ac:dyDescent="0.25">
      <c r="A404" s="58" t="s">
        <v>44</v>
      </c>
      <c r="B404" s="59">
        <v>2</v>
      </c>
      <c r="C404" s="59" t="s">
        <v>52</v>
      </c>
      <c r="D404" s="59">
        <f t="shared" si="5"/>
        <v>6</v>
      </c>
      <c r="E404" s="63"/>
      <c r="F404" s="63"/>
      <c r="G404" s="62"/>
      <c r="H404" s="62"/>
      <c r="I404" s="62">
        <v>14</v>
      </c>
      <c r="J404" s="62">
        <v>20</v>
      </c>
    </row>
    <row r="405" spans="1:10" ht="15.75" x14ac:dyDescent="0.25">
      <c r="A405" s="58" t="s">
        <v>44</v>
      </c>
      <c r="B405" s="59">
        <v>2</v>
      </c>
      <c r="C405" s="59" t="s">
        <v>53</v>
      </c>
      <c r="D405" s="59">
        <f t="shared" si="5"/>
        <v>10</v>
      </c>
      <c r="E405" s="63"/>
      <c r="F405" s="63"/>
      <c r="G405" s="62">
        <v>7</v>
      </c>
      <c r="H405" s="62">
        <v>9.5</v>
      </c>
      <c r="I405" s="62">
        <v>15.5</v>
      </c>
      <c r="J405" s="62">
        <v>23</v>
      </c>
    </row>
    <row r="406" spans="1:10" ht="15.75" x14ac:dyDescent="0.25">
      <c r="A406" s="58" t="s">
        <v>44</v>
      </c>
      <c r="B406" s="59">
        <v>2</v>
      </c>
      <c r="C406" s="59" t="s">
        <v>54</v>
      </c>
      <c r="D406" s="59">
        <f t="shared" si="5"/>
        <v>0</v>
      </c>
      <c r="E406" s="63"/>
      <c r="F406" s="63"/>
      <c r="G406" s="62"/>
      <c r="H406" s="62"/>
      <c r="I406" s="62"/>
      <c r="J406" s="62"/>
    </row>
    <row r="407" spans="1:10" ht="15.75" x14ac:dyDescent="0.25">
      <c r="A407" s="58" t="s">
        <v>44</v>
      </c>
      <c r="B407" s="59">
        <v>2</v>
      </c>
      <c r="C407" s="59" t="s">
        <v>55</v>
      </c>
      <c r="D407" s="59">
        <f t="shared" si="5"/>
        <v>0</v>
      </c>
      <c r="E407" s="63"/>
      <c r="F407" s="63"/>
      <c r="G407" s="62"/>
      <c r="H407" s="62"/>
      <c r="I407" s="62"/>
      <c r="J407" s="62"/>
    </row>
    <row r="408" spans="1:10" ht="15.75" x14ac:dyDescent="0.25">
      <c r="A408" s="58" t="s">
        <v>44</v>
      </c>
      <c r="B408" s="59">
        <v>3</v>
      </c>
      <c r="C408" s="59" t="s">
        <v>49</v>
      </c>
      <c r="D408" s="59">
        <f t="shared" si="5"/>
        <v>9.5</v>
      </c>
      <c r="E408" s="63"/>
      <c r="F408" s="63"/>
      <c r="G408" s="62">
        <v>7</v>
      </c>
      <c r="H408" s="62">
        <v>9.5</v>
      </c>
      <c r="I408" s="62">
        <v>14</v>
      </c>
      <c r="J408" s="62">
        <v>21</v>
      </c>
    </row>
    <row r="409" spans="1:10" ht="15.75" x14ac:dyDescent="0.25">
      <c r="A409" s="58" t="s">
        <v>44</v>
      </c>
      <c r="B409" s="59">
        <v>3</v>
      </c>
      <c r="C409" s="59" t="s">
        <v>50</v>
      </c>
      <c r="D409" s="59">
        <f t="shared" si="5"/>
        <v>10</v>
      </c>
      <c r="E409" s="63"/>
      <c r="F409" s="63"/>
      <c r="G409" s="62">
        <v>9</v>
      </c>
      <c r="H409" s="62">
        <v>12</v>
      </c>
      <c r="I409" s="62">
        <v>12</v>
      </c>
      <c r="J409" s="62">
        <v>19</v>
      </c>
    </row>
    <row r="410" spans="1:10" ht="15.75" x14ac:dyDescent="0.25">
      <c r="A410" s="58" t="s">
        <v>44</v>
      </c>
      <c r="B410" s="59">
        <v>3</v>
      </c>
      <c r="C410" s="59" t="s">
        <v>51</v>
      </c>
      <c r="D410" s="59">
        <f t="shared" si="5"/>
        <v>8</v>
      </c>
      <c r="E410" s="63"/>
      <c r="F410" s="63"/>
      <c r="G410" s="62">
        <v>7</v>
      </c>
      <c r="H410" s="62">
        <v>9.5</v>
      </c>
      <c r="I410" s="62">
        <v>16.5</v>
      </c>
      <c r="J410" s="62">
        <v>22</v>
      </c>
    </row>
    <row r="411" spans="1:10" ht="15.75" x14ac:dyDescent="0.25">
      <c r="A411" s="58" t="s">
        <v>44</v>
      </c>
      <c r="B411" s="59">
        <v>3</v>
      </c>
      <c r="C411" s="59" t="s">
        <v>52</v>
      </c>
      <c r="D411" s="59">
        <f t="shared" si="5"/>
        <v>8.5</v>
      </c>
      <c r="E411" s="63"/>
      <c r="F411" s="63"/>
      <c r="G411" s="62"/>
      <c r="H411" s="62"/>
      <c r="I411" s="62">
        <v>14</v>
      </c>
      <c r="J411" s="62">
        <v>22.5</v>
      </c>
    </row>
    <row r="412" spans="1:10" ht="15.75" x14ac:dyDescent="0.25">
      <c r="A412" s="58" t="s">
        <v>44</v>
      </c>
      <c r="B412" s="59">
        <v>3</v>
      </c>
      <c r="C412" s="59" t="s">
        <v>53</v>
      </c>
      <c r="D412" s="59">
        <f t="shared" si="5"/>
        <v>0</v>
      </c>
      <c r="E412" s="63"/>
      <c r="F412" s="63"/>
      <c r="G412" s="62"/>
      <c r="H412" s="62"/>
      <c r="I412" s="62"/>
      <c r="J412" s="62"/>
    </row>
    <row r="413" spans="1:10" ht="15.75" x14ac:dyDescent="0.25">
      <c r="A413" s="58" t="s">
        <v>44</v>
      </c>
      <c r="B413" s="59">
        <v>3</v>
      </c>
      <c r="C413" s="59" t="s">
        <v>54</v>
      </c>
      <c r="D413" s="59">
        <f t="shared" si="5"/>
        <v>0</v>
      </c>
      <c r="E413" s="63"/>
      <c r="F413" s="63"/>
      <c r="G413" s="62"/>
      <c r="H413" s="62"/>
      <c r="I413" s="62"/>
      <c r="J413" s="62"/>
    </row>
    <row r="414" spans="1:10" ht="15.75" x14ac:dyDescent="0.25">
      <c r="A414" s="64" t="s">
        <v>44</v>
      </c>
      <c r="B414" s="59">
        <v>3</v>
      </c>
      <c r="C414" s="59" t="s">
        <v>55</v>
      </c>
      <c r="D414" s="59">
        <f t="shared" si="5"/>
        <v>0</v>
      </c>
      <c r="E414" s="63"/>
      <c r="F414" s="63"/>
      <c r="G414" s="62"/>
      <c r="H414" s="62"/>
      <c r="I414" s="62"/>
      <c r="J414" s="62"/>
    </row>
    <row r="415" spans="1:10" ht="15.75" x14ac:dyDescent="0.25">
      <c r="A415" s="58" t="s">
        <v>44</v>
      </c>
      <c r="B415" s="59">
        <v>4</v>
      </c>
      <c r="C415" s="59" t="s">
        <v>49</v>
      </c>
      <c r="D415" s="59">
        <f t="shared" si="5"/>
        <v>8.5</v>
      </c>
      <c r="E415" s="63"/>
      <c r="F415" s="63"/>
      <c r="G415" s="62"/>
      <c r="H415" s="62"/>
      <c r="I415" s="62">
        <v>14</v>
      </c>
      <c r="J415" s="62">
        <v>22.5</v>
      </c>
    </row>
    <row r="416" spans="1:10" ht="15.75" x14ac:dyDescent="0.25">
      <c r="A416" s="58" t="s">
        <v>44</v>
      </c>
      <c r="B416" s="59">
        <v>4</v>
      </c>
      <c r="C416" s="59" t="s">
        <v>50</v>
      </c>
      <c r="D416" s="59">
        <f t="shared" si="5"/>
        <v>9</v>
      </c>
      <c r="E416" s="63"/>
      <c r="F416" s="63"/>
      <c r="G416" s="62">
        <v>9.5</v>
      </c>
      <c r="H416" s="62">
        <v>12.5</v>
      </c>
      <c r="I416" s="62">
        <v>16.5</v>
      </c>
      <c r="J416" s="62">
        <v>22.5</v>
      </c>
    </row>
    <row r="417" spans="1:10" ht="15.75" x14ac:dyDescent="0.25">
      <c r="A417" s="58" t="s">
        <v>44</v>
      </c>
      <c r="B417" s="59">
        <v>4</v>
      </c>
      <c r="C417" s="59" t="s">
        <v>51</v>
      </c>
      <c r="D417" s="59">
        <f t="shared" si="5"/>
        <v>0</v>
      </c>
      <c r="E417" s="63"/>
      <c r="F417" s="63"/>
      <c r="G417" s="62"/>
      <c r="H417" s="62"/>
      <c r="I417" s="62"/>
      <c r="J417" s="62"/>
    </row>
    <row r="418" spans="1:10" ht="15.75" x14ac:dyDescent="0.25">
      <c r="A418" s="58" t="s">
        <v>44</v>
      </c>
      <c r="B418" s="59">
        <v>4</v>
      </c>
      <c r="C418" s="59" t="s">
        <v>52</v>
      </c>
      <c r="D418" s="59">
        <f t="shared" si="5"/>
        <v>0</v>
      </c>
      <c r="E418" s="63"/>
      <c r="F418" s="63"/>
      <c r="G418" s="62"/>
      <c r="H418" s="62"/>
      <c r="I418" s="62"/>
      <c r="J418" s="62"/>
    </row>
    <row r="419" spans="1:10" ht="15.75" x14ac:dyDescent="0.25">
      <c r="A419" s="58" t="s">
        <v>44</v>
      </c>
      <c r="B419" s="59">
        <v>4</v>
      </c>
      <c r="C419" s="59" t="s">
        <v>53</v>
      </c>
      <c r="D419" s="59">
        <f t="shared" si="5"/>
        <v>0</v>
      </c>
      <c r="E419" s="63"/>
      <c r="F419" s="63"/>
      <c r="G419" s="62"/>
      <c r="H419" s="62"/>
      <c r="I419" s="62"/>
      <c r="J419" s="62"/>
    </row>
    <row r="420" spans="1:10" ht="15.75" x14ac:dyDescent="0.25">
      <c r="A420" s="58" t="s">
        <v>44</v>
      </c>
      <c r="B420" s="59">
        <v>4</v>
      </c>
      <c r="C420" s="59" t="s">
        <v>54</v>
      </c>
      <c r="D420" s="59">
        <f t="shared" ref="D420:D435" si="6">(J420-I420)+(H420-G420)</f>
        <v>12</v>
      </c>
      <c r="E420" s="63"/>
      <c r="F420" s="63"/>
      <c r="G420" s="62">
        <v>8</v>
      </c>
      <c r="H420" s="62">
        <v>12</v>
      </c>
      <c r="I420" s="62">
        <v>12</v>
      </c>
      <c r="J420" s="62">
        <v>20</v>
      </c>
    </row>
    <row r="421" spans="1:10" ht="15.75" x14ac:dyDescent="0.25">
      <c r="A421" s="58" t="s">
        <v>44</v>
      </c>
      <c r="B421" s="59">
        <v>4</v>
      </c>
      <c r="C421" s="59" t="s">
        <v>55</v>
      </c>
      <c r="D421" s="59">
        <f t="shared" si="6"/>
        <v>12</v>
      </c>
      <c r="E421" s="63"/>
      <c r="F421" s="63"/>
      <c r="G421" s="62">
        <v>8</v>
      </c>
      <c r="H421" s="62">
        <v>12</v>
      </c>
      <c r="I421" s="62">
        <v>12</v>
      </c>
      <c r="J421" s="62">
        <v>20</v>
      </c>
    </row>
    <row r="422" spans="1:10" ht="15.75" x14ac:dyDescent="0.25">
      <c r="A422" s="58" t="s">
        <v>44</v>
      </c>
      <c r="B422" s="59">
        <v>5</v>
      </c>
      <c r="C422" s="59" t="s">
        <v>49</v>
      </c>
      <c r="D422" s="59">
        <f t="shared" si="6"/>
        <v>0</v>
      </c>
      <c r="E422" s="63"/>
      <c r="F422" s="63"/>
      <c r="G422" s="62"/>
      <c r="H422" s="62"/>
      <c r="I422" s="62"/>
      <c r="J422" s="62"/>
    </row>
    <row r="423" spans="1:10" ht="15.75" x14ac:dyDescent="0.25">
      <c r="A423" s="58" t="s">
        <v>44</v>
      </c>
      <c r="B423" s="59">
        <v>5</v>
      </c>
      <c r="C423" s="59" t="s">
        <v>50</v>
      </c>
      <c r="D423" s="59">
        <f t="shared" si="6"/>
        <v>11.5</v>
      </c>
      <c r="E423" s="63"/>
      <c r="F423" s="63"/>
      <c r="G423" s="62">
        <v>7</v>
      </c>
      <c r="H423" s="62">
        <v>12.5</v>
      </c>
      <c r="I423" s="62">
        <v>16.5</v>
      </c>
      <c r="J423" s="62">
        <v>22.5</v>
      </c>
    </row>
    <row r="424" spans="1:10" ht="15.75" x14ac:dyDescent="0.25">
      <c r="A424" s="58" t="s">
        <v>44</v>
      </c>
      <c r="B424" s="59">
        <v>5</v>
      </c>
      <c r="C424" s="59" t="s">
        <v>51</v>
      </c>
      <c r="D424" s="59">
        <f t="shared" si="6"/>
        <v>5.5</v>
      </c>
      <c r="E424" s="63"/>
      <c r="F424" s="63"/>
      <c r="G424" s="62"/>
      <c r="H424" s="62"/>
      <c r="I424" s="62">
        <v>16.5</v>
      </c>
      <c r="J424" s="62">
        <v>22</v>
      </c>
    </row>
    <row r="425" spans="1:10" ht="15.75" x14ac:dyDescent="0.25">
      <c r="A425" s="58" t="s">
        <v>44</v>
      </c>
      <c r="B425" s="59">
        <v>5</v>
      </c>
      <c r="C425" s="59" t="s">
        <v>52</v>
      </c>
      <c r="D425" s="59">
        <f t="shared" si="6"/>
        <v>6</v>
      </c>
      <c r="E425" s="63"/>
      <c r="F425" s="63"/>
      <c r="G425" s="62"/>
      <c r="H425" s="62"/>
      <c r="I425" s="62">
        <v>14</v>
      </c>
      <c r="J425" s="62">
        <v>20</v>
      </c>
    </row>
    <row r="426" spans="1:10" ht="15.75" x14ac:dyDescent="0.25">
      <c r="A426" s="58" t="s">
        <v>44</v>
      </c>
      <c r="B426" s="59">
        <v>5</v>
      </c>
      <c r="C426" s="59" t="s">
        <v>53</v>
      </c>
      <c r="D426" s="59">
        <f t="shared" si="6"/>
        <v>10</v>
      </c>
      <c r="E426" s="63"/>
      <c r="F426" s="63"/>
      <c r="G426" s="62">
        <v>7</v>
      </c>
      <c r="H426" s="62">
        <v>9.5</v>
      </c>
      <c r="I426" s="62">
        <v>15.5</v>
      </c>
      <c r="J426" s="62">
        <v>23</v>
      </c>
    </row>
    <row r="427" spans="1:10" ht="15.75" x14ac:dyDescent="0.25">
      <c r="A427" s="58" t="s">
        <v>44</v>
      </c>
      <c r="B427" s="59">
        <v>5</v>
      </c>
      <c r="C427" s="59" t="s">
        <v>54</v>
      </c>
      <c r="D427" s="59">
        <f t="shared" si="6"/>
        <v>0</v>
      </c>
      <c r="E427" s="63"/>
      <c r="F427" s="63"/>
      <c r="G427" s="62"/>
      <c r="H427" s="62"/>
      <c r="I427" s="62"/>
      <c r="J427" s="62"/>
    </row>
    <row r="428" spans="1:10" ht="15.75" x14ac:dyDescent="0.25">
      <c r="A428" s="58" t="s">
        <v>44</v>
      </c>
      <c r="B428" s="59">
        <v>5</v>
      </c>
      <c r="C428" s="59" t="s">
        <v>55</v>
      </c>
      <c r="D428" s="59">
        <f t="shared" si="6"/>
        <v>0</v>
      </c>
      <c r="E428" s="63"/>
      <c r="F428" s="63"/>
      <c r="G428" s="62"/>
      <c r="H428" s="62"/>
      <c r="I428" s="62"/>
      <c r="J428" s="62"/>
    </row>
    <row r="429" spans="1:10" ht="15.75" x14ac:dyDescent="0.25">
      <c r="A429" s="58" t="s">
        <v>44</v>
      </c>
      <c r="B429" s="59">
        <v>6</v>
      </c>
      <c r="C429" s="59" t="s">
        <v>49</v>
      </c>
      <c r="D429" s="59">
        <f t="shared" si="6"/>
        <v>10</v>
      </c>
      <c r="E429" s="63"/>
      <c r="F429" s="63"/>
      <c r="G429" s="62">
        <v>7</v>
      </c>
      <c r="H429" s="62">
        <v>9.5</v>
      </c>
      <c r="I429" s="62">
        <v>14</v>
      </c>
      <c r="J429" s="62">
        <v>21.5</v>
      </c>
    </row>
    <row r="430" spans="1:10" ht="15.75" x14ac:dyDescent="0.25">
      <c r="A430" s="58" t="s">
        <v>44</v>
      </c>
      <c r="B430" s="59">
        <v>6</v>
      </c>
      <c r="C430" s="59" t="s">
        <v>50</v>
      </c>
      <c r="D430" s="59">
        <f t="shared" si="6"/>
        <v>10</v>
      </c>
      <c r="E430" s="63"/>
      <c r="F430" s="63"/>
      <c r="G430" s="62">
        <v>9</v>
      </c>
      <c r="H430" s="62">
        <v>12</v>
      </c>
      <c r="I430" s="62">
        <v>12</v>
      </c>
      <c r="J430" s="62">
        <v>19</v>
      </c>
    </row>
    <row r="431" spans="1:10" ht="15.75" x14ac:dyDescent="0.25">
      <c r="A431" s="58" t="s">
        <v>44</v>
      </c>
      <c r="B431" s="59">
        <v>6</v>
      </c>
      <c r="C431" s="59" t="s">
        <v>51</v>
      </c>
      <c r="D431" s="59">
        <f t="shared" si="6"/>
        <v>8</v>
      </c>
      <c r="E431" s="63"/>
      <c r="F431" s="63"/>
      <c r="G431" s="62">
        <v>7</v>
      </c>
      <c r="H431" s="62">
        <v>9.5</v>
      </c>
      <c r="I431" s="62">
        <v>16.5</v>
      </c>
      <c r="J431" s="62">
        <v>22</v>
      </c>
    </row>
    <row r="432" spans="1:10" ht="15.75" x14ac:dyDescent="0.25">
      <c r="A432" s="58" t="s">
        <v>44</v>
      </c>
      <c r="B432" s="59">
        <v>6</v>
      </c>
      <c r="C432" s="59" t="s">
        <v>52</v>
      </c>
      <c r="D432" s="59">
        <f t="shared" si="6"/>
        <v>8.5</v>
      </c>
      <c r="E432" s="63"/>
      <c r="F432" s="63"/>
      <c r="G432" s="62"/>
      <c r="H432" s="62"/>
      <c r="I432" s="62">
        <v>14</v>
      </c>
      <c r="J432" s="62">
        <v>22.5</v>
      </c>
    </row>
    <row r="433" spans="1:10" ht="15.75" x14ac:dyDescent="0.25">
      <c r="A433" s="58" t="s">
        <v>44</v>
      </c>
      <c r="B433" s="59">
        <v>6</v>
      </c>
      <c r="C433" s="59" t="s">
        <v>53</v>
      </c>
      <c r="D433" s="59">
        <f t="shared" si="6"/>
        <v>0</v>
      </c>
      <c r="E433" s="63"/>
      <c r="F433" s="63"/>
      <c r="G433" s="62"/>
      <c r="H433" s="62"/>
      <c r="I433" s="62"/>
      <c r="J433" s="62"/>
    </row>
    <row r="434" spans="1:10" ht="15.75" x14ac:dyDescent="0.25">
      <c r="A434" s="58" t="s">
        <v>44</v>
      </c>
      <c r="B434" s="59">
        <v>6</v>
      </c>
      <c r="C434" s="59" t="s">
        <v>54</v>
      </c>
      <c r="D434" s="59">
        <f t="shared" si="6"/>
        <v>0</v>
      </c>
      <c r="E434" s="63"/>
      <c r="F434" s="63"/>
      <c r="G434" s="62"/>
      <c r="H434" s="62"/>
      <c r="I434" s="62"/>
      <c r="J434" s="62"/>
    </row>
    <row r="435" spans="1:10" ht="15.75" x14ac:dyDescent="0.25">
      <c r="A435" s="58" t="s">
        <v>44</v>
      </c>
      <c r="B435" s="59">
        <v>6</v>
      </c>
      <c r="C435" s="59" t="s">
        <v>55</v>
      </c>
      <c r="D435" s="59">
        <f t="shared" si="6"/>
        <v>0</v>
      </c>
      <c r="E435" s="63"/>
      <c r="F435" s="63"/>
      <c r="G435" s="62"/>
      <c r="H435" s="62"/>
      <c r="I435" s="62"/>
      <c r="J435" s="6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120"/>
  <sheetViews>
    <sheetView zoomScale="145" zoomScaleNormal="145" workbookViewId="0">
      <selection activeCell="D5" sqref="D5"/>
    </sheetView>
  </sheetViews>
  <sheetFormatPr baseColWidth="10" defaultColWidth="13.42578125" defaultRowHeight="15.75" x14ac:dyDescent="0.25"/>
  <cols>
    <col min="1" max="1" width="2.5703125" style="9" customWidth="1"/>
    <col min="2" max="2" width="28.28515625" style="9" customWidth="1"/>
    <col min="3" max="3" width="3.5703125" style="9" customWidth="1"/>
    <col min="4" max="4" width="35.140625" style="11" customWidth="1"/>
    <col min="5" max="5" width="3.5703125" style="9" customWidth="1"/>
    <col min="6" max="6" width="18.42578125" style="9" bestFit="1" customWidth="1"/>
    <col min="7" max="10" width="13.42578125" style="9"/>
    <col min="11" max="11" width="13.7109375" style="9" hidden="1" customWidth="1"/>
    <col min="12" max="256" width="13.42578125" style="9"/>
    <col min="257" max="257" width="2.5703125" style="9" customWidth="1"/>
    <col min="258" max="258" width="28.28515625" style="9" customWidth="1"/>
    <col min="259" max="259" width="3.5703125" style="9" customWidth="1"/>
    <col min="260" max="260" width="35.140625" style="9" customWidth="1"/>
    <col min="261" max="261" width="3.5703125" style="9" customWidth="1"/>
    <col min="262" max="262" width="18.42578125" style="9" bestFit="1" customWidth="1"/>
    <col min="263" max="266" width="13.42578125" style="9"/>
    <col min="267" max="267" width="0" style="9" hidden="1" customWidth="1"/>
    <col min="268" max="512" width="13.42578125" style="9"/>
    <col min="513" max="513" width="2.5703125" style="9" customWidth="1"/>
    <col min="514" max="514" width="28.28515625" style="9" customWidth="1"/>
    <col min="515" max="515" width="3.5703125" style="9" customWidth="1"/>
    <col min="516" max="516" width="35.140625" style="9" customWidth="1"/>
    <col min="517" max="517" width="3.5703125" style="9" customWidth="1"/>
    <col min="518" max="518" width="18.42578125" style="9" bestFit="1" customWidth="1"/>
    <col min="519" max="522" width="13.42578125" style="9"/>
    <col min="523" max="523" width="0" style="9" hidden="1" customWidth="1"/>
    <col min="524" max="768" width="13.42578125" style="9"/>
    <col min="769" max="769" width="2.5703125" style="9" customWidth="1"/>
    <col min="770" max="770" width="28.28515625" style="9" customWidth="1"/>
    <col min="771" max="771" width="3.5703125" style="9" customWidth="1"/>
    <col min="772" max="772" width="35.140625" style="9" customWidth="1"/>
    <col min="773" max="773" width="3.5703125" style="9" customWidth="1"/>
    <col min="774" max="774" width="18.42578125" style="9" bestFit="1" customWidth="1"/>
    <col min="775" max="778" width="13.42578125" style="9"/>
    <col min="779" max="779" width="0" style="9" hidden="1" customWidth="1"/>
    <col min="780" max="1024" width="13.42578125" style="9"/>
    <col min="1025" max="1025" width="2.5703125" style="9" customWidth="1"/>
    <col min="1026" max="1026" width="28.28515625" style="9" customWidth="1"/>
    <col min="1027" max="1027" width="3.5703125" style="9" customWidth="1"/>
    <col min="1028" max="1028" width="35.140625" style="9" customWidth="1"/>
    <col min="1029" max="1029" width="3.5703125" style="9" customWidth="1"/>
    <col min="1030" max="1030" width="18.42578125" style="9" bestFit="1" customWidth="1"/>
    <col min="1031" max="1034" width="13.42578125" style="9"/>
    <col min="1035" max="1035" width="0" style="9" hidden="1" customWidth="1"/>
    <col min="1036" max="1280" width="13.42578125" style="9"/>
    <col min="1281" max="1281" width="2.5703125" style="9" customWidth="1"/>
    <col min="1282" max="1282" width="28.28515625" style="9" customWidth="1"/>
    <col min="1283" max="1283" width="3.5703125" style="9" customWidth="1"/>
    <col min="1284" max="1284" width="35.140625" style="9" customWidth="1"/>
    <col min="1285" max="1285" width="3.5703125" style="9" customWidth="1"/>
    <col min="1286" max="1286" width="18.42578125" style="9" bestFit="1" customWidth="1"/>
    <col min="1287" max="1290" width="13.42578125" style="9"/>
    <col min="1291" max="1291" width="0" style="9" hidden="1" customWidth="1"/>
    <col min="1292" max="1536" width="13.42578125" style="9"/>
    <col min="1537" max="1537" width="2.5703125" style="9" customWidth="1"/>
    <col min="1538" max="1538" width="28.28515625" style="9" customWidth="1"/>
    <col min="1539" max="1539" width="3.5703125" style="9" customWidth="1"/>
    <col min="1540" max="1540" width="35.140625" style="9" customWidth="1"/>
    <col min="1541" max="1541" width="3.5703125" style="9" customWidth="1"/>
    <col min="1542" max="1542" width="18.42578125" style="9" bestFit="1" customWidth="1"/>
    <col min="1543" max="1546" width="13.42578125" style="9"/>
    <col min="1547" max="1547" width="0" style="9" hidden="1" customWidth="1"/>
    <col min="1548" max="1792" width="13.42578125" style="9"/>
    <col min="1793" max="1793" width="2.5703125" style="9" customWidth="1"/>
    <col min="1794" max="1794" width="28.28515625" style="9" customWidth="1"/>
    <col min="1795" max="1795" width="3.5703125" style="9" customWidth="1"/>
    <col min="1796" max="1796" width="35.140625" style="9" customWidth="1"/>
    <col min="1797" max="1797" width="3.5703125" style="9" customWidth="1"/>
    <col min="1798" max="1798" width="18.42578125" style="9" bestFit="1" customWidth="1"/>
    <col min="1799" max="1802" width="13.42578125" style="9"/>
    <col min="1803" max="1803" width="0" style="9" hidden="1" customWidth="1"/>
    <col min="1804" max="2048" width="13.42578125" style="9"/>
    <col min="2049" max="2049" width="2.5703125" style="9" customWidth="1"/>
    <col min="2050" max="2050" width="28.28515625" style="9" customWidth="1"/>
    <col min="2051" max="2051" width="3.5703125" style="9" customWidth="1"/>
    <col min="2052" max="2052" width="35.140625" style="9" customWidth="1"/>
    <col min="2053" max="2053" width="3.5703125" style="9" customWidth="1"/>
    <col min="2054" max="2054" width="18.42578125" style="9" bestFit="1" customWidth="1"/>
    <col min="2055" max="2058" width="13.42578125" style="9"/>
    <col min="2059" max="2059" width="0" style="9" hidden="1" customWidth="1"/>
    <col min="2060" max="2304" width="13.42578125" style="9"/>
    <col min="2305" max="2305" width="2.5703125" style="9" customWidth="1"/>
    <col min="2306" max="2306" width="28.28515625" style="9" customWidth="1"/>
    <col min="2307" max="2307" width="3.5703125" style="9" customWidth="1"/>
    <col min="2308" max="2308" width="35.140625" style="9" customWidth="1"/>
    <col min="2309" max="2309" width="3.5703125" style="9" customWidth="1"/>
    <col min="2310" max="2310" width="18.42578125" style="9" bestFit="1" customWidth="1"/>
    <col min="2311" max="2314" width="13.42578125" style="9"/>
    <col min="2315" max="2315" width="0" style="9" hidden="1" customWidth="1"/>
    <col min="2316" max="2560" width="13.42578125" style="9"/>
    <col min="2561" max="2561" width="2.5703125" style="9" customWidth="1"/>
    <col min="2562" max="2562" width="28.28515625" style="9" customWidth="1"/>
    <col min="2563" max="2563" width="3.5703125" style="9" customWidth="1"/>
    <col min="2564" max="2564" width="35.140625" style="9" customWidth="1"/>
    <col min="2565" max="2565" width="3.5703125" style="9" customWidth="1"/>
    <col min="2566" max="2566" width="18.42578125" style="9" bestFit="1" customWidth="1"/>
    <col min="2567" max="2570" width="13.42578125" style="9"/>
    <col min="2571" max="2571" width="0" style="9" hidden="1" customWidth="1"/>
    <col min="2572" max="2816" width="13.42578125" style="9"/>
    <col min="2817" max="2817" width="2.5703125" style="9" customWidth="1"/>
    <col min="2818" max="2818" width="28.28515625" style="9" customWidth="1"/>
    <col min="2819" max="2819" width="3.5703125" style="9" customWidth="1"/>
    <col min="2820" max="2820" width="35.140625" style="9" customWidth="1"/>
    <col min="2821" max="2821" width="3.5703125" style="9" customWidth="1"/>
    <col min="2822" max="2822" width="18.42578125" style="9" bestFit="1" customWidth="1"/>
    <col min="2823" max="2826" width="13.42578125" style="9"/>
    <col min="2827" max="2827" width="0" style="9" hidden="1" customWidth="1"/>
    <col min="2828" max="3072" width="13.42578125" style="9"/>
    <col min="3073" max="3073" width="2.5703125" style="9" customWidth="1"/>
    <col min="3074" max="3074" width="28.28515625" style="9" customWidth="1"/>
    <col min="3075" max="3075" width="3.5703125" style="9" customWidth="1"/>
    <col min="3076" max="3076" width="35.140625" style="9" customWidth="1"/>
    <col min="3077" max="3077" width="3.5703125" style="9" customWidth="1"/>
    <col min="3078" max="3078" width="18.42578125" style="9" bestFit="1" customWidth="1"/>
    <col min="3079" max="3082" width="13.42578125" style="9"/>
    <col min="3083" max="3083" width="0" style="9" hidden="1" customWidth="1"/>
    <col min="3084" max="3328" width="13.42578125" style="9"/>
    <col min="3329" max="3329" width="2.5703125" style="9" customWidth="1"/>
    <col min="3330" max="3330" width="28.28515625" style="9" customWidth="1"/>
    <col min="3331" max="3331" width="3.5703125" style="9" customWidth="1"/>
    <col min="3332" max="3332" width="35.140625" style="9" customWidth="1"/>
    <col min="3333" max="3333" width="3.5703125" style="9" customWidth="1"/>
    <col min="3334" max="3334" width="18.42578125" style="9" bestFit="1" customWidth="1"/>
    <col min="3335" max="3338" width="13.42578125" style="9"/>
    <col min="3339" max="3339" width="0" style="9" hidden="1" customWidth="1"/>
    <col min="3340" max="3584" width="13.42578125" style="9"/>
    <col min="3585" max="3585" width="2.5703125" style="9" customWidth="1"/>
    <col min="3586" max="3586" width="28.28515625" style="9" customWidth="1"/>
    <col min="3587" max="3587" width="3.5703125" style="9" customWidth="1"/>
    <col min="3588" max="3588" width="35.140625" style="9" customWidth="1"/>
    <col min="3589" max="3589" width="3.5703125" style="9" customWidth="1"/>
    <col min="3590" max="3590" width="18.42578125" style="9" bestFit="1" customWidth="1"/>
    <col min="3591" max="3594" width="13.42578125" style="9"/>
    <col min="3595" max="3595" width="0" style="9" hidden="1" customWidth="1"/>
    <col min="3596" max="3840" width="13.42578125" style="9"/>
    <col min="3841" max="3841" width="2.5703125" style="9" customWidth="1"/>
    <col min="3842" max="3842" width="28.28515625" style="9" customWidth="1"/>
    <col min="3843" max="3843" width="3.5703125" style="9" customWidth="1"/>
    <col min="3844" max="3844" width="35.140625" style="9" customWidth="1"/>
    <col min="3845" max="3845" width="3.5703125" style="9" customWidth="1"/>
    <col min="3846" max="3846" width="18.42578125" style="9" bestFit="1" customWidth="1"/>
    <col min="3847" max="3850" width="13.42578125" style="9"/>
    <col min="3851" max="3851" width="0" style="9" hidden="1" customWidth="1"/>
    <col min="3852" max="4096" width="13.42578125" style="9"/>
    <col min="4097" max="4097" width="2.5703125" style="9" customWidth="1"/>
    <col min="4098" max="4098" width="28.28515625" style="9" customWidth="1"/>
    <col min="4099" max="4099" width="3.5703125" style="9" customWidth="1"/>
    <col min="4100" max="4100" width="35.140625" style="9" customWidth="1"/>
    <col min="4101" max="4101" width="3.5703125" style="9" customWidth="1"/>
    <col min="4102" max="4102" width="18.42578125" style="9" bestFit="1" customWidth="1"/>
    <col min="4103" max="4106" width="13.42578125" style="9"/>
    <col min="4107" max="4107" width="0" style="9" hidden="1" customWidth="1"/>
    <col min="4108" max="4352" width="13.42578125" style="9"/>
    <col min="4353" max="4353" width="2.5703125" style="9" customWidth="1"/>
    <col min="4354" max="4354" width="28.28515625" style="9" customWidth="1"/>
    <col min="4355" max="4355" width="3.5703125" style="9" customWidth="1"/>
    <col min="4356" max="4356" width="35.140625" style="9" customWidth="1"/>
    <col min="4357" max="4357" width="3.5703125" style="9" customWidth="1"/>
    <col min="4358" max="4358" width="18.42578125" style="9" bestFit="1" customWidth="1"/>
    <col min="4359" max="4362" width="13.42578125" style="9"/>
    <col min="4363" max="4363" width="0" style="9" hidden="1" customWidth="1"/>
    <col min="4364" max="4608" width="13.42578125" style="9"/>
    <col min="4609" max="4609" width="2.5703125" style="9" customWidth="1"/>
    <col min="4610" max="4610" width="28.28515625" style="9" customWidth="1"/>
    <col min="4611" max="4611" width="3.5703125" style="9" customWidth="1"/>
    <col min="4612" max="4612" width="35.140625" style="9" customWidth="1"/>
    <col min="4613" max="4613" width="3.5703125" style="9" customWidth="1"/>
    <col min="4614" max="4614" width="18.42578125" style="9" bestFit="1" customWidth="1"/>
    <col min="4615" max="4618" width="13.42578125" style="9"/>
    <col min="4619" max="4619" width="0" style="9" hidden="1" customWidth="1"/>
    <col min="4620" max="4864" width="13.42578125" style="9"/>
    <col min="4865" max="4865" width="2.5703125" style="9" customWidth="1"/>
    <col min="4866" max="4866" width="28.28515625" style="9" customWidth="1"/>
    <col min="4867" max="4867" width="3.5703125" style="9" customWidth="1"/>
    <col min="4868" max="4868" width="35.140625" style="9" customWidth="1"/>
    <col min="4869" max="4869" width="3.5703125" style="9" customWidth="1"/>
    <col min="4870" max="4870" width="18.42578125" style="9" bestFit="1" customWidth="1"/>
    <col min="4871" max="4874" width="13.42578125" style="9"/>
    <col min="4875" max="4875" width="0" style="9" hidden="1" customWidth="1"/>
    <col min="4876" max="5120" width="13.42578125" style="9"/>
    <col min="5121" max="5121" width="2.5703125" style="9" customWidth="1"/>
    <col min="5122" max="5122" width="28.28515625" style="9" customWidth="1"/>
    <col min="5123" max="5123" width="3.5703125" style="9" customWidth="1"/>
    <col min="5124" max="5124" width="35.140625" style="9" customWidth="1"/>
    <col min="5125" max="5125" width="3.5703125" style="9" customWidth="1"/>
    <col min="5126" max="5126" width="18.42578125" style="9" bestFit="1" customWidth="1"/>
    <col min="5127" max="5130" width="13.42578125" style="9"/>
    <col min="5131" max="5131" width="0" style="9" hidden="1" customWidth="1"/>
    <col min="5132" max="5376" width="13.42578125" style="9"/>
    <col min="5377" max="5377" width="2.5703125" style="9" customWidth="1"/>
    <col min="5378" max="5378" width="28.28515625" style="9" customWidth="1"/>
    <col min="5379" max="5379" width="3.5703125" style="9" customWidth="1"/>
    <col min="5380" max="5380" width="35.140625" style="9" customWidth="1"/>
    <col min="5381" max="5381" width="3.5703125" style="9" customWidth="1"/>
    <col min="5382" max="5382" width="18.42578125" style="9" bestFit="1" customWidth="1"/>
    <col min="5383" max="5386" width="13.42578125" style="9"/>
    <col min="5387" max="5387" width="0" style="9" hidden="1" customWidth="1"/>
    <col min="5388" max="5632" width="13.42578125" style="9"/>
    <col min="5633" max="5633" width="2.5703125" style="9" customWidth="1"/>
    <col min="5634" max="5634" width="28.28515625" style="9" customWidth="1"/>
    <col min="5635" max="5635" width="3.5703125" style="9" customWidth="1"/>
    <col min="5636" max="5636" width="35.140625" style="9" customWidth="1"/>
    <col min="5637" max="5637" width="3.5703125" style="9" customWidth="1"/>
    <col min="5638" max="5638" width="18.42578125" style="9" bestFit="1" customWidth="1"/>
    <col min="5639" max="5642" width="13.42578125" style="9"/>
    <col min="5643" max="5643" width="0" style="9" hidden="1" customWidth="1"/>
    <col min="5644" max="5888" width="13.42578125" style="9"/>
    <col min="5889" max="5889" width="2.5703125" style="9" customWidth="1"/>
    <col min="5890" max="5890" width="28.28515625" style="9" customWidth="1"/>
    <col min="5891" max="5891" width="3.5703125" style="9" customWidth="1"/>
    <col min="5892" max="5892" width="35.140625" style="9" customWidth="1"/>
    <col min="5893" max="5893" width="3.5703125" style="9" customWidth="1"/>
    <col min="5894" max="5894" width="18.42578125" style="9" bestFit="1" customWidth="1"/>
    <col min="5895" max="5898" width="13.42578125" style="9"/>
    <col min="5899" max="5899" width="0" style="9" hidden="1" customWidth="1"/>
    <col min="5900" max="6144" width="13.42578125" style="9"/>
    <col min="6145" max="6145" width="2.5703125" style="9" customWidth="1"/>
    <col min="6146" max="6146" width="28.28515625" style="9" customWidth="1"/>
    <col min="6147" max="6147" width="3.5703125" style="9" customWidth="1"/>
    <col min="6148" max="6148" width="35.140625" style="9" customWidth="1"/>
    <col min="6149" max="6149" width="3.5703125" style="9" customWidth="1"/>
    <col min="6150" max="6150" width="18.42578125" style="9" bestFit="1" customWidth="1"/>
    <col min="6151" max="6154" width="13.42578125" style="9"/>
    <col min="6155" max="6155" width="0" style="9" hidden="1" customWidth="1"/>
    <col min="6156" max="6400" width="13.42578125" style="9"/>
    <col min="6401" max="6401" width="2.5703125" style="9" customWidth="1"/>
    <col min="6402" max="6402" width="28.28515625" style="9" customWidth="1"/>
    <col min="6403" max="6403" width="3.5703125" style="9" customWidth="1"/>
    <col min="6404" max="6404" width="35.140625" style="9" customWidth="1"/>
    <col min="6405" max="6405" width="3.5703125" style="9" customWidth="1"/>
    <col min="6406" max="6406" width="18.42578125" style="9" bestFit="1" customWidth="1"/>
    <col min="6407" max="6410" width="13.42578125" style="9"/>
    <col min="6411" max="6411" width="0" style="9" hidden="1" customWidth="1"/>
    <col min="6412" max="6656" width="13.42578125" style="9"/>
    <col min="6657" max="6657" width="2.5703125" style="9" customWidth="1"/>
    <col min="6658" max="6658" width="28.28515625" style="9" customWidth="1"/>
    <col min="6659" max="6659" width="3.5703125" style="9" customWidth="1"/>
    <col min="6660" max="6660" width="35.140625" style="9" customWidth="1"/>
    <col min="6661" max="6661" width="3.5703125" style="9" customWidth="1"/>
    <col min="6662" max="6662" width="18.42578125" style="9" bestFit="1" customWidth="1"/>
    <col min="6663" max="6666" width="13.42578125" style="9"/>
    <col min="6667" max="6667" width="0" style="9" hidden="1" customWidth="1"/>
    <col min="6668" max="6912" width="13.42578125" style="9"/>
    <col min="6913" max="6913" width="2.5703125" style="9" customWidth="1"/>
    <col min="6914" max="6914" width="28.28515625" style="9" customWidth="1"/>
    <col min="6915" max="6915" width="3.5703125" style="9" customWidth="1"/>
    <col min="6916" max="6916" width="35.140625" style="9" customWidth="1"/>
    <col min="6917" max="6917" width="3.5703125" style="9" customWidth="1"/>
    <col min="6918" max="6918" width="18.42578125" style="9" bestFit="1" customWidth="1"/>
    <col min="6919" max="6922" width="13.42578125" style="9"/>
    <col min="6923" max="6923" width="0" style="9" hidden="1" customWidth="1"/>
    <col min="6924" max="7168" width="13.42578125" style="9"/>
    <col min="7169" max="7169" width="2.5703125" style="9" customWidth="1"/>
    <col min="7170" max="7170" width="28.28515625" style="9" customWidth="1"/>
    <col min="7171" max="7171" width="3.5703125" style="9" customWidth="1"/>
    <col min="7172" max="7172" width="35.140625" style="9" customWidth="1"/>
    <col min="7173" max="7173" width="3.5703125" style="9" customWidth="1"/>
    <col min="7174" max="7174" width="18.42578125" style="9" bestFit="1" customWidth="1"/>
    <col min="7175" max="7178" width="13.42578125" style="9"/>
    <col min="7179" max="7179" width="0" style="9" hidden="1" customWidth="1"/>
    <col min="7180" max="7424" width="13.42578125" style="9"/>
    <col min="7425" max="7425" width="2.5703125" style="9" customWidth="1"/>
    <col min="7426" max="7426" width="28.28515625" style="9" customWidth="1"/>
    <col min="7427" max="7427" width="3.5703125" style="9" customWidth="1"/>
    <col min="7428" max="7428" width="35.140625" style="9" customWidth="1"/>
    <col min="7429" max="7429" width="3.5703125" style="9" customWidth="1"/>
    <col min="7430" max="7430" width="18.42578125" style="9" bestFit="1" customWidth="1"/>
    <col min="7431" max="7434" width="13.42578125" style="9"/>
    <col min="7435" max="7435" width="0" style="9" hidden="1" customWidth="1"/>
    <col min="7436" max="7680" width="13.42578125" style="9"/>
    <col min="7681" max="7681" width="2.5703125" style="9" customWidth="1"/>
    <col min="7682" max="7682" width="28.28515625" style="9" customWidth="1"/>
    <col min="7683" max="7683" width="3.5703125" style="9" customWidth="1"/>
    <col min="7684" max="7684" width="35.140625" style="9" customWidth="1"/>
    <col min="7685" max="7685" width="3.5703125" style="9" customWidth="1"/>
    <col min="7686" max="7686" width="18.42578125" style="9" bestFit="1" customWidth="1"/>
    <col min="7687" max="7690" width="13.42578125" style="9"/>
    <col min="7691" max="7691" width="0" style="9" hidden="1" customWidth="1"/>
    <col min="7692" max="7936" width="13.42578125" style="9"/>
    <col min="7937" max="7937" width="2.5703125" style="9" customWidth="1"/>
    <col min="7938" max="7938" width="28.28515625" style="9" customWidth="1"/>
    <col min="7939" max="7939" width="3.5703125" style="9" customWidth="1"/>
    <col min="7940" max="7940" width="35.140625" style="9" customWidth="1"/>
    <col min="7941" max="7941" width="3.5703125" style="9" customWidth="1"/>
    <col min="7942" max="7942" width="18.42578125" style="9" bestFit="1" customWidth="1"/>
    <col min="7943" max="7946" width="13.42578125" style="9"/>
    <col min="7947" max="7947" width="0" style="9" hidden="1" customWidth="1"/>
    <col min="7948" max="8192" width="13.42578125" style="9"/>
    <col min="8193" max="8193" width="2.5703125" style="9" customWidth="1"/>
    <col min="8194" max="8194" width="28.28515625" style="9" customWidth="1"/>
    <col min="8195" max="8195" width="3.5703125" style="9" customWidth="1"/>
    <col min="8196" max="8196" width="35.140625" style="9" customWidth="1"/>
    <col min="8197" max="8197" width="3.5703125" style="9" customWidth="1"/>
    <col min="8198" max="8198" width="18.42578125" style="9" bestFit="1" customWidth="1"/>
    <col min="8199" max="8202" width="13.42578125" style="9"/>
    <col min="8203" max="8203" width="0" style="9" hidden="1" customWidth="1"/>
    <col min="8204" max="8448" width="13.42578125" style="9"/>
    <col min="8449" max="8449" width="2.5703125" style="9" customWidth="1"/>
    <col min="8450" max="8450" width="28.28515625" style="9" customWidth="1"/>
    <col min="8451" max="8451" width="3.5703125" style="9" customWidth="1"/>
    <col min="8452" max="8452" width="35.140625" style="9" customWidth="1"/>
    <col min="8453" max="8453" width="3.5703125" style="9" customWidth="1"/>
    <col min="8454" max="8454" width="18.42578125" style="9" bestFit="1" customWidth="1"/>
    <col min="8455" max="8458" width="13.42578125" style="9"/>
    <col min="8459" max="8459" width="0" style="9" hidden="1" customWidth="1"/>
    <col min="8460" max="8704" width="13.42578125" style="9"/>
    <col min="8705" max="8705" width="2.5703125" style="9" customWidth="1"/>
    <col min="8706" max="8706" width="28.28515625" style="9" customWidth="1"/>
    <col min="8707" max="8707" width="3.5703125" style="9" customWidth="1"/>
    <col min="8708" max="8708" width="35.140625" style="9" customWidth="1"/>
    <col min="8709" max="8709" width="3.5703125" style="9" customWidth="1"/>
    <col min="8710" max="8710" width="18.42578125" style="9" bestFit="1" customWidth="1"/>
    <col min="8711" max="8714" width="13.42578125" style="9"/>
    <col min="8715" max="8715" width="0" style="9" hidden="1" customWidth="1"/>
    <col min="8716" max="8960" width="13.42578125" style="9"/>
    <col min="8961" max="8961" width="2.5703125" style="9" customWidth="1"/>
    <col min="8962" max="8962" width="28.28515625" style="9" customWidth="1"/>
    <col min="8963" max="8963" width="3.5703125" style="9" customWidth="1"/>
    <col min="8964" max="8964" width="35.140625" style="9" customWidth="1"/>
    <col min="8965" max="8965" width="3.5703125" style="9" customWidth="1"/>
    <col min="8966" max="8966" width="18.42578125" style="9" bestFit="1" customWidth="1"/>
    <col min="8967" max="8970" width="13.42578125" style="9"/>
    <col min="8971" max="8971" width="0" style="9" hidden="1" customWidth="1"/>
    <col min="8972" max="9216" width="13.42578125" style="9"/>
    <col min="9217" max="9217" width="2.5703125" style="9" customWidth="1"/>
    <col min="9218" max="9218" width="28.28515625" style="9" customWidth="1"/>
    <col min="9219" max="9219" width="3.5703125" style="9" customWidth="1"/>
    <col min="9220" max="9220" width="35.140625" style="9" customWidth="1"/>
    <col min="9221" max="9221" width="3.5703125" style="9" customWidth="1"/>
    <col min="9222" max="9222" width="18.42578125" style="9" bestFit="1" customWidth="1"/>
    <col min="9223" max="9226" width="13.42578125" style="9"/>
    <col min="9227" max="9227" width="0" style="9" hidden="1" customWidth="1"/>
    <col min="9228" max="9472" width="13.42578125" style="9"/>
    <col min="9473" max="9473" width="2.5703125" style="9" customWidth="1"/>
    <col min="9474" max="9474" width="28.28515625" style="9" customWidth="1"/>
    <col min="9475" max="9475" width="3.5703125" style="9" customWidth="1"/>
    <col min="9476" max="9476" width="35.140625" style="9" customWidth="1"/>
    <col min="9477" max="9477" width="3.5703125" style="9" customWidth="1"/>
    <col min="9478" max="9478" width="18.42578125" style="9" bestFit="1" customWidth="1"/>
    <col min="9479" max="9482" width="13.42578125" style="9"/>
    <col min="9483" max="9483" width="0" style="9" hidden="1" customWidth="1"/>
    <col min="9484" max="9728" width="13.42578125" style="9"/>
    <col min="9729" max="9729" width="2.5703125" style="9" customWidth="1"/>
    <col min="9730" max="9730" width="28.28515625" style="9" customWidth="1"/>
    <col min="9731" max="9731" width="3.5703125" style="9" customWidth="1"/>
    <col min="9732" max="9732" width="35.140625" style="9" customWidth="1"/>
    <col min="9733" max="9733" width="3.5703125" style="9" customWidth="1"/>
    <col min="9734" max="9734" width="18.42578125" style="9" bestFit="1" customWidth="1"/>
    <col min="9735" max="9738" width="13.42578125" style="9"/>
    <col min="9739" max="9739" width="0" style="9" hidden="1" customWidth="1"/>
    <col min="9740" max="9984" width="13.42578125" style="9"/>
    <col min="9985" max="9985" width="2.5703125" style="9" customWidth="1"/>
    <col min="9986" max="9986" width="28.28515625" style="9" customWidth="1"/>
    <col min="9987" max="9987" width="3.5703125" style="9" customWidth="1"/>
    <col min="9988" max="9988" width="35.140625" style="9" customWidth="1"/>
    <col min="9989" max="9989" width="3.5703125" style="9" customWidth="1"/>
    <col min="9990" max="9990" width="18.42578125" style="9" bestFit="1" customWidth="1"/>
    <col min="9991" max="9994" width="13.42578125" style="9"/>
    <col min="9995" max="9995" width="0" style="9" hidden="1" customWidth="1"/>
    <col min="9996" max="10240" width="13.42578125" style="9"/>
    <col min="10241" max="10241" width="2.5703125" style="9" customWidth="1"/>
    <col min="10242" max="10242" width="28.28515625" style="9" customWidth="1"/>
    <col min="10243" max="10243" width="3.5703125" style="9" customWidth="1"/>
    <col min="10244" max="10244" width="35.140625" style="9" customWidth="1"/>
    <col min="10245" max="10245" width="3.5703125" style="9" customWidth="1"/>
    <col min="10246" max="10246" width="18.42578125" style="9" bestFit="1" customWidth="1"/>
    <col min="10247" max="10250" width="13.42578125" style="9"/>
    <col min="10251" max="10251" width="0" style="9" hidden="1" customWidth="1"/>
    <col min="10252" max="10496" width="13.42578125" style="9"/>
    <col min="10497" max="10497" width="2.5703125" style="9" customWidth="1"/>
    <col min="10498" max="10498" width="28.28515625" style="9" customWidth="1"/>
    <col min="10499" max="10499" width="3.5703125" style="9" customWidth="1"/>
    <col min="10500" max="10500" width="35.140625" style="9" customWidth="1"/>
    <col min="10501" max="10501" width="3.5703125" style="9" customWidth="1"/>
    <col min="10502" max="10502" width="18.42578125" style="9" bestFit="1" customWidth="1"/>
    <col min="10503" max="10506" width="13.42578125" style="9"/>
    <col min="10507" max="10507" width="0" style="9" hidden="1" customWidth="1"/>
    <col min="10508" max="10752" width="13.42578125" style="9"/>
    <col min="10753" max="10753" width="2.5703125" style="9" customWidth="1"/>
    <col min="10754" max="10754" width="28.28515625" style="9" customWidth="1"/>
    <col min="10755" max="10755" width="3.5703125" style="9" customWidth="1"/>
    <col min="10756" max="10756" width="35.140625" style="9" customWidth="1"/>
    <col min="10757" max="10757" width="3.5703125" style="9" customWidth="1"/>
    <col min="10758" max="10758" width="18.42578125" style="9" bestFit="1" customWidth="1"/>
    <col min="10759" max="10762" width="13.42578125" style="9"/>
    <col min="10763" max="10763" width="0" style="9" hidden="1" customWidth="1"/>
    <col min="10764" max="11008" width="13.42578125" style="9"/>
    <col min="11009" max="11009" width="2.5703125" style="9" customWidth="1"/>
    <col min="11010" max="11010" width="28.28515625" style="9" customWidth="1"/>
    <col min="11011" max="11011" width="3.5703125" style="9" customWidth="1"/>
    <col min="11012" max="11012" width="35.140625" style="9" customWidth="1"/>
    <col min="11013" max="11013" width="3.5703125" style="9" customWidth="1"/>
    <col min="11014" max="11014" width="18.42578125" style="9" bestFit="1" customWidth="1"/>
    <col min="11015" max="11018" width="13.42578125" style="9"/>
    <col min="11019" max="11019" width="0" style="9" hidden="1" customWidth="1"/>
    <col min="11020" max="11264" width="13.42578125" style="9"/>
    <col min="11265" max="11265" width="2.5703125" style="9" customWidth="1"/>
    <col min="11266" max="11266" width="28.28515625" style="9" customWidth="1"/>
    <col min="11267" max="11267" width="3.5703125" style="9" customWidth="1"/>
    <col min="11268" max="11268" width="35.140625" style="9" customWidth="1"/>
    <col min="11269" max="11269" width="3.5703125" style="9" customWidth="1"/>
    <col min="11270" max="11270" width="18.42578125" style="9" bestFit="1" customWidth="1"/>
    <col min="11271" max="11274" width="13.42578125" style="9"/>
    <col min="11275" max="11275" width="0" style="9" hidden="1" customWidth="1"/>
    <col min="11276" max="11520" width="13.42578125" style="9"/>
    <col min="11521" max="11521" width="2.5703125" style="9" customWidth="1"/>
    <col min="11522" max="11522" width="28.28515625" style="9" customWidth="1"/>
    <col min="11523" max="11523" width="3.5703125" style="9" customWidth="1"/>
    <col min="11524" max="11524" width="35.140625" style="9" customWidth="1"/>
    <col min="11525" max="11525" width="3.5703125" style="9" customWidth="1"/>
    <col min="11526" max="11526" width="18.42578125" style="9" bestFit="1" customWidth="1"/>
    <col min="11527" max="11530" width="13.42578125" style="9"/>
    <col min="11531" max="11531" width="0" style="9" hidden="1" customWidth="1"/>
    <col min="11532" max="11776" width="13.42578125" style="9"/>
    <col min="11777" max="11777" width="2.5703125" style="9" customWidth="1"/>
    <col min="11778" max="11778" width="28.28515625" style="9" customWidth="1"/>
    <col min="11779" max="11779" width="3.5703125" style="9" customWidth="1"/>
    <col min="11780" max="11780" width="35.140625" style="9" customWidth="1"/>
    <col min="11781" max="11781" width="3.5703125" style="9" customWidth="1"/>
    <col min="11782" max="11782" width="18.42578125" style="9" bestFit="1" customWidth="1"/>
    <col min="11783" max="11786" width="13.42578125" style="9"/>
    <col min="11787" max="11787" width="0" style="9" hidden="1" customWidth="1"/>
    <col min="11788" max="12032" width="13.42578125" style="9"/>
    <col min="12033" max="12033" width="2.5703125" style="9" customWidth="1"/>
    <col min="12034" max="12034" width="28.28515625" style="9" customWidth="1"/>
    <col min="12035" max="12035" width="3.5703125" style="9" customWidth="1"/>
    <col min="12036" max="12036" width="35.140625" style="9" customWidth="1"/>
    <col min="12037" max="12037" width="3.5703125" style="9" customWidth="1"/>
    <col min="12038" max="12038" width="18.42578125" style="9" bestFit="1" customWidth="1"/>
    <col min="12039" max="12042" width="13.42578125" style="9"/>
    <col min="12043" max="12043" width="0" style="9" hidden="1" customWidth="1"/>
    <col min="12044" max="12288" width="13.42578125" style="9"/>
    <col min="12289" max="12289" width="2.5703125" style="9" customWidth="1"/>
    <col min="12290" max="12290" width="28.28515625" style="9" customWidth="1"/>
    <col min="12291" max="12291" width="3.5703125" style="9" customWidth="1"/>
    <col min="12292" max="12292" width="35.140625" style="9" customWidth="1"/>
    <col min="12293" max="12293" width="3.5703125" style="9" customWidth="1"/>
    <col min="12294" max="12294" width="18.42578125" style="9" bestFit="1" customWidth="1"/>
    <col min="12295" max="12298" width="13.42578125" style="9"/>
    <col min="12299" max="12299" width="0" style="9" hidden="1" customWidth="1"/>
    <col min="12300" max="12544" width="13.42578125" style="9"/>
    <col min="12545" max="12545" width="2.5703125" style="9" customWidth="1"/>
    <col min="12546" max="12546" width="28.28515625" style="9" customWidth="1"/>
    <col min="12547" max="12547" width="3.5703125" style="9" customWidth="1"/>
    <col min="12548" max="12548" width="35.140625" style="9" customWidth="1"/>
    <col min="12549" max="12549" width="3.5703125" style="9" customWidth="1"/>
    <col min="12550" max="12550" width="18.42578125" style="9" bestFit="1" customWidth="1"/>
    <col min="12551" max="12554" width="13.42578125" style="9"/>
    <col min="12555" max="12555" width="0" style="9" hidden="1" customWidth="1"/>
    <col min="12556" max="12800" width="13.42578125" style="9"/>
    <col min="12801" max="12801" width="2.5703125" style="9" customWidth="1"/>
    <col min="12802" max="12802" width="28.28515625" style="9" customWidth="1"/>
    <col min="12803" max="12803" width="3.5703125" style="9" customWidth="1"/>
    <col min="12804" max="12804" width="35.140625" style="9" customWidth="1"/>
    <col min="12805" max="12805" width="3.5703125" style="9" customWidth="1"/>
    <col min="12806" max="12806" width="18.42578125" style="9" bestFit="1" customWidth="1"/>
    <col min="12807" max="12810" width="13.42578125" style="9"/>
    <col min="12811" max="12811" width="0" style="9" hidden="1" customWidth="1"/>
    <col min="12812" max="13056" width="13.42578125" style="9"/>
    <col min="13057" max="13057" width="2.5703125" style="9" customWidth="1"/>
    <col min="13058" max="13058" width="28.28515625" style="9" customWidth="1"/>
    <col min="13059" max="13059" width="3.5703125" style="9" customWidth="1"/>
    <col min="13060" max="13060" width="35.140625" style="9" customWidth="1"/>
    <col min="13061" max="13061" width="3.5703125" style="9" customWidth="1"/>
    <col min="13062" max="13062" width="18.42578125" style="9" bestFit="1" customWidth="1"/>
    <col min="13063" max="13066" width="13.42578125" style="9"/>
    <col min="13067" max="13067" width="0" style="9" hidden="1" customWidth="1"/>
    <col min="13068" max="13312" width="13.42578125" style="9"/>
    <col min="13313" max="13313" width="2.5703125" style="9" customWidth="1"/>
    <col min="13314" max="13314" width="28.28515625" style="9" customWidth="1"/>
    <col min="13315" max="13315" width="3.5703125" style="9" customWidth="1"/>
    <col min="13316" max="13316" width="35.140625" style="9" customWidth="1"/>
    <col min="13317" max="13317" width="3.5703125" style="9" customWidth="1"/>
    <col min="13318" max="13318" width="18.42578125" style="9" bestFit="1" customWidth="1"/>
    <col min="13319" max="13322" width="13.42578125" style="9"/>
    <col min="13323" max="13323" width="0" style="9" hidden="1" customWidth="1"/>
    <col min="13324" max="13568" width="13.42578125" style="9"/>
    <col min="13569" max="13569" width="2.5703125" style="9" customWidth="1"/>
    <col min="13570" max="13570" width="28.28515625" style="9" customWidth="1"/>
    <col min="13571" max="13571" width="3.5703125" style="9" customWidth="1"/>
    <col min="13572" max="13572" width="35.140625" style="9" customWidth="1"/>
    <col min="13573" max="13573" width="3.5703125" style="9" customWidth="1"/>
    <col min="13574" max="13574" width="18.42578125" style="9" bestFit="1" customWidth="1"/>
    <col min="13575" max="13578" width="13.42578125" style="9"/>
    <col min="13579" max="13579" width="0" style="9" hidden="1" customWidth="1"/>
    <col min="13580" max="13824" width="13.42578125" style="9"/>
    <col min="13825" max="13825" width="2.5703125" style="9" customWidth="1"/>
    <col min="13826" max="13826" width="28.28515625" style="9" customWidth="1"/>
    <col min="13827" max="13827" width="3.5703125" style="9" customWidth="1"/>
    <col min="13828" max="13828" width="35.140625" style="9" customWidth="1"/>
    <col min="13829" max="13829" width="3.5703125" style="9" customWidth="1"/>
    <col min="13830" max="13830" width="18.42578125" style="9" bestFit="1" customWidth="1"/>
    <col min="13831" max="13834" width="13.42578125" style="9"/>
    <col min="13835" max="13835" width="0" style="9" hidden="1" customWidth="1"/>
    <col min="13836" max="14080" width="13.42578125" style="9"/>
    <col min="14081" max="14081" width="2.5703125" style="9" customWidth="1"/>
    <col min="14082" max="14082" width="28.28515625" style="9" customWidth="1"/>
    <col min="14083" max="14083" width="3.5703125" style="9" customWidth="1"/>
    <col min="14084" max="14084" width="35.140625" style="9" customWidth="1"/>
    <col min="14085" max="14085" width="3.5703125" style="9" customWidth="1"/>
    <col min="14086" max="14086" width="18.42578125" style="9" bestFit="1" customWidth="1"/>
    <col min="14087" max="14090" width="13.42578125" style="9"/>
    <col min="14091" max="14091" width="0" style="9" hidden="1" customWidth="1"/>
    <col min="14092" max="14336" width="13.42578125" style="9"/>
    <col min="14337" max="14337" width="2.5703125" style="9" customWidth="1"/>
    <col min="14338" max="14338" width="28.28515625" style="9" customWidth="1"/>
    <col min="14339" max="14339" width="3.5703125" style="9" customWidth="1"/>
    <col min="14340" max="14340" width="35.140625" style="9" customWidth="1"/>
    <col min="14341" max="14341" width="3.5703125" style="9" customWidth="1"/>
    <col min="14342" max="14342" width="18.42578125" style="9" bestFit="1" customWidth="1"/>
    <col min="14343" max="14346" width="13.42578125" style="9"/>
    <col min="14347" max="14347" width="0" style="9" hidden="1" customWidth="1"/>
    <col min="14348" max="14592" width="13.42578125" style="9"/>
    <col min="14593" max="14593" width="2.5703125" style="9" customWidth="1"/>
    <col min="14594" max="14594" width="28.28515625" style="9" customWidth="1"/>
    <col min="14595" max="14595" width="3.5703125" style="9" customWidth="1"/>
    <col min="14596" max="14596" width="35.140625" style="9" customWidth="1"/>
    <col min="14597" max="14597" width="3.5703125" style="9" customWidth="1"/>
    <col min="14598" max="14598" width="18.42578125" style="9" bestFit="1" customWidth="1"/>
    <col min="14599" max="14602" width="13.42578125" style="9"/>
    <col min="14603" max="14603" width="0" style="9" hidden="1" customWidth="1"/>
    <col min="14604" max="14848" width="13.42578125" style="9"/>
    <col min="14849" max="14849" width="2.5703125" style="9" customWidth="1"/>
    <col min="14850" max="14850" width="28.28515625" style="9" customWidth="1"/>
    <col min="14851" max="14851" width="3.5703125" style="9" customWidth="1"/>
    <col min="14852" max="14852" width="35.140625" style="9" customWidth="1"/>
    <col min="14853" max="14853" width="3.5703125" style="9" customWidth="1"/>
    <col min="14854" max="14854" width="18.42578125" style="9" bestFit="1" customWidth="1"/>
    <col min="14855" max="14858" width="13.42578125" style="9"/>
    <col min="14859" max="14859" width="0" style="9" hidden="1" customWidth="1"/>
    <col min="14860" max="15104" width="13.42578125" style="9"/>
    <col min="15105" max="15105" width="2.5703125" style="9" customWidth="1"/>
    <col min="15106" max="15106" width="28.28515625" style="9" customWidth="1"/>
    <col min="15107" max="15107" width="3.5703125" style="9" customWidth="1"/>
    <col min="15108" max="15108" width="35.140625" style="9" customWidth="1"/>
    <col min="15109" max="15109" width="3.5703125" style="9" customWidth="1"/>
    <col min="15110" max="15110" width="18.42578125" style="9" bestFit="1" customWidth="1"/>
    <col min="15111" max="15114" width="13.42578125" style="9"/>
    <col min="15115" max="15115" width="0" style="9" hidden="1" customWidth="1"/>
    <col min="15116" max="15360" width="13.42578125" style="9"/>
    <col min="15361" max="15361" width="2.5703125" style="9" customWidth="1"/>
    <col min="15362" max="15362" width="28.28515625" style="9" customWidth="1"/>
    <col min="15363" max="15363" width="3.5703125" style="9" customWidth="1"/>
    <col min="15364" max="15364" width="35.140625" style="9" customWidth="1"/>
    <col min="15365" max="15365" width="3.5703125" style="9" customWidth="1"/>
    <col min="15366" max="15366" width="18.42578125" style="9" bestFit="1" customWidth="1"/>
    <col min="15367" max="15370" width="13.42578125" style="9"/>
    <col min="15371" max="15371" width="0" style="9" hidden="1" customWidth="1"/>
    <col min="15372" max="15616" width="13.42578125" style="9"/>
    <col min="15617" max="15617" width="2.5703125" style="9" customWidth="1"/>
    <col min="15618" max="15618" width="28.28515625" style="9" customWidth="1"/>
    <col min="15619" max="15619" width="3.5703125" style="9" customWidth="1"/>
    <col min="15620" max="15620" width="35.140625" style="9" customWidth="1"/>
    <col min="15621" max="15621" width="3.5703125" style="9" customWidth="1"/>
    <col min="15622" max="15622" width="18.42578125" style="9" bestFit="1" customWidth="1"/>
    <col min="15623" max="15626" width="13.42578125" style="9"/>
    <col min="15627" max="15627" width="0" style="9" hidden="1" customWidth="1"/>
    <col min="15628" max="15872" width="13.42578125" style="9"/>
    <col min="15873" max="15873" width="2.5703125" style="9" customWidth="1"/>
    <col min="15874" max="15874" width="28.28515625" style="9" customWidth="1"/>
    <col min="15875" max="15875" width="3.5703125" style="9" customWidth="1"/>
    <col min="15876" max="15876" width="35.140625" style="9" customWidth="1"/>
    <col min="15877" max="15877" width="3.5703125" style="9" customWidth="1"/>
    <col min="15878" max="15878" width="18.42578125" style="9" bestFit="1" customWidth="1"/>
    <col min="15879" max="15882" width="13.42578125" style="9"/>
    <col min="15883" max="15883" width="0" style="9" hidden="1" customWidth="1"/>
    <col min="15884" max="16128" width="13.42578125" style="9"/>
    <col min="16129" max="16129" width="2.5703125" style="9" customWidth="1"/>
    <col min="16130" max="16130" width="28.28515625" style="9" customWidth="1"/>
    <col min="16131" max="16131" width="3.5703125" style="9" customWidth="1"/>
    <col min="16132" max="16132" width="35.140625" style="9" customWidth="1"/>
    <col min="16133" max="16133" width="3.5703125" style="9" customWidth="1"/>
    <col min="16134" max="16134" width="18.42578125" style="9" bestFit="1" customWidth="1"/>
    <col min="16135" max="16138" width="13.42578125" style="9"/>
    <col min="16139" max="16139" width="0" style="9" hidden="1" customWidth="1"/>
    <col min="16140" max="16384" width="13.42578125" style="9"/>
  </cols>
  <sheetData>
    <row r="1" spans="2:11" x14ac:dyDescent="0.25">
      <c r="B1" s="16">
        <v>2011</v>
      </c>
      <c r="C1" s="16" t="s">
        <v>71</v>
      </c>
      <c r="D1" s="16">
        <f>B1+8</f>
        <v>2019</v>
      </c>
      <c r="K1" s="10">
        <v>2000</v>
      </c>
    </row>
    <row r="2" spans="2:11" x14ac:dyDescent="0.25">
      <c r="K2" s="10">
        <v>2001</v>
      </c>
    </row>
    <row r="3" spans="2:11" x14ac:dyDescent="0.25">
      <c r="B3" s="12"/>
      <c r="C3" s="12"/>
      <c r="D3" s="13"/>
      <c r="K3" s="10">
        <v>2002</v>
      </c>
    </row>
    <row r="4" spans="2:11" x14ac:dyDescent="0.25">
      <c r="B4" s="17" t="s">
        <v>57</v>
      </c>
      <c r="C4" s="18"/>
      <c r="D4" s="19">
        <f>DATE(An,1,1)</f>
        <v>40544</v>
      </c>
      <c r="F4" s="14"/>
      <c r="K4" s="10">
        <v>2003</v>
      </c>
    </row>
    <row r="5" spans="2:11" x14ac:dyDescent="0.25">
      <c r="B5" s="17" t="s">
        <v>58</v>
      </c>
      <c r="C5" s="18"/>
      <c r="D5" s="20">
        <f>FLOOR(DATE(An,5,DAY(MINUTE(An/38)/2+56)),7)-34+7*(An=2079)</f>
        <v>40657</v>
      </c>
      <c r="F5" s="14"/>
      <c r="K5" s="10">
        <v>2004</v>
      </c>
    </row>
    <row r="6" spans="2:11" x14ac:dyDescent="0.25">
      <c r="B6" s="17" t="s">
        <v>59</v>
      </c>
      <c r="C6" s="18"/>
      <c r="D6" s="20">
        <f>D5+1</f>
        <v>40658</v>
      </c>
      <c r="F6" s="15"/>
      <c r="K6" s="10">
        <v>2005</v>
      </c>
    </row>
    <row r="7" spans="2:11" x14ac:dyDescent="0.25">
      <c r="B7" s="17" t="s">
        <v>60</v>
      </c>
      <c r="C7" s="18"/>
      <c r="D7" s="20">
        <f>DATE(An,5,1)</f>
        <v>40664</v>
      </c>
      <c r="K7" s="10">
        <v>2006</v>
      </c>
    </row>
    <row r="8" spans="2:11" x14ac:dyDescent="0.25">
      <c r="B8" s="17" t="s">
        <v>61</v>
      </c>
      <c r="C8" s="18"/>
      <c r="D8" s="20">
        <f>DATE(An,5,8)</f>
        <v>40671</v>
      </c>
      <c r="K8" s="10">
        <v>2007</v>
      </c>
    </row>
    <row r="9" spans="2:11" x14ac:dyDescent="0.25">
      <c r="B9" s="17" t="s">
        <v>62</v>
      </c>
      <c r="C9" s="18"/>
      <c r="D9" s="20">
        <f>D5+39</f>
        <v>40696</v>
      </c>
      <c r="K9" s="10">
        <v>2008</v>
      </c>
    </row>
    <row r="10" spans="2:11" x14ac:dyDescent="0.25">
      <c r="B10" s="17" t="s">
        <v>63</v>
      </c>
      <c r="C10" s="18"/>
      <c r="D10" s="19">
        <f>D5+49</f>
        <v>40706</v>
      </c>
      <c r="K10" s="10">
        <v>2009</v>
      </c>
    </row>
    <row r="11" spans="2:11" x14ac:dyDescent="0.25">
      <c r="B11" s="17" t="s">
        <v>64</v>
      </c>
      <c r="C11" s="18"/>
      <c r="D11" s="19">
        <f>D10+1</f>
        <v>40707</v>
      </c>
      <c r="K11" s="10">
        <v>2010</v>
      </c>
    </row>
    <row r="12" spans="2:11" x14ac:dyDescent="0.25">
      <c r="B12" s="17" t="s">
        <v>65</v>
      </c>
      <c r="C12" s="18"/>
      <c r="D12" s="19">
        <f>DATE(An,7,14)</f>
        <v>40738</v>
      </c>
      <c r="K12" s="10">
        <v>2011</v>
      </c>
    </row>
    <row r="13" spans="2:11" x14ac:dyDescent="0.25">
      <c r="B13" s="17" t="s">
        <v>66</v>
      </c>
      <c r="C13" s="18"/>
      <c r="D13" s="19">
        <f>DATE(An,8,15)</f>
        <v>40770</v>
      </c>
      <c r="F13" s="14"/>
      <c r="K13" s="10">
        <v>2012</v>
      </c>
    </row>
    <row r="14" spans="2:11" x14ac:dyDescent="0.25">
      <c r="B14" s="17" t="s">
        <v>67</v>
      </c>
      <c r="C14" s="18"/>
      <c r="D14" s="19">
        <f>DATE(An,11,1)</f>
        <v>40848</v>
      </c>
      <c r="K14" s="10">
        <v>2013</v>
      </c>
    </row>
    <row r="15" spans="2:11" x14ac:dyDescent="0.25">
      <c r="B15" s="17" t="s">
        <v>68</v>
      </c>
      <c r="C15" s="18"/>
      <c r="D15" s="19">
        <f>DATE(An,11,11)</f>
        <v>40858</v>
      </c>
      <c r="K15" s="10">
        <v>2014</v>
      </c>
    </row>
    <row r="16" spans="2:11" x14ac:dyDescent="0.25">
      <c r="B16" s="17" t="s">
        <v>69</v>
      </c>
      <c r="C16" s="18"/>
      <c r="D16" s="19">
        <f>DATE(An,12,25)</f>
        <v>40902</v>
      </c>
      <c r="K16" s="10">
        <v>2015</v>
      </c>
    </row>
    <row r="17" spans="2:4" x14ac:dyDescent="0.25">
      <c r="B17" s="17" t="s">
        <v>72</v>
      </c>
      <c r="C17" s="18"/>
      <c r="D17" s="19">
        <f>DATE(An+1,1,1)</f>
        <v>40909</v>
      </c>
    </row>
    <row r="18" spans="2:4" x14ac:dyDescent="0.25">
      <c r="B18" s="17" t="s">
        <v>58</v>
      </c>
      <c r="C18" s="18"/>
      <c r="D18" s="20">
        <f>FLOOR(DATE(An+1,5,DAY(MINUTE((An+1)/38)/2+56)),7)-34+7*(An+1=2079)</f>
        <v>41007</v>
      </c>
    </row>
    <row r="19" spans="2:4" x14ac:dyDescent="0.25">
      <c r="B19" s="17" t="s">
        <v>59</v>
      </c>
      <c r="C19" s="18"/>
      <c r="D19" s="20">
        <f>D18+1</f>
        <v>41008</v>
      </c>
    </row>
    <row r="20" spans="2:4" x14ac:dyDescent="0.25">
      <c r="B20" s="17" t="s">
        <v>60</v>
      </c>
      <c r="C20" s="18"/>
      <c r="D20" s="20">
        <f>DATE(An+1,5,1)</f>
        <v>41030</v>
      </c>
    </row>
    <row r="21" spans="2:4" x14ac:dyDescent="0.25">
      <c r="B21" s="17" t="s">
        <v>61</v>
      </c>
      <c r="C21" s="18"/>
      <c r="D21" s="20">
        <f>DATE(An+1,5,8)</f>
        <v>41037</v>
      </c>
    </row>
    <row r="22" spans="2:4" x14ac:dyDescent="0.25">
      <c r="B22" s="17" t="s">
        <v>62</v>
      </c>
      <c r="C22" s="18"/>
      <c r="D22" s="20">
        <f>D18+39</f>
        <v>41046</v>
      </c>
    </row>
    <row r="23" spans="2:4" x14ac:dyDescent="0.25">
      <c r="B23" s="17" t="s">
        <v>63</v>
      </c>
      <c r="C23" s="18"/>
      <c r="D23" s="19">
        <f>D18+49</f>
        <v>41056</v>
      </c>
    </row>
    <row r="24" spans="2:4" x14ac:dyDescent="0.25">
      <c r="B24" s="17" t="s">
        <v>64</v>
      </c>
      <c r="C24" s="18"/>
      <c r="D24" s="19">
        <f>D23+1</f>
        <v>41057</v>
      </c>
    </row>
    <row r="25" spans="2:4" x14ac:dyDescent="0.25">
      <c r="B25" s="17" t="s">
        <v>65</v>
      </c>
      <c r="C25" s="18"/>
      <c r="D25" s="19">
        <f>DATE(An+1,7,14)</f>
        <v>41104</v>
      </c>
    </row>
    <row r="26" spans="2:4" x14ac:dyDescent="0.25">
      <c r="B26" s="17" t="s">
        <v>66</v>
      </c>
      <c r="C26" s="18"/>
      <c r="D26" s="19">
        <f>DATE(An+1,8,15)</f>
        <v>41136</v>
      </c>
    </row>
    <row r="27" spans="2:4" x14ac:dyDescent="0.25">
      <c r="B27" s="17" t="s">
        <v>67</v>
      </c>
      <c r="C27" s="18"/>
      <c r="D27" s="19">
        <f>DATE(An+1,11,1)</f>
        <v>41214</v>
      </c>
    </row>
    <row r="28" spans="2:4" x14ac:dyDescent="0.25">
      <c r="B28" s="17" t="s">
        <v>68</v>
      </c>
      <c r="C28" s="18"/>
      <c r="D28" s="19">
        <f>DATE(An+1,11,11)</f>
        <v>41224</v>
      </c>
    </row>
    <row r="29" spans="2:4" x14ac:dyDescent="0.25">
      <c r="B29" s="17" t="s">
        <v>69</v>
      </c>
      <c r="C29" s="18"/>
      <c r="D29" s="19">
        <f>DATE(An+1,12,25)</f>
        <v>41268</v>
      </c>
    </row>
    <row r="30" spans="2:4" x14ac:dyDescent="0.25">
      <c r="B30" s="17" t="s">
        <v>72</v>
      </c>
      <c r="C30" s="18"/>
      <c r="D30" s="19">
        <f>DATE(An+2,1,1)</f>
        <v>41275</v>
      </c>
    </row>
    <row r="31" spans="2:4" x14ac:dyDescent="0.25">
      <c r="B31" s="17" t="s">
        <v>58</v>
      </c>
      <c r="C31" s="18"/>
      <c r="D31" s="20">
        <f>FLOOR(DATE(An+2,5,DAY(MINUTE((An+2)/38)/2+56)),7)-34+7*(An+2=2079)</f>
        <v>41364</v>
      </c>
    </row>
    <row r="32" spans="2:4" x14ac:dyDescent="0.25">
      <c r="B32" s="17" t="s">
        <v>59</v>
      </c>
      <c r="C32" s="18"/>
      <c r="D32" s="20">
        <f>D31+1</f>
        <v>41365</v>
      </c>
    </row>
    <row r="33" spans="2:4" x14ac:dyDescent="0.25">
      <c r="B33" s="17" t="s">
        <v>60</v>
      </c>
      <c r="C33" s="18"/>
      <c r="D33" s="20">
        <f>DATE(An+2,5,1)</f>
        <v>41395</v>
      </c>
    </row>
    <row r="34" spans="2:4" x14ac:dyDescent="0.25">
      <c r="B34" s="17" t="s">
        <v>61</v>
      </c>
      <c r="C34" s="18"/>
      <c r="D34" s="20">
        <f>DATE(An+2,5,8)</f>
        <v>41402</v>
      </c>
    </row>
    <row r="35" spans="2:4" x14ac:dyDescent="0.25">
      <c r="B35" s="17" t="s">
        <v>62</v>
      </c>
      <c r="C35" s="18"/>
      <c r="D35" s="20">
        <f>D31+39</f>
        <v>41403</v>
      </c>
    </row>
    <row r="36" spans="2:4" x14ac:dyDescent="0.25">
      <c r="B36" s="17" t="s">
        <v>63</v>
      </c>
      <c r="C36" s="18"/>
      <c r="D36" s="19">
        <f>D31+49</f>
        <v>41413</v>
      </c>
    </row>
    <row r="37" spans="2:4" x14ac:dyDescent="0.25">
      <c r="B37" s="17" t="s">
        <v>64</v>
      </c>
      <c r="C37" s="18"/>
      <c r="D37" s="19">
        <f>D36+1</f>
        <v>41414</v>
      </c>
    </row>
    <row r="38" spans="2:4" x14ac:dyDescent="0.25">
      <c r="B38" s="17" t="s">
        <v>65</v>
      </c>
      <c r="C38" s="18"/>
      <c r="D38" s="19">
        <f>DATE(An+2,7,14)</f>
        <v>41469</v>
      </c>
    </row>
    <row r="39" spans="2:4" x14ac:dyDescent="0.25">
      <c r="B39" s="17" t="s">
        <v>66</v>
      </c>
      <c r="C39" s="18"/>
      <c r="D39" s="19">
        <f>DATE(An+2,8,15)</f>
        <v>41501</v>
      </c>
    </row>
    <row r="40" spans="2:4" x14ac:dyDescent="0.25">
      <c r="B40" s="17" t="s">
        <v>67</v>
      </c>
      <c r="C40" s="18"/>
      <c r="D40" s="19">
        <f>DATE(An+2,11,1)</f>
        <v>41579</v>
      </c>
    </row>
    <row r="41" spans="2:4" x14ac:dyDescent="0.25">
      <c r="B41" s="17" t="s">
        <v>68</v>
      </c>
      <c r="C41" s="18"/>
      <c r="D41" s="19">
        <f>DATE(An+2,11,11)</f>
        <v>41589</v>
      </c>
    </row>
    <row r="42" spans="2:4" x14ac:dyDescent="0.25">
      <c r="B42" s="17" t="s">
        <v>69</v>
      </c>
      <c r="C42" s="18"/>
      <c r="D42" s="19">
        <f>DATE(An+2,12,25)</f>
        <v>41633</v>
      </c>
    </row>
    <row r="43" spans="2:4" x14ac:dyDescent="0.25">
      <c r="B43" s="32" t="s">
        <v>72</v>
      </c>
      <c r="C43" s="33"/>
      <c r="D43" s="34">
        <f>DATE(An+3,1,1)</f>
        <v>41640</v>
      </c>
    </row>
    <row r="44" spans="2:4" x14ac:dyDescent="0.25">
      <c r="B44" s="32" t="s">
        <v>58</v>
      </c>
      <c r="C44" s="33"/>
      <c r="D44" s="35">
        <f>FLOOR(DATE(An+3,5,DAY(MINUTE((An+3)/38)/2+56)),7)-34+7*(An+3=2079)</f>
        <v>41749</v>
      </c>
    </row>
    <row r="45" spans="2:4" x14ac:dyDescent="0.25">
      <c r="B45" s="32" t="s">
        <v>59</v>
      </c>
      <c r="C45" s="33"/>
      <c r="D45" s="35">
        <f>D44+1</f>
        <v>41750</v>
      </c>
    </row>
    <row r="46" spans="2:4" x14ac:dyDescent="0.25">
      <c r="B46" s="32" t="s">
        <v>60</v>
      </c>
      <c r="C46" s="33"/>
      <c r="D46" s="35">
        <f>DATE(An+3,5,1)</f>
        <v>41760</v>
      </c>
    </row>
    <row r="47" spans="2:4" x14ac:dyDescent="0.25">
      <c r="B47" s="32" t="s">
        <v>61</v>
      </c>
      <c r="C47" s="33"/>
      <c r="D47" s="35">
        <f>DATE(An+3,5,8)</f>
        <v>41767</v>
      </c>
    </row>
    <row r="48" spans="2:4" x14ac:dyDescent="0.25">
      <c r="B48" s="32" t="s">
        <v>62</v>
      </c>
      <c r="C48" s="33"/>
      <c r="D48" s="35">
        <f>D44+39</f>
        <v>41788</v>
      </c>
    </row>
    <row r="49" spans="2:4" x14ac:dyDescent="0.25">
      <c r="B49" s="32" t="s">
        <v>63</v>
      </c>
      <c r="C49" s="33"/>
      <c r="D49" s="34">
        <f>D44+49</f>
        <v>41798</v>
      </c>
    </row>
    <row r="50" spans="2:4" x14ac:dyDescent="0.25">
      <c r="B50" s="32" t="s">
        <v>64</v>
      </c>
      <c r="C50" s="33"/>
      <c r="D50" s="34">
        <f>D49+1</f>
        <v>41799</v>
      </c>
    </row>
    <row r="51" spans="2:4" x14ac:dyDescent="0.25">
      <c r="B51" s="32" t="s">
        <v>65</v>
      </c>
      <c r="C51" s="33"/>
      <c r="D51" s="34">
        <f>DATE(An+3,7,14)</f>
        <v>41834</v>
      </c>
    </row>
    <row r="52" spans="2:4" x14ac:dyDescent="0.25">
      <c r="B52" s="32" t="s">
        <v>66</v>
      </c>
      <c r="C52" s="33"/>
      <c r="D52" s="34">
        <f>DATE(An+3,8,15)</f>
        <v>41866</v>
      </c>
    </row>
    <row r="53" spans="2:4" x14ac:dyDescent="0.25">
      <c r="B53" s="32" t="s">
        <v>67</v>
      </c>
      <c r="C53" s="33"/>
      <c r="D53" s="34">
        <f>DATE(An+3,11,1)</f>
        <v>41944</v>
      </c>
    </row>
    <row r="54" spans="2:4" x14ac:dyDescent="0.25">
      <c r="B54" s="32" t="s">
        <v>68</v>
      </c>
      <c r="C54" s="33"/>
      <c r="D54" s="34">
        <f>DATE(An+3,11,11)</f>
        <v>41954</v>
      </c>
    </row>
    <row r="55" spans="2:4" x14ac:dyDescent="0.25">
      <c r="B55" s="32" t="s">
        <v>69</v>
      </c>
      <c r="C55" s="33"/>
      <c r="D55" s="34">
        <f>DATE(An+3,12,25)</f>
        <v>41998</v>
      </c>
    </row>
    <row r="56" spans="2:4" x14ac:dyDescent="0.25">
      <c r="B56" s="32" t="s">
        <v>72</v>
      </c>
      <c r="C56" s="33"/>
      <c r="D56" s="34">
        <f>DATE(An+4,1,1)</f>
        <v>42005</v>
      </c>
    </row>
    <row r="57" spans="2:4" x14ac:dyDescent="0.25">
      <c r="B57" s="32" t="s">
        <v>58</v>
      </c>
      <c r="C57" s="33"/>
      <c r="D57" s="35">
        <f>FLOOR(DATE(An+4,5,DAY(MINUTE((An+4)/38)/2+56)),7)-34+7*(An+4=2079)</f>
        <v>42099</v>
      </c>
    </row>
    <row r="58" spans="2:4" x14ac:dyDescent="0.25">
      <c r="B58" s="32" t="s">
        <v>59</v>
      </c>
      <c r="C58" s="33"/>
      <c r="D58" s="35">
        <f>D57+1</f>
        <v>42100</v>
      </c>
    </row>
    <row r="59" spans="2:4" x14ac:dyDescent="0.25">
      <c r="B59" s="32" t="s">
        <v>60</v>
      </c>
      <c r="C59" s="33"/>
      <c r="D59" s="35">
        <f>DATE(An+4,5,1)</f>
        <v>42125</v>
      </c>
    </row>
    <row r="60" spans="2:4" x14ac:dyDescent="0.25">
      <c r="B60" s="32" t="s">
        <v>61</v>
      </c>
      <c r="C60" s="33"/>
      <c r="D60" s="35">
        <f>DATE(An+4,5,8)</f>
        <v>42132</v>
      </c>
    </row>
    <row r="61" spans="2:4" x14ac:dyDescent="0.25">
      <c r="B61" s="32" t="s">
        <v>62</v>
      </c>
      <c r="C61" s="33"/>
      <c r="D61" s="35">
        <f>D57+39</f>
        <v>42138</v>
      </c>
    </row>
    <row r="62" spans="2:4" x14ac:dyDescent="0.25">
      <c r="B62" s="32" t="s">
        <v>63</v>
      </c>
      <c r="C62" s="33"/>
      <c r="D62" s="34">
        <f>D57+49</f>
        <v>42148</v>
      </c>
    </row>
    <row r="63" spans="2:4" x14ac:dyDescent="0.25">
      <c r="B63" s="32" t="s">
        <v>64</v>
      </c>
      <c r="C63" s="33"/>
      <c r="D63" s="34">
        <f>D62+1</f>
        <v>42149</v>
      </c>
    </row>
    <row r="64" spans="2:4" x14ac:dyDescent="0.25">
      <c r="B64" s="32" t="s">
        <v>65</v>
      </c>
      <c r="C64" s="33"/>
      <c r="D64" s="34">
        <f>DATE(An+4,7,14)</f>
        <v>42199</v>
      </c>
    </row>
    <row r="65" spans="2:4" x14ac:dyDescent="0.25">
      <c r="B65" s="32" t="s">
        <v>66</v>
      </c>
      <c r="C65" s="33"/>
      <c r="D65" s="34">
        <f>DATE(An+4,8,15)</f>
        <v>42231</v>
      </c>
    </row>
    <row r="66" spans="2:4" x14ac:dyDescent="0.25">
      <c r="B66" s="32" t="s">
        <v>67</v>
      </c>
      <c r="C66" s="33"/>
      <c r="D66" s="34">
        <f>DATE(An+4,11,1)</f>
        <v>42309</v>
      </c>
    </row>
    <row r="67" spans="2:4" x14ac:dyDescent="0.25">
      <c r="B67" s="32" t="s">
        <v>68</v>
      </c>
      <c r="C67" s="33"/>
      <c r="D67" s="34">
        <f>DATE(An+4,11,11)</f>
        <v>42319</v>
      </c>
    </row>
    <row r="68" spans="2:4" x14ac:dyDescent="0.25">
      <c r="B68" s="32" t="s">
        <v>69</v>
      </c>
      <c r="C68" s="33"/>
      <c r="D68" s="34">
        <f>DATE(An+4,12,25)</f>
        <v>42363</v>
      </c>
    </row>
    <row r="69" spans="2:4" x14ac:dyDescent="0.25">
      <c r="B69" s="32" t="s">
        <v>72</v>
      </c>
      <c r="C69" s="33"/>
      <c r="D69" s="34">
        <f>DATE(An+5,1,1)</f>
        <v>42370</v>
      </c>
    </row>
    <row r="70" spans="2:4" x14ac:dyDescent="0.25">
      <c r="B70" s="32" t="s">
        <v>58</v>
      </c>
      <c r="C70" s="33"/>
      <c r="D70" s="35">
        <f>FLOOR(DATE(An+5,5,DAY(MINUTE((An+5)/38)/2+56)),7)-34+7*(An+5=2079)</f>
        <v>42456</v>
      </c>
    </row>
    <row r="71" spans="2:4" x14ac:dyDescent="0.25">
      <c r="B71" s="32" t="s">
        <v>59</v>
      </c>
      <c r="C71" s="33"/>
      <c r="D71" s="35">
        <f>D70+1</f>
        <v>42457</v>
      </c>
    </row>
    <row r="72" spans="2:4" x14ac:dyDescent="0.25">
      <c r="B72" s="32" t="s">
        <v>60</v>
      </c>
      <c r="C72" s="33"/>
      <c r="D72" s="35">
        <f>DATE(An+5,5,1)</f>
        <v>42491</v>
      </c>
    </row>
    <row r="73" spans="2:4" x14ac:dyDescent="0.25">
      <c r="B73" s="32" t="s">
        <v>61</v>
      </c>
      <c r="C73" s="33"/>
      <c r="D73" s="35">
        <f>DATE(An+5,5,8)</f>
        <v>42498</v>
      </c>
    </row>
    <row r="74" spans="2:4" x14ac:dyDescent="0.25">
      <c r="B74" s="32" t="s">
        <v>62</v>
      </c>
      <c r="C74" s="33"/>
      <c r="D74" s="35">
        <f>D70+39</f>
        <v>42495</v>
      </c>
    </row>
    <row r="75" spans="2:4" x14ac:dyDescent="0.25">
      <c r="B75" s="32" t="s">
        <v>63</v>
      </c>
      <c r="C75" s="33"/>
      <c r="D75" s="34">
        <f>D70+49</f>
        <v>42505</v>
      </c>
    </row>
    <row r="76" spans="2:4" x14ac:dyDescent="0.25">
      <c r="B76" s="32" t="s">
        <v>64</v>
      </c>
      <c r="C76" s="33"/>
      <c r="D76" s="34">
        <f>D75+1</f>
        <v>42506</v>
      </c>
    </row>
    <row r="77" spans="2:4" x14ac:dyDescent="0.25">
      <c r="B77" s="32" t="s">
        <v>65</v>
      </c>
      <c r="C77" s="33"/>
      <c r="D77" s="34">
        <f>DATE(An+5,7,14)</f>
        <v>42565</v>
      </c>
    </row>
    <row r="78" spans="2:4" x14ac:dyDescent="0.25">
      <c r="B78" s="32" t="s">
        <v>66</v>
      </c>
      <c r="C78" s="33"/>
      <c r="D78" s="34">
        <f>DATE(An+5,8,15)</f>
        <v>42597</v>
      </c>
    </row>
    <row r="79" spans="2:4" x14ac:dyDescent="0.25">
      <c r="B79" s="32" t="s">
        <v>67</v>
      </c>
      <c r="C79" s="33"/>
      <c r="D79" s="34">
        <f>DATE(An+5,11,1)</f>
        <v>42675</v>
      </c>
    </row>
    <row r="80" spans="2:4" x14ac:dyDescent="0.25">
      <c r="B80" s="32" t="s">
        <v>68</v>
      </c>
      <c r="C80" s="33"/>
      <c r="D80" s="34">
        <f>DATE(An+5,11,11)</f>
        <v>42685</v>
      </c>
    </row>
    <row r="81" spans="2:4" x14ac:dyDescent="0.25">
      <c r="B81" s="32" t="s">
        <v>69</v>
      </c>
      <c r="C81" s="33"/>
      <c r="D81" s="34">
        <f>DATE(An+5,12,25)</f>
        <v>42729</v>
      </c>
    </row>
    <row r="82" spans="2:4" x14ac:dyDescent="0.25">
      <c r="B82" s="32" t="s">
        <v>72</v>
      </c>
      <c r="C82" s="33"/>
      <c r="D82" s="34">
        <f>DATE(An+6,1,1)</f>
        <v>42736</v>
      </c>
    </row>
    <row r="83" spans="2:4" x14ac:dyDescent="0.25">
      <c r="B83" s="32" t="s">
        <v>58</v>
      </c>
      <c r="C83" s="33"/>
      <c r="D83" s="35">
        <f>FLOOR(DATE(An+6,5,DAY(MINUTE((An+6)/38)/2+56)),7)-34+7*(An+6=2079)</f>
        <v>42841</v>
      </c>
    </row>
    <row r="84" spans="2:4" x14ac:dyDescent="0.25">
      <c r="B84" s="32" t="s">
        <v>59</v>
      </c>
      <c r="C84" s="33"/>
      <c r="D84" s="35">
        <f>D83+1</f>
        <v>42842</v>
      </c>
    </row>
    <row r="85" spans="2:4" x14ac:dyDescent="0.25">
      <c r="B85" s="32" t="s">
        <v>60</v>
      </c>
      <c r="C85" s="33"/>
      <c r="D85" s="35">
        <f>DATE(An+6,5,1)</f>
        <v>42856</v>
      </c>
    </row>
    <row r="86" spans="2:4" x14ac:dyDescent="0.25">
      <c r="B86" s="32" t="s">
        <v>61</v>
      </c>
      <c r="C86" s="33"/>
      <c r="D86" s="35">
        <f>DATE(An+6,5,8)</f>
        <v>42863</v>
      </c>
    </row>
    <row r="87" spans="2:4" x14ac:dyDescent="0.25">
      <c r="B87" s="32" t="s">
        <v>62</v>
      </c>
      <c r="C87" s="33"/>
      <c r="D87" s="35">
        <f>D83+39</f>
        <v>42880</v>
      </c>
    </row>
    <row r="88" spans="2:4" x14ac:dyDescent="0.25">
      <c r="B88" s="32" t="s">
        <v>63</v>
      </c>
      <c r="C88" s="33"/>
      <c r="D88" s="34">
        <f>D83+49</f>
        <v>42890</v>
      </c>
    </row>
    <row r="89" spans="2:4" x14ac:dyDescent="0.25">
      <c r="B89" s="32" t="s">
        <v>64</v>
      </c>
      <c r="C89" s="33"/>
      <c r="D89" s="34">
        <f>D88+1</f>
        <v>42891</v>
      </c>
    </row>
    <row r="90" spans="2:4" x14ac:dyDescent="0.25">
      <c r="B90" s="32" t="s">
        <v>65</v>
      </c>
      <c r="C90" s="33"/>
      <c r="D90" s="34">
        <f>DATE(An+6,7,14)</f>
        <v>42930</v>
      </c>
    </row>
    <row r="91" spans="2:4" x14ac:dyDescent="0.25">
      <c r="B91" s="32" t="s">
        <v>66</v>
      </c>
      <c r="C91" s="33"/>
      <c r="D91" s="34">
        <f>DATE(An+6,8,15)</f>
        <v>42962</v>
      </c>
    </row>
    <row r="92" spans="2:4" x14ac:dyDescent="0.25">
      <c r="B92" s="32" t="s">
        <v>67</v>
      </c>
      <c r="C92" s="33"/>
      <c r="D92" s="34">
        <f>DATE(An+6,11,1)</f>
        <v>43040</v>
      </c>
    </row>
    <row r="93" spans="2:4" x14ac:dyDescent="0.25">
      <c r="B93" s="32" t="s">
        <v>68</v>
      </c>
      <c r="C93" s="33"/>
      <c r="D93" s="34">
        <f>DATE(An+6,11,11)</f>
        <v>43050</v>
      </c>
    </row>
    <row r="94" spans="2:4" x14ac:dyDescent="0.25">
      <c r="B94" s="32" t="s">
        <v>69</v>
      </c>
      <c r="C94" s="33"/>
      <c r="D94" s="34">
        <f>DATE(An+6,12,25)</f>
        <v>43094</v>
      </c>
    </row>
    <row r="95" spans="2:4" x14ac:dyDescent="0.25">
      <c r="B95" s="32" t="s">
        <v>72</v>
      </c>
      <c r="C95" s="33"/>
      <c r="D95" s="34">
        <f>DATE(An+7,1,1)</f>
        <v>43101</v>
      </c>
    </row>
    <row r="96" spans="2:4" x14ac:dyDescent="0.25">
      <c r="B96" s="32" t="s">
        <v>58</v>
      </c>
      <c r="C96" s="33"/>
      <c r="D96" s="35">
        <f>FLOOR(DATE(An+7,5,DAY(MINUTE((An+7)/38)/2+56)),7)-34+7*(An+7=2079)</f>
        <v>43191</v>
      </c>
    </row>
    <row r="97" spans="2:4" x14ac:dyDescent="0.25">
      <c r="B97" s="32" t="s">
        <v>59</v>
      </c>
      <c r="C97" s="33"/>
      <c r="D97" s="35">
        <f>D96+1</f>
        <v>43192</v>
      </c>
    </row>
    <row r="98" spans="2:4" x14ac:dyDescent="0.25">
      <c r="B98" s="32" t="s">
        <v>60</v>
      </c>
      <c r="C98" s="33"/>
      <c r="D98" s="35">
        <f>DATE(An+7,5,1)</f>
        <v>43221</v>
      </c>
    </row>
    <row r="99" spans="2:4" x14ac:dyDescent="0.25">
      <c r="B99" s="32" t="s">
        <v>61</v>
      </c>
      <c r="C99" s="33"/>
      <c r="D99" s="35">
        <f>DATE(An+7,5,8)</f>
        <v>43228</v>
      </c>
    </row>
    <row r="100" spans="2:4" x14ac:dyDescent="0.25">
      <c r="B100" s="32" t="s">
        <v>62</v>
      </c>
      <c r="C100" s="33"/>
      <c r="D100" s="35">
        <f>D96+39</f>
        <v>43230</v>
      </c>
    </row>
    <row r="101" spans="2:4" x14ac:dyDescent="0.25">
      <c r="B101" s="32" t="s">
        <v>63</v>
      </c>
      <c r="C101" s="33"/>
      <c r="D101" s="34">
        <f>D96+49</f>
        <v>43240</v>
      </c>
    </row>
    <row r="102" spans="2:4" x14ac:dyDescent="0.25">
      <c r="B102" s="32" t="s">
        <v>64</v>
      </c>
      <c r="C102" s="33"/>
      <c r="D102" s="34">
        <f>D101+1</f>
        <v>43241</v>
      </c>
    </row>
    <row r="103" spans="2:4" x14ac:dyDescent="0.25">
      <c r="B103" s="32" t="s">
        <v>65</v>
      </c>
      <c r="C103" s="33"/>
      <c r="D103" s="34">
        <f>DATE(An+7,7,14)</f>
        <v>43295</v>
      </c>
    </row>
    <row r="104" spans="2:4" x14ac:dyDescent="0.25">
      <c r="B104" s="32" t="s">
        <v>66</v>
      </c>
      <c r="C104" s="33"/>
      <c r="D104" s="34">
        <f>DATE(An+7,8,15)</f>
        <v>43327</v>
      </c>
    </row>
    <row r="105" spans="2:4" x14ac:dyDescent="0.25">
      <c r="B105" s="32" t="s">
        <v>67</v>
      </c>
      <c r="C105" s="33"/>
      <c r="D105" s="34">
        <f>DATE(An+7,11,1)</f>
        <v>43405</v>
      </c>
    </row>
    <row r="106" spans="2:4" x14ac:dyDescent="0.25">
      <c r="B106" s="32" t="s">
        <v>68</v>
      </c>
      <c r="C106" s="33"/>
      <c r="D106" s="34">
        <f>DATE(An+7,11,11)</f>
        <v>43415</v>
      </c>
    </row>
    <row r="107" spans="2:4" x14ac:dyDescent="0.25">
      <c r="B107" s="32" t="s">
        <v>69</v>
      </c>
      <c r="C107" s="33"/>
      <c r="D107" s="34">
        <f>DATE(An+7,12,25)</f>
        <v>43459</v>
      </c>
    </row>
    <row r="108" spans="2:4" x14ac:dyDescent="0.25">
      <c r="B108" s="32" t="s">
        <v>72</v>
      </c>
      <c r="C108" s="33"/>
      <c r="D108" s="34">
        <f>DATE(An+8,1,1)</f>
        <v>43466</v>
      </c>
    </row>
    <row r="109" spans="2:4" x14ac:dyDescent="0.25">
      <c r="B109" s="32" t="s">
        <v>58</v>
      </c>
      <c r="C109" s="33"/>
      <c r="D109" s="35">
        <f>FLOOR(DATE(An+8,5,DAY(MINUTE((An+8)/38)/2+56)),7)-34+7*(An+8=2079)</f>
        <v>43576</v>
      </c>
    </row>
    <row r="110" spans="2:4" x14ac:dyDescent="0.25">
      <c r="B110" s="32" t="s">
        <v>59</v>
      </c>
      <c r="C110" s="33"/>
      <c r="D110" s="35">
        <f>D109+1</f>
        <v>43577</v>
      </c>
    </row>
    <row r="111" spans="2:4" x14ac:dyDescent="0.25">
      <c r="B111" s="32" t="s">
        <v>60</v>
      </c>
      <c r="C111" s="33"/>
      <c r="D111" s="35">
        <f>DATE(An+8,5,1)</f>
        <v>43586</v>
      </c>
    </row>
    <row r="112" spans="2:4" x14ac:dyDescent="0.25">
      <c r="B112" s="32" t="s">
        <v>61</v>
      </c>
      <c r="C112" s="33"/>
      <c r="D112" s="35">
        <f>DATE(An+8,5,8)</f>
        <v>43593</v>
      </c>
    </row>
    <row r="113" spans="2:4" x14ac:dyDescent="0.25">
      <c r="B113" s="32" t="s">
        <v>62</v>
      </c>
      <c r="C113" s="33"/>
      <c r="D113" s="35">
        <f>D109+39</f>
        <v>43615</v>
      </c>
    </row>
    <row r="114" spans="2:4" x14ac:dyDescent="0.25">
      <c r="B114" s="32" t="s">
        <v>63</v>
      </c>
      <c r="C114" s="33"/>
      <c r="D114" s="34">
        <f>D109+49</f>
        <v>43625</v>
      </c>
    </row>
    <row r="115" spans="2:4" x14ac:dyDescent="0.25">
      <c r="B115" s="32" t="s">
        <v>64</v>
      </c>
      <c r="C115" s="33"/>
      <c r="D115" s="34">
        <f>D114+1</f>
        <v>43626</v>
      </c>
    </row>
    <row r="116" spans="2:4" x14ac:dyDescent="0.25">
      <c r="B116" s="32" t="s">
        <v>65</v>
      </c>
      <c r="C116" s="33"/>
      <c r="D116" s="34">
        <f>DATE(An+8,7,14)</f>
        <v>43660</v>
      </c>
    </row>
    <row r="117" spans="2:4" x14ac:dyDescent="0.25">
      <c r="B117" s="32" t="s">
        <v>66</v>
      </c>
      <c r="C117" s="33"/>
      <c r="D117" s="34">
        <f>DATE(An+8,8,15)</f>
        <v>43692</v>
      </c>
    </row>
    <row r="118" spans="2:4" x14ac:dyDescent="0.25">
      <c r="B118" s="32" t="s">
        <v>67</v>
      </c>
      <c r="C118" s="33"/>
      <c r="D118" s="34">
        <f>DATE(An+8,11,1)</f>
        <v>43770</v>
      </c>
    </row>
    <row r="119" spans="2:4" x14ac:dyDescent="0.25">
      <c r="B119" s="32" t="s">
        <v>68</v>
      </c>
      <c r="C119" s="33"/>
      <c r="D119" s="34">
        <f>DATE(An+8,11,11)</f>
        <v>43780</v>
      </c>
    </row>
    <row r="120" spans="2:4" x14ac:dyDescent="0.25">
      <c r="B120" s="32" t="s">
        <v>69</v>
      </c>
      <c r="C120" s="33"/>
      <c r="D120" s="34">
        <f>DATE(An+8,12,25)</f>
        <v>43824</v>
      </c>
    </row>
  </sheetData>
  <conditionalFormatting sqref="B4:D16">
    <cfRule type="expression" dxfId="6" priority="1" stopIfTrue="1">
      <formula>MOD(ROW(),2)</formula>
    </cfRule>
  </conditionalFormatting>
  <conditionalFormatting sqref="B17:D29">
    <cfRule type="expression" dxfId="5" priority="2" stopIfTrue="1">
      <formula>MOD(ROW(),2)</formula>
    </cfRule>
  </conditionalFormatting>
  <conditionalFormatting sqref="B30:D55 B108:D120">
    <cfRule type="expression" dxfId="4" priority="3" stopIfTrue="1">
      <formula>MOD(ROW(),2)</formula>
    </cfRule>
  </conditionalFormatting>
  <conditionalFormatting sqref="B56:D68">
    <cfRule type="expression" dxfId="3" priority="4" stopIfTrue="1">
      <formula>MOD(ROW(),2)</formula>
    </cfRule>
  </conditionalFormatting>
  <conditionalFormatting sqref="B69:D81">
    <cfRule type="expression" dxfId="2" priority="5" stopIfTrue="1">
      <formula>MOD(ROW(),2)</formula>
    </cfRule>
  </conditionalFormatting>
  <conditionalFormatting sqref="B82:D94">
    <cfRule type="expression" dxfId="1" priority="6" stopIfTrue="1">
      <formula>MOD(ROW(),2)</formula>
    </cfRule>
  </conditionalFormatting>
  <conditionalFormatting sqref="B95:D107">
    <cfRule type="expression" dxfId="0" priority="7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18"/>
  <sheetViews>
    <sheetView workbookViewId="0">
      <selection activeCell="A15" sqref="A15"/>
    </sheetView>
  </sheetViews>
  <sheetFormatPr baseColWidth="10" defaultRowHeight="15" x14ac:dyDescent="0.25"/>
  <cols>
    <col min="1" max="1" width="20.140625" customWidth="1"/>
  </cols>
  <sheetData>
    <row r="2" spans="1:1" x14ac:dyDescent="0.25">
      <c r="A2" t="s">
        <v>123</v>
      </c>
    </row>
    <row r="3" spans="1:1" x14ac:dyDescent="0.25">
      <c r="A3" t="s">
        <v>146</v>
      </c>
    </row>
    <row r="4" spans="1:1" x14ac:dyDescent="0.25">
      <c r="A4" t="s">
        <v>12</v>
      </c>
    </row>
    <row r="5" spans="1:1" x14ac:dyDescent="0.25">
      <c r="A5" t="s">
        <v>159</v>
      </c>
    </row>
    <row r="6" spans="1:1" x14ac:dyDescent="0.25">
      <c r="A6" t="s">
        <v>124</v>
      </c>
    </row>
    <row r="7" spans="1:1" x14ac:dyDescent="0.25">
      <c r="A7" t="s">
        <v>156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150</v>
      </c>
    </row>
    <row r="11" spans="1:1" x14ac:dyDescent="0.25">
      <c r="A11" t="s">
        <v>149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160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Base de donnée</vt:lpstr>
      <vt:lpstr>Personnels</vt:lpstr>
      <vt:lpstr>Vérification planning</vt:lpstr>
      <vt:lpstr>Cycles</vt:lpstr>
      <vt:lpstr>Fériés</vt:lpstr>
      <vt:lpstr>Liste Formations</vt:lpstr>
      <vt:lpstr>Fériés!An</vt:lpstr>
      <vt:lpstr>Fériés!annee</vt:lpstr>
      <vt:lpstr>basededonnés</vt:lpstr>
      <vt:lpstr>Fériés!Fériés</vt:lpstr>
      <vt:lpstr>Fériés2010</vt:lpstr>
      <vt:lpstr>Fériés!Fériés3</vt:lpstr>
      <vt:lpstr>Fonction</vt:lpstr>
      <vt:lpstr>'Base de donnée'!Impression_des_titres</vt:lpstr>
      <vt:lpstr>Personnels!Nom</vt:lpstr>
      <vt:lpstr>Personnels!Personnels</vt:lpstr>
      <vt:lpstr>'Base de donnée'!Zone_d_impression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Francky</dc:creator>
  <cp:lastModifiedBy>Franck CURIEN</cp:lastModifiedBy>
  <cp:lastPrinted>2011-12-04T15:17:30Z</cp:lastPrinted>
  <dcterms:created xsi:type="dcterms:W3CDTF">2009-12-05T08:23:50Z</dcterms:created>
  <dcterms:modified xsi:type="dcterms:W3CDTF">2011-12-26T20:01:23Z</dcterms:modified>
</cp:coreProperties>
</file>