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9320" windowHeight="10425" activeTab="1"/>
  </bookViews>
  <sheets>
    <sheet name="BDD" sheetId="1" r:id="rId1"/>
    <sheet name="Formulaire" sheetId="4" r:id="rId2"/>
  </sheets>
  <definedNames>
    <definedName name="_xlnm._FilterDatabase" localSheetId="0" hidden="1">BDD!$A$1:$A$2928</definedName>
    <definedName name="cola">OFFSET(BDD!$A$2,,,COUNTA(BDD!$A:$A)-1)</definedName>
    <definedName name="colae">OFFSET(BDD!$AE$2,,,COUNTA(BDD!$A:$A)-1)</definedName>
    <definedName name="colp">OFFSET(BDD!$P$2,,,COUNTA(BDD!$A:$A)-1)</definedName>
    <definedName name="colr">OFFSET(BDD!$R$2,,,COUNTA(BDD!$A:$A)-1)</definedName>
    <definedName name="cols">OFFSET(BDD!$S$2,,,COUNTA(BDD!$A:$A)-1)</definedName>
    <definedName name="colw">OFFSET(BDD!$W$2,,,COUNTA(BDD!$A:$A)-1)</definedName>
    <definedName name="colx">OFFSET(BDD!$X$2,,,COUNTA(BDD!$A:$A)-1)</definedName>
    <definedName name="coly">OFFSET(BDD!$Y$2,,,COUNTA(BDD!$A:$A)-1)</definedName>
    <definedName name="_xlnm.Criteria" localSheetId="0">BDD!#REF!</definedName>
    <definedName name="Table">BDD!$A$1:$AD$11</definedName>
    <definedName name="tete">OFFSET(BDD!$A$2,MATCH(Formulaire!$C$4,BDD!$A$2:$A$11,0)-1,30,)</definedName>
    <definedName name="_xlnm.Print_Area" localSheetId="1">Formulaire!$A$1:$F$49</definedName>
  </definedNames>
  <calcPr calcId="145621"/>
</workbook>
</file>

<file path=xl/calcChain.xml><?xml version="1.0" encoding="utf-8"?>
<calcChain xmlns="http://schemas.openxmlformats.org/spreadsheetml/2006/main">
  <c r="AD7" i="1" l="1"/>
  <c r="AC7" i="1"/>
  <c r="M7" i="1"/>
  <c r="G7" i="1"/>
  <c r="AD6" i="1"/>
  <c r="AC6" i="1"/>
  <c r="M6" i="1"/>
  <c r="G6" i="1"/>
  <c r="G4" i="1"/>
  <c r="M4" i="1"/>
  <c r="AC4" i="1"/>
  <c r="AD4" i="1"/>
  <c r="AD5" i="1"/>
  <c r="AC5" i="1"/>
  <c r="G5" i="1"/>
  <c r="M5" i="1"/>
  <c r="G2" i="1" l="1"/>
  <c r="M2" i="1"/>
  <c r="AC2" i="1"/>
  <c r="AD2" i="1"/>
  <c r="G3" i="1"/>
  <c r="M3" i="1"/>
  <c r="AC3" i="1"/>
  <c r="AD3" i="1"/>
  <c r="G8" i="1"/>
  <c r="M8" i="1"/>
  <c r="AC8" i="1"/>
  <c r="AD8" i="1"/>
  <c r="G9" i="1"/>
  <c r="M9" i="1"/>
  <c r="AC9" i="1"/>
  <c r="AD9" i="1"/>
  <c r="G10" i="1"/>
  <c r="M10" i="1"/>
  <c r="AC10" i="1"/>
  <c r="AD10" i="1"/>
  <c r="G11" i="1"/>
  <c r="M11" i="1"/>
  <c r="AC11" i="1"/>
  <c r="AD11" i="1"/>
  <c r="C5" i="4"/>
  <c r="C7" i="4"/>
  <c r="C8" i="4"/>
  <c r="E8" i="4"/>
  <c r="E10" i="4"/>
  <c r="C12" i="4"/>
  <c r="E12" i="4" s="1"/>
  <c r="C13" i="4"/>
  <c r="E13" i="4" s="1"/>
  <c r="C15" i="4"/>
  <c r="E15" i="4"/>
  <c r="C19" i="4"/>
  <c r="E19" i="4"/>
  <c r="A20" i="4"/>
  <c r="B20" i="4"/>
  <c r="E21" i="4"/>
  <c r="C22" i="4"/>
  <c r="D22" i="4"/>
  <c r="C23" i="4"/>
  <c r="A29" i="4"/>
  <c r="E29" i="4" s="1"/>
  <c r="A35" i="4"/>
  <c r="E33" i="4" s="1"/>
  <c r="A41" i="4"/>
  <c r="E39" i="4" s="1"/>
  <c r="A47" i="4"/>
  <c r="C45" i="4" s="1"/>
  <c r="C41" i="4" l="1"/>
  <c r="C27" i="4"/>
  <c r="C48" i="4"/>
  <c r="C33" i="4"/>
  <c r="E47" i="4"/>
  <c r="C35" i="4"/>
  <c r="B30" i="4"/>
  <c r="E35" i="4"/>
  <c r="B36" i="4"/>
  <c r="C29" i="4"/>
  <c r="C21" i="4"/>
  <c r="C47" i="4"/>
  <c r="E45" i="4"/>
  <c r="C36" i="4"/>
  <c r="E22" i="4"/>
  <c r="B42" i="4"/>
  <c r="C39" i="4"/>
  <c r="B48" i="4"/>
  <c r="E41" i="4"/>
  <c r="C30" i="4"/>
  <c r="E27" i="4"/>
  <c r="C42" i="4"/>
  <c r="E30" i="4" l="1"/>
  <c r="E36" i="4"/>
  <c r="E48" i="4"/>
  <c r="E42" i="4"/>
</calcChain>
</file>

<file path=xl/sharedStrings.xml><?xml version="1.0" encoding="utf-8"?>
<sst xmlns="http://schemas.openxmlformats.org/spreadsheetml/2006/main" count="186" uniqueCount="99">
  <si>
    <t>DATE ENTREE</t>
  </si>
  <si>
    <t>MESURE PROCT.</t>
  </si>
  <si>
    <t>ADRESSE</t>
  </si>
  <si>
    <t>VILLE</t>
  </si>
  <si>
    <t>tutelle</t>
  </si>
  <si>
    <t>frère</t>
  </si>
  <si>
    <t>sœur</t>
  </si>
  <si>
    <t>17 rue Montgolfier</t>
  </si>
  <si>
    <t>Béryl - 32 rue Chazière</t>
  </si>
  <si>
    <t>8 rue du Plat</t>
  </si>
  <si>
    <t>40 Chemin Vieux - THOL</t>
  </si>
  <si>
    <t>Les Bilons</t>
  </si>
  <si>
    <t>mère</t>
  </si>
  <si>
    <t>LIEU DE NAISSANCE</t>
  </si>
  <si>
    <t>NOM</t>
  </si>
  <si>
    <t>PRENOM</t>
  </si>
  <si>
    <t>Cécile</t>
  </si>
  <si>
    <t>Philippe</t>
  </si>
  <si>
    <t>AGE</t>
  </si>
  <si>
    <t>GENRE</t>
  </si>
  <si>
    <t>M. Mme</t>
  </si>
  <si>
    <t>Mme</t>
  </si>
  <si>
    <t>TELEPHONE FIXE</t>
  </si>
  <si>
    <t>TELEPHONE PORTABLE</t>
  </si>
  <si>
    <t>TELEPHONE TRAVAIL</t>
  </si>
  <si>
    <t>M.</t>
  </si>
  <si>
    <t>DATE DE NAISSANCE</t>
  </si>
  <si>
    <t>FORMULE 1</t>
  </si>
  <si>
    <t>N° SECURITE SOCIALE</t>
  </si>
  <si>
    <t>N° CAF</t>
  </si>
  <si>
    <t>CODE CONFIDENTIEL</t>
  </si>
  <si>
    <t>0778</t>
  </si>
  <si>
    <t>CP</t>
  </si>
  <si>
    <t>STRUCTURE</t>
  </si>
  <si>
    <t>GROUPE</t>
  </si>
  <si>
    <t>CHAMBRE</t>
  </si>
  <si>
    <t>REFERENT</t>
  </si>
  <si>
    <t>B</t>
  </si>
  <si>
    <t>A</t>
  </si>
  <si>
    <t>COURRIEL</t>
  </si>
  <si>
    <t>Foyer de vie</t>
  </si>
  <si>
    <t>NOM STRUCTURE</t>
  </si>
  <si>
    <t>tutrice</t>
  </si>
  <si>
    <t>LIEN</t>
  </si>
  <si>
    <t>NOM PRENOM2</t>
  </si>
  <si>
    <t>TELEPHONE</t>
  </si>
  <si>
    <t>REFERENT2</t>
  </si>
  <si>
    <t>Lyon</t>
  </si>
  <si>
    <t>NOM PRENOM</t>
  </si>
  <si>
    <t>Catherine</t>
  </si>
  <si>
    <t>NOM :</t>
  </si>
  <si>
    <t>Prénom :</t>
  </si>
  <si>
    <t>Date d'entrée :</t>
  </si>
  <si>
    <t>Date de naissance :</t>
  </si>
  <si>
    <t>Age :</t>
  </si>
  <si>
    <t>Structure :</t>
  </si>
  <si>
    <t>Groupe :</t>
  </si>
  <si>
    <t>Ancienneté :</t>
  </si>
  <si>
    <t>Chambre :</t>
  </si>
  <si>
    <t>Référent 1 :</t>
  </si>
  <si>
    <t>Référent 2 :</t>
  </si>
  <si>
    <t>Nautre de la protection :</t>
  </si>
  <si>
    <t>Lien :</t>
  </si>
  <si>
    <t>Nom :</t>
  </si>
  <si>
    <t>adresse :</t>
  </si>
  <si>
    <t>Téléphone :</t>
  </si>
  <si>
    <t>Famille et mesure de protection</t>
  </si>
  <si>
    <t>Personne accueillie</t>
  </si>
  <si>
    <t>JJMM NAISSANCE</t>
  </si>
  <si>
    <t>Autres liens</t>
  </si>
  <si>
    <t>Téléphone de l'usager :</t>
  </si>
  <si>
    <t>DEPAINS</t>
  </si>
  <si>
    <t>SANTOS</t>
  </si>
  <si>
    <t>Manu</t>
  </si>
  <si>
    <t>TROIS</t>
  </si>
  <si>
    <t>Paul COUVERT</t>
  </si>
  <si>
    <t>Erika</t>
  </si>
  <si>
    <t>Mona</t>
  </si>
  <si>
    <t>Céline</t>
  </si>
  <si>
    <t>Anne-Sarine</t>
  </si>
  <si>
    <t>Madrid</t>
  </si>
  <si>
    <t>MELLET Annette</t>
  </si>
  <si>
    <t>VERNE - ATVP</t>
  </si>
  <si>
    <t>SANTOS Marc</t>
  </si>
  <si>
    <t>SANTOS Antoinette</t>
  </si>
  <si>
    <t>VION</t>
  </si>
  <si>
    <t>NEUV</t>
  </si>
  <si>
    <t>VECA</t>
  </si>
  <si>
    <t>NOM Prénom :</t>
  </si>
  <si>
    <t>Adresse :</t>
  </si>
  <si>
    <t>paris</t>
  </si>
  <si>
    <t>pigalle</t>
  </si>
  <si>
    <t>Odile</t>
  </si>
  <si>
    <t>Ophélie</t>
  </si>
  <si>
    <t>DEPAINS Odile</t>
  </si>
  <si>
    <t>14, Monté des faignant</t>
  </si>
  <si>
    <t>TUTU</t>
  </si>
  <si>
    <t>Saisir un nom</t>
  </si>
  <si>
    <t>DEPAINS Cécile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</si>
</sst>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ans&quot;"/>
    <numFmt numFmtId="165" formatCode="00000"/>
    <numFmt numFmtId="166" formatCode="0#&quot; &quot;##&quot; &quot;##&quot; &quot;##&quot; &quot;##"/>
    <numFmt numFmtId="167" formatCode="ddmm"/>
    <numFmt numFmtId="168" formatCode="[&gt;=3000000000000]#&quot; &quot;##&quot; &quot;##&quot; &quot;##&quot; &quot;###&quot; &quot;###&quot; | &quot;##;#&quot; &quot;##&quot; &quot;##&quot; &quot;##&quot; &quot;###&quot; &quot;###"/>
  </numFmts>
  <fonts count="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8"/>
      <color indexed="8"/>
      <name val="Calibri"/>
      <family val="2"/>
    </font>
    <font>
      <b/>
      <sz val="10"/>
      <color indexed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6"/>
      <color indexed="9"/>
      <name val="Calibri"/>
      <family val="2"/>
    </font>
    <font>
      <sz val="11"/>
      <color indexed="31"/>
      <name val="Calibri"/>
      <family val="2"/>
    </font>
    <font>
      <sz val="11"/>
      <color rgb="FFCCCC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62"/>
        <bgColor indexed="62"/>
      </patternFill>
    </fill>
    <fill>
      <patternFill patternType="solid">
        <fgColor indexed="3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CCCC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2"/>
      </top>
      <bottom/>
      <diagonal/>
    </border>
    <border>
      <left/>
      <right/>
      <top/>
      <bottom style="thin">
        <color indexed="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n">
        <color rgb="FFCCCCFF"/>
      </bottom>
      <diagonal/>
    </border>
  </borders>
  <cellStyleXfs count="1">
    <xf numFmtId="0" fontId="0" fillId="0" borderId="0"/>
  </cellStyleXfs>
  <cellXfs count="44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14" fontId="1" fillId="0" borderId="1" xfId="0" applyNumberFormat="1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14" fontId="1" fillId="0" borderId="1" xfId="0" applyNumberFormat="1" applyFont="1" applyBorder="1"/>
    <xf numFmtId="164" fontId="1" fillId="0" borderId="1" xfId="0" applyNumberFormat="1" applyFont="1" applyBorder="1"/>
    <xf numFmtId="166" fontId="1" fillId="0" borderId="1" xfId="0" applyNumberFormat="1" applyFont="1" applyBorder="1"/>
    <xf numFmtId="165" fontId="1" fillId="0" borderId="1" xfId="0" applyNumberFormat="1" applyFont="1" applyBorder="1"/>
    <xf numFmtId="168" fontId="1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167" fontId="1" fillId="0" borderId="1" xfId="0" applyNumberFormat="1" applyFont="1" applyBorder="1"/>
    <xf numFmtId="0" fontId="3" fillId="2" borderId="0" xfId="0" applyFont="1" applyFill="1" applyBorder="1"/>
    <xf numFmtId="166" fontId="3" fillId="2" borderId="0" xfId="0" applyNumberFormat="1" applyFont="1" applyFill="1" applyBorder="1"/>
    <xf numFmtId="165" fontId="3" fillId="2" borderId="0" xfId="0" applyNumberFormat="1" applyFont="1" applyFill="1" applyBorder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right"/>
    </xf>
    <xf numFmtId="0" fontId="5" fillId="0" borderId="0" xfId="0" applyFont="1" applyFill="1" applyAlignment="1" applyProtection="1">
      <alignment horizontal="right"/>
    </xf>
    <xf numFmtId="14" fontId="4" fillId="0" borderId="0" xfId="0" applyNumberFormat="1" applyFont="1" applyFill="1" applyAlignment="1" applyProtection="1">
      <alignment horizontal="right"/>
    </xf>
    <xf numFmtId="14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164" fontId="4" fillId="0" borderId="0" xfId="0" applyNumberFormat="1" applyFont="1" applyFill="1" applyAlignment="1">
      <alignment horizontal="left"/>
    </xf>
    <xf numFmtId="0" fontId="4" fillId="4" borderId="0" xfId="0" applyFont="1" applyFill="1"/>
    <xf numFmtId="0" fontId="7" fillId="3" borderId="0" xfId="0" applyFont="1" applyFill="1"/>
    <xf numFmtId="165" fontId="7" fillId="3" borderId="0" xfId="0" applyNumberFormat="1" applyFont="1" applyFill="1"/>
    <xf numFmtId="0" fontId="5" fillId="0" borderId="0" xfId="0" applyFont="1" applyFill="1" applyAlignment="1" applyProtection="1">
      <alignment horizontal="right"/>
      <protection locked="0"/>
    </xf>
    <xf numFmtId="166" fontId="4" fillId="0" borderId="0" xfId="0" applyNumberFormat="1" applyFont="1" applyFill="1" applyAlignment="1">
      <alignment horizontal="left"/>
    </xf>
    <xf numFmtId="0" fontId="4" fillId="0" borderId="2" xfId="0" applyFont="1" applyFill="1" applyBorder="1"/>
    <xf numFmtId="166" fontId="4" fillId="3" borderId="0" xfId="0" applyNumberFormat="1" applyFont="1" applyFill="1"/>
    <xf numFmtId="0" fontId="0" fillId="3" borderId="0" xfId="0" applyFill="1" applyAlignment="1">
      <alignment horizontal="right"/>
    </xf>
    <xf numFmtId="0" fontId="0" fillId="3" borderId="3" xfId="0" applyFill="1" applyBorder="1"/>
    <xf numFmtId="0" fontId="4" fillId="3" borderId="3" xfId="0" applyFont="1" applyFill="1" applyBorder="1"/>
    <xf numFmtId="0" fontId="4" fillId="0" borderId="2" xfId="0" applyFont="1" applyFill="1" applyBorder="1"/>
    <xf numFmtId="166" fontId="4" fillId="0" borderId="0" xfId="0" applyNumberFormat="1" applyFont="1" applyFill="1"/>
    <xf numFmtId="0" fontId="8" fillId="3" borderId="0" xfId="0" applyFont="1" applyFill="1"/>
    <xf numFmtId="0" fontId="8" fillId="6" borderId="4" xfId="0" applyFont="1" applyFill="1" applyBorder="1" applyAlignment="1">
      <alignment horizontal="left"/>
    </xf>
    <xf numFmtId="0" fontId="6" fillId="5" borderId="0" xfId="0" applyFont="1" applyFill="1" applyAlignment="1">
      <alignment horizontal="center"/>
    </xf>
  </cellXfs>
  <cellStyles count="1">
    <cellStyle name="Normal" xfId="0" builtinId="0"/>
  </cellStyles>
  <dxfs count="48">
    <dxf>
      <font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color theme="0"/>
      </font>
    </dxf>
    <dxf>
      <font>
        <strike val="0"/>
        <u val="none"/>
        <color theme="0"/>
      </font>
    </dxf>
    <dxf>
      <font>
        <strike val="0"/>
        <u val="none"/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dmm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8" formatCode="[&gt;=3000000000000]#&quot; &quot;##&quot; &quot;##&quot; &quot;##&quot; &quot;###&quot; &quot;###&quot; | &quot;##;#&quot; &quot;##&quot; &quot;##&quot; &quot;##&quot; &quot;###&quot; &quot;#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000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0#&quot; &quot;##&quot; &quot;##&quot; &quot;##&quot; &quot;##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General\ &quot;ans&quot;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161925</xdr:colOff>
      <xdr:row>0</xdr:row>
      <xdr:rowOff>161925</xdr:rowOff>
    </xdr:from>
    <xdr:to>
      <xdr:col>41</xdr:col>
      <xdr:colOff>752475</xdr:colOff>
      <xdr:row>1</xdr:row>
      <xdr:rowOff>76200</xdr:rowOff>
    </xdr:to>
    <xdr:pic>
      <xdr:nvPicPr>
        <xdr:cNvPr id="4109" name="Picture 3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9900" y="1619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314325</xdr:colOff>
      <xdr:row>1</xdr:row>
      <xdr:rowOff>47625</xdr:rowOff>
    </xdr:from>
    <xdr:to>
      <xdr:col>42</xdr:col>
      <xdr:colOff>142875</xdr:colOff>
      <xdr:row>2</xdr:row>
      <xdr:rowOff>38100</xdr:rowOff>
    </xdr:to>
    <xdr:pic>
      <xdr:nvPicPr>
        <xdr:cNvPr id="4110" name="Picture 4" descr="C:\Documents and Settings\LEQUEUX\Application Data\Microsoft\Media Catalog\picto1.bm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42300" y="314325"/>
          <a:ext cx="590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66675</xdr:rowOff>
        </xdr:from>
        <xdr:to>
          <xdr:col>4</xdr:col>
          <xdr:colOff>542925</xdr:colOff>
          <xdr:row>6</xdr:row>
          <xdr:rowOff>123825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BDDPUBLI" displayName="BDDPUBLI" ref="A1:AD11" totalsRowShown="0" headerRowDxfId="47" tableBorderDxfId="46">
  <tableColumns count="30">
    <tableColumn id="1" name="NOM" dataDxfId="45"/>
    <tableColumn id="2" name="PRENOM" dataDxfId="44"/>
    <tableColumn id="3" name="GROUPE" dataDxfId="43"/>
    <tableColumn id="4" name="STRUCTURE" dataDxfId="42"/>
    <tableColumn id="5" name="NOM STRUCTURE" dataDxfId="41"/>
    <tableColumn id="6" name="DATE ENTREE" dataDxfId="40"/>
    <tableColumn id="7" name="NOM PRENOM" dataDxfId="39">
      <calculatedColumnFormula>BDD!$A2&amp;" "&amp;BDD!$B2</calculatedColumnFormula>
    </tableColumn>
    <tableColumn id="8" name="CHAMBRE" dataDxfId="38"/>
    <tableColumn id="9" name="REFERENT" dataDxfId="37"/>
    <tableColumn id="10" name="REFERENT2" dataDxfId="36"/>
    <tableColumn id="11" name="DATE DE NAISSANCE" dataDxfId="35"/>
    <tableColumn id="12" name="LIEU DE NAISSANCE" dataDxfId="34"/>
    <tableColumn id="13" name="AGE" dataDxfId="33">
      <calculatedColumnFormula>IF(BDD!$K2="","",INT((TODAY()-K2)/365))</calculatedColumnFormula>
    </tableColumn>
    <tableColumn id="14" name="TELEPHONE" dataDxfId="32"/>
    <tableColumn id="15" name="MESURE PROCT." dataDxfId="31"/>
    <tableColumn id="16" name="LIEN" dataDxfId="30"/>
    <tableColumn id="17" name="GENRE" dataDxfId="29"/>
    <tableColumn id="18" name="NOM PRENOM2" dataDxfId="28"/>
    <tableColumn id="19" name="TELEPHONE FIXE" dataDxfId="27"/>
    <tableColumn id="20" name="TELEPHONE PORTABLE" dataDxfId="26"/>
    <tableColumn id="21" name="TELEPHONE TRAVAIL" dataDxfId="25"/>
    <tableColumn id="22" name="COURRIEL" dataDxfId="24"/>
    <tableColumn id="23" name="ADRESSE" dataDxfId="23"/>
    <tableColumn id="24" name="CP" dataDxfId="22"/>
    <tableColumn id="25" name="VILLE" dataDxfId="21"/>
    <tableColumn id="26" name="N° SECURITE SOCIALE" dataDxfId="20"/>
    <tableColumn id="27" name="N° CAF" dataDxfId="19"/>
    <tableColumn id="28" name="CODE CONFIDENTIEL" dataDxfId="18"/>
    <tableColumn id="29" name="JJMM NAISSANCE" dataDxfId="17">
      <calculatedColumnFormula>IF(K2="","",K2)</calculatedColumnFormula>
    </tableColumn>
    <tableColumn id="30" name="FORMULE 1" dataDxfId="16">
      <calculatedColumnFormula>IF(Q2="M. Mme","Madame, Monsieur, ",IF(Q2="Mme","Madame, ","Monsieur, "))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11"/>
  <sheetViews>
    <sheetView zoomScale="130" zoomScaleNormal="130" workbookViewId="0">
      <pane xSplit="1" ySplit="1" topLeftCell="L2" activePane="bottomRight" state="frozen"/>
      <selection pane="topRight" activeCell="B1" sqref="B1"/>
      <selection pane="bottomLeft" activeCell="A2" sqref="A2"/>
      <selection pane="bottomRight" activeCell="R7" sqref="R7"/>
    </sheetView>
  </sheetViews>
  <sheetFormatPr baseColWidth="10" defaultRowHeight="15" outlineLevelRow="1" x14ac:dyDescent="0.25"/>
  <cols>
    <col min="1" max="1" width="17.140625" customWidth="1"/>
    <col min="2" max="2" width="12.42578125" customWidth="1"/>
    <col min="3" max="3" width="12.7109375" customWidth="1"/>
    <col min="4" max="4" width="13.140625" customWidth="1"/>
    <col min="5" max="5" width="16.140625" customWidth="1"/>
    <col min="6" max="6" width="12.7109375" customWidth="1"/>
    <col min="7" max="7" width="26.5703125" bestFit="1" customWidth="1"/>
    <col min="8" max="8" width="11" bestFit="1" customWidth="1"/>
    <col min="9" max="9" width="17.5703125" style="4" bestFit="1" customWidth="1"/>
    <col min="10" max="10" width="16.28515625" style="4" bestFit="1" customWidth="1"/>
    <col min="11" max="11" width="19.140625" bestFit="1" customWidth="1"/>
    <col min="12" max="12" width="18.42578125" bestFit="1" customWidth="1"/>
    <col min="13" max="13" width="6.42578125" bestFit="1" customWidth="1"/>
    <col min="14" max="14" width="13.42578125" style="2" customWidth="1"/>
    <col min="15" max="15" width="15.5703125" bestFit="1" customWidth="1"/>
    <col min="17" max="17" width="9.140625" customWidth="1"/>
    <col min="18" max="18" width="23.42578125" bestFit="1" customWidth="1"/>
    <col min="19" max="19" width="6.5703125" style="2" customWidth="1"/>
    <col min="20" max="20" width="4.85546875" style="2" customWidth="1"/>
    <col min="21" max="21" width="3.5703125" style="2" customWidth="1"/>
    <col min="22" max="22" width="7" customWidth="1"/>
    <col min="23" max="23" width="28.42578125" bestFit="1" customWidth="1"/>
    <col min="24" max="24" width="6" style="1" bestFit="1" customWidth="1"/>
    <col min="25" max="25" width="10.28515625" customWidth="1"/>
    <col min="26" max="26" width="4.85546875" customWidth="1"/>
    <col min="27" max="27" width="8.5703125" bestFit="1" customWidth="1"/>
    <col min="28" max="28" width="5.7109375" customWidth="1"/>
    <col min="29" max="29" width="8.85546875" customWidth="1"/>
    <col min="30" max="30" width="17.28515625" bestFit="1" customWidth="1"/>
  </cols>
  <sheetData>
    <row r="1" spans="1:30" s="3" customFormat="1" ht="12.75" x14ac:dyDescent="0.2">
      <c r="A1" s="17" t="s">
        <v>14</v>
      </c>
      <c r="B1" s="17" t="s">
        <v>15</v>
      </c>
      <c r="C1" s="17" t="s">
        <v>34</v>
      </c>
      <c r="D1" s="17" t="s">
        <v>33</v>
      </c>
      <c r="E1" s="17" t="s">
        <v>41</v>
      </c>
      <c r="F1" s="17" t="s">
        <v>0</v>
      </c>
      <c r="G1" s="17" t="s">
        <v>48</v>
      </c>
      <c r="H1" s="17" t="s">
        <v>35</v>
      </c>
      <c r="I1" s="17" t="s">
        <v>36</v>
      </c>
      <c r="J1" s="17" t="s">
        <v>46</v>
      </c>
      <c r="K1" s="17" t="s">
        <v>26</v>
      </c>
      <c r="L1" s="17" t="s">
        <v>13</v>
      </c>
      <c r="M1" s="17" t="s">
        <v>18</v>
      </c>
      <c r="N1" s="18" t="s">
        <v>45</v>
      </c>
      <c r="O1" s="17" t="s">
        <v>1</v>
      </c>
      <c r="P1" s="17" t="s">
        <v>43</v>
      </c>
      <c r="Q1" s="17" t="s">
        <v>19</v>
      </c>
      <c r="R1" s="17" t="s">
        <v>44</v>
      </c>
      <c r="S1" s="18" t="s">
        <v>22</v>
      </c>
      <c r="T1" s="18" t="s">
        <v>23</v>
      </c>
      <c r="U1" s="18" t="s">
        <v>24</v>
      </c>
      <c r="V1" s="18" t="s">
        <v>39</v>
      </c>
      <c r="W1" s="17" t="s">
        <v>2</v>
      </c>
      <c r="X1" s="19" t="s">
        <v>32</v>
      </c>
      <c r="Y1" s="17" t="s">
        <v>3</v>
      </c>
      <c r="Z1" s="17" t="s">
        <v>28</v>
      </c>
      <c r="AA1" s="17" t="s">
        <v>29</v>
      </c>
      <c r="AB1" s="17" t="s">
        <v>30</v>
      </c>
      <c r="AC1" s="17" t="s">
        <v>68</v>
      </c>
      <c r="AD1" s="17" t="s">
        <v>27</v>
      </c>
    </row>
    <row r="2" spans="1:30" ht="15" customHeight="1" x14ac:dyDescent="0.25">
      <c r="A2" s="5" t="s">
        <v>71</v>
      </c>
      <c r="B2" s="5" t="s">
        <v>16</v>
      </c>
      <c r="C2" s="6" t="s">
        <v>37</v>
      </c>
      <c r="D2" s="5" t="s">
        <v>40</v>
      </c>
      <c r="E2" s="5" t="s">
        <v>75</v>
      </c>
      <c r="F2" s="6">
        <v>37530</v>
      </c>
      <c r="G2" s="7" t="str">
        <f>BDD!$A2&amp;" "&amp;BDD!$B2</f>
        <v>DEPAINS Cécile</v>
      </c>
      <c r="H2" s="8">
        <v>9</v>
      </c>
      <c r="I2" s="9" t="s">
        <v>49</v>
      </c>
      <c r="J2" s="9" t="s">
        <v>77</v>
      </c>
      <c r="K2" s="10">
        <v>22453</v>
      </c>
      <c r="L2" s="5" t="s">
        <v>47</v>
      </c>
      <c r="M2" s="11">
        <f ca="1">IF(BDD!$K2="","",INT((TODAY()-K2)/365))</f>
        <v>51</v>
      </c>
      <c r="N2" s="12"/>
      <c r="O2" s="5" t="s">
        <v>4</v>
      </c>
      <c r="P2" s="5" t="s">
        <v>12</v>
      </c>
      <c r="Q2" s="5" t="s">
        <v>20</v>
      </c>
      <c r="R2" s="5" t="s">
        <v>71</v>
      </c>
      <c r="S2" s="12">
        <v>12</v>
      </c>
      <c r="T2" s="12"/>
      <c r="U2" s="12"/>
      <c r="V2" s="5"/>
      <c r="W2" s="5" t="s">
        <v>8</v>
      </c>
      <c r="X2" s="13">
        <v>99999</v>
      </c>
      <c r="Y2" s="5" t="s">
        <v>85</v>
      </c>
      <c r="Z2" s="14"/>
      <c r="AA2" s="5"/>
      <c r="AB2" s="15"/>
      <c r="AC2" s="16">
        <f t="shared" ref="AC2:AC11" si="0">IF(K2="","",K2)</f>
        <v>22453</v>
      </c>
      <c r="AD2" s="5" t="str">
        <f t="shared" ref="AD2:AD11" si="1">IF(Q2="M. Mme","Madame, Monsieur, ",IF(Q2="Mme","Madame, ","Monsieur, "))</f>
        <v xml:space="preserve">Madame, Monsieur, </v>
      </c>
    </row>
    <row r="3" spans="1:30" ht="15" customHeight="1" outlineLevel="1" x14ac:dyDescent="0.25">
      <c r="A3" s="5" t="s">
        <v>71</v>
      </c>
      <c r="B3" s="5" t="s">
        <v>16</v>
      </c>
      <c r="C3" s="6" t="s">
        <v>37</v>
      </c>
      <c r="D3" s="5" t="s">
        <v>40</v>
      </c>
      <c r="E3" s="5" t="s">
        <v>75</v>
      </c>
      <c r="F3" s="6"/>
      <c r="G3" s="7" t="str">
        <f>BDD!$A3&amp;" "&amp;BDD!$B3</f>
        <v>DEPAINS Cécile</v>
      </c>
      <c r="H3" s="8"/>
      <c r="I3" s="9"/>
      <c r="J3" s="9"/>
      <c r="K3" s="10"/>
      <c r="L3" s="5"/>
      <c r="M3" s="11" t="str">
        <f ca="1">IF(BDD!$K3="","",INT((TODAY()-K3)/365))</f>
        <v/>
      </c>
      <c r="N3" s="12"/>
      <c r="O3" s="5"/>
      <c r="P3" s="5" t="s">
        <v>6</v>
      </c>
      <c r="Q3" s="5" t="s">
        <v>21</v>
      </c>
      <c r="R3" s="5" t="s">
        <v>81</v>
      </c>
      <c r="S3" s="12">
        <v>14</v>
      </c>
      <c r="T3" s="12"/>
      <c r="U3" s="12"/>
      <c r="V3" s="5"/>
      <c r="W3" s="5" t="s">
        <v>9</v>
      </c>
      <c r="X3" s="13">
        <v>99992</v>
      </c>
      <c r="Y3" s="5" t="s">
        <v>85</v>
      </c>
      <c r="Z3" s="14"/>
      <c r="AA3" s="5"/>
      <c r="AB3" s="15"/>
      <c r="AC3" s="16" t="str">
        <f t="shared" si="0"/>
        <v/>
      </c>
      <c r="AD3" s="5" t="str">
        <f t="shared" si="1"/>
        <v xml:space="preserve">Madame, </v>
      </c>
    </row>
    <row r="4" spans="1:30" ht="15" customHeight="1" outlineLevel="1" x14ac:dyDescent="0.25">
      <c r="A4" s="5" t="s">
        <v>71</v>
      </c>
      <c r="B4" s="5" t="s">
        <v>16</v>
      </c>
      <c r="C4" s="6" t="s">
        <v>37</v>
      </c>
      <c r="D4" s="5" t="s">
        <v>40</v>
      </c>
      <c r="E4" s="5" t="s">
        <v>75</v>
      </c>
      <c r="F4" s="6"/>
      <c r="G4" s="7" t="str">
        <f>BDD!$A4&amp;" "&amp;BDD!$B4</f>
        <v>DEPAINS Cécile</v>
      </c>
      <c r="H4" s="8"/>
      <c r="I4" s="9"/>
      <c r="J4" s="9"/>
      <c r="K4" s="10"/>
      <c r="L4" s="5"/>
      <c r="M4" s="11" t="str">
        <f ca="1">IF(BDD!$K4="","",INT((TODAY()-K4)/365))</f>
        <v/>
      </c>
      <c r="N4" s="12"/>
      <c r="O4" s="5"/>
      <c r="P4" s="5" t="s">
        <v>6</v>
      </c>
      <c r="Q4" s="5" t="s">
        <v>21</v>
      </c>
      <c r="R4" s="5" t="s">
        <v>94</v>
      </c>
      <c r="S4" s="12">
        <v>478</v>
      </c>
      <c r="T4" s="12"/>
      <c r="U4" s="12"/>
      <c r="V4" s="5"/>
      <c r="W4" s="5" t="s">
        <v>95</v>
      </c>
      <c r="X4" s="13">
        <v>66666</v>
      </c>
      <c r="Y4" s="5" t="s">
        <v>96</v>
      </c>
      <c r="Z4" s="14"/>
      <c r="AA4" s="5"/>
      <c r="AB4" s="15"/>
      <c r="AC4" s="16" t="str">
        <f>IF(K4="","",K4)</f>
        <v/>
      </c>
      <c r="AD4" s="5" t="str">
        <f>IF(Q4="M. Mme","Madame, Monsieur, ",IF(Q4="Mme","Madame, ","Monsieur, "))</f>
        <v xml:space="preserve">Madame, </v>
      </c>
    </row>
    <row r="5" spans="1:30" ht="15" customHeight="1" outlineLevel="1" x14ac:dyDescent="0.25">
      <c r="A5" s="5" t="s">
        <v>71</v>
      </c>
      <c r="B5" s="5" t="s">
        <v>92</v>
      </c>
      <c r="C5" s="6" t="s">
        <v>38</v>
      </c>
      <c r="D5" s="5" t="s">
        <v>40</v>
      </c>
      <c r="E5" s="5" t="s">
        <v>75</v>
      </c>
      <c r="F5" s="6">
        <v>38658</v>
      </c>
      <c r="G5" s="7" t="str">
        <f>BDD!$A5&amp;" "&amp;BDD!$B5</f>
        <v>DEPAINS Odile</v>
      </c>
      <c r="H5" s="8">
        <v>7</v>
      </c>
      <c r="I5" s="9" t="s">
        <v>49</v>
      </c>
      <c r="J5" s="9" t="s">
        <v>93</v>
      </c>
      <c r="K5" s="10">
        <v>24822</v>
      </c>
      <c r="L5" s="5" t="s">
        <v>47</v>
      </c>
      <c r="M5" s="11">
        <f ca="1">IF(BDD!$K5="","",INT((TODAY()-K5)/365))</f>
        <v>44</v>
      </c>
      <c r="N5" s="12"/>
      <c r="O5" s="5" t="s">
        <v>4</v>
      </c>
      <c r="P5" s="5" t="s">
        <v>12</v>
      </c>
      <c r="Q5" s="5" t="s">
        <v>20</v>
      </c>
      <c r="R5" s="5" t="s">
        <v>71</v>
      </c>
      <c r="S5" s="12">
        <v>12</v>
      </c>
      <c r="T5" s="12"/>
      <c r="U5" s="12"/>
      <c r="V5" s="5"/>
      <c r="W5" s="5" t="s">
        <v>8</v>
      </c>
      <c r="X5" s="13">
        <v>99999</v>
      </c>
      <c r="Y5" s="5" t="s">
        <v>85</v>
      </c>
      <c r="Z5" s="14"/>
      <c r="AA5" s="5"/>
      <c r="AB5" s="15"/>
      <c r="AC5" s="16">
        <f t="shared" ref="AC5:AC7" si="2">IF(K5="","",K5)</f>
        <v>24822</v>
      </c>
      <c r="AD5" s="5" t="str">
        <f t="shared" ref="AD5:AD7" si="3">IF(Q5="M. Mme","Madame, Monsieur, ",IF(Q5="Mme","Madame, ","Monsieur, "))</f>
        <v xml:space="preserve">Madame, Monsieur, </v>
      </c>
    </row>
    <row r="6" spans="1:30" ht="15" customHeight="1" x14ac:dyDescent="0.25">
      <c r="A6" s="5" t="s">
        <v>71</v>
      </c>
      <c r="B6" s="5" t="s">
        <v>92</v>
      </c>
      <c r="C6" s="6" t="s">
        <v>38</v>
      </c>
      <c r="D6" s="5" t="s">
        <v>40</v>
      </c>
      <c r="E6" s="5" t="s">
        <v>75</v>
      </c>
      <c r="F6" s="6"/>
      <c r="G6" s="7" t="str">
        <f>BDD!$A6&amp;" "&amp;BDD!$B6</f>
        <v>DEPAINS Odile</v>
      </c>
      <c r="H6" s="8"/>
      <c r="I6" s="9"/>
      <c r="J6" s="9"/>
      <c r="K6" s="10"/>
      <c r="L6" s="5"/>
      <c r="M6" s="11" t="str">
        <f ca="1">IF(BDD!$K6="","",INT((TODAY()-K6)/365))</f>
        <v/>
      </c>
      <c r="N6" s="12"/>
      <c r="O6" s="5"/>
      <c r="P6" s="5" t="s">
        <v>6</v>
      </c>
      <c r="Q6" s="5" t="s">
        <v>21</v>
      </c>
      <c r="R6" s="5" t="s">
        <v>98</v>
      </c>
      <c r="S6" s="12"/>
      <c r="T6" s="12"/>
      <c r="U6" s="12"/>
      <c r="V6" s="5"/>
      <c r="W6" s="5" t="s">
        <v>95</v>
      </c>
      <c r="X6" s="13">
        <v>66666</v>
      </c>
      <c r="Y6" s="5" t="s">
        <v>96</v>
      </c>
      <c r="Z6" s="14"/>
      <c r="AA6" s="5"/>
      <c r="AB6" s="15"/>
      <c r="AC6" s="16" t="str">
        <f t="shared" si="2"/>
        <v/>
      </c>
      <c r="AD6" s="5" t="str">
        <f t="shared" si="3"/>
        <v xml:space="preserve">Madame, </v>
      </c>
    </row>
    <row r="7" spans="1:30" ht="15" customHeight="1" outlineLevel="1" x14ac:dyDescent="0.25">
      <c r="A7" s="5" t="s">
        <v>71</v>
      </c>
      <c r="B7" s="5" t="s">
        <v>92</v>
      </c>
      <c r="C7" s="6" t="s">
        <v>38</v>
      </c>
      <c r="D7" s="5" t="s">
        <v>40</v>
      </c>
      <c r="E7" s="5" t="s">
        <v>75</v>
      </c>
      <c r="F7" s="6"/>
      <c r="G7" s="7" t="str">
        <f>BDD!$A7&amp;" "&amp;BDD!$B7</f>
        <v>DEPAINS Odile</v>
      </c>
      <c r="H7" s="8"/>
      <c r="I7" s="9"/>
      <c r="J7" s="9"/>
      <c r="K7" s="10"/>
      <c r="L7" s="5"/>
      <c r="M7" s="11" t="str">
        <f ca="1">IF(BDD!$K7="","",INT((TODAY()-K7)/365))</f>
        <v/>
      </c>
      <c r="N7" s="12"/>
      <c r="O7" s="5"/>
      <c r="P7" s="5" t="s">
        <v>6</v>
      </c>
      <c r="Q7" s="5" t="s">
        <v>21</v>
      </c>
      <c r="R7" s="5" t="s">
        <v>81</v>
      </c>
      <c r="S7" s="12">
        <v>14</v>
      </c>
      <c r="T7" s="12"/>
      <c r="U7" s="12"/>
      <c r="V7" s="5"/>
      <c r="W7" s="5" t="s">
        <v>9</v>
      </c>
      <c r="X7" s="13">
        <v>99992</v>
      </c>
      <c r="Y7" s="5" t="s">
        <v>85</v>
      </c>
      <c r="Z7" s="14"/>
      <c r="AA7" s="5"/>
      <c r="AB7" s="15"/>
      <c r="AC7" s="16" t="str">
        <f t="shared" si="2"/>
        <v/>
      </c>
      <c r="AD7" s="5" t="str">
        <f t="shared" si="3"/>
        <v xml:space="preserve">Madame, </v>
      </c>
    </row>
    <row r="8" spans="1:30" ht="15" customHeight="1" x14ac:dyDescent="0.25">
      <c r="A8" s="5" t="s">
        <v>74</v>
      </c>
      <c r="B8" s="5" t="s">
        <v>17</v>
      </c>
      <c r="C8" s="6" t="s">
        <v>38</v>
      </c>
      <c r="D8" s="5" t="s">
        <v>40</v>
      </c>
      <c r="E8" s="5" t="s">
        <v>75</v>
      </c>
      <c r="F8" s="6">
        <v>37530</v>
      </c>
      <c r="G8" s="7" t="str">
        <f>BDD!$A8&amp;" "&amp;BDD!$B8</f>
        <v>TROIS Philippe</v>
      </c>
      <c r="H8" s="8">
        <v>18</v>
      </c>
      <c r="I8" s="9" t="s">
        <v>76</v>
      </c>
      <c r="J8" s="9" t="s">
        <v>78</v>
      </c>
      <c r="K8" s="10">
        <v>27314</v>
      </c>
      <c r="L8" s="5" t="s">
        <v>47</v>
      </c>
      <c r="M8" s="11">
        <f ca="1">IF(BDD!$K8="","",INT((TODAY()-K8)/365))</f>
        <v>37</v>
      </c>
      <c r="N8" s="12"/>
      <c r="O8" s="5" t="s">
        <v>4</v>
      </c>
      <c r="P8" s="5" t="s">
        <v>12</v>
      </c>
      <c r="Q8" s="5" t="s">
        <v>20</v>
      </c>
      <c r="R8" s="5" t="s">
        <v>74</v>
      </c>
      <c r="S8" s="12"/>
      <c r="T8" s="12"/>
      <c r="U8" s="12"/>
      <c r="V8" s="5"/>
      <c r="W8" s="5" t="s">
        <v>10</v>
      </c>
      <c r="X8" s="13">
        <v>22222</v>
      </c>
      <c r="Y8" s="5" t="s">
        <v>86</v>
      </c>
      <c r="Z8" s="14"/>
      <c r="AA8" s="5"/>
      <c r="AB8" s="15"/>
      <c r="AC8" s="16">
        <f t="shared" si="0"/>
        <v>27314</v>
      </c>
      <c r="AD8" s="5" t="str">
        <f t="shared" si="1"/>
        <v xml:space="preserve">Madame, Monsieur, </v>
      </c>
    </row>
    <row r="9" spans="1:30" ht="15" customHeight="1" x14ac:dyDescent="0.25">
      <c r="A9" s="5" t="s">
        <v>72</v>
      </c>
      <c r="B9" s="5" t="s">
        <v>73</v>
      </c>
      <c r="C9" s="6" t="s">
        <v>38</v>
      </c>
      <c r="D9" s="5" t="s">
        <v>40</v>
      </c>
      <c r="E9" s="5" t="s">
        <v>75</v>
      </c>
      <c r="F9" s="6">
        <v>37530</v>
      </c>
      <c r="G9" s="7" t="str">
        <f>BDD!$A9&amp;" "&amp;BDD!$B9</f>
        <v>SANTOS Manu</v>
      </c>
      <c r="H9" s="8">
        <v>16</v>
      </c>
      <c r="I9" s="9" t="s">
        <v>76</v>
      </c>
      <c r="J9" s="9" t="s">
        <v>79</v>
      </c>
      <c r="K9" s="10">
        <v>22014</v>
      </c>
      <c r="L9" s="5" t="s">
        <v>80</v>
      </c>
      <c r="M9" s="11">
        <f ca="1">IF(BDD!$K9="","",INT((TODAY()-K9)/365))</f>
        <v>52</v>
      </c>
      <c r="N9" s="12"/>
      <c r="O9" s="5" t="s">
        <v>4</v>
      </c>
      <c r="P9" s="5" t="s">
        <v>42</v>
      </c>
      <c r="Q9" s="5" t="s">
        <v>21</v>
      </c>
      <c r="R9" s="5" t="s">
        <v>82</v>
      </c>
      <c r="S9" s="12"/>
      <c r="T9" s="12"/>
      <c r="U9" s="12"/>
      <c r="V9" s="5"/>
      <c r="W9" s="5" t="s">
        <v>7</v>
      </c>
      <c r="X9" s="13">
        <v>99994</v>
      </c>
      <c r="Y9" s="5" t="s">
        <v>85</v>
      </c>
      <c r="Z9" s="14"/>
      <c r="AA9" s="5"/>
      <c r="AB9" s="15" t="s">
        <v>31</v>
      </c>
      <c r="AC9" s="16">
        <f t="shared" si="0"/>
        <v>22014</v>
      </c>
      <c r="AD9" s="5" t="str">
        <f t="shared" si="1"/>
        <v xml:space="preserve">Madame, </v>
      </c>
    </row>
    <row r="10" spans="1:30" ht="15" customHeight="1" outlineLevel="1" x14ac:dyDescent="0.25">
      <c r="A10" s="5" t="s">
        <v>72</v>
      </c>
      <c r="B10" s="5" t="s">
        <v>73</v>
      </c>
      <c r="C10" s="6" t="s">
        <v>38</v>
      </c>
      <c r="D10" s="5" t="s">
        <v>40</v>
      </c>
      <c r="E10" s="5" t="s">
        <v>75</v>
      </c>
      <c r="F10" s="6"/>
      <c r="G10" s="7" t="str">
        <f>BDD!$A10&amp;" "&amp;BDD!$B10</f>
        <v>SANTOS Manu</v>
      </c>
      <c r="H10" s="8"/>
      <c r="I10" s="9"/>
      <c r="J10" s="9"/>
      <c r="K10" s="10"/>
      <c r="L10" s="5"/>
      <c r="M10" s="11" t="str">
        <f ca="1">IF(BDD!$K10="","",INT((TODAY()-K10)/365))</f>
        <v/>
      </c>
      <c r="N10" s="12"/>
      <c r="O10" s="5"/>
      <c r="P10" s="5" t="s">
        <v>5</v>
      </c>
      <c r="Q10" s="5" t="s">
        <v>25</v>
      </c>
      <c r="R10" s="5" t="s">
        <v>83</v>
      </c>
      <c r="S10" s="12"/>
      <c r="T10" s="12"/>
      <c r="U10" s="12"/>
      <c r="V10" s="5"/>
      <c r="W10" s="5" t="s">
        <v>11</v>
      </c>
      <c r="X10" s="13">
        <v>88888</v>
      </c>
      <c r="Y10" s="5" t="s">
        <v>87</v>
      </c>
      <c r="Z10" s="14"/>
      <c r="AA10" s="5"/>
      <c r="AB10" s="15" t="s">
        <v>31</v>
      </c>
      <c r="AC10" s="16" t="str">
        <f t="shared" si="0"/>
        <v/>
      </c>
      <c r="AD10" s="5" t="str">
        <f t="shared" si="1"/>
        <v xml:space="preserve">Monsieur, </v>
      </c>
    </row>
    <row r="11" spans="1:30" ht="15" customHeight="1" outlineLevel="1" x14ac:dyDescent="0.25">
      <c r="A11" s="5" t="s">
        <v>72</v>
      </c>
      <c r="B11" s="5" t="s">
        <v>73</v>
      </c>
      <c r="C11" s="6" t="s">
        <v>38</v>
      </c>
      <c r="D11" s="5" t="s">
        <v>40</v>
      </c>
      <c r="E11" s="5" t="s">
        <v>75</v>
      </c>
      <c r="F11" s="6"/>
      <c r="G11" s="7" t="str">
        <f>BDD!$A11&amp;" "&amp;BDD!$B11</f>
        <v>SANTOS Manu</v>
      </c>
      <c r="H11" s="8"/>
      <c r="I11" s="9"/>
      <c r="J11" s="9"/>
      <c r="K11" s="10"/>
      <c r="L11" s="5"/>
      <c r="M11" s="11" t="str">
        <f ca="1">IF(BDD!$K11="","",INT((TODAY()-K11)/365))</f>
        <v/>
      </c>
      <c r="N11" s="12"/>
      <c r="O11" s="5"/>
      <c r="P11" s="5" t="s">
        <v>12</v>
      </c>
      <c r="Q11" s="5" t="s">
        <v>21</v>
      </c>
      <c r="R11" s="5" t="s">
        <v>84</v>
      </c>
      <c r="S11" s="12"/>
      <c r="T11" s="12"/>
      <c r="U11" s="12"/>
      <c r="V11" s="5"/>
      <c r="W11" s="5" t="s">
        <v>91</v>
      </c>
      <c r="X11" s="13">
        <v>75000</v>
      </c>
      <c r="Y11" s="5" t="s">
        <v>90</v>
      </c>
      <c r="Z11" s="14"/>
      <c r="AA11" s="5"/>
      <c r="AB11" s="15" t="s">
        <v>31</v>
      </c>
      <c r="AC11" s="16" t="str">
        <f t="shared" si="0"/>
        <v/>
      </c>
      <c r="AD11" s="5" t="str">
        <f t="shared" si="1"/>
        <v xml:space="preserve">Madame, </v>
      </c>
    </row>
  </sheetData>
  <phoneticPr fontId="0" type="noConversion"/>
  <pageMargins left="0.7" right="0.7" top="0.75" bottom="0.75" header="0.3" footer="0.3"/>
  <pageSetup paperSize="9" orientation="portrait" horizont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50"/>
  <sheetViews>
    <sheetView tabSelected="1" zoomScale="115" zoomScaleNormal="115" workbookViewId="0">
      <selection activeCell="C4" sqref="C4"/>
    </sheetView>
  </sheetViews>
  <sheetFormatPr baseColWidth="10" defaultRowHeight="15" x14ac:dyDescent="0.25"/>
  <cols>
    <col min="1" max="1" width="11.140625" style="20" customWidth="1"/>
    <col min="2" max="2" width="11.42578125" style="20"/>
    <col min="3" max="3" width="18.5703125" style="20" customWidth="1"/>
    <col min="4" max="4" width="13.42578125" style="20" customWidth="1"/>
    <col min="5" max="5" width="25" style="20" customWidth="1"/>
    <col min="6" max="6" width="1.42578125" style="21" customWidth="1"/>
    <col min="7" max="7" width="30.28515625" style="29" bestFit="1" customWidth="1"/>
    <col min="8" max="16384" width="11.42578125" style="29"/>
  </cols>
  <sheetData>
    <row r="1" spans="1:6" ht="21" x14ac:dyDescent="0.35">
      <c r="A1" s="43" t="s">
        <v>67</v>
      </c>
      <c r="B1" s="43"/>
      <c r="C1" s="43"/>
      <c r="D1" s="43"/>
      <c r="E1" s="43"/>
      <c r="F1" s="43"/>
    </row>
    <row r="2" spans="1:6" x14ac:dyDescent="0.25">
      <c r="A2" s="21"/>
      <c r="B2" s="21"/>
      <c r="C2" s="21"/>
      <c r="D2" s="21"/>
      <c r="E2" s="21"/>
    </row>
    <row r="3" spans="1:6" x14ac:dyDescent="0.25">
      <c r="A3" s="21"/>
      <c r="B3" s="21"/>
      <c r="C3" s="21"/>
      <c r="D3" s="21"/>
      <c r="E3" s="21"/>
    </row>
    <row r="4" spans="1:6" x14ac:dyDescent="0.25">
      <c r="A4" s="21"/>
      <c r="B4" s="22" t="s">
        <v>50</v>
      </c>
      <c r="C4" s="32" t="s">
        <v>97</v>
      </c>
      <c r="D4" s="21"/>
      <c r="E4" s="21"/>
    </row>
    <row r="5" spans="1:6" x14ac:dyDescent="0.25">
      <c r="A5" s="21"/>
      <c r="B5" s="22" t="s">
        <v>51</v>
      </c>
      <c r="C5" s="23" t="e">
        <f>VLOOKUP(C4,BDD!$A$2:$B$91,2,FALSE)</f>
        <v>#N/A</v>
      </c>
      <c r="D5" s="21"/>
      <c r="E5" s="21"/>
    </row>
    <row r="6" spans="1:6" x14ac:dyDescent="0.25">
      <c r="A6" s="21"/>
      <c r="B6" s="21"/>
      <c r="C6" s="21"/>
      <c r="D6" s="21"/>
      <c r="E6" s="21"/>
    </row>
    <row r="7" spans="1:6" x14ac:dyDescent="0.25">
      <c r="A7" s="21"/>
      <c r="B7" s="22" t="s">
        <v>55</v>
      </c>
      <c r="C7" s="26" t="e">
        <f>VLOOKUP(C4,BDD!$A$2:$D$91,4,FALSE)</f>
        <v>#N/A</v>
      </c>
      <c r="D7" s="21"/>
      <c r="E7" s="21"/>
    </row>
    <row r="8" spans="1:6" x14ac:dyDescent="0.25">
      <c r="A8" s="21"/>
      <c r="B8" s="22" t="s">
        <v>56</v>
      </c>
      <c r="C8" s="26" t="e">
        <f>VLOOKUP(C4,BDD!$A$2:$C$91,3,FALSE)</f>
        <v>#N/A</v>
      </c>
      <c r="D8" s="22" t="s">
        <v>58</v>
      </c>
      <c r="E8" s="27" t="e">
        <f>VLOOKUP(C4,BDD!$A$2:$H$91,8,FALSE)</f>
        <v>#N/A</v>
      </c>
    </row>
    <row r="9" spans="1:6" x14ac:dyDescent="0.25">
      <c r="A9" s="21"/>
      <c r="B9" s="21"/>
      <c r="C9" s="21"/>
      <c r="D9" s="21"/>
      <c r="E9" s="21"/>
    </row>
    <row r="10" spans="1:6" x14ac:dyDescent="0.25">
      <c r="A10" s="21"/>
      <c r="B10" s="21"/>
      <c r="C10" s="21"/>
      <c r="D10" s="22" t="s">
        <v>70</v>
      </c>
      <c r="E10" s="33" t="e">
        <f>VLOOKUP(C4,BDD!$A$2:$N$91,14,FALSE)</f>
        <v>#N/A</v>
      </c>
    </row>
    <row r="11" spans="1:6" x14ac:dyDescent="0.25">
      <c r="A11" s="21"/>
      <c r="B11" s="21"/>
      <c r="C11" s="21"/>
      <c r="D11" s="21"/>
      <c r="E11" s="21"/>
    </row>
    <row r="12" spans="1:6" x14ac:dyDescent="0.25">
      <c r="A12" s="21"/>
      <c r="B12" s="22" t="s">
        <v>52</v>
      </c>
      <c r="C12" s="24" t="e">
        <f>VLOOKUP(C4,BDD!$A$2:$F$91,6,FALSE)</f>
        <v>#N/A</v>
      </c>
      <c r="D12" s="22" t="s">
        <v>57</v>
      </c>
      <c r="E12" s="28" t="e">
        <f ca="1">IF(C12="","",INT((TODAY()-C12)/365))</f>
        <v>#N/A</v>
      </c>
    </row>
    <row r="13" spans="1:6" x14ac:dyDescent="0.25">
      <c r="A13" s="21"/>
      <c r="B13" s="22" t="s">
        <v>53</v>
      </c>
      <c r="C13" s="25" t="e">
        <f>VLOOKUP(C4,BDD!$A$2:$K$91,11,FALSE)</f>
        <v>#N/A</v>
      </c>
      <c r="D13" s="22" t="s">
        <v>54</v>
      </c>
      <c r="E13" s="28" t="e">
        <f ca="1">IF(C13="","",INT((TODAY()-C13)/365))</f>
        <v>#N/A</v>
      </c>
    </row>
    <row r="14" spans="1:6" x14ac:dyDescent="0.25">
      <c r="A14" s="21"/>
      <c r="B14" s="21"/>
      <c r="C14" s="21"/>
      <c r="D14" s="21"/>
      <c r="E14" s="21"/>
    </row>
    <row r="15" spans="1:6" x14ac:dyDescent="0.25">
      <c r="A15" s="21"/>
      <c r="B15" s="22" t="s">
        <v>59</v>
      </c>
      <c r="C15" s="27" t="e">
        <f>VLOOKUP(C4,BDD!$A$2:$I$91,9,FALSE)</f>
        <v>#N/A</v>
      </c>
      <c r="D15" s="22" t="s">
        <v>60</v>
      </c>
      <c r="E15" s="27" t="e">
        <f>VLOOKUP(C4,BDD!$A$2:$J$91,10,FALSE)</f>
        <v>#N/A</v>
      </c>
    </row>
    <row r="16" spans="1:6" x14ac:dyDescent="0.25">
      <c r="A16" s="21"/>
      <c r="B16" s="21"/>
      <c r="C16" s="21"/>
      <c r="D16" s="21"/>
      <c r="E16" s="21"/>
    </row>
    <row r="17" spans="1:6" ht="21" x14ac:dyDescent="0.35">
      <c r="A17" s="43" t="s">
        <v>66</v>
      </c>
      <c r="B17" s="43"/>
      <c r="C17" s="43"/>
      <c r="D17" s="43"/>
      <c r="E17" s="43"/>
      <c r="F17" s="43"/>
    </row>
    <row r="18" spans="1:6" x14ac:dyDescent="0.25">
      <c r="A18" s="21"/>
      <c r="B18" s="21"/>
      <c r="C18" s="21"/>
      <c r="D18" s="21"/>
      <c r="E18" s="21"/>
    </row>
    <row r="19" spans="1:6" x14ac:dyDescent="0.25">
      <c r="A19" s="21"/>
      <c r="B19" s="22" t="s">
        <v>61</v>
      </c>
      <c r="C19" s="26" t="e">
        <f>VLOOKUP(C4,BDD!$A$2:$O$91,15,FALSE)</f>
        <v>#N/A</v>
      </c>
      <c r="D19" s="22" t="s">
        <v>62</v>
      </c>
      <c r="E19" s="26" t="e">
        <f>VLOOKUP(C4,BDD!$A$2:$P$91,16,FALSE)</f>
        <v>#N/A</v>
      </c>
    </row>
    <row r="20" spans="1:6" x14ac:dyDescent="0.25">
      <c r="A20" s="30" t="e">
        <f>VLOOKUP(C4,BDD!$A$2:$Q$11,17,FALSE)</f>
        <v>#N/A</v>
      </c>
      <c r="B20" s="30" t="e">
        <f>VLOOKUP(C4,BDD!$A$2:$R$11,18,FALSE)</f>
        <v>#N/A</v>
      </c>
      <c r="C20" s="21"/>
      <c r="D20" s="21"/>
      <c r="E20" s="21"/>
    </row>
    <row r="21" spans="1:6" x14ac:dyDescent="0.25">
      <c r="A21" s="21"/>
      <c r="B21" s="22" t="s">
        <v>63</v>
      </c>
      <c r="C21" s="26" t="e">
        <f>A20&amp;" "&amp;B20</f>
        <v>#N/A</v>
      </c>
      <c r="D21" s="22" t="s">
        <v>64</v>
      </c>
      <c r="E21" s="34" t="e">
        <f>VLOOKUP(C4,BDD!$A$2:$W$91,23,FALSE)</f>
        <v>#N/A</v>
      </c>
    </row>
    <row r="22" spans="1:6" x14ac:dyDescent="0.25">
      <c r="A22" s="21"/>
      <c r="B22" s="21"/>
      <c r="C22" s="31" t="e">
        <f>VLOOKUP(C4,BDD!$A$2:$X$11,24,FALSE)</f>
        <v>#N/A</v>
      </c>
      <c r="D22" s="30" t="e">
        <f>VLOOKUP(C4,BDD!$A$2:$Y$11,25,FALSE)</f>
        <v>#N/A</v>
      </c>
      <c r="E22" s="26" t="e">
        <f>TEXT(C22,"00000")&amp;" "&amp;D22</f>
        <v>#N/A</v>
      </c>
    </row>
    <row r="23" spans="1:6" x14ac:dyDescent="0.25">
      <c r="A23" s="21"/>
      <c r="B23" s="21" t="s">
        <v>65</v>
      </c>
      <c r="C23" s="33" t="e">
        <f>VLOOKUP(C4,BDD!$A$2:$S$91,19,FALSE)</f>
        <v>#N/A</v>
      </c>
      <c r="D23" s="21"/>
      <c r="E23" s="21"/>
    </row>
    <row r="24" spans="1:6" x14ac:dyDescent="0.25">
      <c r="A24" s="21"/>
      <c r="B24" s="21"/>
      <c r="C24" s="21"/>
      <c r="D24" s="21"/>
      <c r="E24" s="21"/>
    </row>
    <row r="25" spans="1:6" ht="21" x14ac:dyDescent="0.35">
      <c r="A25" s="43" t="s">
        <v>69</v>
      </c>
      <c r="B25" s="43"/>
      <c r="C25" s="43"/>
      <c r="D25" s="43"/>
      <c r="E25" s="43"/>
      <c r="F25" s="43"/>
    </row>
    <row r="26" spans="1:6" x14ac:dyDescent="0.25">
      <c r="A26" s="21"/>
      <c r="B26" s="21"/>
      <c r="C26" s="21"/>
      <c r="D26" s="21"/>
      <c r="E26" s="35"/>
    </row>
    <row r="27" spans="1:6" x14ac:dyDescent="0.25">
      <c r="A27" s="21"/>
      <c r="B27" s="22" t="s">
        <v>62</v>
      </c>
      <c r="C27" s="26" t="e">
        <f>IF($A29=$C$4,INDEX(colp,MATCH($C$4,cola,0)+1),"")</f>
        <v>#N/A</v>
      </c>
      <c r="D27" s="21" t="s">
        <v>88</v>
      </c>
      <c r="E27" s="26" t="e">
        <f>IF($A29=$C$4,INDEX(colr,MATCH($C$4,cola,0)+1),"")</f>
        <v>#N/A</v>
      </c>
    </row>
    <row r="28" spans="1:6" x14ac:dyDescent="0.25">
      <c r="A28" s="21"/>
      <c r="B28" s="21"/>
      <c r="C28" s="21"/>
      <c r="D28" s="21"/>
      <c r="E28" s="21"/>
    </row>
    <row r="29" spans="1:6" x14ac:dyDescent="0.25">
      <c r="A29" s="41" t="e">
        <f>INDEX(BDD!$A$2:$A$11,MATCH($C$4,BDD!$A$2:$A$11,0)+1)</f>
        <v>#N/A</v>
      </c>
      <c r="B29" s="36" t="s">
        <v>65</v>
      </c>
      <c r="C29" s="40" t="e">
        <f>IF($A29=$C$4,INDEX(cols,MATCH($C$4,cola,0)+1),"")</f>
        <v>#N/A</v>
      </c>
      <c r="D29" s="36" t="s">
        <v>89</v>
      </c>
      <c r="E29" s="39" t="e">
        <f>IF($A29=$C$4,INDEX(colw,MATCH($C$4,cola,0)+1),"")</f>
        <v>#N/A</v>
      </c>
    </row>
    <row r="30" spans="1:6" x14ac:dyDescent="0.25">
      <c r="B30" s="42" t="e">
        <f>IF($A29=$C$4,INDEX(colx,MATCH($C$4,cola,0)+1),"")</f>
        <v>#N/A</v>
      </c>
      <c r="C30" s="42" t="e">
        <f>IF($A29=$C$4,INDEX(coly,MATCH($C$4,cola,0)+1),"")</f>
        <v>#N/A</v>
      </c>
      <c r="E30" s="39" t="e">
        <f>TEXT(B30,"00000")&amp;" "&amp;C30</f>
        <v>#N/A</v>
      </c>
    </row>
    <row r="31" spans="1:6" ht="15.75" thickBot="1" x14ac:dyDescent="0.3">
      <c r="A31" s="37"/>
      <c r="B31" s="37"/>
      <c r="C31" s="37"/>
      <c r="D31" s="37"/>
      <c r="E31" s="37"/>
      <c r="F31" s="38"/>
    </row>
    <row r="32" spans="1:6" ht="15.75" thickTop="1" x14ac:dyDescent="0.25">
      <c r="A32" s="21"/>
      <c r="B32" s="21"/>
      <c r="C32" s="21"/>
      <c r="D32" s="21"/>
      <c r="E32" s="35"/>
    </row>
    <row r="33" spans="1:6" x14ac:dyDescent="0.25">
      <c r="A33" s="21"/>
      <c r="B33" s="22" t="s">
        <v>62</v>
      </c>
      <c r="C33" s="26" t="e">
        <f>IF($A35=$C$4,INDEX(colp,MATCH($C$4,cola,0)+2),"")</f>
        <v>#N/A</v>
      </c>
      <c r="D33" s="21" t="s">
        <v>88</v>
      </c>
      <c r="E33" s="26" t="e">
        <f>IF($A35=$C$4,INDEX(colr,MATCH($C$4,cola,0)+2),"")</f>
        <v>#N/A</v>
      </c>
    </row>
    <row r="34" spans="1:6" x14ac:dyDescent="0.25">
      <c r="A34" s="21"/>
      <c r="B34" s="21"/>
      <c r="C34" s="21"/>
      <c r="D34" s="21"/>
      <c r="E34" s="21"/>
    </row>
    <row r="35" spans="1:6" x14ac:dyDescent="0.25">
      <c r="A35" s="41" t="e">
        <f>INDEX(BDD!$A$2:$A$11,MATCH($C$4,BDD!$A$2:$A$11,0)+2)</f>
        <v>#N/A</v>
      </c>
      <c r="B35" s="36" t="s">
        <v>65</v>
      </c>
      <c r="C35" s="40" t="e">
        <f>IF($A35=$C$4,INDEX(cols,MATCH($C$4,cola,0)+2),"")</f>
        <v>#N/A</v>
      </c>
      <c r="D35" s="36" t="s">
        <v>89</v>
      </c>
      <c r="E35" s="39" t="e">
        <f>IF($A35=$C$4,INDEX(colw,MATCH($C$4,cola,0)+2),"")</f>
        <v>#N/A</v>
      </c>
    </row>
    <row r="36" spans="1:6" x14ac:dyDescent="0.25">
      <c r="B36" s="41" t="e">
        <f>IF($A35=$C$4,INDEX(colx,MATCH($C$4,cola,0)+2),"")</f>
        <v>#N/A</v>
      </c>
      <c r="C36" s="41" t="e">
        <f>IF($A35=$C$4,INDEX(coly,MATCH($C$4,cola,0)+2),"")</f>
        <v>#N/A</v>
      </c>
      <c r="E36" s="39" t="e">
        <f>TEXT(B36,"00000")&amp;" "&amp;C36</f>
        <v>#N/A</v>
      </c>
    </row>
    <row r="37" spans="1:6" ht="15.75" thickBot="1" x14ac:dyDescent="0.3">
      <c r="A37" s="37"/>
      <c r="B37" s="37"/>
      <c r="C37" s="37"/>
      <c r="D37" s="37"/>
      <c r="E37" s="37"/>
      <c r="F37" s="38"/>
    </row>
    <row r="38" spans="1:6" ht="15.75" thickTop="1" x14ac:dyDescent="0.25">
      <c r="A38" s="21"/>
      <c r="B38" s="21"/>
      <c r="C38" s="21"/>
      <c r="D38" s="21"/>
      <c r="E38" s="35"/>
    </row>
    <row r="39" spans="1:6" x14ac:dyDescent="0.25">
      <c r="A39" s="21"/>
      <c r="B39" s="22" t="s">
        <v>62</v>
      </c>
      <c r="C39" s="26" t="e">
        <f>IF($A41=$C$4,INDEX(colp,MATCH($C$4,cola,0)+3),"")</f>
        <v>#N/A</v>
      </c>
      <c r="D39" s="21" t="s">
        <v>88</v>
      </c>
      <c r="E39" s="26" t="e">
        <f>IF($A41=$C$4,INDEX(colr,MATCH($C$4,cola,0)+3),"")</f>
        <v>#N/A</v>
      </c>
    </row>
    <row r="40" spans="1:6" x14ac:dyDescent="0.25">
      <c r="A40" s="21"/>
      <c r="B40" s="21"/>
      <c r="C40" s="21"/>
      <c r="D40" s="21"/>
      <c r="E40" s="21"/>
    </row>
    <row r="41" spans="1:6" x14ac:dyDescent="0.25">
      <c r="A41" s="41" t="e">
        <f>INDEX(BDD!$A$2:$A$11,MATCH($C$4,BDD!$A$2:$A$11,0)+3)</f>
        <v>#N/A</v>
      </c>
      <c r="B41" s="36" t="s">
        <v>65</v>
      </c>
      <c r="C41" s="40" t="e">
        <f>IF($A41=$C$4,INDEX(cols,MATCH($C$4,cola,0)+3),"")</f>
        <v>#N/A</v>
      </c>
      <c r="D41" s="36" t="s">
        <v>89</v>
      </c>
      <c r="E41" s="39" t="e">
        <f>IF($A41=$C$4,INDEX(colw,MATCH($C$4,cola,0)+3),"")</f>
        <v>#N/A</v>
      </c>
    </row>
    <row r="42" spans="1:6" x14ac:dyDescent="0.25">
      <c r="B42" s="41" t="e">
        <f>IF($A41=$C$4,INDEX(colx,MATCH($C$4,cola,0)+3),"")</f>
        <v>#N/A</v>
      </c>
      <c r="C42" s="41" t="e">
        <f>IF($A41=$C$4,INDEX(coly,MATCH($C$4,cola,0)+3),"")</f>
        <v>#N/A</v>
      </c>
      <c r="E42" s="39" t="e">
        <f>TEXT(B42,"00000")&amp;" "&amp;C42</f>
        <v>#N/A</v>
      </c>
    </row>
    <row r="43" spans="1:6" ht="15.75" thickBot="1" x14ac:dyDescent="0.3">
      <c r="A43" s="37"/>
      <c r="B43" s="37"/>
      <c r="C43" s="37"/>
      <c r="D43" s="37"/>
      <c r="E43" s="37"/>
      <c r="F43" s="38"/>
    </row>
    <row r="44" spans="1:6" ht="15.75" thickTop="1" x14ac:dyDescent="0.25">
      <c r="A44" s="21"/>
      <c r="B44" s="21"/>
      <c r="C44" s="21"/>
      <c r="D44" s="21"/>
      <c r="E44" s="35"/>
    </row>
    <row r="45" spans="1:6" x14ac:dyDescent="0.25">
      <c r="A45" s="21"/>
      <c r="B45" s="22" t="s">
        <v>62</v>
      </c>
      <c r="C45" s="26" t="e">
        <f>IF($A47=$C$4,INDEX(colp,MATCH($C$4,cola,0)+4),"")</f>
        <v>#N/A</v>
      </c>
      <c r="D45" s="21" t="s">
        <v>88</v>
      </c>
      <c r="E45" s="26" t="e">
        <f>IF($A47=$C$4,INDEX(colr,MATCH($C$4,cola,0)+4),"")</f>
        <v>#N/A</v>
      </c>
    </row>
    <row r="46" spans="1:6" x14ac:dyDescent="0.25">
      <c r="A46" s="21"/>
      <c r="B46" s="21"/>
      <c r="C46" s="21"/>
      <c r="D46" s="21"/>
      <c r="E46" s="21"/>
    </row>
    <row r="47" spans="1:6" x14ac:dyDescent="0.25">
      <c r="A47" s="41" t="e">
        <f>INDEX(BDD!$A$2:$A$11,MATCH($C$4,BDD!$A$2:$A$11,0)+4)</f>
        <v>#N/A</v>
      </c>
      <c r="B47" s="36" t="s">
        <v>65</v>
      </c>
      <c r="C47" s="40" t="e">
        <f>IF($A47=$C$4,INDEX(cols,MATCH($C$4,cola,0)+4),"")</f>
        <v>#N/A</v>
      </c>
      <c r="D47" s="36" t="s">
        <v>89</v>
      </c>
      <c r="E47" s="39" t="e">
        <f>IF($A47=$C$4,INDEX(colw,MATCH($C$4,cola,0)+4),"")</f>
        <v>#N/A</v>
      </c>
    </row>
    <row r="48" spans="1:6" x14ac:dyDescent="0.25">
      <c r="B48" s="41" t="e">
        <f>IF($A47=$C$4,INDEX(colx,MATCH($C$4,cola,0)+4),"")</f>
        <v>#N/A</v>
      </c>
      <c r="C48" s="41" t="e">
        <f>IF($A47=$C$4,INDEX(coly,MATCH($C$4,cola,0)+4),"")</f>
        <v>#N/A</v>
      </c>
      <c r="E48" s="39" t="e">
        <f>TEXT(B48,"00000")&amp;" "&amp;C48</f>
        <v>#N/A</v>
      </c>
    </row>
    <row r="49" spans="1:6" ht="15.75" thickBot="1" x14ac:dyDescent="0.3">
      <c r="A49" s="37"/>
      <c r="B49" s="37"/>
      <c r="C49" s="37"/>
      <c r="D49" s="37"/>
      <c r="E49" s="37"/>
      <c r="F49" s="38"/>
    </row>
    <row r="50" spans="1:6" ht="15.75" thickTop="1" x14ac:dyDescent="0.25"/>
  </sheetData>
  <sheetProtection selectLockedCells="1"/>
  <mergeCells count="3">
    <mergeCell ref="A17:F17"/>
    <mergeCell ref="A1:F1"/>
    <mergeCell ref="A25:F25"/>
  </mergeCells>
  <phoneticPr fontId="0" type="noConversion"/>
  <conditionalFormatting sqref="A17 A4:E7 A12:E16 A18:E24 A25:A49 B26:E28 E37:E40 E49 E43:E46 B31:E34 B37:C40 B43:C46 B49:C49">
    <cfRule type="expression" dxfId="15" priority="50">
      <formula>AND(ISERROR(I6))=TRUE</formula>
    </cfRule>
  </conditionalFormatting>
  <conditionalFormatting sqref="A2:E3 A1 A8:E10">
    <cfRule type="expression" dxfId="14" priority="51">
      <formula>AND(ISERROR(I5))=TRUE</formula>
    </cfRule>
  </conditionalFormatting>
  <conditionalFormatting sqref="C5 C7:C8 C12:C13 C15 E8 E12:E13 E15 C19 E19 C21 E21:E22 E10 C23">
    <cfRule type="containsErrors" dxfId="13" priority="49">
      <formula>ISERROR(C5)</formula>
    </cfRule>
  </conditionalFormatting>
  <conditionalFormatting sqref="A11:E11 D37:D40 D43:D46 D49 B29:C29 B35:C35 B41:C41 B47:C47">
    <cfRule type="expression" dxfId="12" priority="54">
      <formula>AND(ISERROR(I14))=TRUE</formula>
    </cfRule>
  </conditionalFormatting>
  <conditionalFormatting sqref="B30:C30">
    <cfRule type="expression" dxfId="11" priority="56">
      <formula>AND(ISERROR(L31))=TRUE</formula>
    </cfRule>
  </conditionalFormatting>
  <conditionalFormatting sqref="D29:E29 D35:E35 E41">
    <cfRule type="expression" dxfId="10" priority="58">
      <formula>AND(ISERROR(J31))=TRUE</formula>
    </cfRule>
  </conditionalFormatting>
  <conditionalFormatting sqref="E30">
    <cfRule type="expression" dxfId="9" priority="10">
      <formula>AND(ISERROR(K32))=TRUE</formula>
    </cfRule>
  </conditionalFormatting>
  <conditionalFormatting sqref="D41 D47">
    <cfRule type="expression" dxfId="8" priority="62">
      <formula>AND(ISERROR(J44))=TRUE</formula>
    </cfRule>
  </conditionalFormatting>
  <conditionalFormatting sqref="B42:C42">
    <cfRule type="expression" dxfId="7" priority="9">
      <formula>AND(ISERROR(J44))=TRUE</formula>
    </cfRule>
  </conditionalFormatting>
  <conditionalFormatting sqref="E42">
    <cfRule type="expression" dxfId="6" priority="8">
      <formula>AND(ISERROR(K44))=TRUE</formula>
    </cfRule>
  </conditionalFormatting>
  <conditionalFormatting sqref="B36:C36">
    <cfRule type="expression" dxfId="5" priority="7">
      <formula>AND(ISERROR(J38))=TRUE</formula>
    </cfRule>
  </conditionalFormatting>
  <conditionalFormatting sqref="B48:C48">
    <cfRule type="expression" dxfId="4" priority="5">
      <formula>AND(ISERROR(J50))=TRUE</formula>
    </cfRule>
  </conditionalFormatting>
  <conditionalFormatting sqref="E36">
    <cfRule type="expression" dxfId="3" priority="4">
      <formula>AND(ISERROR(K38))=TRUE</formula>
    </cfRule>
  </conditionalFormatting>
  <conditionalFormatting sqref="E47:E48">
    <cfRule type="expression" dxfId="2" priority="3">
      <formula>AND(ISERROR(K49))=TRUE</formula>
    </cfRule>
  </conditionalFormatting>
  <conditionalFormatting sqref="C45 C47 E45 E47:E48">
    <cfRule type="containsErrors" dxfId="1" priority="2" stopIfTrue="1">
      <formula>ISERROR(C45)</formula>
    </cfRule>
  </conditionalFormatting>
  <conditionalFormatting sqref="E41:E42 E39 C39 C41 E35:E36 C33 C35 E33 E29:E30 E27 C27 C29">
    <cfRule type="containsErrors" dxfId="0" priority="1" stopIfTrue="1">
      <formula>ISERROR(C27)</formula>
    </cfRule>
  </conditionalFormatting>
  <printOptions horizontalCentered="1"/>
  <pageMargins left="0.39370078740157483" right="0.31496062992125984" top="0.19685039370078741" bottom="0.35433070866141736" header="0.11811023622047245" footer="0.15748031496062992"/>
  <pageSetup paperSize="9" scale="110" orientation="portrait" r:id="rId1"/>
  <ignoredErrors>
    <ignoredError sqref="C5:E15 C19:E23 A20:B20 A29:E42 C27:E27 C45:E48 A47:B48" evalError="1"/>
  </ignoredErrors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3</xdr:col>
                <xdr:colOff>542925</xdr:colOff>
                <xdr:row>1</xdr:row>
                <xdr:rowOff>66675</xdr:rowOff>
              </from>
              <to>
                <xdr:col>4</xdr:col>
                <xdr:colOff>542925</xdr:colOff>
                <xdr:row>6</xdr:row>
                <xdr:rowOff>123825</xdr:rowOff>
              </to>
            </anchor>
          </controlPr>
        </control>
      </mc:Choice>
      <mc:Fallback>
        <control shapeId="1025" r:id="rId4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Formulaire</vt:lpstr>
      <vt:lpstr>Table</vt:lpstr>
      <vt:lpstr>Formulaire!Zone_d_impression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2012-09-02T13:01:42Z</cp:lastPrinted>
  <dcterms:created xsi:type="dcterms:W3CDTF">2012-08-18T15:02:19Z</dcterms:created>
  <dcterms:modified xsi:type="dcterms:W3CDTF">2012-09-05T15:30:58Z</dcterms:modified>
</cp:coreProperties>
</file>