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Apprenti-Alternance\A Antoine\AMDEC\"/>
    </mc:Choice>
  </mc:AlternateContent>
  <xr:revisionPtr revIDLastSave="0" documentId="13_ncr:1_{EDCF94D6-A11F-4C16-BF4C-41B3B4825C78}" xr6:coauthVersionLast="47" xr6:coauthVersionMax="47" xr10:uidLastSave="{00000000-0000-0000-0000-000000000000}"/>
  <bookViews>
    <workbookView xWindow="-108" yWindow="-108" windowWidth="23256" windowHeight="12456" xr2:uid="{3E40F524-B2BA-454D-B2EC-4400C1E0EFEA}"/>
  </bookViews>
  <sheets>
    <sheet name="AMDEC" sheetId="2" r:id="rId1"/>
    <sheet name="Liste déroulante" sheetId="5" r:id="rId2"/>
    <sheet name="Matrice AP" sheetId="8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4" i="2"/>
  <c r="G1001" i="8"/>
  <c r="G1000" i="8"/>
  <c r="G999" i="8"/>
  <c r="G998" i="8"/>
  <c r="G997" i="8"/>
  <c r="G996" i="8"/>
  <c r="G995" i="8"/>
  <c r="G994" i="8"/>
  <c r="G993" i="8"/>
  <c r="G992" i="8"/>
  <c r="G991" i="8"/>
  <c r="G990" i="8"/>
  <c r="G989" i="8"/>
  <c r="G988" i="8"/>
  <c r="G987" i="8"/>
  <c r="G986" i="8"/>
  <c r="G985" i="8"/>
  <c r="G984" i="8"/>
  <c r="G983" i="8"/>
  <c r="G982" i="8"/>
  <c r="G981" i="8"/>
  <c r="G980" i="8"/>
  <c r="G979" i="8"/>
  <c r="G978" i="8"/>
  <c r="G977" i="8"/>
  <c r="G976" i="8"/>
  <c r="G975" i="8"/>
  <c r="G974" i="8"/>
  <c r="G973" i="8"/>
  <c r="G972" i="8"/>
  <c r="G971" i="8"/>
  <c r="G970" i="8"/>
  <c r="G969" i="8"/>
  <c r="G968" i="8"/>
  <c r="G967" i="8"/>
  <c r="G966" i="8"/>
  <c r="G965" i="8"/>
  <c r="G964" i="8"/>
  <c r="G963" i="8"/>
  <c r="G962" i="8"/>
  <c r="G961" i="8"/>
  <c r="G960" i="8"/>
  <c r="G959" i="8"/>
  <c r="G958" i="8"/>
  <c r="G957" i="8"/>
  <c r="G956" i="8"/>
  <c r="G955" i="8"/>
  <c r="G954" i="8"/>
  <c r="G953" i="8"/>
  <c r="G952" i="8"/>
  <c r="G951" i="8"/>
  <c r="G950" i="8"/>
  <c r="G949" i="8"/>
  <c r="G948" i="8"/>
  <c r="G947" i="8"/>
  <c r="G946" i="8"/>
  <c r="G945" i="8"/>
  <c r="G944" i="8"/>
  <c r="G943" i="8"/>
  <c r="G942" i="8"/>
  <c r="G941" i="8"/>
  <c r="G940" i="8"/>
  <c r="G939" i="8"/>
  <c r="G938" i="8"/>
  <c r="G937" i="8"/>
  <c r="G936" i="8"/>
  <c r="G935" i="8"/>
  <c r="G934" i="8"/>
  <c r="G933" i="8"/>
  <c r="G932" i="8"/>
  <c r="G931" i="8"/>
  <c r="G930" i="8"/>
  <c r="G929" i="8"/>
  <c r="G928" i="8"/>
  <c r="G927" i="8"/>
  <c r="G926" i="8"/>
  <c r="G925" i="8"/>
  <c r="G924" i="8"/>
  <c r="G923" i="8"/>
  <c r="G922" i="8"/>
  <c r="G921" i="8"/>
  <c r="G920" i="8"/>
  <c r="G919" i="8"/>
  <c r="G918" i="8"/>
  <c r="G917" i="8"/>
  <c r="G916" i="8"/>
  <c r="G915" i="8"/>
  <c r="G914" i="8"/>
  <c r="G913" i="8"/>
  <c r="G912" i="8"/>
  <c r="G911" i="8"/>
  <c r="G910" i="8"/>
  <c r="G909" i="8"/>
  <c r="G908" i="8"/>
  <c r="G907" i="8"/>
  <c r="G906" i="8"/>
  <c r="G905" i="8"/>
  <c r="G904" i="8"/>
  <c r="G903" i="8"/>
  <c r="G902" i="8"/>
  <c r="G901" i="8"/>
  <c r="G900" i="8"/>
  <c r="G899" i="8"/>
  <c r="G898" i="8"/>
  <c r="G897" i="8"/>
  <c r="G896" i="8"/>
  <c r="G895" i="8"/>
  <c r="G894" i="8"/>
  <c r="G893" i="8"/>
  <c r="G892" i="8"/>
  <c r="G891" i="8"/>
  <c r="G890" i="8"/>
  <c r="G889" i="8"/>
  <c r="G888" i="8"/>
  <c r="G887" i="8"/>
  <c r="G886" i="8"/>
  <c r="G885" i="8"/>
  <c r="G884" i="8"/>
  <c r="G883" i="8"/>
  <c r="G882" i="8"/>
  <c r="G881" i="8"/>
  <c r="G880" i="8"/>
  <c r="G879" i="8"/>
  <c r="G878" i="8"/>
  <c r="G877" i="8"/>
  <c r="G876" i="8"/>
  <c r="G875" i="8"/>
  <c r="G874" i="8"/>
  <c r="G873" i="8"/>
  <c r="G872" i="8"/>
  <c r="G871" i="8"/>
  <c r="G870" i="8"/>
  <c r="G869" i="8"/>
  <c r="G868" i="8"/>
  <c r="G867" i="8"/>
  <c r="G866" i="8"/>
  <c r="G865" i="8"/>
  <c r="G864" i="8"/>
  <c r="G863" i="8"/>
  <c r="G862" i="8"/>
  <c r="G861" i="8"/>
  <c r="G860" i="8"/>
  <c r="G859" i="8"/>
  <c r="G858" i="8"/>
  <c r="G857" i="8"/>
  <c r="G856" i="8"/>
  <c r="G855" i="8"/>
  <c r="G854" i="8"/>
  <c r="G853" i="8"/>
  <c r="G852" i="8"/>
  <c r="G851" i="8"/>
  <c r="G850" i="8"/>
  <c r="G849" i="8"/>
  <c r="G848" i="8"/>
  <c r="G847" i="8"/>
  <c r="G846" i="8"/>
  <c r="G845" i="8"/>
  <c r="G844" i="8"/>
  <c r="G843" i="8"/>
  <c r="G842" i="8"/>
  <c r="G841" i="8"/>
  <c r="G840" i="8"/>
  <c r="G839" i="8"/>
  <c r="G838" i="8"/>
  <c r="G837" i="8"/>
  <c r="G836" i="8"/>
  <c r="G835" i="8"/>
  <c r="G834" i="8"/>
  <c r="G833" i="8"/>
  <c r="G832" i="8"/>
  <c r="G831" i="8"/>
  <c r="G830" i="8"/>
  <c r="G829" i="8"/>
  <c r="G828" i="8"/>
  <c r="G827" i="8"/>
  <c r="G826" i="8"/>
  <c r="G825" i="8"/>
  <c r="G824" i="8"/>
  <c r="G823" i="8"/>
  <c r="G822" i="8"/>
  <c r="G821" i="8"/>
  <c r="G820" i="8"/>
  <c r="G819" i="8"/>
  <c r="G818" i="8"/>
  <c r="G817" i="8"/>
  <c r="G816" i="8"/>
  <c r="G815" i="8"/>
  <c r="G814" i="8"/>
  <c r="G813" i="8"/>
  <c r="G812" i="8"/>
  <c r="G811" i="8"/>
  <c r="G810" i="8"/>
  <c r="G809" i="8"/>
  <c r="G808" i="8"/>
  <c r="G807" i="8"/>
  <c r="G806" i="8"/>
  <c r="G805" i="8"/>
  <c r="G804" i="8"/>
  <c r="G803" i="8"/>
  <c r="G802" i="8"/>
  <c r="G801" i="8"/>
  <c r="G800" i="8"/>
  <c r="G799" i="8"/>
  <c r="G798" i="8"/>
  <c r="G797" i="8"/>
  <c r="G796" i="8"/>
  <c r="G795" i="8"/>
  <c r="G794" i="8"/>
  <c r="G793" i="8"/>
  <c r="G792" i="8"/>
  <c r="G791" i="8"/>
  <c r="G790" i="8"/>
  <c r="G789" i="8"/>
  <c r="G788" i="8"/>
  <c r="G787" i="8"/>
  <c r="G786" i="8"/>
  <c r="G785" i="8"/>
  <c r="G784" i="8"/>
  <c r="G783" i="8"/>
  <c r="G782" i="8"/>
  <c r="G781" i="8"/>
  <c r="G780" i="8"/>
  <c r="G779" i="8"/>
  <c r="G778" i="8"/>
  <c r="G777" i="8"/>
  <c r="G776" i="8"/>
  <c r="G775" i="8"/>
  <c r="G774" i="8"/>
  <c r="G773" i="8"/>
  <c r="G772" i="8"/>
  <c r="G771" i="8"/>
  <c r="G770" i="8"/>
  <c r="G769" i="8"/>
  <c r="G768" i="8"/>
  <c r="G767" i="8"/>
  <c r="G766" i="8"/>
  <c r="G765" i="8"/>
  <c r="G764" i="8"/>
  <c r="G763" i="8"/>
  <c r="G762" i="8"/>
  <c r="G761" i="8"/>
  <c r="G760" i="8"/>
  <c r="G759" i="8"/>
  <c r="G758" i="8"/>
  <c r="G757" i="8"/>
  <c r="G756" i="8"/>
  <c r="G755" i="8"/>
  <c r="G754" i="8"/>
  <c r="G753" i="8"/>
  <c r="G752" i="8"/>
  <c r="G751" i="8"/>
  <c r="G750" i="8"/>
  <c r="G749" i="8"/>
  <c r="G748" i="8"/>
  <c r="G747" i="8"/>
  <c r="G746" i="8"/>
  <c r="G745" i="8"/>
  <c r="G744" i="8"/>
  <c r="G743" i="8"/>
  <c r="G742" i="8"/>
  <c r="G741" i="8"/>
  <c r="G740" i="8"/>
  <c r="G739" i="8"/>
  <c r="G738" i="8"/>
  <c r="G737" i="8"/>
  <c r="G736" i="8"/>
  <c r="G735" i="8"/>
  <c r="G734" i="8"/>
  <c r="G733" i="8"/>
  <c r="G732" i="8"/>
  <c r="G731" i="8"/>
  <c r="G730" i="8"/>
  <c r="G729" i="8"/>
  <c r="G728" i="8"/>
  <c r="G727" i="8"/>
  <c r="G726" i="8"/>
  <c r="G725" i="8"/>
  <c r="G724" i="8"/>
  <c r="G723" i="8"/>
  <c r="G722" i="8"/>
  <c r="G721" i="8"/>
  <c r="G720" i="8"/>
  <c r="G719" i="8"/>
  <c r="G718" i="8"/>
  <c r="G717" i="8"/>
  <c r="G716" i="8"/>
  <c r="G715" i="8"/>
  <c r="G714" i="8"/>
  <c r="G713" i="8"/>
  <c r="G712" i="8"/>
  <c r="G711" i="8"/>
  <c r="G710" i="8"/>
  <c r="G709" i="8"/>
  <c r="G708" i="8"/>
  <c r="G707" i="8"/>
  <c r="G706" i="8"/>
  <c r="G705" i="8"/>
  <c r="G704" i="8"/>
  <c r="G703" i="8"/>
  <c r="G702" i="8"/>
  <c r="G701" i="8"/>
  <c r="G700" i="8"/>
  <c r="G699" i="8"/>
  <c r="G698" i="8"/>
  <c r="G697" i="8"/>
  <c r="G696" i="8"/>
  <c r="G695" i="8"/>
  <c r="G694" i="8"/>
  <c r="G693" i="8"/>
  <c r="G692" i="8"/>
  <c r="G691" i="8"/>
  <c r="G690" i="8"/>
  <c r="G689" i="8"/>
  <c r="G688" i="8"/>
  <c r="G687" i="8"/>
  <c r="G686" i="8"/>
  <c r="G685" i="8"/>
  <c r="G684" i="8"/>
  <c r="G683" i="8"/>
  <c r="G682" i="8"/>
  <c r="G681" i="8"/>
  <c r="G680" i="8"/>
  <c r="G679" i="8"/>
  <c r="G678" i="8"/>
  <c r="G677" i="8"/>
  <c r="G676" i="8"/>
  <c r="G675" i="8"/>
  <c r="G674" i="8"/>
  <c r="G673" i="8"/>
  <c r="G672" i="8"/>
  <c r="G671" i="8"/>
  <c r="G670" i="8"/>
  <c r="G669" i="8"/>
  <c r="G668" i="8"/>
  <c r="G667" i="8"/>
  <c r="G666" i="8"/>
  <c r="G665" i="8"/>
  <c r="G664" i="8"/>
  <c r="G663" i="8"/>
  <c r="G662" i="8"/>
  <c r="G661" i="8"/>
  <c r="G660" i="8"/>
  <c r="G659" i="8"/>
  <c r="G658" i="8"/>
  <c r="G657" i="8"/>
  <c r="G656" i="8"/>
  <c r="G655" i="8"/>
  <c r="G654" i="8"/>
  <c r="G653" i="8"/>
  <c r="G652" i="8"/>
  <c r="G651" i="8"/>
  <c r="G650" i="8"/>
  <c r="G649" i="8"/>
  <c r="G648" i="8"/>
  <c r="G647" i="8"/>
  <c r="G646" i="8"/>
  <c r="G645" i="8"/>
  <c r="G644" i="8"/>
  <c r="G643" i="8"/>
  <c r="G642" i="8"/>
  <c r="G641" i="8"/>
  <c r="G640" i="8"/>
  <c r="G639" i="8"/>
  <c r="G638" i="8"/>
  <c r="G637" i="8"/>
  <c r="G636" i="8"/>
  <c r="G635" i="8"/>
  <c r="G634" i="8"/>
  <c r="G633" i="8"/>
  <c r="G632" i="8"/>
  <c r="G631" i="8"/>
  <c r="G630" i="8"/>
  <c r="G629" i="8"/>
  <c r="G628" i="8"/>
  <c r="G627" i="8"/>
  <c r="G626" i="8"/>
  <c r="G625" i="8"/>
  <c r="G624" i="8"/>
  <c r="G623" i="8"/>
  <c r="G622" i="8"/>
  <c r="G621" i="8"/>
  <c r="G620" i="8"/>
  <c r="G619" i="8"/>
  <c r="G618" i="8"/>
  <c r="G617" i="8"/>
  <c r="G616" i="8"/>
  <c r="G615" i="8"/>
  <c r="G614" i="8"/>
  <c r="G613" i="8"/>
  <c r="G612" i="8"/>
  <c r="G611" i="8"/>
  <c r="G610" i="8"/>
  <c r="G609" i="8"/>
  <c r="G608" i="8"/>
  <c r="G607" i="8"/>
  <c r="G606" i="8"/>
  <c r="G605" i="8"/>
  <c r="G604" i="8"/>
  <c r="G603" i="8"/>
  <c r="G602" i="8"/>
  <c r="G601" i="8"/>
  <c r="G600" i="8"/>
  <c r="G599" i="8"/>
  <c r="G598" i="8"/>
  <c r="G597" i="8"/>
  <c r="G596" i="8"/>
  <c r="G595" i="8"/>
  <c r="G594" i="8"/>
  <c r="G593" i="8"/>
  <c r="G592" i="8"/>
  <c r="G591" i="8"/>
  <c r="G590" i="8"/>
  <c r="G589" i="8"/>
  <c r="G588" i="8"/>
  <c r="G587" i="8"/>
  <c r="G586" i="8"/>
  <c r="G585" i="8"/>
  <c r="G584" i="8"/>
  <c r="G583" i="8"/>
  <c r="G582" i="8"/>
  <c r="G581" i="8"/>
  <c r="G580" i="8"/>
  <c r="G579" i="8"/>
  <c r="G578" i="8"/>
  <c r="G577" i="8"/>
  <c r="G576" i="8"/>
  <c r="G575" i="8"/>
  <c r="G574" i="8"/>
  <c r="G573" i="8"/>
  <c r="G572" i="8"/>
  <c r="G571" i="8"/>
  <c r="G570" i="8"/>
  <c r="G569" i="8"/>
  <c r="G568" i="8"/>
  <c r="G567" i="8"/>
  <c r="G566" i="8"/>
  <c r="G565" i="8"/>
  <c r="G564" i="8"/>
  <c r="G563" i="8"/>
  <c r="G562" i="8"/>
  <c r="G561" i="8"/>
  <c r="G560" i="8"/>
  <c r="G559" i="8"/>
  <c r="G558" i="8"/>
  <c r="G557" i="8"/>
  <c r="G556" i="8"/>
  <c r="G555" i="8"/>
  <c r="G554" i="8"/>
  <c r="G553" i="8"/>
  <c r="G552" i="8"/>
  <c r="G551" i="8"/>
  <c r="G550" i="8"/>
  <c r="G549" i="8"/>
  <c r="G548" i="8"/>
  <c r="G547" i="8"/>
  <c r="G546" i="8"/>
  <c r="G545" i="8"/>
  <c r="G544" i="8"/>
  <c r="G543" i="8"/>
  <c r="G542" i="8"/>
  <c r="G541" i="8"/>
  <c r="G540" i="8"/>
  <c r="G539" i="8"/>
  <c r="G538" i="8"/>
  <c r="G537" i="8"/>
  <c r="G536" i="8"/>
  <c r="G535" i="8"/>
  <c r="G534" i="8"/>
  <c r="G533" i="8"/>
  <c r="G532" i="8"/>
  <c r="G531" i="8"/>
  <c r="G530" i="8"/>
  <c r="G529" i="8"/>
  <c r="G528" i="8"/>
  <c r="G527" i="8"/>
  <c r="G526" i="8"/>
  <c r="G525" i="8"/>
  <c r="G524" i="8"/>
  <c r="G523" i="8"/>
  <c r="G522" i="8"/>
  <c r="G521" i="8"/>
  <c r="G520" i="8"/>
  <c r="G519" i="8"/>
  <c r="G518" i="8"/>
  <c r="G517" i="8"/>
  <c r="G516" i="8"/>
  <c r="G515" i="8"/>
  <c r="G514" i="8"/>
  <c r="G513" i="8"/>
  <c r="G512" i="8"/>
  <c r="G511" i="8"/>
  <c r="G510" i="8"/>
  <c r="G509" i="8"/>
  <c r="G508" i="8"/>
  <c r="G507" i="8"/>
  <c r="G506" i="8"/>
  <c r="G505" i="8"/>
  <c r="G504" i="8"/>
  <c r="G503" i="8"/>
  <c r="G502" i="8"/>
  <c r="G501" i="8"/>
  <c r="G500" i="8"/>
  <c r="G499" i="8"/>
  <c r="G498" i="8"/>
  <c r="G497" i="8"/>
  <c r="G496" i="8"/>
  <c r="G495" i="8"/>
  <c r="G494" i="8"/>
  <c r="G493" i="8"/>
  <c r="G492" i="8"/>
  <c r="G491" i="8"/>
  <c r="G490" i="8"/>
  <c r="G489" i="8"/>
  <c r="G488" i="8"/>
  <c r="G487" i="8"/>
  <c r="G486" i="8"/>
  <c r="G485" i="8"/>
  <c r="G484" i="8"/>
  <c r="G483" i="8"/>
  <c r="G482" i="8"/>
  <c r="G481" i="8"/>
  <c r="G480" i="8"/>
  <c r="G479" i="8"/>
  <c r="G478" i="8"/>
  <c r="G477" i="8"/>
  <c r="G476" i="8"/>
  <c r="G475" i="8"/>
  <c r="G474" i="8"/>
  <c r="G473" i="8"/>
  <c r="G472" i="8"/>
  <c r="G471" i="8"/>
  <c r="G470" i="8"/>
  <c r="G469" i="8"/>
  <c r="G468" i="8"/>
  <c r="G467" i="8"/>
  <c r="G466" i="8"/>
  <c r="G465" i="8"/>
  <c r="G464" i="8"/>
  <c r="G463" i="8"/>
  <c r="G462" i="8"/>
  <c r="G461" i="8"/>
  <c r="G460" i="8"/>
  <c r="G459" i="8"/>
  <c r="G458" i="8"/>
  <c r="G457" i="8"/>
  <c r="G456" i="8"/>
  <c r="G455" i="8"/>
  <c r="G454" i="8"/>
  <c r="G453" i="8"/>
  <c r="G452" i="8"/>
  <c r="G451" i="8"/>
  <c r="G450" i="8"/>
  <c r="G449" i="8"/>
  <c r="G448" i="8"/>
  <c r="G447" i="8"/>
  <c r="G446" i="8"/>
  <c r="G445" i="8"/>
  <c r="G444" i="8"/>
  <c r="G443" i="8"/>
  <c r="G442" i="8"/>
  <c r="G441" i="8"/>
  <c r="G440" i="8"/>
  <c r="G439" i="8"/>
  <c r="G438" i="8"/>
  <c r="G437" i="8"/>
  <c r="G436" i="8"/>
  <c r="G435" i="8"/>
  <c r="G434" i="8"/>
  <c r="G433" i="8"/>
  <c r="G432" i="8"/>
  <c r="G431" i="8"/>
  <c r="G430" i="8"/>
  <c r="G429" i="8"/>
  <c r="G428" i="8"/>
  <c r="G427" i="8"/>
  <c r="G426" i="8"/>
  <c r="G425" i="8"/>
  <c r="G424" i="8"/>
  <c r="G423" i="8"/>
  <c r="G422" i="8"/>
  <c r="G421" i="8"/>
  <c r="G420" i="8"/>
  <c r="G419" i="8"/>
  <c r="G418" i="8"/>
  <c r="G417" i="8"/>
  <c r="G416" i="8"/>
  <c r="G415" i="8"/>
  <c r="G414" i="8"/>
  <c r="G413" i="8"/>
  <c r="G412" i="8"/>
  <c r="G411" i="8"/>
  <c r="G410" i="8"/>
  <c r="G409" i="8"/>
  <c r="G408" i="8"/>
  <c r="G407" i="8"/>
  <c r="G406" i="8"/>
  <c r="G405" i="8"/>
  <c r="G404" i="8"/>
  <c r="G403" i="8"/>
  <c r="G402" i="8"/>
  <c r="G401" i="8"/>
  <c r="G400" i="8"/>
  <c r="G399" i="8"/>
  <c r="G398" i="8"/>
  <c r="G397" i="8"/>
  <c r="G396" i="8"/>
  <c r="G395" i="8"/>
  <c r="G394" i="8"/>
  <c r="G393" i="8"/>
  <c r="G392" i="8"/>
  <c r="G391" i="8"/>
  <c r="G390" i="8"/>
  <c r="G389" i="8"/>
  <c r="G388" i="8"/>
  <c r="G387" i="8"/>
  <c r="G386" i="8"/>
  <c r="G385" i="8"/>
  <c r="G384" i="8"/>
  <c r="G383" i="8"/>
  <c r="G382" i="8"/>
  <c r="G381" i="8"/>
  <c r="G380" i="8"/>
  <c r="G379" i="8"/>
  <c r="G378" i="8"/>
  <c r="G377" i="8"/>
  <c r="G376" i="8"/>
  <c r="G375" i="8"/>
  <c r="G374" i="8"/>
  <c r="G373" i="8"/>
  <c r="G372" i="8"/>
  <c r="G371" i="8"/>
  <c r="G370" i="8"/>
  <c r="G369" i="8"/>
  <c r="G368" i="8"/>
  <c r="G367" i="8"/>
  <c r="G366" i="8"/>
  <c r="G365" i="8"/>
  <c r="G364" i="8"/>
  <c r="G363" i="8"/>
  <c r="G362" i="8"/>
  <c r="G361" i="8"/>
  <c r="G360" i="8"/>
  <c r="G359" i="8"/>
  <c r="G358" i="8"/>
  <c r="G357" i="8"/>
  <c r="G356" i="8"/>
  <c r="G355" i="8"/>
  <c r="G354" i="8"/>
  <c r="G353" i="8"/>
  <c r="G352" i="8"/>
  <c r="G351" i="8"/>
  <c r="G350" i="8"/>
  <c r="G349" i="8"/>
  <c r="G348" i="8"/>
  <c r="G347" i="8"/>
  <c r="G346" i="8"/>
  <c r="G345" i="8"/>
  <c r="G344" i="8"/>
  <c r="G343" i="8"/>
  <c r="G342" i="8"/>
  <c r="G341" i="8"/>
  <c r="G340" i="8"/>
  <c r="G339" i="8"/>
  <c r="G338" i="8"/>
  <c r="G337" i="8"/>
  <c r="G336" i="8"/>
  <c r="G335" i="8"/>
  <c r="G334" i="8"/>
  <c r="G333" i="8"/>
  <c r="G332" i="8"/>
  <c r="G331" i="8"/>
  <c r="G330" i="8"/>
  <c r="G329" i="8"/>
  <c r="G328" i="8"/>
  <c r="G327" i="8"/>
  <c r="G326" i="8"/>
  <c r="G325" i="8"/>
  <c r="G324" i="8"/>
  <c r="G323" i="8"/>
  <c r="G322" i="8"/>
  <c r="G321" i="8"/>
  <c r="G320" i="8"/>
  <c r="G319" i="8"/>
  <c r="G318" i="8"/>
  <c r="G317" i="8"/>
  <c r="G316" i="8"/>
  <c r="G315" i="8"/>
  <c r="G314" i="8"/>
  <c r="G313" i="8"/>
  <c r="G312" i="8"/>
  <c r="G311" i="8"/>
  <c r="G310" i="8"/>
  <c r="G309" i="8"/>
  <c r="G308" i="8"/>
  <c r="G307" i="8"/>
  <c r="G306" i="8"/>
  <c r="G305" i="8"/>
  <c r="G304" i="8"/>
  <c r="G303" i="8"/>
  <c r="G302" i="8"/>
  <c r="G301" i="8"/>
  <c r="G300" i="8"/>
  <c r="G299" i="8"/>
  <c r="G298" i="8"/>
  <c r="G297" i="8"/>
  <c r="G296" i="8"/>
  <c r="G295" i="8"/>
  <c r="G294" i="8"/>
  <c r="G293" i="8"/>
  <c r="G292" i="8"/>
  <c r="G291" i="8"/>
  <c r="G290" i="8"/>
  <c r="G289" i="8"/>
  <c r="G288" i="8"/>
  <c r="G287" i="8"/>
  <c r="G286" i="8"/>
  <c r="G285" i="8"/>
  <c r="G284" i="8"/>
  <c r="G283" i="8"/>
  <c r="G282" i="8"/>
  <c r="G281" i="8"/>
  <c r="G280" i="8"/>
  <c r="G279" i="8"/>
  <c r="G278" i="8"/>
  <c r="G277" i="8"/>
  <c r="G276" i="8"/>
  <c r="G275" i="8"/>
  <c r="G274" i="8"/>
  <c r="G273" i="8"/>
  <c r="G272" i="8"/>
  <c r="G271" i="8"/>
  <c r="G270" i="8"/>
  <c r="G269" i="8"/>
  <c r="G268" i="8"/>
  <c r="G267" i="8"/>
  <c r="G266" i="8"/>
  <c r="G265" i="8"/>
  <c r="G264" i="8"/>
  <c r="G263" i="8"/>
  <c r="G262" i="8"/>
  <c r="G261" i="8"/>
  <c r="G260" i="8"/>
  <c r="G259" i="8"/>
  <c r="G258" i="8"/>
  <c r="G257" i="8"/>
  <c r="G256" i="8"/>
  <c r="G255" i="8"/>
  <c r="G254" i="8"/>
  <c r="G253" i="8"/>
  <c r="G252" i="8"/>
  <c r="G251" i="8"/>
  <c r="G250" i="8"/>
  <c r="G249" i="8"/>
  <c r="G248" i="8"/>
  <c r="G247" i="8"/>
  <c r="G246" i="8"/>
  <c r="G245" i="8"/>
  <c r="G244" i="8"/>
  <c r="G243" i="8"/>
  <c r="G242" i="8"/>
  <c r="G241" i="8"/>
  <c r="G240" i="8"/>
  <c r="G239" i="8"/>
  <c r="G238" i="8"/>
  <c r="G237" i="8"/>
  <c r="G236" i="8"/>
  <c r="G235" i="8"/>
  <c r="G234" i="8"/>
  <c r="G233" i="8"/>
  <c r="G232" i="8"/>
  <c r="G231" i="8"/>
  <c r="G230" i="8"/>
  <c r="G229" i="8"/>
  <c r="G228" i="8"/>
  <c r="G227" i="8"/>
  <c r="G226" i="8"/>
  <c r="G225" i="8"/>
  <c r="G224" i="8"/>
  <c r="G223" i="8"/>
  <c r="G222" i="8"/>
  <c r="G221" i="8"/>
  <c r="G220" i="8"/>
  <c r="G219" i="8"/>
  <c r="G218" i="8"/>
  <c r="G217" i="8"/>
  <c r="G216" i="8"/>
  <c r="G215" i="8"/>
  <c r="G214" i="8"/>
  <c r="G213" i="8"/>
  <c r="G212" i="8"/>
  <c r="G211" i="8"/>
  <c r="G210" i="8"/>
  <c r="G209" i="8"/>
  <c r="G208" i="8"/>
  <c r="G207" i="8"/>
  <c r="G206" i="8"/>
  <c r="G205" i="8"/>
  <c r="G204" i="8"/>
  <c r="G203" i="8"/>
  <c r="G202" i="8"/>
  <c r="G201" i="8"/>
  <c r="G200" i="8"/>
  <c r="G199" i="8"/>
  <c r="G198" i="8"/>
  <c r="G197" i="8"/>
  <c r="G196" i="8"/>
  <c r="G195" i="8"/>
  <c r="G194" i="8"/>
  <c r="G193" i="8"/>
  <c r="G192" i="8"/>
  <c r="G191" i="8"/>
  <c r="G190" i="8"/>
  <c r="G189" i="8"/>
  <c r="G188" i="8"/>
  <c r="G187" i="8"/>
  <c r="G186" i="8"/>
  <c r="G185" i="8"/>
  <c r="G184" i="8"/>
  <c r="G183" i="8"/>
  <c r="G182" i="8"/>
  <c r="G181" i="8"/>
  <c r="G180" i="8"/>
  <c r="G179" i="8"/>
  <c r="G178" i="8"/>
  <c r="G177" i="8"/>
  <c r="G176" i="8"/>
  <c r="G175" i="8"/>
  <c r="G174" i="8"/>
  <c r="G173" i="8"/>
  <c r="G172" i="8"/>
  <c r="G171" i="8"/>
  <c r="G170" i="8"/>
  <c r="G169" i="8"/>
  <c r="G168" i="8"/>
  <c r="G167" i="8"/>
  <c r="G166" i="8"/>
  <c r="G165" i="8"/>
  <c r="G164" i="8"/>
  <c r="G163" i="8"/>
  <c r="G162" i="8"/>
  <c r="G161" i="8"/>
  <c r="G160" i="8"/>
  <c r="G159" i="8"/>
  <c r="G158" i="8"/>
  <c r="G157" i="8"/>
  <c r="G156" i="8"/>
  <c r="G155" i="8"/>
  <c r="G154" i="8"/>
  <c r="G153" i="8"/>
  <c r="G152" i="8"/>
  <c r="G151" i="8"/>
  <c r="G150" i="8"/>
  <c r="G149" i="8"/>
  <c r="G148" i="8"/>
  <c r="G147" i="8"/>
  <c r="G146" i="8"/>
  <c r="G145" i="8"/>
  <c r="G144" i="8"/>
  <c r="G143" i="8"/>
  <c r="G142" i="8"/>
  <c r="G141" i="8"/>
  <c r="G140" i="8"/>
  <c r="G139" i="8"/>
  <c r="G138" i="8"/>
  <c r="G137" i="8"/>
  <c r="G136" i="8"/>
  <c r="G135" i="8"/>
  <c r="G134" i="8"/>
  <c r="G133" i="8"/>
  <c r="G132" i="8"/>
  <c r="G131" i="8"/>
  <c r="G130" i="8"/>
  <c r="G129" i="8"/>
  <c r="G128" i="8"/>
  <c r="G127" i="8"/>
  <c r="G126" i="8"/>
  <c r="G125" i="8"/>
  <c r="G124" i="8"/>
  <c r="G123" i="8"/>
  <c r="G122" i="8"/>
  <c r="G121" i="8"/>
  <c r="G120" i="8"/>
  <c r="G119" i="8"/>
  <c r="G118" i="8"/>
  <c r="G117" i="8"/>
  <c r="G116" i="8"/>
  <c r="G115" i="8"/>
  <c r="G114" i="8"/>
  <c r="G113" i="8"/>
  <c r="G112" i="8"/>
  <c r="G111" i="8"/>
  <c r="G110" i="8"/>
  <c r="G109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G82" i="8"/>
  <c r="G81" i="8"/>
  <c r="G80" i="8"/>
  <c r="G79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4" i="8"/>
  <c r="G3" i="8"/>
  <c r="G2" i="8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O18" i="2" s="1"/>
  <c r="N4" i="2"/>
  <c r="O1103" i="2"/>
  <c r="O1110" i="2"/>
  <c r="N1110" i="2"/>
  <c r="N1109" i="2"/>
  <c r="N1108" i="2"/>
  <c r="N1107" i="2"/>
  <c r="N1106" i="2"/>
  <c r="N1105" i="2"/>
  <c r="N1104" i="2"/>
  <c r="N1103" i="2"/>
  <c r="N1102" i="2"/>
  <c r="N1101" i="2"/>
  <c r="O1100" i="2"/>
  <c r="N1100" i="2"/>
  <c r="O110" i="2"/>
  <c r="N110" i="2"/>
  <c r="O1099" i="2"/>
  <c r="N1099" i="2"/>
  <c r="O1098" i="2"/>
  <c r="N1098" i="2"/>
  <c r="O1097" i="2"/>
  <c r="N1097" i="2"/>
  <c r="O1096" i="2"/>
  <c r="N1096" i="2"/>
  <c r="O1095" i="2"/>
  <c r="N1095" i="2"/>
  <c r="O1094" i="2"/>
  <c r="N1094" i="2"/>
  <c r="O1093" i="2"/>
  <c r="N1093" i="2"/>
  <c r="O1092" i="2"/>
  <c r="N1092" i="2"/>
  <c r="O1091" i="2"/>
  <c r="N1091" i="2"/>
  <c r="O1090" i="2"/>
  <c r="N1090" i="2"/>
  <c r="O1089" i="2"/>
  <c r="N1089" i="2"/>
  <c r="O1088" i="2"/>
  <c r="N1088" i="2"/>
  <c r="O1087" i="2"/>
  <c r="N1087" i="2"/>
  <c r="O1086" i="2"/>
  <c r="N1086" i="2"/>
  <c r="O1085" i="2"/>
  <c r="N1085" i="2"/>
  <c r="O1084" i="2"/>
  <c r="N1084" i="2"/>
  <c r="O1083" i="2"/>
  <c r="N1083" i="2"/>
  <c r="O1082" i="2"/>
  <c r="N1082" i="2"/>
  <c r="O1081" i="2"/>
  <c r="N1081" i="2"/>
  <c r="O1080" i="2"/>
  <c r="N1080" i="2"/>
  <c r="O1079" i="2"/>
  <c r="N1079" i="2"/>
  <c r="O1078" i="2"/>
  <c r="N1078" i="2"/>
  <c r="O1077" i="2"/>
  <c r="N1077" i="2"/>
  <c r="O1076" i="2"/>
  <c r="N1076" i="2"/>
  <c r="O1075" i="2"/>
  <c r="N1075" i="2"/>
  <c r="O1074" i="2"/>
  <c r="N1074" i="2"/>
  <c r="O1073" i="2"/>
  <c r="N1073" i="2"/>
  <c r="O1072" i="2"/>
  <c r="N1072" i="2"/>
  <c r="O1071" i="2"/>
  <c r="N1071" i="2"/>
  <c r="O1070" i="2"/>
  <c r="N1070" i="2"/>
  <c r="O1069" i="2"/>
  <c r="N1069" i="2"/>
  <c r="O1068" i="2"/>
  <c r="N1068" i="2"/>
  <c r="O1067" i="2"/>
  <c r="N1067" i="2"/>
  <c r="O1066" i="2"/>
  <c r="N1066" i="2"/>
  <c r="O1065" i="2"/>
  <c r="N1065" i="2"/>
  <c r="O1064" i="2"/>
  <c r="N1064" i="2"/>
  <c r="O1063" i="2"/>
  <c r="N1063" i="2"/>
  <c r="O1062" i="2"/>
  <c r="N1062" i="2"/>
  <c r="O1061" i="2"/>
  <c r="N1061" i="2"/>
  <c r="O1060" i="2"/>
  <c r="N1060" i="2"/>
  <c r="O1059" i="2"/>
  <c r="N1059" i="2"/>
  <c r="O1058" i="2"/>
  <c r="N1058" i="2"/>
  <c r="O1057" i="2"/>
  <c r="N1057" i="2"/>
  <c r="O1056" i="2"/>
  <c r="N1056" i="2"/>
  <c r="O1055" i="2"/>
  <c r="N1055" i="2"/>
  <c r="O1054" i="2"/>
  <c r="N1054" i="2"/>
  <c r="O1053" i="2"/>
  <c r="N1053" i="2"/>
  <c r="O1052" i="2"/>
  <c r="N1052" i="2"/>
  <c r="O1051" i="2"/>
  <c r="N1051" i="2"/>
  <c r="O1050" i="2"/>
  <c r="N1050" i="2"/>
  <c r="O1049" i="2"/>
  <c r="N1049" i="2"/>
  <c r="O1048" i="2"/>
  <c r="N1048" i="2"/>
  <c r="O1047" i="2"/>
  <c r="N1047" i="2"/>
  <c r="O1046" i="2"/>
  <c r="N1046" i="2"/>
  <c r="O1045" i="2"/>
  <c r="N1045" i="2"/>
  <c r="O1044" i="2"/>
  <c r="N1044" i="2"/>
  <c r="O1043" i="2"/>
  <c r="N1043" i="2"/>
  <c r="O1042" i="2"/>
  <c r="N1042" i="2"/>
  <c r="O1041" i="2"/>
  <c r="N1041" i="2"/>
  <c r="O1040" i="2"/>
  <c r="N1040" i="2"/>
  <c r="O1039" i="2"/>
  <c r="N1039" i="2"/>
  <c r="O1038" i="2"/>
  <c r="N1038" i="2"/>
  <c r="O1037" i="2"/>
  <c r="N1037" i="2"/>
  <c r="O1036" i="2"/>
  <c r="N1036" i="2"/>
  <c r="O1035" i="2"/>
  <c r="N1035" i="2"/>
  <c r="O1034" i="2"/>
  <c r="N1034" i="2"/>
  <c r="O1033" i="2"/>
  <c r="N1033" i="2"/>
  <c r="O1032" i="2"/>
  <c r="N1032" i="2"/>
  <c r="O1031" i="2"/>
  <c r="N1031" i="2"/>
  <c r="O1030" i="2"/>
  <c r="N1030" i="2"/>
  <c r="O1029" i="2"/>
  <c r="N1029" i="2"/>
  <c r="O1028" i="2"/>
  <c r="N1028" i="2"/>
  <c r="O1027" i="2"/>
  <c r="N1027" i="2"/>
  <c r="O1026" i="2"/>
  <c r="N1026" i="2"/>
  <c r="O1025" i="2"/>
  <c r="N1025" i="2"/>
  <c r="O1024" i="2"/>
  <c r="N1024" i="2"/>
  <c r="O1023" i="2"/>
  <c r="N1023" i="2"/>
  <c r="O1022" i="2"/>
  <c r="N1022" i="2"/>
  <c r="O1021" i="2"/>
  <c r="N1021" i="2"/>
  <c r="O1020" i="2"/>
  <c r="N1020" i="2"/>
  <c r="N1019" i="2"/>
  <c r="N1018" i="2"/>
  <c r="N1017" i="2"/>
  <c r="N1016" i="2"/>
  <c r="N1015" i="2"/>
  <c r="N1014" i="2"/>
  <c r="N1013" i="2"/>
  <c r="N1012" i="2"/>
  <c r="N1011" i="2"/>
  <c r="O1010" i="2"/>
  <c r="N1010" i="2"/>
  <c r="N1009" i="2"/>
  <c r="N1008" i="2"/>
  <c r="N1007" i="2"/>
  <c r="N1006" i="2"/>
  <c r="N1005" i="2"/>
  <c r="N1004" i="2"/>
  <c r="N1003" i="2"/>
  <c r="N1002" i="2"/>
  <c r="N1001" i="2"/>
  <c r="O1000" i="2"/>
  <c r="N1000" i="2"/>
  <c r="O910" i="2"/>
  <c r="N910" i="2"/>
  <c r="O810" i="2"/>
  <c r="N810" i="2"/>
  <c r="O710" i="2"/>
  <c r="N710" i="2"/>
  <c r="O610" i="2"/>
  <c r="N610" i="2"/>
  <c r="O510" i="2"/>
  <c r="N510" i="2"/>
  <c r="O410" i="2"/>
  <c r="N410" i="2"/>
  <c r="O310" i="2"/>
  <c r="N310" i="2"/>
  <c r="O210" i="2"/>
  <c r="N210" i="2"/>
  <c r="N109" i="2"/>
  <c r="N108" i="2"/>
  <c r="N107" i="2"/>
  <c r="N106" i="2"/>
  <c r="N105" i="2"/>
  <c r="N104" i="2"/>
  <c r="N103" i="2"/>
  <c r="N102" i="2"/>
  <c r="O101" i="2"/>
  <c r="N101" i="2"/>
  <c r="O100" i="2"/>
  <c r="N100" i="2"/>
  <c r="N19" i="2"/>
  <c r="O1019" i="2" s="1"/>
  <c r="N20" i="2"/>
  <c r="O20" i="2" s="1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O36" i="2" s="1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O52" i="2" s="1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O68" i="2" s="1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O84" i="2" s="1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11" i="2"/>
  <c r="N112" i="2"/>
  <c r="N113" i="2"/>
  <c r="N114" i="2"/>
  <c r="N115" i="2"/>
  <c r="N116" i="2"/>
  <c r="O116" i="2" s="1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O132" i="2" s="1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O148" i="2" s="1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O164" i="2" s="1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O180" i="2" s="1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O196" i="2" s="1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1" i="2"/>
  <c r="N212" i="2"/>
  <c r="O212" i="2" s="1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O244" i="2" s="1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O260" i="2" s="1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O276" i="2" s="1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O292" i="2" s="1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O308" i="2" s="1"/>
  <c r="N309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O324" i="2" s="1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O340" i="2" s="1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O356" i="2" s="1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O372" i="2" s="1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O388" i="2" s="1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O404" i="2" s="1"/>
  <c r="N405" i="2"/>
  <c r="N406" i="2"/>
  <c r="N407" i="2"/>
  <c r="N408" i="2"/>
  <c r="N409" i="2"/>
  <c r="N411" i="2"/>
  <c r="N412" i="2"/>
  <c r="N413" i="2"/>
  <c r="N414" i="2"/>
  <c r="N415" i="2"/>
  <c r="N416" i="2"/>
  <c r="N417" i="2"/>
  <c r="N418" i="2"/>
  <c r="N419" i="2"/>
  <c r="N420" i="2"/>
  <c r="O420" i="2" s="1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O436" i="2" s="1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O452" i="2" s="1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O468" i="2" s="1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O484" i="2" s="1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1" i="2"/>
  <c r="N512" i="2"/>
  <c r="N513" i="2"/>
  <c r="N514" i="2"/>
  <c r="N515" i="2"/>
  <c r="N516" i="2"/>
  <c r="O516" i="2" s="1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O532" i="2" s="1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O548" i="2" s="1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O564" i="2" s="1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O580" i="2" s="1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O596" i="2" s="1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1" i="2"/>
  <c r="N612" i="2"/>
  <c r="O612" i="2" s="1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O628" i="2" s="1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O644" i="2" s="1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O660" i="2" s="1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O676" i="2" s="1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O692" i="2" s="1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O708" i="2" s="1"/>
  <c r="N709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O724" i="2" s="1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O740" i="2" s="1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O756" i="2" s="1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O788" i="2" s="1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O804" i="2" s="1"/>
  <c r="N805" i="2"/>
  <c r="N806" i="2"/>
  <c r="N807" i="2"/>
  <c r="N808" i="2"/>
  <c r="N809" i="2"/>
  <c r="N811" i="2"/>
  <c r="N812" i="2"/>
  <c r="N813" i="2"/>
  <c r="N814" i="2"/>
  <c r="N815" i="2"/>
  <c r="N816" i="2"/>
  <c r="N817" i="2"/>
  <c r="N818" i="2"/>
  <c r="N819" i="2"/>
  <c r="N820" i="2"/>
  <c r="O820" i="2" s="1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O836" i="2" s="1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O852" i="2" s="1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O868" i="2" s="1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O884" i="2" s="1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O900" i="2" s="1"/>
  <c r="N901" i="2"/>
  <c r="N902" i="2"/>
  <c r="N903" i="2"/>
  <c r="N904" i="2"/>
  <c r="N905" i="2"/>
  <c r="N906" i="2"/>
  <c r="N907" i="2"/>
  <c r="N908" i="2"/>
  <c r="N909" i="2"/>
  <c r="N911" i="2"/>
  <c r="N912" i="2"/>
  <c r="N913" i="2"/>
  <c r="N914" i="2"/>
  <c r="N915" i="2"/>
  <c r="N916" i="2"/>
  <c r="O916" i="2" s="1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O932" i="2" s="1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O948" i="2" s="1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O964" i="2" s="1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O980" i="2" s="1"/>
  <c r="N981" i="2"/>
  <c r="N982" i="2"/>
  <c r="N983" i="2"/>
  <c r="N984" i="2"/>
  <c r="N985" i="2"/>
  <c r="N986" i="2"/>
  <c r="N987" i="2"/>
  <c r="N988" i="2"/>
  <c r="N989" i="2"/>
  <c r="N990" i="2"/>
  <c r="N991" i="2"/>
  <c r="N992" i="2"/>
  <c r="N993" i="2"/>
  <c r="N994" i="2"/>
  <c r="N995" i="2"/>
  <c r="N996" i="2"/>
  <c r="O996" i="2" s="1"/>
  <c r="N997" i="2"/>
  <c r="N998" i="2"/>
  <c r="N999" i="2"/>
  <c r="N1111" i="2"/>
  <c r="N1112" i="2"/>
  <c r="N1113" i="2"/>
  <c r="N1114" i="2"/>
  <c r="N1115" i="2"/>
  <c r="N1116" i="2"/>
  <c r="N1117" i="2"/>
  <c r="N1118" i="2"/>
  <c r="N1119" i="2"/>
  <c r="N1120" i="2"/>
  <c r="N1121" i="2"/>
  <c r="N1122" i="2"/>
  <c r="N1123" i="2"/>
  <c r="N1124" i="2"/>
  <c r="O1124" i="2" s="1"/>
  <c r="N1125" i="2"/>
  <c r="N1126" i="2"/>
  <c r="N1127" i="2"/>
  <c r="N1128" i="2"/>
  <c r="N1129" i="2"/>
  <c r="N1130" i="2"/>
  <c r="O181" i="2"/>
  <c r="O949" i="2"/>
  <c r="O228" i="2"/>
  <c r="O500" i="2"/>
  <c r="O772" i="2"/>
  <c r="O21" i="2"/>
  <c r="O37" i="2"/>
  <c r="O69" i="2"/>
  <c r="O85" i="2"/>
  <c r="O117" i="2"/>
  <c r="O133" i="2"/>
  <c r="O149" i="2"/>
  <c r="O165" i="2"/>
  <c r="O197" i="2"/>
  <c r="O213" i="2"/>
  <c r="O229" i="2"/>
  <c r="O245" i="2"/>
  <c r="O261" i="2"/>
  <c r="O277" i="2"/>
  <c r="O293" i="2"/>
  <c r="O325" i="2"/>
  <c r="O341" i="2"/>
  <c r="O357" i="2"/>
  <c r="O373" i="2"/>
  <c r="O389" i="2"/>
  <c r="O405" i="2"/>
  <c r="O421" i="2"/>
  <c r="O453" i="2"/>
  <c r="O469" i="2"/>
  <c r="O485" i="2"/>
  <c r="O501" i="2"/>
  <c r="O517" i="2"/>
  <c r="O533" i="2"/>
  <c r="O549" i="2"/>
  <c r="O581" i="2"/>
  <c r="O597" i="2"/>
  <c r="O613" i="2"/>
  <c r="O629" i="2"/>
  <c r="O645" i="2"/>
  <c r="O661" i="2"/>
  <c r="O677" i="2"/>
  <c r="O709" i="2"/>
  <c r="O725" i="2"/>
  <c r="O741" i="2"/>
  <c r="O757" i="2"/>
  <c r="O773" i="2"/>
  <c r="O789" i="2"/>
  <c r="O805" i="2"/>
  <c r="O837" i="2"/>
  <c r="O853" i="2"/>
  <c r="O869" i="2"/>
  <c r="O885" i="2"/>
  <c r="O901" i="2"/>
  <c r="O917" i="2"/>
  <c r="O933" i="2"/>
  <c r="O965" i="2"/>
  <c r="O981" i="2"/>
  <c r="O997" i="2"/>
  <c r="O1125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11" i="2"/>
  <c r="O112" i="2"/>
  <c r="O113" i="2"/>
  <c r="O114" i="2"/>
  <c r="O115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1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6" i="2"/>
  <c r="O407" i="2"/>
  <c r="O408" i="2"/>
  <c r="O409" i="2"/>
  <c r="O411" i="2"/>
  <c r="O412" i="2"/>
  <c r="O413" i="2"/>
  <c r="O414" i="2"/>
  <c r="O415" i="2"/>
  <c r="O416" i="2"/>
  <c r="O417" i="2"/>
  <c r="O418" i="2"/>
  <c r="O419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2" i="2"/>
  <c r="O503" i="2"/>
  <c r="O504" i="2"/>
  <c r="O505" i="2"/>
  <c r="O506" i="2"/>
  <c r="O507" i="2"/>
  <c r="O508" i="2"/>
  <c r="O509" i="2"/>
  <c r="O511" i="2"/>
  <c r="O512" i="2"/>
  <c r="O513" i="2"/>
  <c r="O514" i="2"/>
  <c r="O515" i="2"/>
  <c r="O518" i="2"/>
  <c r="O519" i="2"/>
  <c r="O520" i="2"/>
  <c r="O521" i="2"/>
  <c r="O522" i="2"/>
  <c r="O523" i="2"/>
  <c r="O524" i="2"/>
  <c r="O525" i="2"/>
  <c r="O526" i="2"/>
  <c r="O527" i="2"/>
  <c r="O528" i="2"/>
  <c r="O529" i="2"/>
  <c r="O530" i="2"/>
  <c r="O531" i="2"/>
  <c r="O534" i="2"/>
  <c r="O535" i="2"/>
  <c r="O536" i="2"/>
  <c r="O537" i="2"/>
  <c r="O538" i="2"/>
  <c r="O539" i="2"/>
  <c r="O540" i="2"/>
  <c r="O541" i="2"/>
  <c r="O542" i="2"/>
  <c r="O543" i="2"/>
  <c r="O544" i="2"/>
  <c r="O545" i="2"/>
  <c r="O546" i="2"/>
  <c r="O547" i="2"/>
  <c r="O550" i="2"/>
  <c r="O551" i="2"/>
  <c r="O552" i="2"/>
  <c r="O553" i="2"/>
  <c r="O554" i="2"/>
  <c r="O555" i="2"/>
  <c r="O556" i="2"/>
  <c r="O557" i="2"/>
  <c r="O558" i="2"/>
  <c r="O559" i="2"/>
  <c r="O560" i="2"/>
  <c r="O561" i="2"/>
  <c r="O562" i="2"/>
  <c r="O563" i="2"/>
  <c r="O566" i="2"/>
  <c r="O567" i="2"/>
  <c r="O568" i="2"/>
  <c r="O569" i="2"/>
  <c r="O570" i="2"/>
  <c r="O571" i="2"/>
  <c r="O572" i="2"/>
  <c r="O573" i="2"/>
  <c r="O574" i="2"/>
  <c r="O575" i="2"/>
  <c r="O576" i="2"/>
  <c r="O577" i="2"/>
  <c r="O578" i="2"/>
  <c r="O579" i="2"/>
  <c r="O582" i="2"/>
  <c r="O583" i="2"/>
  <c r="O584" i="2"/>
  <c r="O585" i="2"/>
  <c r="O586" i="2"/>
  <c r="O587" i="2"/>
  <c r="O588" i="2"/>
  <c r="O589" i="2"/>
  <c r="O590" i="2"/>
  <c r="O591" i="2"/>
  <c r="O592" i="2"/>
  <c r="O593" i="2"/>
  <c r="O594" i="2"/>
  <c r="O595" i="2"/>
  <c r="O598" i="2"/>
  <c r="O599" i="2"/>
  <c r="O600" i="2"/>
  <c r="O601" i="2"/>
  <c r="O602" i="2"/>
  <c r="O603" i="2"/>
  <c r="O604" i="2"/>
  <c r="O605" i="2"/>
  <c r="O606" i="2"/>
  <c r="O607" i="2"/>
  <c r="O608" i="2"/>
  <c r="O609" i="2"/>
  <c r="O611" i="2"/>
  <c r="O614" i="2"/>
  <c r="O615" i="2"/>
  <c r="O616" i="2"/>
  <c r="O617" i="2"/>
  <c r="O618" i="2"/>
  <c r="O619" i="2"/>
  <c r="O620" i="2"/>
  <c r="O621" i="2"/>
  <c r="O622" i="2"/>
  <c r="O623" i="2"/>
  <c r="O624" i="2"/>
  <c r="O625" i="2"/>
  <c r="O626" i="2"/>
  <c r="O627" i="2"/>
  <c r="O630" i="2"/>
  <c r="O631" i="2"/>
  <c r="O632" i="2"/>
  <c r="O633" i="2"/>
  <c r="O634" i="2"/>
  <c r="O635" i="2"/>
  <c r="O636" i="2"/>
  <c r="O637" i="2"/>
  <c r="O638" i="2"/>
  <c r="O639" i="2"/>
  <c r="O640" i="2"/>
  <c r="O641" i="2"/>
  <c r="O642" i="2"/>
  <c r="O643" i="2"/>
  <c r="O646" i="2"/>
  <c r="O647" i="2"/>
  <c r="O648" i="2"/>
  <c r="O649" i="2"/>
  <c r="O650" i="2"/>
  <c r="O651" i="2"/>
  <c r="O652" i="2"/>
  <c r="O653" i="2"/>
  <c r="O654" i="2"/>
  <c r="O655" i="2"/>
  <c r="O656" i="2"/>
  <c r="O657" i="2"/>
  <c r="O658" i="2"/>
  <c r="O659" i="2"/>
  <c r="O662" i="2"/>
  <c r="O663" i="2"/>
  <c r="O664" i="2"/>
  <c r="O665" i="2"/>
  <c r="O666" i="2"/>
  <c r="O667" i="2"/>
  <c r="O668" i="2"/>
  <c r="O669" i="2"/>
  <c r="O670" i="2"/>
  <c r="O671" i="2"/>
  <c r="O672" i="2"/>
  <c r="O673" i="2"/>
  <c r="O674" i="2"/>
  <c r="O675" i="2"/>
  <c r="O678" i="2"/>
  <c r="O679" i="2"/>
  <c r="O680" i="2"/>
  <c r="O681" i="2"/>
  <c r="O682" i="2"/>
  <c r="O683" i="2"/>
  <c r="O684" i="2"/>
  <c r="O685" i="2"/>
  <c r="O686" i="2"/>
  <c r="O687" i="2"/>
  <c r="O688" i="2"/>
  <c r="O689" i="2"/>
  <c r="O690" i="2"/>
  <c r="O691" i="2"/>
  <c r="O694" i="2"/>
  <c r="O695" i="2"/>
  <c r="O696" i="2"/>
  <c r="O697" i="2"/>
  <c r="O698" i="2"/>
  <c r="O699" i="2"/>
  <c r="O700" i="2"/>
  <c r="O701" i="2"/>
  <c r="O702" i="2"/>
  <c r="O703" i="2"/>
  <c r="O704" i="2"/>
  <c r="O705" i="2"/>
  <c r="O706" i="2"/>
  <c r="O707" i="2"/>
  <c r="O711" i="2"/>
  <c r="O712" i="2"/>
  <c r="O713" i="2"/>
  <c r="O714" i="2"/>
  <c r="O715" i="2"/>
  <c r="O716" i="2"/>
  <c r="O717" i="2"/>
  <c r="O718" i="2"/>
  <c r="O719" i="2"/>
  <c r="O720" i="2"/>
  <c r="O721" i="2"/>
  <c r="O722" i="2"/>
  <c r="O723" i="2"/>
  <c r="O726" i="2"/>
  <c r="O727" i="2"/>
  <c r="O728" i="2"/>
  <c r="O729" i="2"/>
  <c r="O730" i="2"/>
  <c r="O731" i="2"/>
  <c r="O732" i="2"/>
  <c r="O733" i="2"/>
  <c r="O734" i="2"/>
  <c r="O735" i="2"/>
  <c r="O736" i="2"/>
  <c r="O737" i="2"/>
  <c r="O738" i="2"/>
  <c r="O739" i="2"/>
  <c r="O742" i="2"/>
  <c r="O743" i="2"/>
  <c r="O744" i="2"/>
  <c r="O745" i="2"/>
  <c r="O746" i="2"/>
  <c r="O747" i="2"/>
  <c r="O748" i="2"/>
  <c r="O749" i="2"/>
  <c r="O750" i="2"/>
  <c r="O751" i="2"/>
  <c r="O752" i="2"/>
  <c r="O753" i="2"/>
  <c r="O754" i="2"/>
  <c r="O755" i="2"/>
  <c r="O758" i="2"/>
  <c r="O759" i="2"/>
  <c r="O760" i="2"/>
  <c r="O761" i="2"/>
  <c r="O762" i="2"/>
  <c r="O763" i="2"/>
  <c r="O764" i="2"/>
  <c r="O765" i="2"/>
  <c r="O766" i="2"/>
  <c r="O767" i="2"/>
  <c r="O768" i="2"/>
  <c r="O769" i="2"/>
  <c r="O770" i="2"/>
  <c r="O771" i="2"/>
  <c r="O774" i="2"/>
  <c r="O775" i="2"/>
  <c r="O776" i="2"/>
  <c r="O777" i="2"/>
  <c r="O778" i="2"/>
  <c r="O779" i="2"/>
  <c r="O780" i="2"/>
  <c r="O781" i="2"/>
  <c r="O782" i="2"/>
  <c r="O783" i="2"/>
  <c r="O784" i="2"/>
  <c r="O785" i="2"/>
  <c r="O786" i="2"/>
  <c r="O787" i="2"/>
  <c r="O790" i="2"/>
  <c r="O791" i="2"/>
  <c r="O792" i="2"/>
  <c r="O793" i="2"/>
  <c r="O794" i="2"/>
  <c r="O795" i="2"/>
  <c r="O796" i="2"/>
  <c r="O797" i="2"/>
  <c r="O798" i="2"/>
  <c r="O799" i="2"/>
  <c r="O800" i="2"/>
  <c r="O801" i="2"/>
  <c r="O802" i="2"/>
  <c r="O803" i="2"/>
  <c r="O806" i="2"/>
  <c r="O807" i="2"/>
  <c r="O808" i="2"/>
  <c r="O809" i="2"/>
  <c r="O811" i="2"/>
  <c r="O812" i="2"/>
  <c r="O813" i="2"/>
  <c r="O814" i="2"/>
  <c r="O815" i="2"/>
  <c r="O816" i="2"/>
  <c r="O817" i="2"/>
  <c r="O818" i="2"/>
  <c r="O819" i="2"/>
  <c r="O822" i="2"/>
  <c r="O823" i="2"/>
  <c r="O824" i="2"/>
  <c r="O825" i="2"/>
  <c r="O826" i="2"/>
  <c r="O827" i="2"/>
  <c r="O828" i="2"/>
  <c r="O829" i="2"/>
  <c r="O830" i="2"/>
  <c r="O831" i="2"/>
  <c r="O832" i="2"/>
  <c r="O833" i="2"/>
  <c r="O834" i="2"/>
  <c r="O835" i="2"/>
  <c r="O838" i="2"/>
  <c r="O839" i="2"/>
  <c r="O840" i="2"/>
  <c r="O841" i="2"/>
  <c r="O842" i="2"/>
  <c r="O843" i="2"/>
  <c r="O844" i="2"/>
  <c r="O845" i="2"/>
  <c r="O846" i="2"/>
  <c r="O847" i="2"/>
  <c r="O848" i="2"/>
  <c r="O849" i="2"/>
  <c r="O850" i="2"/>
  <c r="O851" i="2"/>
  <c r="O854" i="2"/>
  <c r="O855" i="2"/>
  <c r="O856" i="2"/>
  <c r="O857" i="2"/>
  <c r="O858" i="2"/>
  <c r="O859" i="2"/>
  <c r="O860" i="2"/>
  <c r="O861" i="2"/>
  <c r="O862" i="2"/>
  <c r="O863" i="2"/>
  <c r="O864" i="2"/>
  <c r="O865" i="2"/>
  <c r="O866" i="2"/>
  <c r="O867" i="2"/>
  <c r="O870" i="2"/>
  <c r="O871" i="2"/>
  <c r="O872" i="2"/>
  <c r="O873" i="2"/>
  <c r="O874" i="2"/>
  <c r="O875" i="2"/>
  <c r="O876" i="2"/>
  <c r="O877" i="2"/>
  <c r="O878" i="2"/>
  <c r="O879" i="2"/>
  <c r="O880" i="2"/>
  <c r="O881" i="2"/>
  <c r="O882" i="2"/>
  <c r="O883" i="2"/>
  <c r="O886" i="2"/>
  <c r="O887" i="2"/>
  <c r="O888" i="2"/>
  <c r="O889" i="2"/>
  <c r="O890" i="2"/>
  <c r="O891" i="2"/>
  <c r="O892" i="2"/>
  <c r="O893" i="2"/>
  <c r="O894" i="2"/>
  <c r="O895" i="2"/>
  <c r="O896" i="2"/>
  <c r="O897" i="2"/>
  <c r="O898" i="2"/>
  <c r="O899" i="2"/>
  <c r="O902" i="2"/>
  <c r="O903" i="2"/>
  <c r="O904" i="2"/>
  <c r="O905" i="2"/>
  <c r="O906" i="2"/>
  <c r="O907" i="2"/>
  <c r="O908" i="2"/>
  <c r="O909" i="2"/>
  <c r="O911" i="2"/>
  <c r="O912" i="2"/>
  <c r="O913" i="2"/>
  <c r="O914" i="2"/>
  <c r="O915" i="2"/>
  <c r="O918" i="2"/>
  <c r="O919" i="2"/>
  <c r="O920" i="2"/>
  <c r="O921" i="2"/>
  <c r="O922" i="2"/>
  <c r="O923" i="2"/>
  <c r="O924" i="2"/>
  <c r="O925" i="2"/>
  <c r="O926" i="2"/>
  <c r="O927" i="2"/>
  <c r="O928" i="2"/>
  <c r="O929" i="2"/>
  <c r="O930" i="2"/>
  <c r="O931" i="2"/>
  <c r="O934" i="2"/>
  <c r="O935" i="2"/>
  <c r="O936" i="2"/>
  <c r="O937" i="2"/>
  <c r="O938" i="2"/>
  <c r="O939" i="2"/>
  <c r="O940" i="2"/>
  <c r="O941" i="2"/>
  <c r="O942" i="2"/>
  <c r="O943" i="2"/>
  <c r="O944" i="2"/>
  <c r="O945" i="2"/>
  <c r="O946" i="2"/>
  <c r="O947" i="2"/>
  <c r="O950" i="2"/>
  <c r="O951" i="2"/>
  <c r="O952" i="2"/>
  <c r="O953" i="2"/>
  <c r="O954" i="2"/>
  <c r="O955" i="2"/>
  <c r="O956" i="2"/>
  <c r="O957" i="2"/>
  <c r="O958" i="2"/>
  <c r="O959" i="2"/>
  <c r="O960" i="2"/>
  <c r="O961" i="2"/>
  <c r="O962" i="2"/>
  <c r="O963" i="2"/>
  <c r="O966" i="2"/>
  <c r="O967" i="2"/>
  <c r="O968" i="2"/>
  <c r="O969" i="2"/>
  <c r="O970" i="2"/>
  <c r="O971" i="2"/>
  <c r="O972" i="2"/>
  <c r="O973" i="2"/>
  <c r="O974" i="2"/>
  <c r="O975" i="2"/>
  <c r="O976" i="2"/>
  <c r="O977" i="2"/>
  <c r="O978" i="2"/>
  <c r="O979" i="2"/>
  <c r="O982" i="2"/>
  <c r="O983" i="2"/>
  <c r="O984" i="2"/>
  <c r="O985" i="2"/>
  <c r="O986" i="2"/>
  <c r="O987" i="2"/>
  <c r="O988" i="2"/>
  <c r="O989" i="2"/>
  <c r="O990" i="2"/>
  <c r="O991" i="2"/>
  <c r="O992" i="2"/>
  <c r="O993" i="2"/>
  <c r="O994" i="2"/>
  <c r="O995" i="2"/>
  <c r="O998" i="2"/>
  <c r="O999" i="2"/>
  <c r="O1111" i="2"/>
  <c r="O1112" i="2"/>
  <c r="O1113" i="2"/>
  <c r="O1114" i="2"/>
  <c r="O1115" i="2"/>
  <c r="O1116" i="2"/>
  <c r="O1117" i="2"/>
  <c r="O1118" i="2"/>
  <c r="O1119" i="2"/>
  <c r="O1120" i="2"/>
  <c r="O1121" i="2"/>
  <c r="O1122" i="2"/>
  <c r="O1123" i="2"/>
  <c r="O1126" i="2"/>
  <c r="O1127" i="2"/>
  <c r="O1128" i="2"/>
  <c r="O1129" i="2"/>
  <c r="O1130" i="2"/>
  <c r="O19" i="2" l="1"/>
  <c r="O1001" i="2"/>
  <c r="O103" i="2"/>
  <c r="O1003" i="2"/>
  <c r="O1101" i="2"/>
  <c r="O821" i="2"/>
  <c r="O565" i="2"/>
  <c r="O309" i="2"/>
  <c r="O53" i="2"/>
  <c r="O693" i="2"/>
  <c r="O437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N1336" i="2"/>
  <c r="O1017" i="2" l="1"/>
  <c r="O1018" i="2"/>
  <c r="O1011" i="2"/>
  <c r="O1009" i="2" l="1"/>
  <c r="O109" i="2"/>
  <c r="O1013" i="2"/>
  <c r="O1004" i="2"/>
  <c r="O1109" i="2"/>
  <c r="O104" i="2"/>
  <c r="O1104" i="2"/>
  <c r="O1007" i="2"/>
  <c r="O107" i="2"/>
  <c r="O1107" i="2"/>
  <c r="O1006" i="2"/>
  <c r="O106" i="2"/>
  <c r="O1106" i="2"/>
  <c r="O1005" i="2"/>
  <c r="O105" i="2"/>
  <c r="O1014" i="2"/>
  <c r="O1105" i="2"/>
  <c r="O1012" i="2"/>
  <c r="O1002" i="2"/>
  <c r="O102" i="2"/>
  <c r="O1102" i="2"/>
  <c r="O1016" i="2"/>
  <c r="O1015" i="2"/>
  <c r="O108" i="2"/>
  <c r="O1108" i="2"/>
  <c r="O1008" i="2"/>
</calcChain>
</file>

<file path=xl/sharedStrings.xml><?xml version="1.0" encoding="utf-8"?>
<sst xmlns="http://schemas.openxmlformats.org/spreadsheetml/2006/main" count="1080" uniqueCount="1071">
  <si>
    <t>Module concerné</t>
  </si>
  <si>
    <t>Mise en œuvre</t>
  </si>
  <si>
    <t>Sévérité</t>
  </si>
  <si>
    <t>Causes possibles de la défaillance</t>
  </si>
  <si>
    <t>Occurrence</t>
  </si>
  <si>
    <t>Détection</t>
  </si>
  <si>
    <t>Risque</t>
  </si>
  <si>
    <t>Actions recommandées</t>
  </si>
  <si>
    <t>Porteur de l'action</t>
  </si>
  <si>
    <t>Échéance</t>
  </si>
  <si>
    <t>Actions mise en place</t>
  </si>
  <si>
    <t xml:space="preserve">Processus </t>
  </si>
  <si>
    <t xml:space="preserve">Sous processus </t>
  </si>
  <si>
    <t>Analyse de la structure et des fonctions</t>
  </si>
  <si>
    <t xml:space="preserve">Indice des actions prioritaires (AP) </t>
  </si>
  <si>
    <t>Stock</t>
  </si>
  <si>
    <t>M1</t>
  </si>
  <si>
    <t>M2</t>
  </si>
  <si>
    <t>M4</t>
  </si>
  <si>
    <t>Qualité</t>
  </si>
  <si>
    <t>Méthode</t>
  </si>
  <si>
    <t>Achat/logistique</t>
  </si>
  <si>
    <t>Commerciale</t>
  </si>
  <si>
    <t>M2-M4</t>
  </si>
  <si>
    <t>Expédition</t>
  </si>
  <si>
    <t>RH</t>
  </si>
  <si>
    <t>Analyse des modes de défaillances actuelles et analyse des risques</t>
  </si>
  <si>
    <t>Contrôle unitaire</t>
  </si>
  <si>
    <t xml:space="preserve">Fonction </t>
  </si>
  <si>
    <t>Main d'œuvre</t>
  </si>
  <si>
    <t>Machine</t>
  </si>
  <si>
    <t xml:space="preserve">Matière </t>
  </si>
  <si>
    <t xml:space="preserve">Milieu </t>
  </si>
  <si>
    <t>5M</t>
  </si>
  <si>
    <t>Mode de défaillance</t>
  </si>
  <si>
    <t>Effets de la défaillance</t>
  </si>
  <si>
    <t>Processus</t>
  </si>
  <si>
    <t xml:space="preserve"> Etape du processus </t>
  </si>
  <si>
    <t>AP</t>
  </si>
  <si>
    <t>Action prioritaire</t>
  </si>
  <si>
    <t>Contrôle détection</t>
  </si>
  <si>
    <t>Contrôle prévention</t>
  </si>
  <si>
    <t xml:space="preserve">Elément de travail type 5M </t>
  </si>
  <si>
    <t xml:space="preserve">Fonction / service </t>
  </si>
  <si>
    <t>Arrêt de la fonction/service</t>
  </si>
  <si>
    <t>Abscence de fonction/service</t>
  </si>
  <si>
    <t>Fonction / service dégradée</t>
  </si>
  <si>
    <t xml:space="preserve">Fonction / service intempestive </t>
  </si>
  <si>
    <t>S</t>
  </si>
  <si>
    <t>O</t>
  </si>
  <si>
    <t>D</t>
  </si>
  <si>
    <t>SOD</t>
  </si>
  <si>
    <t xml:space="preserve">Risque d'erreur de numéro d'affaire </t>
  </si>
  <si>
    <t xml:space="preserve">Erreur de bobine </t>
  </si>
  <si>
    <t xml:space="preserve">Risque de chute de bobine </t>
  </si>
  <si>
    <t xml:space="preserve">gros touret sur skate </t>
  </si>
  <si>
    <t xml:space="preserve">changer bout de fil </t>
  </si>
  <si>
    <t>prendre au pif en fct du cable</t>
  </si>
  <si>
    <t xml:space="preserve">section avec rest th </t>
  </si>
  <si>
    <t xml:space="preserve">dénudage </t>
  </si>
  <si>
    <t xml:space="preserve">marquage au milieu </t>
  </si>
  <si>
    <t xml:space="preserve">&amp;1 fiol d'essai </t>
  </si>
  <si>
    <t xml:space="preserve">vérificzation </t>
  </si>
  <si>
    <t xml:space="preserve">réajustage automatiquen </t>
  </si>
  <si>
    <t xml:space="preserve">metre  +  reglet EMC </t>
  </si>
  <si>
    <t xml:space="preserve">risque de se tromper entre lo'étiquette et lre cable </t>
  </si>
  <si>
    <t xml:space="preserve">différencier fils et câbles lors de l'analyse </t>
  </si>
  <si>
    <t xml:space="preserve">erreur de gamme </t>
  </si>
  <si>
    <t xml:space="preserve">ref produit client </t>
  </si>
  <si>
    <t xml:space="preserve">rangement par rapport a la date </t>
  </si>
  <si>
    <t>etiquette d'identification manuel 251605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</si>
  <si>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</si>
  <si>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</si>
  <si>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</si>
  <si>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</si>
  <si>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</si>
  <si>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</si>
  <si>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</si>
  <si>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</si>
  <si>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</si>
  <si>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1110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</si>
  <si>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</si>
  <si>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</si>
  <si>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</si>
  <si>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</si>
  <si>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</si>
  <si>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</si>
  <si>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</si>
  <si>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</si>
  <si>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</si>
  <si>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1210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</si>
  <si>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</si>
  <si>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</si>
  <si>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</si>
  <si>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</si>
  <si>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</si>
  <si>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</si>
  <si>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</si>
  <si>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</si>
  <si>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</si>
  <si>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1310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</si>
  <si>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</si>
  <si>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</si>
  <si>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</si>
  <si>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</si>
  <si>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</si>
  <si>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</si>
  <si>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</si>
  <si>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</si>
  <si>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</si>
  <si>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1410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</si>
  <si>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</si>
  <si>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</si>
  <si>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</si>
  <si>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</si>
  <si>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</si>
  <si>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</si>
  <si>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</si>
  <si>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</si>
  <si>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</si>
  <si>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1510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</si>
  <si>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</si>
  <si>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</si>
  <si>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</si>
  <si>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</si>
  <si>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</si>
  <si>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</si>
  <si>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</si>
  <si>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</si>
  <si>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</si>
  <si>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1610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</si>
  <si>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</si>
  <si>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</si>
  <si>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</si>
  <si>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</si>
  <si>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</si>
  <si>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</si>
  <si>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</si>
  <si>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</si>
  <si>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</si>
  <si>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1710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</si>
  <si>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</si>
  <si>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</si>
  <si>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</si>
  <si>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</si>
  <si>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</si>
  <si>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</si>
  <si>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</si>
  <si>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</si>
  <si>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</si>
  <si>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1810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</si>
  <si>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</si>
  <si>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</si>
  <si>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</si>
  <si>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</si>
  <si>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</si>
  <si>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</si>
  <si>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</si>
  <si>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</si>
  <si>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</si>
  <si>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1910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</si>
  <si>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</si>
  <si>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</si>
  <si>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</si>
  <si>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</si>
  <si>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</si>
  <si>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</si>
  <si>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</si>
  <si>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</si>
  <si>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</si>
  <si>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11010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</si>
  <si>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</si>
  <si>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</si>
  <si>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</si>
  <si>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</si>
  <si>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</si>
  <si>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</si>
  <si>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</si>
  <si>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</si>
  <si>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</si>
  <si>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2110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</si>
  <si>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</si>
  <si>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</si>
  <si>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</si>
  <si>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</si>
  <si>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</si>
  <si>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</si>
  <si>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</si>
  <si>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</si>
  <si>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</si>
  <si>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2210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</si>
  <si>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</si>
  <si>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</si>
  <si>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</si>
  <si>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</si>
  <si>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</si>
  <si>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</si>
  <si>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</si>
  <si>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</si>
  <si>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</si>
  <si>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2310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</si>
  <si>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</si>
  <si>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</si>
  <si>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</si>
  <si>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</si>
  <si>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</si>
  <si>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</si>
  <si>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</si>
  <si>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</si>
  <si>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</si>
  <si>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2410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</si>
  <si>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</si>
  <si>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</si>
  <si>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</si>
  <si>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</si>
  <si>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</si>
  <si>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</si>
  <si>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</si>
  <si>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</si>
  <si>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</si>
  <si>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2510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</si>
  <si>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</si>
  <si>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</si>
  <si>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</si>
  <si>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</si>
  <si>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</si>
  <si>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</si>
  <si>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</si>
  <si>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</si>
  <si>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</si>
  <si>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2610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</si>
  <si>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</si>
  <si>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</si>
  <si>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</si>
  <si>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</si>
  <si>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</si>
  <si>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</si>
  <si>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</si>
  <si>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</si>
  <si>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</si>
  <si>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2710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</si>
  <si>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</si>
  <si>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</si>
  <si>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</si>
  <si>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</si>
  <si>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</si>
  <si>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</si>
  <si>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</si>
  <si>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</si>
  <si>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</si>
  <si>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2810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</si>
  <si>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</si>
  <si>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</si>
  <si>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</si>
  <si>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</si>
  <si>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</si>
  <si>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</si>
  <si>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</si>
  <si>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</si>
  <si>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</si>
  <si>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2910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</si>
  <si>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</si>
  <si>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</si>
  <si>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</si>
  <si>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</si>
  <si>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</si>
  <si>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</si>
  <si>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</si>
  <si>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</si>
  <si>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</si>
  <si>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21010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</si>
  <si>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</si>
  <si>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</si>
  <si>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</si>
  <si>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</si>
  <si>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</si>
  <si>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</si>
  <si>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</si>
  <si>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</si>
  <si>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</si>
  <si>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3110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</si>
  <si>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</si>
  <si>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</si>
  <si>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</si>
  <si>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</si>
  <si>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</si>
  <si>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</si>
  <si>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</si>
  <si>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</si>
  <si>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</si>
  <si>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3210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</si>
  <si>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</si>
  <si>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</si>
  <si>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</si>
  <si>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</si>
  <si>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</si>
  <si>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</si>
  <si>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</si>
  <si>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</si>
  <si>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</si>
  <si>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3310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</si>
  <si>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</si>
  <si>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</si>
  <si>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</si>
  <si>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</si>
  <si>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</si>
  <si>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</si>
  <si>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</si>
  <si>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</si>
  <si>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</si>
  <si>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3410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</si>
  <si>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</si>
  <si>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</si>
  <si>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</si>
  <si>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</si>
  <si>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</si>
  <si>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</si>
  <si>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</si>
  <si>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</si>
  <si>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</si>
  <si>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3510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</si>
  <si>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</si>
  <si>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</si>
  <si>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</si>
  <si>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</si>
  <si>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</si>
  <si>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</si>
  <si>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</si>
  <si>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</si>
  <si>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</si>
  <si>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3610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</si>
  <si>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</si>
  <si>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</si>
  <si>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</si>
  <si>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</si>
  <si>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</si>
  <si>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</si>
  <si>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</si>
  <si>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</si>
  <si>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</si>
  <si>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3710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</si>
  <si>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</si>
  <si>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</si>
  <si>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</si>
  <si>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</si>
  <si>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</si>
  <si>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</si>
  <si>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</si>
  <si>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</si>
  <si>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</si>
  <si>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3810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</si>
  <si>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</si>
  <si>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</si>
  <si>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</si>
  <si>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</si>
  <si>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</si>
  <si>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</si>
  <si>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</si>
  <si>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</si>
  <si>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</si>
  <si>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3910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</si>
  <si>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</si>
  <si>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</si>
  <si>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</si>
  <si>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</si>
  <si>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</si>
  <si>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</si>
  <si>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</si>
  <si>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</si>
  <si>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</si>
  <si>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31010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</si>
  <si>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</si>
  <si>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</si>
  <si>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</si>
  <si>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</si>
  <si>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</si>
  <si>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</si>
  <si>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</si>
  <si>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</si>
  <si>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</si>
  <si>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4110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</si>
  <si>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</si>
  <si>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</si>
  <si>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</si>
  <si>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</si>
  <si>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</si>
  <si>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</si>
  <si>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</si>
  <si>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</si>
  <si>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</si>
  <si>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4210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</si>
  <si>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</si>
  <si>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</si>
  <si>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</si>
  <si>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</si>
  <si>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</si>
  <si>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</si>
  <si>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</si>
  <si>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</si>
  <si>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</si>
  <si>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4310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</si>
  <si>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</si>
  <si>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</si>
  <si>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</si>
  <si>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</si>
  <si>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</si>
  <si>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</si>
  <si>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</si>
  <si>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</si>
  <si>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</si>
  <si>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4410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</si>
  <si>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</si>
  <si>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</si>
  <si>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</si>
  <si>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</si>
  <si>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</si>
  <si>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</si>
  <si>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</si>
  <si>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</si>
  <si>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</si>
  <si>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4510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</si>
  <si>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</si>
  <si>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</si>
  <si>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</si>
  <si>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</si>
  <si>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</si>
  <si>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</si>
  <si>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</si>
  <si>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</si>
  <si>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</si>
  <si>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4610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</si>
  <si>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</si>
  <si>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</si>
  <si>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</si>
  <si>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</si>
  <si>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</si>
  <si>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</si>
  <si>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</si>
  <si>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</si>
  <si>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</si>
  <si>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4710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</si>
  <si>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</si>
  <si>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</si>
  <si>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</si>
  <si>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</si>
  <si>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</si>
  <si>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</si>
  <si>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</si>
  <si>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</si>
  <si>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</si>
  <si>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4810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</si>
  <si>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</si>
  <si>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</si>
  <si>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</si>
  <si>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</si>
  <si>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</si>
  <si>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</si>
  <si>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</si>
  <si>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</si>
  <si>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</si>
  <si>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4910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</si>
  <si>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</si>
  <si>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</si>
  <si>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</si>
  <si>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</si>
  <si>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</si>
  <si>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</si>
  <si>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</si>
  <si>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</si>
  <si>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</si>
  <si>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41010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</si>
  <si>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</si>
  <si>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</si>
  <si>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</si>
  <si>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</si>
  <si>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</si>
  <si>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</si>
  <si>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</si>
  <si>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</si>
  <si>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</si>
  <si>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5110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</si>
  <si>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</si>
  <si>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</si>
  <si>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</si>
  <si>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</si>
  <si>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</si>
  <si>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</si>
  <si>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</si>
  <si>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</si>
  <si>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</si>
  <si>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5210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</si>
  <si>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</si>
  <si>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</si>
  <si>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</si>
  <si>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</si>
  <si>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</si>
  <si>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</si>
  <si>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</si>
  <si>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</si>
  <si>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</si>
  <si>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5310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</si>
  <si>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</si>
  <si>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</si>
  <si>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</si>
  <si>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</si>
  <si>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</si>
  <si>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</si>
  <si>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</si>
  <si>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</si>
  <si>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</si>
  <si>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5410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</si>
  <si>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</si>
  <si>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</si>
  <si>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</si>
  <si>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</si>
  <si>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</si>
  <si>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</si>
  <si>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</si>
  <si>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</si>
  <si>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</si>
  <si>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5510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</si>
  <si>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</si>
  <si>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</si>
  <si>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</si>
  <si>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</si>
  <si>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</si>
  <si>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</si>
  <si>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</si>
  <si>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</si>
  <si>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</si>
  <si>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5610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</si>
  <si>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</si>
  <si>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</si>
  <si>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</si>
  <si>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</si>
  <si>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</si>
  <si>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</si>
  <si>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</si>
  <si>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</si>
  <si>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</si>
  <si>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5710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</si>
  <si>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</si>
  <si>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</si>
  <si>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</si>
  <si>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</si>
  <si>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</si>
  <si>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</si>
  <si>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</si>
  <si>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</si>
  <si>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</si>
  <si>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5810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</si>
  <si>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</si>
  <si>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</si>
  <si>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</si>
  <si>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</si>
  <si>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</si>
  <si>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</si>
  <si>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</si>
  <si>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</si>
  <si>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</si>
  <si>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5910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</si>
  <si>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</si>
  <si>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</si>
  <si>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</si>
  <si>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</si>
  <si>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</si>
  <si>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</si>
  <si>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</si>
  <si>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</si>
  <si>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</si>
  <si>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51010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</si>
  <si>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</si>
  <si>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</si>
  <si>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</si>
  <si>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</si>
  <si>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</si>
  <si>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</si>
  <si>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</si>
  <si>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</si>
  <si>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</si>
  <si>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6110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</si>
  <si>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</si>
  <si>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</si>
  <si>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</si>
  <si>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</si>
  <si>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</si>
  <si>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</si>
  <si>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</si>
  <si>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</si>
  <si>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</si>
  <si>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6210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</si>
  <si>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</si>
  <si>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</si>
  <si>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</si>
  <si>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</si>
  <si>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</si>
  <si>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</si>
  <si>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</si>
  <si>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</si>
  <si>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</si>
  <si>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6310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</si>
  <si>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</si>
  <si>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</si>
  <si>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</si>
  <si>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</si>
  <si>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</si>
  <si>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</si>
  <si>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</si>
  <si>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</si>
  <si>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</si>
  <si>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6410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</si>
  <si>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</si>
  <si>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</si>
  <si>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</si>
  <si>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</si>
  <si>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</si>
  <si>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</si>
  <si>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</si>
  <si>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</si>
  <si>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</si>
  <si>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6510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</si>
  <si>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</si>
  <si>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</si>
  <si>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</si>
  <si>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</si>
  <si>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</si>
  <si>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</si>
  <si>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</si>
  <si>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</si>
  <si>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</si>
  <si>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6610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</si>
  <si>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</si>
  <si>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</si>
  <si>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</si>
  <si>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</si>
  <si>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</si>
  <si>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</si>
  <si>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</si>
  <si>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</si>
  <si>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</si>
  <si>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6710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</si>
  <si>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</si>
  <si>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</si>
  <si>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</si>
  <si>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</si>
  <si>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</si>
  <si>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</si>
  <si>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</si>
  <si>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</si>
  <si>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</si>
  <si>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6810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</si>
  <si>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</si>
  <si>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</si>
  <si>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</si>
  <si>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</si>
  <si>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</si>
  <si>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</si>
  <si>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</si>
  <si>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</si>
  <si>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</si>
  <si>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6910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</si>
  <si>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</si>
  <si>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</si>
  <si>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</si>
  <si>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</si>
  <si>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</si>
  <si>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</si>
  <si>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</si>
  <si>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</si>
  <si>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</si>
  <si>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61010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</si>
  <si>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</si>
  <si>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</si>
  <si>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</si>
  <si>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</si>
  <si>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</si>
  <si>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</si>
  <si>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</si>
  <si>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</si>
  <si>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</si>
  <si>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7110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</si>
  <si>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</si>
  <si>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</si>
  <si>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</si>
  <si>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</si>
  <si>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</si>
  <si>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</si>
  <si>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</si>
  <si>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</si>
  <si>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</si>
  <si>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7210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</si>
  <si>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</si>
  <si>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</si>
  <si>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</si>
  <si>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</si>
  <si>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</si>
  <si>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</si>
  <si>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</si>
  <si>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</si>
  <si>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</si>
  <si>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7310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</si>
  <si>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</si>
  <si>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</si>
  <si>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</si>
  <si>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</si>
  <si>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</si>
  <si>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</si>
  <si>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</si>
  <si>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</si>
  <si>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</si>
  <si>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7410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</si>
  <si>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</si>
  <si>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</si>
  <si>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</si>
  <si>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</si>
  <si>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</si>
  <si>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</si>
  <si>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</si>
  <si>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</si>
  <si>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</si>
  <si>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7510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</si>
  <si>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</si>
  <si>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</si>
  <si>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</si>
  <si>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</si>
  <si>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</si>
  <si>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</si>
  <si>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</si>
  <si>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</si>
  <si>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</si>
  <si>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7610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</si>
  <si>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</si>
  <si>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</si>
  <si>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</si>
  <si>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</si>
  <si>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</si>
  <si>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</si>
  <si>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</si>
  <si>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</si>
  <si>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</si>
  <si>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7710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</si>
  <si>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</si>
  <si>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</si>
  <si>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</si>
  <si>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</si>
  <si>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</si>
  <si>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</si>
  <si>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</si>
  <si>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</si>
  <si>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</si>
  <si>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7810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</si>
  <si>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</si>
  <si>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</si>
  <si>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</si>
  <si>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</si>
  <si>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</si>
  <si>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</si>
  <si>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</si>
  <si>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</si>
  <si>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</si>
  <si>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7910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</si>
  <si>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</si>
  <si>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</si>
  <si>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</si>
  <si>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</si>
  <si>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</si>
  <si>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</si>
  <si>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</si>
  <si>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</si>
  <si>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</si>
  <si>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71010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</si>
  <si>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</si>
  <si>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</si>
  <si>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</si>
  <si>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</si>
  <si>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</si>
  <si>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</si>
  <si>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</si>
  <si>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</si>
  <si>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</si>
  <si>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8110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</si>
  <si>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</si>
  <si>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</si>
  <si>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</si>
  <si>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</si>
  <si>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</si>
  <si>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</si>
  <si>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</si>
  <si>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</si>
  <si>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</si>
  <si>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8210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</si>
  <si>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</si>
  <si>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</si>
  <si>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</si>
  <si>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</si>
  <si>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</si>
  <si>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</si>
  <si>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</si>
  <si>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</si>
  <si>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</si>
  <si>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8310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</si>
  <si>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</si>
  <si>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</si>
  <si>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</si>
  <si>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</si>
  <si>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</si>
  <si>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</si>
  <si>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</si>
  <si>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</si>
  <si>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</si>
  <si>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8410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</si>
  <si>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</si>
  <si>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</si>
  <si>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</si>
  <si>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</si>
  <si>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</si>
  <si>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</si>
  <si>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</si>
  <si>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</si>
  <si>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</si>
  <si>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8510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</si>
  <si>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</si>
  <si>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</si>
  <si>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</si>
  <si>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</si>
  <si>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</si>
  <si>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</si>
  <si>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</si>
  <si>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</si>
  <si>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</si>
  <si>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8610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</si>
  <si>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</si>
  <si>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</si>
  <si>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</si>
  <si>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</si>
  <si>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</si>
  <si>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</si>
  <si>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</si>
  <si>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</si>
  <si>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</si>
  <si>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8710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</si>
  <si>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</si>
  <si>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</si>
  <si>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</si>
  <si>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</si>
  <si>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</si>
  <si>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</si>
  <si>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</si>
  <si>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</si>
  <si>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</si>
  <si>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8810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</si>
  <si>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</si>
  <si>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</si>
  <si>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</si>
  <si>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</si>
  <si>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</si>
  <si>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</si>
  <si>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</si>
  <si>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</si>
  <si>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</si>
  <si>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8910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</si>
  <si>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</si>
  <si>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</si>
  <si>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</si>
  <si>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</si>
  <si>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</si>
  <si>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</si>
  <si>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</si>
  <si>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</si>
  <si>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</si>
  <si>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81010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</si>
  <si>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</si>
  <si>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</si>
  <si>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</si>
  <si>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</si>
  <si>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</si>
  <si>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</si>
  <si>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</si>
  <si>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</si>
  <si>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</si>
  <si>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9110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</si>
  <si>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</si>
  <si>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</si>
  <si>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</si>
  <si>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</si>
  <si>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</si>
  <si>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</si>
  <si>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</si>
  <si>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</si>
  <si>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</si>
  <si>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9210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</si>
  <si>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</si>
  <si>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</si>
  <si>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</si>
  <si>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</si>
  <si>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</si>
  <si>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</si>
  <si>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</si>
  <si>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</si>
  <si>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</si>
  <si>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9310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</si>
  <si>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</si>
  <si>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</si>
  <si>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</si>
  <si>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</si>
  <si>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</si>
  <si>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</si>
  <si>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</si>
  <si>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</si>
  <si>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</si>
  <si>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9410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</si>
  <si>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</si>
  <si>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</si>
  <si>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</si>
  <si>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</si>
  <si>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</si>
  <si>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</si>
  <si>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</si>
  <si>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</si>
  <si>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</si>
  <si>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9510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</si>
  <si>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</si>
  <si>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</si>
  <si>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</si>
  <si>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</si>
  <si>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</si>
  <si>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</si>
  <si>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</si>
  <si>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</si>
  <si>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</si>
  <si>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9610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</si>
  <si>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</si>
  <si>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</si>
  <si>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</si>
  <si>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</si>
  <si>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</si>
  <si>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</si>
  <si>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</si>
  <si>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</si>
  <si>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</si>
  <si>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9710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</si>
  <si>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</si>
  <si>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</si>
  <si>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</si>
  <si>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</si>
  <si>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</si>
  <si>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</si>
  <si>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</si>
  <si>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</si>
  <si>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</si>
  <si>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9810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</si>
  <si>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</si>
  <si>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</si>
  <si>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</si>
  <si>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</si>
  <si>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</si>
  <si>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</si>
  <si>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</si>
  <si>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</si>
  <si>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</si>
  <si>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9910</t>
  </si>
  <si>
    <t>9101</t>
  </si>
  <si>
    <t>9102</t>
  </si>
  <si>
    <t>9103</t>
  </si>
  <si>
    <t>9104</t>
  </si>
  <si>
    <t>9105</t>
  </si>
  <si>
    <t>9106</t>
  </si>
  <si>
    <t>9107</t>
  </si>
  <si>
    <t>9108</t>
  </si>
  <si>
    <t>9109</t>
  </si>
  <si>
    <t>91010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</si>
  <si>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</si>
  <si>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</si>
  <si>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</si>
  <si>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</si>
  <si>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</si>
  <si>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</si>
  <si>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</si>
  <si>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</si>
  <si>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</si>
  <si>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10110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</si>
  <si>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</si>
  <si>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</si>
  <si>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</si>
  <si>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</si>
  <si>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</si>
  <si>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</si>
  <si>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</si>
  <si>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</si>
  <si>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</si>
  <si>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10210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</si>
  <si>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</si>
  <si>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</si>
  <si>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</si>
  <si>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</si>
  <si>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</si>
  <si>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</si>
  <si>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</si>
  <si>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</si>
  <si>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</si>
  <si>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10310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</si>
  <si>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</si>
  <si>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</si>
  <si>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</si>
  <si>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</si>
  <si>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</si>
  <si>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</si>
  <si>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</si>
  <si>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</si>
  <si>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</si>
  <si>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10410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</si>
  <si>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</si>
  <si>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</si>
  <si>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</si>
  <si>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</si>
  <si>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</si>
  <si>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</si>
  <si>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</si>
  <si>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</si>
  <si>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</si>
  <si>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10510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</si>
  <si>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</si>
  <si>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</si>
  <si>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</si>
  <si>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</si>
  <si>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</si>
  <si>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</si>
  <si>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</si>
  <si>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</si>
  <si>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</si>
  <si>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10610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</si>
  <si>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</si>
  <si>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</si>
  <si>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</si>
  <si>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</si>
  <si>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</si>
  <si>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</si>
  <si>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</si>
  <si>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</si>
  <si>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</si>
  <si>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10710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</si>
  <si>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</si>
  <si>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</si>
  <si>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</si>
  <si>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</si>
  <si>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</si>
  <si>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</si>
  <si>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</si>
  <si>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</si>
  <si>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</si>
  <si>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10810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</si>
  <si>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</si>
  <si>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</si>
  <si>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</si>
  <si>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</si>
  <si>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</si>
  <si>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</si>
  <si>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</si>
  <si>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</si>
  <si>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</si>
  <si>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10910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</si>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</sst>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textRotation="90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textRotation="90" wrapText="1"/>
    </xf>
    <xf numFmtId="0" fontId="4" fillId="5" borderId="11" xfId="0" applyFont="1" applyFill="1" applyBorder="1" applyAlignment="1">
      <alignment horizontal="center" vertical="center" textRotation="90" wrapText="1"/>
    </xf>
    <xf numFmtId="0" fontId="3" fillId="6" borderId="1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textRotation="90"/>
    </xf>
    <xf numFmtId="0" fontId="4" fillId="5" borderId="8" xfId="0" applyFont="1" applyFill="1" applyBorder="1" applyAlignment="1">
      <alignment horizontal="center" vertical="center" textRotation="90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textRotation="90" wrapText="1"/>
    </xf>
    <xf numFmtId="0" fontId="4" fillId="5" borderId="7" xfId="0" applyFont="1" applyFill="1" applyBorder="1" applyAlignment="1">
      <alignment horizontal="center" vertical="center" textRotation="90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textRotation="90" wrapText="1"/>
    </xf>
    <xf numFmtId="0" fontId="4" fillId="5" borderId="14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4" fillId="4" borderId="7" xfId="0" applyFont="1" applyFill="1" applyBorder="1" applyAlignment="1">
      <alignment horizontal="center" vertical="center" textRotation="90" wrapText="1"/>
    </xf>
    <xf numFmtId="0" fontId="4" fillId="3" borderId="4" xfId="0" applyFont="1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 wrapText="1"/>
    </xf>
    <xf numFmtId="0" fontId="0" fillId="0" borderId="0" xfId="0" applyNumberFormat="1"/>
    <xf numFmtId="0" fontId="0" fillId="8" borderId="10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31"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D639A2-4B1C-441A-AFDD-07B9B51B30FD}" name="Tableau2" displayName="Tableau2" ref="B2:B14" totalsRowShown="0" headerRowDxfId="30" dataDxfId="29">
  <autoFilter ref="B2:B14" xr:uid="{C8D639A2-4B1C-441A-AFDD-07B9B51B30FD}"/>
  <sortState xmlns:xlrd2="http://schemas.microsoft.com/office/spreadsheetml/2017/richdata2" ref="B3:B14">
    <sortCondition ref="B2:B14"/>
  </sortState>
  <tableColumns count="1">
    <tableColumn id="1" xr3:uid="{70A16B76-2C9E-46DC-896B-ACD38C3A8511}" name="Module concerné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ACF70A-60A3-47F0-82D1-DE4C088DCEB6}" name="Tableau3" displayName="Tableau3" ref="H2:H12" totalsRowShown="0" headerRowDxfId="27" dataDxfId="26">
  <autoFilter ref="H2:H12" xr:uid="{D1ACF70A-60A3-47F0-82D1-DE4C088DCEB6}"/>
  <tableColumns count="1">
    <tableColumn id="1" xr3:uid="{288EDE2F-ACBC-4F6E-9405-9E022F15DC3D}" name="Sévérité" dataDxfId="2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CCC6297-06D7-432A-B26B-E1FCA292D530}" name="Tableau4" displayName="Tableau4" ref="J2:J12" totalsRowShown="0" headerRowDxfId="24" dataDxfId="23">
  <autoFilter ref="J2:J12" xr:uid="{6CCC6297-06D7-432A-B26B-E1FCA292D530}"/>
  <tableColumns count="1">
    <tableColumn id="1" xr3:uid="{B48C2F8E-6214-4082-A28F-3D35C7D78EF3}" name="Occurrence" dataDxfId="2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8913736-9C7C-4B43-96BD-1E4B27F5E8FF}" name="Tableau5" displayName="Tableau5" ref="L2:L12" totalsRowShown="0" headerRowDxfId="21" dataDxfId="20">
  <autoFilter ref="L2:L12" xr:uid="{78913736-9C7C-4B43-96BD-1E4B27F5E8FF}"/>
  <tableColumns count="1">
    <tableColumn id="1" xr3:uid="{7CFAA1A5-2E8E-44EC-9A9C-6FFF51E05ED3}" name="Détection" dataDxfId="1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C8B7C16-6F4D-4A72-9AB6-11BB962BC026}" name="Tableau6" displayName="Tableau6" ref="N2:N6" totalsRowShown="0" headerRowDxfId="18" dataDxfId="17">
  <autoFilter ref="N2:N6" xr:uid="{7C8B7C16-6F4D-4A72-9AB6-11BB962BC026}"/>
  <tableColumns count="1">
    <tableColumn id="1" xr3:uid="{2F52B39D-4539-4E6A-899C-B6520D7AE48D}" name="Fonction " dataDxfId="1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406C026-2A48-4A6A-9364-0CEFB66A7311}" name="Tableau7" displayName="Tableau7" ref="F2:F8" totalsRowShown="0" headerRowDxfId="15" dataDxfId="14">
  <autoFilter ref="F2:F8" xr:uid="{E406C026-2A48-4A6A-9364-0CEFB66A7311}"/>
  <tableColumns count="1">
    <tableColumn id="1" xr3:uid="{ACC5CF7C-DE21-450D-8B67-CA30C08AD7DF}" name="5M" dataDxfId="1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0C1054B-31F4-4814-8F9A-20E0A6722891}" name="Tableau9" displayName="Tableau9" ref="D2:D3" insertRow="1" totalsRowShown="0" headerRowDxfId="12" dataDxfId="11">
  <autoFilter ref="D2:D3" xr:uid="{40C1054B-31F4-4814-8F9A-20E0A6722891}"/>
  <tableColumns count="1">
    <tableColumn id="1" xr3:uid="{566BADC8-B556-4357-A28C-5B035395A4EC}" name="Processus " dataDxfId="1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ACBC95A-CB63-4695-BF62-64BC580D535A}" name="Tableau1" displayName="Tableau1" ref="C1:G1001" totalsRowShown="0" headerRowDxfId="9" dataDxfId="8">
  <autoFilter ref="C1:G1001" xr:uid="{9ACBC95A-CB63-4695-BF62-64BC580D535A}"/>
  <tableColumns count="5">
    <tableColumn id="1" xr3:uid="{3212C3EA-5684-4E0B-8C4F-C51662110007}" name="S" dataDxfId="7"/>
    <tableColumn id="2" xr3:uid="{3407A2B6-C544-4D09-8E77-C7BB1B1238AC}" name="O" dataDxfId="6"/>
    <tableColumn id="3" xr3:uid="{E2A84E1C-B786-445D-B24F-B2FBE8CF39C6}" name="D" dataDxfId="5"/>
    <tableColumn id="4" xr3:uid="{5B476C76-360C-4952-8A7E-A53A98DB6E29}" name="SOD" dataDxfId="3"/>
    <tableColumn id="5" xr3:uid="{DF442EF2-2B95-4B14-B0E0-B3297AC2CFD6}" name="AP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DC371-65BA-49D5-BDD5-65BDE9C2BAFC}">
  <sheetPr codeName="Feuil2"/>
  <dimension ref="A1:AM1342"/>
  <sheetViews>
    <sheetView tabSelected="1" topLeftCell="A2" zoomScale="40" zoomScaleNormal="40" workbookViewId="0">
      <selection activeCell="F18" sqref="F18"/>
    </sheetView>
  </sheetViews>
  <sheetFormatPr baseColWidth="10" defaultRowHeight="14.4" x14ac:dyDescent="0.3"/>
  <cols>
    <col min="1" max="1" width="25.6640625" customWidth="1"/>
    <col min="2" max="2" width="26.5546875" bestFit="1" customWidth="1"/>
    <col min="3" max="3" width="28.44140625" bestFit="1" customWidth="1"/>
    <col min="4" max="4" width="33.21875" bestFit="1" customWidth="1"/>
    <col min="5" max="5" width="42.109375" bestFit="1" customWidth="1"/>
    <col min="6" max="6" width="84.5546875" bestFit="1" customWidth="1"/>
    <col min="7" max="7" width="5.44140625" bestFit="1" customWidth="1"/>
    <col min="8" max="8" width="67.109375" bestFit="1" customWidth="1"/>
    <col min="9" max="9" width="59" bestFit="1" customWidth="1"/>
    <col min="10" max="10" width="57.33203125" customWidth="1"/>
    <col min="11" max="11" width="5.44140625" customWidth="1"/>
    <col min="12" max="12" width="15.77734375" customWidth="1"/>
    <col min="13" max="13" width="5.44140625" customWidth="1"/>
    <col min="14" max="14" width="26.77734375" customWidth="1"/>
    <col min="15" max="15" width="25.109375" bestFit="1" customWidth="1"/>
    <col min="16" max="16" width="42.6640625" bestFit="1" customWidth="1"/>
    <col min="17" max="17" width="24.5546875" bestFit="1" customWidth="1"/>
    <col min="18" max="18" width="23.6640625" bestFit="1" customWidth="1"/>
    <col min="19" max="19" width="9.6640625" customWidth="1"/>
    <col min="20" max="20" width="20.6640625" bestFit="1" customWidth="1"/>
    <col min="21" max="21" width="13.109375" customWidth="1"/>
    <col min="22" max="23" width="11.6640625" customWidth="1"/>
    <col min="24" max="24" width="11.21875" customWidth="1"/>
    <col min="25" max="25" width="12.44140625" customWidth="1"/>
  </cols>
  <sheetData>
    <row r="1" spans="1:39" ht="37.200000000000003" customHeight="1" x14ac:dyDescent="0.3">
      <c r="A1" s="26" t="s">
        <v>13</v>
      </c>
      <c r="B1" s="27"/>
      <c r="C1" s="28"/>
      <c r="D1" s="28"/>
      <c r="E1" s="29"/>
      <c r="F1" s="48" t="s">
        <v>26</v>
      </c>
      <c r="G1" s="49"/>
      <c r="H1" s="49"/>
      <c r="I1" s="49"/>
      <c r="J1" s="49"/>
      <c r="K1" s="49"/>
      <c r="L1" s="49"/>
      <c r="M1" s="49"/>
      <c r="N1" s="49"/>
      <c r="O1" s="49"/>
      <c r="P1" s="48" t="s">
        <v>1</v>
      </c>
      <c r="Q1" s="49"/>
      <c r="R1" s="49"/>
      <c r="S1" s="49"/>
      <c r="T1" s="49"/>
      <c r="U1" s="49"/>
      <c r="V1" s="49"/>
      <c r="W1" s="49"/>
      <c r="X1" s="49"/>
      <c r="Y1" s="50"/>
    </row>
    <row r="2" spans="1:39" ht="117" customHeight="1" x14ac:dyDescent="0.3">
      <c r="A2" s="36" t="s">
        <v>0</v>
      </c>
      <c r="B2" s="24" t="s">
        <v>36</v>
      </c>
      <c r="C2" s="38" t="s">
        <v>12</v>
      </c>
      <c r="D2" s="40" t="s">
        <v>37</v>
      </c>
      <c r="E2" s="42" t="s">
        <v>42</v>
      </c>
      <c r="F2" s="44" t="s">
        <v>35</v>
      </c>
      <c r="G2" s="46" t="s">
        <v>2</v>
      </c>
      <c r="H2" s="44" t="s">
        <v>34</v>
      </c>
      <c r="I2" s="44" t="s">
        <v>3</v>
      </c>
      <c r="J2" s="44" t="s">
        <v>41</v>
      </c>
      <c r="K2" s="55" t="s">
        <v>4</v>
      </c>
      <c r="L2" s="53" t="s">
        <v>40</v>
      </c>
      <c r="M2" s="55" t="s">
        <v>5</v>
      </c>
      <c r="N2" s="59" t="s">
        <v>51</v>
      </c>
      <c r="O2" s="57" t="s">
        <v>14</v>
      </c>
      <c r="P2" s="30" t="s">
        <v>43</v>
      </c>
      <c r="Q2" s="32" t="s">
        <v>7</v>
      </c>
      <c r="R2" s="34" t="s">
        <v>8</v>
      </c>
      <c r="S2" s="63" t="s">
        <v>9</v>
      </c>
      <c r="T2" s="32" t="s">
        <v>10</v>
      </c>
      <c r="U2" s="55" t="s">
        <v>2</v>
      </c>
      <c r="V2" s="55" t="s">
        <v>4</v>
      </c>
      <c r="W2" s="55" t="s">
        <v>5</v>
      </c>
      <c r="X2" s="61" t="s">
        <v>6</v>
      </c>
      <c r="Y2" s="51" t="s">
        <v>39</v>
      </c>
    </row>
    <row r="3" spans="1:39" ht="15" thickBot="1" x14ac:dyDescent="0.35">
      <c r="A3" s="37"/>
      <c r="B3" s="25"/>
      <c r="C3" s="39"/>
      <c r="D3" s="41"/>
      <c r="E3" s="43"/>
      <c r="F3" s="45"/>
      <c r="G3" s="47"/>
      <c r="H3" s="45"/>
      <c r="I3" s="45"/>
      <c r="J3" s="45"/>
      <c r="K3" s="56"/>
      <c r="L3" s="54"/>
      <c r="M3" s="56"/>
      <c r="N3" s="60"/>
      <c r="O3" s="58"/>
      <c r="P3" s="31"/>
      <c r="Q3" s="33"/>
      <c r="R3" s="35"/>
      <c r="S3" s="64"/>
      <c r="T3" s="33"/>
      <c r="U3" s="56"/>
      <c r="V3" s="56"/>
      <c r="W3" s="56"/>
      <c r="X3" s="62"/>
      <c r="Y3" s="52"/>
    </row>
    <row r="4" spans="1:39" s="3" customFormat="1" ht="49.95" customHeight="1" x14ac:dyDescent="0.3">
      <c r="A4" s="11"/>
      <c r="B4" s="16"/>
      <c r="C4" s="12"/>
      <c r="D4" s="16"/>
      <c r="E4" s="11"/>
      <c r="F4" s="12"/>
      <c r="G4" s="13">
        <v>3</v>
      </c>
      <c r="H4" s="14"/>
      <c r="I4" s="12"/>
      <c r="J4" s="14"/>
      <c r="K4" s="14">
        <v>9</v>
      </c>
      <c r="L4" s="14"/>
      <c r="M4" s="14">
        <v>1</v>
      </c>
      <c r="N4" s="21" t="str">
        <f>CONCATENATE(G4,K4,M4)</f>
        <v>391</v>
      </c>
      <c r="O4" s="14" t="str">
        <f>LOOKUP(N4,'Matrice AP'!F:F,'Matrice AP'!G:G)</f>
        <v>M</v>
      </c>
      <c r="P4" s="14"/>
      <c r="Q4" s="14"/>
      <c r="R4" s="14"/>
      <c r="S4" s="15"/>
      <c r="T4" s="14"/>
      <c r="U4" s="15"/>
      <c r="V4" s="15"/>
      <c r="W4" s="15"/>
      <c r="X4" s="15"/>
      <c r="Y4" s="16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s="3" customFormat="1" ht="49.95" customHeight="1" x14ac:dyDescent="0.3">
      <c r="A5" s="11"/>
      <c r="B5" s="16"/>
      <c r="C5" s="12"/>
      <c r="D5" s="16"/>
      <c r="E5" s="11"/>
      <c r="F5" s="12"/>
      <c r="G5" s="14">
        <v>5</v>
      </c>
      <c r="H5" s="14"/>
      <c r="I5" s="12"/>
      <c r="J5" s="14"/>
      <c r="K5" s="14">
        <v>3</v>
      </c>
      <c r="L5" s="15"/>
      <c r="M5" s="14">
        <v>2</v>
      </c>
      <c r="N5" s="21" t="str">
        <f t="shared" ref="N5:N18" si="0">CONCATENATE(G5,K5,M5)</f>
        <v>532</v>
      </c>
      <c r="O5" s="14" t="str">
        <f>LOOKUP(N5,'Matrice AP'!F:F,'Matrice AP'!G:G)</f>
        <v>L</v>
      </c>
      <c r="P5" s="14"/>
      <c r="Q5" s="14"/>
      <c r="R5" s="14"/>
      <c r="S5" s="15"/>
      <c r="T5" s="14"/>
      <c r="U5" s="15"/>
      <c r="V5" s="15"/>
      <c r="W5" s="15"/>
      <c r="X5" s="15"/>
      <c r="Y5" s="16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ht="49.95" customHeight="1" x14ac:dyDescent="0.3">
      <c r="A6" s="12"/>
      <c r="B6" s="16"/>
      <c r="C6" s="12"/>
      <c r="D6" s="12"/>
      <c r="E6" s="11"/>
      <c r="F6" s="12"/>
      <c r="G6" s="17">
        <v>5</v>
      </c>
      <c r="H6" s="12"/>
      <c r="I6" s="12"/>
      <c r="J6" s="14"/>
      <c r="K6" s="12">
        <v>8</v>
      </c>
      <c r="L6" s="12"/>
      <c r="M6" s="12">
        <v>1</v>
      </c>
      <c r="N6" s="21" t="str">
        <f t="shared" si="0"/>
        <v>581</v>
      </c>
      <c r="O6" s="14" t="str">
        <f>LOOKUP(N6,'Matrice AP'!F:F,'Matrice AP'!G:G)</f>
        <v>M</v>
      </c>
      <c r="P6" s="14"/>
      <c r="Q6" s="12"/>
      <c r="R6" s="12"/>
      <c r="S6" s="12"/>
      <c r="T6" s="12"/>
      <c r="U6" s="12"/>
      <c r="V6" s="12"/>
      <c r="W6" s="12"/>
      <c r="X6" s="12"/>
      <c r="Y6" s="12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49.95" customHeight="1" x14ac:dyDescent="0.3">
      <c r="A7" s="12"/>
      <c r="B7" s="16"/>
      <c r="C7" s="12"/>
      <c r="D7" s="12"/>
      <c r="E7" s="11"/>
      <c r="F7" s="12"/>
      <c r="G7" s="17">
        <v>4</v>
      </c>
      <c r="H7" s="12"/>
      <c r="I7" s="12"/>
      <c r="J7" s="14"/>
      <c r="K7" s="12">
        <v>2</v>
      </c>
      <c r="L7" s="12"/>
      <c r="M7" s="12">
        <v>1</v>
      </c>
      <c r="N7" s="21" t="str">
        <f t="shared" si="0"/>
        <v>421</v>
      </c>
      <c r="O7" s="14" t="str">
        <f>LOOKUP(N7,'Matrice AP'!F:F,'Matrice AP'!G:G)</f>
        <v>L</v>
      </c>
      <c r="P7" s="14"/>
      <c r="Q7" s="12"/>
      <c r="R7" s="12"/>
      <c r="S7" s="12"/>
      <c r="T7" s="12"/>
      <c r="U7" s="12"/>
      <c r="V7" s="12"/>
      <c r="W7" s="12"/>
      <c r="X7" s="12"/>
      <c r="Y7" s="12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49.95" customHeight="1" x14ac:dyDescent="0.3">
      <c r="A8" s="12"/>
      <c r="B8" s="16"/>
      <c r="C8" s="12"/>
      <c r="D8" s="12"/>
      <c r="E8" s="11"/>
      <c r="F8" s="12"/>
      <c r="G8" s="17">
        <v>6</v>
      </c>
      <c r="H8" s="12"/>
      <c r="I8" s="12"/>
      <c r="J8" s="14"/>
      <c r="K8" s="12">
        <v>3</v>
      </c>
      <c r="L8" s="12"/>
      <c r="M8" s="12">
        <v>2</v>
      </c>
      <c r="N8" s="21" t="str">
        <f t="shared" si="0"/>
        <v>632</v>
      </c>
      <c r="O8" s="14" t="str">
        <f>LOOKUP(N8,'Matrice AP'!F:F,'Matrice AP'!G:G)</f>
        <v>L</v>
      </c>
      <c r="P8" s="14"/>
      <c r="Q8" s="12"/>
      <c r="R8" s="12"/>
      <c r="S8" s="12"/>
      <c r="T8" s="12"/>
      <c r="U8" s="12"/>
      <c r="V8" s="12"/>
      <c r="W8" s="12"/>
      <c r="X8" s="12"/>
      <c r="Y8" s="12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49.95" customHeight="1" x14ac:dyDescent="0.3">
      <c r="A9" s="12"/>
      <c r="B9" s="16"/>
      <c r="C9" s="12"/>
      <c r="D9" s="12"/>
      <c r="E9" s="11"/>
      <c r="F9" s="12"/>
      <c r="G9" s="17">
        <v>3</v>
      </c>
      <c r="H9" s="12"/>
      <c r="I9" s="12"/>
      <c r="J9" s="12"/>
      <c r="K9" s="12">
        <v>3</v>
      </c>
      <c r="L9" s="12"/>
      <c r="M9" s="12">
        <v>10</v>
      </c>
      <c r="N9" s="21" t="str">
        <f t="shared" si="0"/>
        <v>3310</v>
      </c>
      <c r="O9" s="14" t="str">
        <f>LOOKUP(N9,'Matrice AP'!F:F,'Matrice AP'!G:G)</f>
        <v>L</v>
      </c>
      <c r="P9" s="14"/>
      <c r="Q9" s="12"/>
      <c r="R9" s="12"/>
      <c r="S9" s="12"/>
      <c r="T9" s="12"/>
      <c r="U9" s="12"/>
      <c r="V9" s="12"/>
      <c r="W9" s="12"/>
      <c r="X9" s="12"/>
      <c r="Y9" s="12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49.95" customHeight="1" x14ac:dyDescent="0.3">
      <c r="A10" s="12"/>
      <c r="B10" s="16"/>
      <c r="C10" s="12"/>
      <c r="D10" s="12"/>
      <c r="E10" s="11"/>
      <c r="F10" s="12"/>
      <c r="G10" s="17">
        <v>3</v>
      </c>
      <c r="H10" s="12"/>
      <c r="I10" s="12"/>
      <c r="J10" s="12"/>
      <c r="K10" s="12">
        <v>9</v>
      </c>
      <c r="L10" s="12"/>
      <c r="M10" s="12">
        <v>9</v>
      </c>
      <c r="N10" s="21" t="str">
        <f t="shared" si="0"/>
        <v>399</v>
      </c>
      <c r="O10" s="14" t="str">
        <f>LOOKUP(N10,'Matrice AP'!F:F,'Matrice AP'!G:G)</f>
        <v>H</v>
      </c>
      <c r="P10" s="14"/>
      <c r="Q10" s="12"/>
      <c r="R10" s="12"/>
      <c r="S10" s="12"/>
      <c r="T10" s="12"/>
      <c r="U10" s="12"/>
      <c r="V10" s="12"/>
      <c r="W10" s="12"/>
      <c r="X10" s="12"/>
      <c r="Y10" s="12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49.95" customHeight="1" x14ac:dyDescent="0.3">
      <c r="A11" s="12"/>
      <c r="B11" s="16"/>
      <c r="C11" s="12"/>
      <c r="D11" s="12"/>
      <c r="E11" s="11"/>
      <c r="F11" s="12"/>
      <c r="G11" s="17">
        <v>1</v>
      </c>
      <c r="H11" s="12"/>
      <c r="I11" s="12"/>
      <c r="J11" s="12"/>
      <c r="K11" s="12">
        <v>8</v>
      </c>
      <c r="L11" s="12"/>
      <c r="M11" s="12">
        <v>6</v>
      </c>
      <c r="N11" s="21" t="str">
        <f t="shared" si="0"/>
        <v>186</v>
      </c>
      <c r="O11" s="14" t="str">
        <f>LOOKUP(N11,'Matrice AP'!F:F,'Matrice AP'!G:G)</f>
        <v>L</v>
      </c>
      <c r="P11" s="14"/>
      <c r="Q11" s="12"/>
      <c r="R11" s="12"/>
      <c r="S11" s="12"/>
      <c r="T11" s="12"/>
      <c r="U11" s="12"/>
      <c r="V11" s="12"/>
      <c r="W11" s="12"/>
      <c r="X11" s="12"/>
      <c r="Y11" s="12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49.95" customHeight="1" x14ac:dyDescent="0.3">
      <c r="A12" s="12"/>
      <c r="B12" s="16"/>
      <c r="C12" s="12"/>
      <c r="D12" s="12"/>
      <c r="E12" s="11"/>
      <c r="F12" s="12"/>
      <c r="G12" s="17">
        <v>9</v>
      </c>
      <c r="H12" s="12"/>
      <c r="I12" s="12"/>
      <c r="J12" s="12"/>
      <c r="K12" s="12">
        <v>2</v>
      </c>
      <c r="L12" s="12"/>
      <c r="M12" s="12">
        <v>1</v>
      </c>
      <c r="N12" s="21" t="str">
        <f t="shared" si="0"/>
        <v>921</v>
      </c>
      <c r="O12" s="14" t="str">
        <f>LOOKUP(N12,'Matrice AP'!F:F,'Matrice AP'!G:G)</f>
        <v>H</v>
      </c>
      <c r="P12" s="14"/>
      <c r="Q12" s="12"/>
      <c r="R12" s="12"/>
      <c r="S12" s="12"/>
      <c r="T12" s="12"/>
      <c r="U12" s="12"/>
      <c r="V12" s="12"/>
      <c r="W12" s="12"/>
      <c r="X12" s="12"/>
      <c r="Y12" s="12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49.95" customHeight="1" x14ac:dyDescent="0.3">
      <c r="A13" s="12"/>
      <c r="B13" s="16"/>
      <c r="C13" s="12"/>
      <c r="D13" s="12"/>
      <c r="E13" s="11"/>
      <c r="F13" s="12"/>
      <c r="G13" s="14">
        <v>3</v>
      </c>
      <c r="H13" s="12"/>
      <c r="I13" s="12"/>
      <c r="J13" s="12"/>
      <c r="K13" s="12">
        <v>3</v>
      </c>
      <c r="L13" s="12"/>
      <c r="M13" s="12">
        <v>1</v>
      </c>
      <c r="N13" s="21" t="str">
        <f t="shared" si="0"/>
        <v>331</v>
      </c>
      <c r="O13" s="14" t="str">
        <f>LOOKUP(N13,'Matrice AP'!F:F,'Matrice AP'!G:G)</f>
        <v>L</v>
      </c>
      <c r="P13" s="14"/>
      <c r="Q13" s="12"/>
      <c r="R13" s="12"/>
      <c r="S13" s="12"/>
      <c r="T13" s="12"/>
      <c r="U13" s="12"/>
      <c r="V13" s="12"/>
      <c r="W13" s="12"/>
      <c r="X13" s="12"/>
      <c r="Y13" s="12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49.95" customHeight="1" x14ac:dyDescent="0.3">
      <c r="A14" s="12"/>
      <c r="B14" s="16"/>
      <c r="C14" s="12"/>
      <c r="D14" s="12"/>
      <c r="E14" s="11"/>
      <c r="F14" s="12"/>
      <c r="G14" s="17">
        <v>5</v>
      </c>
      <c r="H14" s="12"/>
      <c r="I14" s="12"/>
      <c r="J14" s="16"/>
      <c r="K14" s="12">
        <v>8</v>
      </c>
      <c r="L14" s="12"/>
      <c r="M14" s="12">
        <v>2</v>
      </c>
      <c r="N14" s="21" t="str">
        <f t="shared" si="0"/>
        <v>582</v>
      </c>
      <c r="O14" s="14" t="str">
        <f>LOOKUP(N14,'Matrice AP'!F:F,'Matrice AP'!G:G)</f>
        <v>M</v>
      </c>
      <c r="P14" s="14"/>
      <c r="Q14" s="12"/>
      <c r="R14" s="12"/>
      <c r="S14" s="12"/>
      <c r="T14" s="12"/>
      <c r="U14" s="12"/>
      <c r="V14" s="12"/>
      <c r="W14" s="12"/>
      <c r="X14" s="12"/>
      <c r="Y14" s="12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49.95" customHeight="1" x14ac:dyDescent="0.3">
      <c r="A15" s="12"/>
      <c r="B15" s="16"/>
      <c r="C15" s="12"/>
      <c r="D15" s="12"/>
      <c r="E15" s="11"/>
      <c r="F15" s="12"/>
      <c r="G15" s="17">
        <v>2</v>
      </c>
      <c r="H15" s="12"/>
      <c r="I15" s="12"/>
      <c r="J15" s="12"/>
      <c r="K15" s="12">
        <v>9</v>
      </c>
      <c r="L15" s="12"/>
      <c r="M15" s="12">
        <v>5</v>
      </c>
      <c r="N15" s="21" t="str">
        <f t="shared" si="0"/>
        <v>295</v>
      </c>
      <c r="O15" s="14" t="str">
        <f>LOOKUP(N15,'Matrice AP'!F:F,'Matrice AP'!G:G)</f>
        <v>H</v>
      </c>
      <c r="P15" s="14"/>
      <c r="Q15" s="12"/>
      <c r="R15" s="12"/>
      <c r="S15" s="12"/>
      <c r="T15" s="12"/>
      <c r="U15" s="12"/>
      <c r="V15" s="12"/>
      <c r="W15" s="12"/>
      <c r="X15" s="12"/>
      <c r="Y15" s="12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49.95" customHeight="1" x14ac:dyDescent="0.3">
      <c r="A16" s="12"/>
      <c r="B16" s="16"/>
      <c r="C16" s="12"/>
      <c r="D16" s="12"/>
      <c r="E16" s="11"/>
      <c r="F16" s="12"/>
      <c r="G16" s="17">
        <v>2</v>
      </c>
      <c r="H16" s="12"/>
      <c r="I16" s="12"/>
      <c r="J16" s="12"/>
      <c r="K16" s="12">
        <v>3</v>
      </c>
      <c r="L16" s="12"/>
      <c r="M16" s="12">
        <v>2</v>
      </c>
      <c r="N16" s="21" t="str">
        <f t="shared" si="0"/>
        <v>232</v>
      </c>
      <c r="O16" s="14" t="str">
        <f>LOOKUP(N16,'Matrice AP'!F:F,'Matrice AP'!G:G)</f>
        <v>L</v>
      </c>
      <c r="P16" s="14"/>
      <c r="Q16" s="12"/>
      <c r="R16" s="12"/>
      <c r="S16" s="12"/>
      <c r="T16" s="12"/>
      <c r="U16" s="12"/>
      <c r="V16" s="12"/>
      <c r="W16" s="12"/>
      <c r="X16" s="12"/>
      <c r="Y16" s="12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ht="49.95" customHeight="1" x14ac:dyDescent="0.3">
      <c r="A17" s="12"/>
      <c r="B17" s="16"/>
      <c r="C17" s="12"/>
      <c r="D17" s="12"/>
      <c r="E17" s="11"/>
      <c r="F17" s="12"/>
      <c r="G17" s="17">
        <v>8</v>
      </c>
      <c r="H17" s="12"/>
      <c r="I17" s="12"/>
      <c r="J17" s="12"/>
      <c r="K17" s="12">
        <v>8</v>
      </c>
      <c r="L17" s="12"/>
      <c r="M17" s="12">
        <v>1</v>
      </c>
      <c r="N17" s="21" t="str">
        <f t="shared" si="0"/>
        <v>881</v>
      </c>
      <c r="O17" s="14" t="str">
        <f>LOOKUP(N17,'Matrice AP'!F:F,'Matrice AP'!G:G)</f>
        <v>H</v>
      </c>
      <c r="P17" s="14"/>
      <c r="Q17" s="12"/>
      <c r="R17" s="12"/>
      <c r="S17" s="12"/>
      <c r="T17" s="12"/>
      <c r="U17" s="12"/>
      <c r="V17" s="12"/>
      <c r="W17" s="12"/>
      <c r="X17" s="12"/>
      <c r="Y17" s="12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ht="49.95" customHeight="1" x14ac:dyDescent="0.3">
      <c r="A18" s="12"/>
      <c r="B18" s="12"/>
      <c r="C18" s="12"/>
      <c r="D18" s="12"/>
      <c r="E18" s="12"/>
      <c r="F18" s="12"/>
      <c r="G18" s="12">
        <v>10</v>
      </c>
      <c r="H18" s="12"/>
      <c r="I18" s="12"/>
      <c r="J18" s="12"/>
      <c r="K18" s="12">
        <v>10</v>
      </c>
      <c r="L18" s="12"/>
      <c r="M18" s="12">
        <v>1</v>
      </c>
      <c r="N18" s="21" t="str">
        <f t="shared" si="0"/>
        <v>10101</v>
      </c>
      <c r="O18" s="14" t="e">
        <f>LOOKUP(N18,'Matrice AP'!F:F,'Matrice AP'!G:G)</f>
        <v>#N/A</v>
      </c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ht="49.95" customHeight="1" x14ac:dyDescent="0.3">
      <c r="A19" s="17"/>
      <c r="B19" s="12"/>
      <c r="C19" s="12"/>
      <c r="D19" s="12"/>
      <c r="E19" s="12"/>
      <c r="F19" s="12"/>
      <c r="G19" s="12"/>
      <c r="H19" s="12"/>
      <c r="I19" s="14"/>
      <c r="J19" s="12"/>
      <c r="K19" s="12"/>
      <c r="L19" s="12"/>
      <c r="M19" s="12"/>
      <c r="N19" s="21" t="str">
        <f t="shared" ref="N5:N68" si="1">CONCATENATE(G19,".",K19,".",M19)</f>
        <v>..</v>
      </c>
      <c r="O19" s="14" t="e">
        <f>LOOKUP(N19,'Matrice AP'!A:A,'Matrice AP'!H:H)</f>
        <v>#N/A</v>
      </c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ht="49.95" customHeight="1" x14ac:dyDescent="0.3">
      <c r="A20" s="12"/>
      <c r="B20" s="12"/>
      <c r="C20" s="12"/>
      <c r="D20" s="12"/>
      <c r="E20" s="12"/>
      <c r="F20" s="12"/>
      <c r="G20" s="12"/>
      <c r="H20" s="12"/>
      <c r="I20" s="14" t="str">
        <f t="shared" ref="I19:I36" si="2">CONCATENATE(B20,F20,H20)</f>
        <v/>
      </c>
      <c r="J20" s="12"/>
      <c r="K20" s="12"/>
      <c r="L20" s="12"/>
      <c r="M20" s="12"/>
      <c r="N20" s="21" t="str">
        <f t="shared" si="1"/>
        <v>..</v>
      </c>
      <c r="O20" s="14" t="e">
        <f>LOOKUP(N20,'Matrice AP'!A:A,'Matrice AP'!H:H)</f>
        <v>#N/A</v>
      </c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ht="49.95" customHeight="1" x14ac:dyDescent="0.3">
      <c r="A21" s="12"/>
      <c r="B21" s="12"/>
      <c r="C21" s="12"/>
      <c r="D21" s="12"/>
      <c r="E21" s="12"/>
      <c r="F21" s="12"/>
      <c r="G21" s="12"/>
      <c r="H21" s="12"/>
      <c r="I21" s="14" t="str">
        <f t="shared" si="2"/>
        <v/>
      </c>
      <c r="N21" s="21" t="str">
        <f t="shared" si="1"/>
        <v>..</v>
      </c>
      <c r="O21" s="14" t="e">
        <f>LOOKUP(N21,'Matrice AP'!A:A,'Matrice AP'!H:H)</f>
        <v>#N/A</v>
      </c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ht="49.95" customHeight="1" x14ac:dyDescent="0.3">
      <c r="A22" s="12"/>
      <c r="B22" s="12"/>
      <c r="C22" s="12"/>
      <c r="D22" s="12"/>
      <c r="E22" s="12"/>
      <c r="F22" s="12"/>
      <c r="G22" s="12"/>
      <c r="H22" s="12"/>
      <c r="I22" s="14" t="str">
        <f t="shared" si="2"/>
        <v/>
      </c>
      <c r="N22" s="21" t="str">
        <f t="shared" si="1"/>
        <v>..</v>
      </c>
      <c r="O22" s="14" t="e">
        <f>LOOKUP(N22,'Matrice AP'!A:A,'Matrice AP'!H:H)</f>
        <v>#N/A</v>
      </c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ht="49.95" customHeight="1" x14ac:dyDescent="0.3">
      <c r="A23" s="12"/>
      <c r="B23" s="12"/>
      <c r="C23" s="12"/>
      <c r="D23" s="12"/>
      <c r="E23" s="12"/>
      <c r="F23" s="12"/>
      <c r="G23" s="12"/>
      <c r="H23" s="12"/>
      <c r="I23" s="14" t="str">
        <f t="shared" si="2"/>
        <v/>
      </c>
      <c r="N23" s="21" t="str">
        <f t="shared" si="1"/>
        <v>..</v>
      </c>
      <c r="O23" s="14" t="e">
        <f>LOOKUP(N23,'Matrice AP'!A:A,'Matrice AP'!H:H)</f>
        <v>#N/A</v>
      </c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49.95" customHeight="1" x14ac:dyDescent="0.3">
      <c r="A24" s="12"/>
      <c r="B24" s="12"/>
      <c r="C24" s="12"/>
      <c r="D24" s="12"/>
      <c r="E24" s="12"/>
      <c r="F24" s="12"/>
      <c r="G24" s="12"/>
      <c r="H24" s="12"/>
      <c r="I24" s="14" t="str">
        <f t="shared" si="2"/>
        <v/>
      </c>
      <c r="N24" s="21" t="str">
        <f t="shared" si="1"/>
        <v>..</v>
      </c>
      <c r="O24" s="14" t="e">
        <f>LOOKUP(N24,'Matrice AP'!A:A,'Matrice AP'!H:H)</f>
        <v>#N/A</v>
      </c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49.95" customHeight="1" x14ac:dyDescent="0.3">
      <c r="A25" s="12"/>
      <c r="B25" s="12"/>
      <c r="C25" s="12"/>
      <c r="D25" s="12"/>
      <c r="E25" s="12"/>
      <c r="F25" s="12"/>
      <c r="G25" s="12"/>
      <c r="H25" s="12"/>
      <c r="I25" s="14" t="str">
        <f t="shared" si="2"/>
        <v/>
      </c>
      <c r="N25" s="21" t="str">
        <f t="shared" si="1"/>
        <v>..</v>
      </c>
      <c r="O25" s="14" t="e">
        <f>LOOKUP(N25,'Matrice AP'!A:A,'Matrice AP'!H:H)</f>
        <v>#N/A</v>
      </c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49.95" customHeight="1" x14ac:dyDescent="0.3">
      <c r="A26" s="12"/>
      <c r="B26" s="12"/>
      <c r="C26" s="12"/>
      <c r="D26" s="12"/>
      <c r="E26" s="12"/>
      <c r="F26" s="12"/>
      <c r="G26" s="12"/>
      <c r="H26" s="12"/>
      <c r="I26" s="14" t="str">
        <f t="shared" si="2"/>
        <v/>
      </c>
      <c r="N26" s="21" t="str">
        <f t="shared" si="1"/>
        <v>..</v>
      </c>
      <c r="O26" s="14" t="e">
        <f>LOOKUP(N26,'Matrice AP'!A:A,'Matrice AP'!H:H)</f>
        <v>#N/A</v>
      </c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49.95" customHeight="1" x14ac:dyDescent="0.3">
      <c r="A27" s="12"/>
      <c r="B27" s="12"/>
      <c r="C27" s="12"/>
      <c r="D27" s="12"/>
      <c r="E27" s="12"/>
      <c r="F27" s="12"/>
      <c r="G27" s="12"/>
      <c r="H27" s="12"/>
      <c r="I27" s="14" t="str">
        <f t="shared" si="2"/>
        <v/>
      </c>
      <c r="N27" s="21" t="str">
        <f t="shared" si="1"/>
        <v>..</v>
      </c>
      <c r="O27" s="14" t="e">
        <f>LOOKUP(N27,'Matrice AP'!A:A,'Matrice AP'!H:H)</f>
        <v>#N/A</v>
      </c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49.95" customHeight="1" x14ac:dyDescent="0.3">
      <c r="A28" s="12"/>
      <c r="B28" s="12"/>
      <c r="C28" s="12"/>
      <c r="D28" s="12"/>
      <c r="E28" s="12"/>
      <c r="F28" s="12"/>
      <c r="G28" s="12"/>
      <c r="H28" s="12"/>
      <c r="I28" s="14" t="str">
        <f t="shared" si="2"/>
        <v/>
      </c>
      <c r="N28" s="21" t="str">
        <f t="shared" si="1"/>
        <v>..</v>
      </c>
      <c r="O28" s="14" t="e">
        <f>LOOKUP(N28,'Matrice AP'!A:A,'Matrice AP'!H:H)</f>
        <v>#N/A</v>
      </c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49.95" customHeight="1" x14ac:dyDescent="0.3">
      <c r="A29" s="12"/>
      <c r="B29" s="12"/>
      <c r="C29" s="12"/>
      <c r="D29" s="12"/>
      <c r="E29" s="12"/>
      <c r="F29" s="12"/>
      <c r="G29" s="12"/>
      <c r="H29" s="12"/>
      <c r="I29" s="14" t="str">
        <f t="shared" si="2"/>
        <v/>
      </c>
      <c r="N29" s="21" t="str">
        <f t="shared" si="1"/>
        <v>..</v>
      </c>
      <c r="O29" s="14" t="e">
        <f>LOOKUP(N29,'Matrice AP'!A:A,'Matrice AP'!H:H)</f>
        <v>#N/A</v>
      </c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49.95" customHeight="1" x14ac:dyDescent="0.3">
      <c r="A30" s="12"/>
      <c r="B30" s="12"/>
      <c r="C30" s="12"/>
      <c r="D30" s="12"/>
      <c r="E30" s="12"/>
      <c r="F30" s="12"/>
      <c r="G30" s="12"/>
      <c r="H30" s="12"/>
      <c r="I30" s="14" t="str">
        <f t="shared" si="2"/>
        <v/>
      </c>
      <c r="N30" s="21" t="str">
        <f t="shared" si="1"/>
        <v>..</v>
      </c>
      <c r="O30" s="14" t="e">
        <f>LOOKUP(N30,'Matrice AP'!A:A,'Matrice AP'!H:H)</f>
        <v>#N/A</v>
      </c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49.95" customHeight="1" x14ac:dyDescent="0.3">
      <c r="A31" s="12"/>
      <c r="B31" s="12"/>
      <c r="C31" s="12"/>
      <c r="D31" s="12"/>
      <c r="E31" s="12"/>
      <c r="F31" s="12"/>
      <c r="G31" s="12"/>
      <c r="H31" s="12"/>
      <c r="I31" s="14" t="str">
        <f t="shared" si="2"/>
        <v/>
      </c>
      <c r="N31" s="21" t="str">
        <f t="shared" si="1"/>
        <v>..</v>
      </c>
      <c r="O31" s="14" t="e">
        <f>LOOKUP(N31,'Matrice AP'!A:A,'Matrice AP'!H:H)</f>
        <v>#N/A</v>
      </c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49.95" customHeight="1" x14ac:dyDescent="0.3">
      <c r="A32" s="12"/>
      <c r="B32" s="12"/>
      <c r="C32" s="12"/>
      <c r="D32" s="12"/>
      <c r="E32" s="12"/>
      <c r="F32" s="12"/>
      <c r="G32" s="12"/>
      <c r="H32" s="12"/>
      <c r="I32" s="14" t="str">
        <f t="shared" si="2"/>
        <v/>
      </c>
      <c r="N32" s="21" t="str">
        <f t="shared" si="1"/>
        <v>..</v>
      </c>
      <c r="O32" s="14" t="e">
        <f>LOOKUP(N32,'Matrice AP'!A:A,'Matrice AP'!H:H)</f>
        <v>#N/A</v>
      </c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49.95" customHeight="1" x14ac:dyDescent="0.3">
      <c r="A33" s="12"/>
      <c r="B33" s="12"/>
      <c r="C33" s="12"/>
      <c r="D33" s="12"/>
      <c r="E33" s="12"/>
      <c r="F33" s="12"/>
      <c r="G33" s="12"/>
      <c r="H33" s="12"/>
      <c r="I33" s="14" t="str">
        <f t="shared" si="2"/>
        <v/>
      </c>
      <c r="N33" s="21" t="str">
        <f t="shared" si="1"/>
        <v>..</v>
      </c>
      <c r="O33" s="14" t="e">
        <f>LOOKUP(N33,'Matrice AP'!A:A,'Matrice AP'!H:H)</f>
        <v>#N/A</v>
      </c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ht="49.95" customHeight="1" x14ac:dyDescent="0.3">
      <c r="A34" s="12"/>
      <c r="B34" s="12"/>
      <c r="C34" s="12"/>
      <c r="D34" s="12"/>
      <c r="E34" s="12"/>
      <c r="F34" s="12"/>
      <c r="G34" s="12"/>
      <c r="H34" s="12"/>
      <c r="I34" s="14" t="str">
        <f t="shared" si="2"/>
        <v/>
      </c>
      <c r="N34" s="21" t="str">
        <f t="shared" si="1"/>
        <v>..</v>
      </c>
      <c r="O34" s="14" t="e">
        <f>LOOKUP(N34,'Matrice AP'!A:A,'Matrice AP'!H:H)</f>
        <v>#N/A</v>
      </c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ht="49.95" customHeight="1" x14ac:dyDescent="0.3">
      <c r="A35" s="12"/>
      <c r="B35" s="12"/>
      <c r="C35" s="12"/>
      <c r="D35" s="12"/>
      <c r="E35" s="12"/>
      <c r="F35" s="12"/>
      <c r="G35" s="12"/>
      <c r="H35" s="12"/>
      <c r="I35" s="14" t="str">
        <f t="shared" si="2"/>
        <v/>
      </c>
      <c r="N35" s="21" t="str">
        <f t="shared" si="1"/>
        <v>..</v>
      </c>
      <c r="O35" s="14" t="e">
        <f>LOOKUP(N35,'Matrice AP'!A:A,'Matrice AP'!H:H)</f>
        <v>#N/A</v>
      </c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ht="49.95" customHeight="1" x14ac:dyDescent="0.3">
      <c r="A36" s="12"/>
      <c r="B36" s="12"/>
      <c r="C36" s="12"/>
      <c r="D36" s="12"/>
      <c r="E36" s="12"/>
      <c r="F36" s="12"/>
      <c r="G36" s="12"/>
      <c r="H36" s="12"/>
      <c r="I36" s="14" t="str">
        <f t="shared" si="2"/>
        <v/>
      </c>
      <c r="N36" s="21" t="str">
        <f t="shared" si="1"/>
        <v>..</v>
      </c>
      <c r="O36" s="14" t="e">
        <f>LOOKUP(N36,'Matrice AP'!A:A,'Matrice AP'!H:H)</f>
        <v>#N/A</v>
      </c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ht="49.95" customHeight="1" x14ac:dyDescent="0.3">
      <c r="A37" s="12"/>
      <c r="B37" s="12"/>
      <c r="C37" s="12"/>
      <c r="D37" s="12"/>
      <c r="E37" s="12"/>
      <c r="F37" s="12"/>
      <c r="G37" s="12"/>
      <c r="H37" s="12"/>
      <c r="I37" s="14"/>
      <c r="N37" s="21" t="str">
        <f t="shared" si="1"/>
        <v>..</v>
      </c>
      <c r="O37" s="14" t="e">
        <f>LOOKUP(N37,'Matrice AP'!A:A,'Matrice AP'!H:H)</f>
        <v>#N/A</v>
      </c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ht="49.95" customHeight="1" x14ac:dyDescent="0.3">
      <c r="A38" s="12"/>
      <c r="B38" s="12"/>
      <c r="C38" s="12"/>
      <c r="D38" s="12"/>
      <c r="E38" s="12"/>
      <c r="F38" s="12" t="s">
        <v>52</v>
      </c>
      <c r="G38" s="12"/>
      <c r="H38" s="12"/>
      <c r="I38" s="14"/>
      <c r="N38" s="21" t="str">
        <f t="shared" si="1"/>
        <v>..</v>
      </c>
      <c r="O38" s="14" t="e">
        <f>LOOKUP(N38,'Matrice AP'!A:A,'Matrice AP'!H:H)</f>
        <v>#N/A</v>
      </c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ht="49.95" customHeight="1" x14ac:dyDescent="0.3">
      <c r="A39" s="12"/>
      <c r="B39" s="12"/>
      <c r="C39" s="12"/>
      <c r="D39" s="12"/>
      <c r="E39" s="12"/>
      <c r="F39" s="12" t="s">
        <v>53</v>
      </c>
      <c r="G39" s="12"/>
      <c r="H39" s="12"/>
      <c r="I39" s="14"/>
      <c r="N39" s="21" t="str">
        <f t="shared" si="1"/>
        <v>..</v>
      </c>
      <c r="O39" s="14" t="e">
        <f>LOOKUP(N39,'Matrice AP'!A:A,'Matrice AP'!H:H)</f>
        <v>#N/A</v>
      </c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49.95" customHeight="1" x14ac:dyDescent="0.3">
      <c r="A40" s="12"/>
      <c r="B40" s="12"/>
      <c r="C40" s="12"/>
      <c r="D40" s="12"/>
      <c r="E40" s="12"/>
      <c r="F40" s="12" t="s">
        <v>54</v>
      </c>
      <c r="G40" s="12"/>
      <c r="H40" s="12"/>
      <c r="I40" s="14"/>
      <c r="N40" s="21" t="str">
        <f t="shared" si="1"/>
        <v>..</v>
      </c>
      <c r="O40" s="14" t="e">
        <f>LOOKUP(N40,'Matrice AP'!A:A,'Matrice AP'!H:H)</f>
        <v>#N/A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49.95" customHeight="1" x14ac:dyDescent="0.3">
      <c r="A41" s="12"/>
      <c r="B41" s="12"/>
      <c r="C41" s="12"/>
      <c r="D41" s="12"/>
      <c r="E41" s="12"/>
      <c r="F41" s="12" t="s">
        <v>55</v>
      </c>
      <c r="G41" s="12"/>
      <c r="H41" s="12"/>
      <c r="I41" s="14"/>
      <c r="N41" s="21" t="str">
        <f t="shared" si="1"/>
        <v>..</v>
      </c>
      <c r="O41" s="14" t="e">
        <f>LOOKUP(N41,'Matrice AP'!A:A,'Matrice AP'!H:H)</f>
        <v>#N/A</v>
      </c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49.95" customHeight="1" x14ac:dyDescent="0.3">
      <c r="A42" s="12"/>
      <c r="B42" s="12"/>
      <c r="C42" s="12"/>
      <c r="D42" s="12"/>
      <c r="E42" s="12"/>
      <c r="F42" s="12" t="s">
        <v>56</v>
      </c>
      <c r="G42" s="12"/>
      <c r="H42" s="12"/>
      <c r="I42" s="14"/>
      <c r="N42" s="21" t="str">
        <f t="shared" si="1"/>
        <v>..</v>
      </c>
      <c r="O42" s="14" t="e">
        <f>LOOKUP(N42,'Matrice AP'!A:A,'Matrice AP'!H:H)</f>
        <v>#N/A</v>
      </c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49.95" customHeight="1" x14ac:dyDescent="0.3">
      <c r="A43" s="12"/>
      <c r="B43" s="12"/>
      <c r="C43" s="12"/>
      <c r="D43" s="12"/>
      <c r="E43" s="12"/>
      <c r="F43" s="12" t="s">
        <v>57</v>
      </c>
      <c r="G43" s="12"/>
      <c r="H43" s="12"/>
      <c r="I43" s="14"/>
      <c r="N43" s="21" t="str">
        <f t="shared" si="1"/>
        <v>..</v>
      </c>
      <c r="O43" s="14" t="e">
        <f>LOOKUP(N43,'Matrice AP'!A:A,'Matrice AP'!H:H)</f>
        <v>#N/A</v>
      </c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49.95" customHeight="1" x14ac:dyDescent="0.3">
      <c r="A44" s="12"/>
      <c r="B44" s="12"/>
      <c r="C44" s="12"/>
      <c r="D44" s="12"/>
      <c r="E44" s="12"/>
      <c r="F44" s="12" t="s">
        <v>58</v>
      </c>
      <c r="G44" s="12"/>
      <c r="H44" s="12"/>
      <c r="I44" s="14"/>
      <c r="N44" s="21" t="str">
        <f t="shared" si="1"/>
        <v>..</v>
      </c>
      <c r="O44" s="14" t="e">
        <f>LOOKUP(N44,'Matrice AP'!A:A,'Matrice AP'!H:H)</f>
        <v>#N/A</v>
      </c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49.95" customHeight="1" x14ac:dyDescent="0.3">
      <c r="A45" s="12"/>
      <c r="B45" s="12"/>
      <c r="C45" s="12"/>
      <c r="D45" s="12"/>
      <c r="E45" s="12"/>
      <c r="F45" s="12" t="s">
        <v>59</v>
      </c>
      <c r="G45" s="12"/>
      <c r="H45" s="12"/>
      <c r="I45" s="14"/>
      <c r="N45" s="21" t="str">
        <f t="shared" si="1"/>
        <v>..</v>
      </c>
      <c r="O45" s="14" t="e">
        <f>LOOKUP(N45,'Matrice AP'!A:A,'Matrice AP'!H:H)</f>
        <v>#N/A</v>
      </c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49.95" customHeight="1" x14ac:dyDescent="0.3">
      <c r="A46" s="12"/>
      <c r="B46" s="12"/>
      <c r="C46" s="12"/>
      <c r="D46" s="12"/>
      <c r="E46" s="12"/>
      <c r="F46" s="12" t="s">
        <v>60</v>
      </c>
      <c r="G46" s="12"/>
      <c r="H46" s="12"/>
      <c r="I46" s="14"/>
      <c r="N46" s="21" t="str">
        <f t="shared" si="1"/>
        <v>..</v>
      </c>
      <c r="O46" s="14" t="e">
        <f>LOOKUP(N46,'Matrice AP'!A:A,'Matrice AP'!H:H)</f>
        <v>#N/A</v>
      </c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49.95" customHeight="1" x14ac:dyDescent="0.3">
      <c r="A47" s="12"/>
      <c r="B47" s="12"/>
      <c r="C47" s="12"/>
      <c r="D47" s="12"/>
      <c r="E47" s="12"/>
      <c r="F47" s="12" t="s">
        <v>61</v>
      </c>
      <c r="G47" s="12"/>
      <c r="H47" s="12"/>
      <c r="I47" s="14"/>
      <c r="N47" s="21" t="str">
        <f t="shared" si="1"/>
        <v>..</v>
      </c>
      <c r="O47" s="14" t="e">
        <f>LOOKUP(N47,'Matrice AP'!A:A,'Matrice AP'!H:H)</f>
        <v>#N/A</v>
      </c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49.95" customHeight="1" x14ac:dyDescent="0.3">
      <c r="A48" s="12"/>
      <c r="B48" s="12"/>
      <c r="C48" s="12"/>
      <c r="D48" s="12"/>
      <c r="E48" s="12"/>
      <c r="F48" s="12" t="s">
        <v>62</v>
      </c>
      <c r="G48" s="12"/>
      <c r="H48" s="12"/>
      <c r="I48" s="14"/>
      <c r="N48" s="21" t="str">
        <f t="shared" si="1"/>
        <v>..</v>
      </c>
      <c r="O48" s="14" t="e">
        <f>LOOKUP(N48,'Matrice AP'!A:A,'Matrice AP'!H:H)</f>
        <v>#N/A</v>
      </c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 ht="21" x14ac:dyDescent="0.3">
      <c r="A49" s="12"/>
      <c r="B49" s="12"/>
      <c r="C49" s="12"/>
      <c r="D49" s="12"/>
      <c r="E49" s="12"/>
      <c r="F49" s="12" t="s">
        <v>63</v>
      </c>
      <c r="G49" s="12"/>
      <c r="H49" s="12"/>
      <c r="I49" s="14"/>
      <c r="N49" s="21" t="str">
        <f t="shared" si="1"/>
        <v>..</v>
      </c>
      <c r="O49" s="14" t="e">
        <f>LOOKUP(N49,'Matrice AP'!A:A,'Matrice AP'!H:H)</f>
        <v>#N/A</v>
      </c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 ht="21" x14ac:dyDescent="0.3">
      <c r="A50" s="12"/>
      <c r="B50" s="12"/>
      <c r="C50" s="12"/>
      <c r="D50" s="12"/>
      <c r="E50" s="12"/>
      <c r="F50" s="12" t="s">
        <v>64</v>
      </c>
      <c r="G50" s="12"/>
      <c r="H50" s="12"/>
      <c r="I50" s="14"/>
      <c r="N50" s="21" t="str">
        <f t="shared" si="1"/>
        <v>..</v>
      </c>
      <c r="O50" s="14" t="e">
        <f>LOOKUP(N50,'Matrice AP'!A:A,'Matrice AP'!H:H)</f>
        <v>#N/A</v>
      </c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 ht="21" x14ac:dyDescent="0.3">
      <c r="A51" s="12"/>
      <c r="B51" s="12"/>
      <c r="C51" s="12"/>
      <c r="D51" s="12"/>
      <c r="E51" s="12"/>
      <c r="F51" s="12" t="s">
        <v>65</v>
      </c>
      <c r="G51" s="12"/>
      <c r="H51" s="12"/>
      <c r="I51" s="14"/>
      <c r="N51" s="21" t="str">
        <f t="shared" si="1"/>
        <v>..</v>
      </c>
      <c r="O51" s="14" t="e">
        <f>LOOKUP(N51,'Matrice AP'!A:A,'Matrice AP'!H:H)</f>
        <v>#N/A</v>
      </c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 ht="21" x14ac:dyDescent="0.3">
      <c r="A52" s="12"/>
      <c r="B52" s="12"/>
      <c r="C52" s="12"/>
      <c r="D52" s="12"/>
      <c r="E52" s="12"/>
      <c r="F52" s="12" t="s">
        <v>66</v>
      </c>
      <c r="G52" s="12"/>
      <c r="H52" s="12"/>
      <c r="I52" s="14"/>
      <c r="N52" s="21" t="str">
        <f t="shared" si="1"/>
        <v>..</v>
      </c>
      <c r="O52" s="14" t="e">
        <f>LOOKUP(N52,'Matrice AP'!A:A,'Matrice AP'!H:H)</f>
        <v>#N/A</v>
      </c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 ht="21" x14ac:dyDescent="0.3">
      <c r="A53" s="12"/>
      <c r="B53" s="12"/>
      <c r="C53" s="12"/>
      <c r="D53" s="12"/>
      <c r="E53" s="12"/>
      <c r="F53" s="12" t="s">
        <v>67</v>
      </c>
      <c r="G53" s="12"/>
      <c r="H53" s="12"/>
      <c r="I53" s="14"/>
      <c r="N53" s="21" t="str">
        <f t="shared" si="1"/>
        <v>..</v>
      </c>
      <c r="O53" s="14" t="e">
        <f>LOOKUP(N53,'Matrice AP'!A:A,'Matrice AP'!H:H)</f>
        <v>#N/A</v>
      </c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 ht="21" x14ac:dyDescent="0.3">
      <c r="A54" s="12"/>
      <c r="B54" s="12"/>
      <c r="C54" s="12"/>
      <c r="D54" s="12"/>
      <c r="E54" s="12"/>
      <c r="F54" s="12" t="s">
        <v>68</v>
      </c>
      <c r="G54" s="12"/>
      <c r="H54" s="12"/>
      <c r="I54" s="14"/>
      <c r="N54" s="21" t="str">
        <f t="shared" si="1"/>
        <v>..</v>
      </c>
      <c r="O54" s="14" t="e">
        <f>LOOKUP(N54,'Matrice AP'!A:A,'Matrice AP'!H:H)</f>
        <v>#N/A</v>
      </c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:39" ht="21" x14ac:dyDescent="0.3">
      <c r="A55" s="12"/>
      <c r="B55" s="12"/>
      <c r="C55" s="12"/>
      <c r="D55" s="12"/>
      <c r="E55" s="12"/>
      <c r="F55" s="12" t="s">
        <v>69</v>
      </c>
      <c r="G55" s="12"/>
      <c r="H55" s="12"/>
      <c r="I55" s="14"/>
      <c r="N55" s="21" t="str">
        <f t="shared" si="1"/>
        <v>..</v>
      </c>
      <c r="O55" s="14" t="e">
        <f>LOOKUP(N55,'Matrice AP'!A:A,'Matrice AP'!H:H)</f>
        <v>#N/A</v>
      </c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 ht="21" x14ac:dyDescent="0.3">
      <c r="A56" s="12"/>
      <c r="B56" s="12"/>
      <c r="C56" s="12"/>
      <c r="D56" s="12"/>
      <c r="E56" s="12"/>
      <c r="F56" s="12" t="s">
        <v>70</v>
      </c>
      <c r="G56" s="12"/>
      <c r="H56" s="12"/>
      <c r="I56" s="14"/>
      <c r="N56" s="21" t="str">
        <f t="shared" si="1"/>
        <v>..</v>
      </c>
      <c r="O56" s="14" t="e">
        <f>LOOKUP(N56,'Matrice AP'!A:A,'Matrice AP'!H:H)</f>
        <v>#N/A</v>
      </c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 ht="21" x14ac:dyDescent="0.3">
      <c r="A57" s="12"/>
      <c r="B57" s="12"/>
      <c r="C57" s="12"/>
      <c r="D57" s="12"/>
      <c r="E57" s="12"/>
      <c r="N57" s="21" t="str">
        <f t="shared" si="1"/>
        <v>..</v>
      </c>
      <c r="O57" s="14" t="e">
        <f>LOOKUP(N57,'Matrice AP'!A:A,'Matrice AP'!H:H)</f>
        <v>#N/A</v>
      </c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 ht="21" x14ac:dyDescent="0.3">
      <c r="A58" s="12"/>
      <c r="B58" s="12"/>
      <c r="C58" s="12"/>
      <c r="D58" s="12"/>
      <c r="E58" s="12"/>
      <c r="N58" s="21" t="str">
        <f t="shared" si="1"/>
        <v>..</v>
      </c>
      <c r="O58" s="14" t="e">
        <f>LOOKUP(N58,'Matrice AP'!A:A,'Matrice AP'!H:H)</f>
        <v>#N/A</v>
      </c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 ht="21" x14ac:dyDescent="0.3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21" t="str">
        <f t="shared" si="1"/>
        <v>..</v>
      </c>
      <c r="O59" s="14" t="e">
        <f>LOOKUP(N59,'Matrice AP'!A:A,'Matrice AP'!H:H)</f>
        <v>#N/A</v>
      </c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 ht="21" x14ac:dyDescent="0.3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21" t="str">
        <f t="shared" si="1"/>
        <v>..</v>
      </c>
      <c r="O60" s="14" t="e">
        <f>LOOKUP(N60,'Matrice AP'!A:A,'Matrice AP'!H:H)</f>
        <v>#N/A</v>
      </c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 ht="21" x14ac:dyDescent="0.3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21" t="str">
        <f t="shared" si="1"/>
        <v>..</v>
      </c>
      <c r="O61" s="14" t="e">
        <f>LOOKUP(N61,'Matrice AP'!A:A,'Matrice AP'!H:H)</f>
        <v>#N/A</v>
      </c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1:39" ht="21" x14ac:dyDescent="0.3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21" t="str">
        <f t="shared" si="1"/>
        <v>..</v>
      </c>
      <c r="O62" s="14" t="e">
        <f>LOOKUP(N62,'Matrice AP'!A:A,'Matrice AP'!H:H)</f>
        <v>#N/A</v>
      </c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1:39" ht="21" x14ac:dyDescent="0.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21" t="str">
        <f t="shared" si="1"/>
        <v>..</v>
      </c>
      <c r="O63" s="14" t="e">
        <f>LOOKUP(N63,'Matrice AP'!A:A,'Matrice AP'!H:H)</f>
        <v>#N/A</v>
      </c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39" ht="21" x14ac:dyDescent="0.3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21" t="str">
        <f t="shared" si="1"/>
        <v>..</v>
      </c>
      <c r="O64" s="14" t="e">
        <f>LOOKUP(N64,'Matrice AP'!A:A,'Matrice AP'!H:H)</f>
        <v>#N/A</v>
      </c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1:39" ht="21" x14ac:dyDescent="0.3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21" t="str">
        <f t="shared" si="1"/>
        <v>..</v>
      </c>
      <c r="O65" s="14" t="e">
        <f>LOOKUP(N65,'Matrice AP'!A:A,'Matrice AP'!H:H)</f>
        <v>#N/A</v>
      </c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1:39" ht="21" x14ac:dyDescent="0.3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21" t="str">
        <f t="shared" si="1"/>
        <v>..</v>
      </c>
      <c r="O66" s="14" t="e">
        <f>LOOKUP(N66,'Matrice AP'!A:A,'Matrice AP'!H:H)</f>
        <v>#N/A</v>
      </c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1:39" ht="21" x14ac:dyDescent="0.3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21" t="str">
        <f t="shared" si="1"/>
        <v>..</v>
      </c>
      <c r="O67" s="14" t="e">
        <f>LOOKUP(N67,'Matrice AP'!A:A,'Matrice AP'!H:H)</f>
        <v>#N/A</v>
      </c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1:39" ht="21" x14ac:dyDescent="0.3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21" t="str">
        <f t="shared" si="1"/>
        <v>..</v>
      </c>
      <c r="O68" s="14" t="e">
        <f>LOOKUP(N68,'Matrice AP'!A:A,'Matrice AP'!H:H)</f>
        <v>#N/A</v>
      </c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1:39" ht="21" x14ac:dyDescent="0.3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21" t="str">
        <f t="shared" ref="N69:N132" si="3">CONCATENATE(G69,".",K69,".",M69)</f>
        <v>..</v>
      </c>
      <c r="O69" s="14" t="e">
        <f>LOOKUP(N69,'Matrice AP'!A:A,'Matrice AP'!H:H)</f>
        <v>#N/A</v>
      </c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1:39" ht="21" x14ac:dyDescent="0.3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21" t="str">
        <f t="shared" si="3"/>
        <v>..</v>
      </c>
      <c r="O70" s="14" t="e">
        <f>LOOKUP(N70,'Matrice AP'!A:A,'Matrice AP'!H:H)</f>
        <v>#N/A</v>
      </c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1:39" ht="21" x14ac:dyDescent="0.3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21" t="str">
        <f t="shared" si="3"/>
        <v>..</v>
      </c>
      <c r="O71" s="14" t="e">
        <f>LOOKUP(N71,'Matrice AP'!A:A,'Matrice AP'!H:H)</f>
        <v>#N/A</v>
      </c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1:39" ht="21" x14ac:dyDescent="0.3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21" t="str">
        <f t="shared" si="3"/>
        <v>..</v>
      </c>
      <c r="O72" s="14" t="e">
        <f>LOOKUP(N72,'Matrice AP'!A:A,'Matrice AP'!H:H)</f>
        <v>#N/A</v>
      </c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1:39" ht="21" x14ac:dyDescent="0.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21" t="str">
        <f t="shared" si="3"/>
        <v>..</v>
      </c>
      <c r="O73" s="14" t="e">
        <f>LOOKUP(N73,'Matrice AP'!A:A,'Matrice AP'!H:H)</f>
        <v>#N/A</v>
      </c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1:39" ht="21" x14ac:dyDescent="0.3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21" t="str">
        <f t="shared" si="3"/>
        <v>..</v>
      </c>
      <c r="O74" s="14" t="e">
        <f>LOOKUP(N74,'Matrice AP'!A:A,'Matrice AP'!H:H)</f>
        <v>#N/A</v>
      </c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1:39" ht="21" x14ac:dyDescent="0.3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21" t="str">
        <f t="shared" si="3"/>
        <v>..</v>
      </c>
      <c r="O75" s="14" t="e">
        <f>LOOKUP(N75,'Matrice AP'!A:A,'Matrice AP'!H:H)</f>
        <v>#N/A</v>
      </c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1:39" ht="21" x14ac:dyDescent="0.3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21" t="str">
        <f t="shared" si="3"/>
        <v>..</v>
      </c>
      <c r="O76" s="14" t="e">
        <f>LOOKUP(N76,'Matrice AP'!A:A,'Matrice AP'!H:H)</f>
        <v>#N/A</v>
      </c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1:39" ht="21" x14ac:dyDescent="0.3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21" t="str">
        <f t="shared" si="3"/>
        <v>..</v>
      </c>
      <c r="O77" s="14" t="e">
        <f>LOOKUP(N77,'Matrice AP'!A:A,'Matrice AP'!H:H)</f>
        <v>#N/A</v>
      </c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1:39" ht="21" x14ac:dyDescent="0.3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21" t="str">
        <f t="shared" si="3"/>
        <v>..</v>
      </c>
      <c r="O78" s="14" t="e">
        <f>LOOKUP(N78,'Matrice AP'!A:A,'Matrice AP'!H:H)</f>
        <v>#N/A</v>
      </c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1:39" ht="21" x14ac:dyDescent="0.3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21" t="str">
        <f t="shared" si="3"/>
        <v>..</v>
      </c>
      <c r="O79" s="14" t="e">
        <f>LOOKUP(N79,'Matrice AP'!A:A,'Matrice AP'!H:H)</f>
        <v>#N/A</v>
      </c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</row>
    <row r="80" spans="1:39" ht="21" x14ac:dyDescent="0.3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21" t="str">
        <f t="shared" si="3"/>
        <v>..</v>
      </c>
      <c r="O80" s="14" t="e">
        <f>LOOKUP(N80,'Matrice AP'!A:A,'Matrice AP'!H:H)</f>
        <v>#N/A</v>
      </c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</row>
    <row r="81" spans="1:39" ht="21" x14ac:dyDescent="0.3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21" t="str">
        <f t="shared" si="3"/>
        <v>..</v>
      </c>
      <c r="O81" s="14" t="e">
        <f>LOOKUP(N81,'Matrice AP'!A:A,'Matrice AP'!H:H)</f>
        <v>#N/A</v>
      </c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</row>
    <row r="82" spans="1:39" ht="21" x14ac:dyDescent="0.3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21" t="str">
        <f t="shared" si="3"/>
        <v>..</v>
      </c>
      <c r="O82" s="14" t="e">
        <f>LOOKUP(N82,'Matrice AP'!A:A,'Matrice AP'!H:H)</f>
        <v>#N/A</v>
      </c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</row>
    <row r="83" spans="1:39" ht="21" x14ac:dyDescent="0.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21" t="str">
        <f t="shared" si="3"/>
        <v>..</v>
      </c>
      <c r="O83" s="14" t="e">
        <f>LOOKUP(N83,'Matrice AP'!A:A,'Matrice AP'!H:H)</f>
        <v>#N/A</v>
      </c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</row>
    <row r="84" spans="1:39" ht="21" x14ac:dyDescent="0.3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21" t="str">
        <f t="shared" si="3"/>
        <v>..</v>
      </c>
      <c r="O84" s="14" t="e">
        <f>LOOKUP(N84,'Matrice AP'!A:A,'Matrice AP'!H:H)</f>
        <v>#N/A</v>
      </c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</row>
    <row r="85" spans="1:39" ht="21" x14ac:dyDescent="0.3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21" t="str">
        <f t="shared" si="3"/>
        <v>..</v>
      </c>
      <c r="O85" s="14" t="e">
        <f>LOOKUP(N85,'Matrice AP'!A:A,'Matrice AP'!H:H)</f>
        <v>#N/A</v>
      </c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</row>
    <row r="86" spans="1:39" ht="21" x14ac:dyDescent="0.3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21" t="str">
        <f t="shared" si="3"/>
        <v>..</v>
      </c>
      <c r="O86" s="14" t="e">
        <f>LOOKUP(N86,'Matrice AP'!A:A,'Matrice AP'!H:H)</f>
        <v>#N/A</v>
      </c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</row>
    <row r="87" spans="1:39" ht="21" x14ac:dyDescent="0.3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21" t="str">
        <f t="shared" si="3"/>
        <v>..</v>
      </c>
      <c r="O87" s="14" t="e">
        <f>LOOKUP(N87,'Matrice AP'!A:A,'Matrice AP'!H:H)</f>
        <v>#N/A</v>
      </c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</row>
    <row r="88" spans="1:39" ht="21" x14ac:dyDescent="0.3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21" t="str">
        <f t="shared" si="3"/>
        <v>..</v>
      </c>
      <c r="O88" s="14" t="e">
        <f>LOOKUP(N88,'Matrice AP'!A:A,'Matrice AP'!H:H)</f>
        <v>#N/A</v>
      </c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</row>
    <row r="89" spans="1:39" ht="21" x14ac:dyDescent="0.3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21" t="str">
        <f t="shared" si="3"/>
        <v>..</v>
      </c>
      <c r="O89" s="14" t="e">
        <f>LOOKUP(N89,'Matrice AP'!A:A,'Matrice AP'!H:H)</f>
        <v>#N/A</v>
      </c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</row>
    <row r="90" spans="1:39" ht="21" x14ac:dyDescent="0.3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21" t="str">
        <f t="shared" si="3"/>
        <v>..</v>
      </c>
      <c r="O90" s="14" t="e">
        <f>LOOKUP(N90,'Matrice AP'!A:A,'Matrice AP'!H:H)</f>
        <v>#N/A</v>
      </c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</row>
    <row r="91" spans="1:39" ht="21" x14ac:dyDescent="0.3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21" t="str">
        <f t="shared" si="3"/>
        <v>..</v>
      </c>
      <c r="O91" s="14" t="e">
        <f>LOOKUP(N91,'Matrice AP'!A:A,'Matrice AP'!H:H)</f>
        <v>#N/A</v>
      </c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</row>
    <row r="92" spans="1:39" ht="21" x14ac:dyDescent="0.3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21" t="str">
        <f t="shared" si="3"/>
        <v>..</v>
      </c>
      <c r="O92" s="14" t="e">
        <f>LOOKUP(N92,'Matrice AP'!A:A,'Matrice AP'!H:H)</f>
        <v>#N/A</v>
      </c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</row>
    <row r="93" spans="1:39" ht="21" x14ac:dyDescent="0.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21" t="str">
        <f t="shared" si="3"/>
        <v>..</v>
      </c>
      <c r="O93" s="14" t="e">
        <f>LOOKUP(N93,'Matrice AP'!A:A,'Matrice AP'!H:H)</f>
        <v>#N/A</v>
      </c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</row>
    <row r="94" spans="1:39" ht="21" x14ac:dyDescent="0.3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21" t="str">
        <f t="shared" si="3"/>
        <v>..</v>
      </c>
      <c r="O94" s="14" t="e">
        <f>LOOKUP(N94,'Matrice AP'!A:A,'Matrice AP'!H:H)</f>
        <v>#N/A</v>
      </c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</row>
    <row r="95" spans="1:39" ht="21" x14ac:dyDescent="0.3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21" t="str">
        <f t="shared" si="3"/>
        <v>..</v>
      </c>
      <c r="O95" s="14" t="e">
        <f>LOOKUP(N95,'Matrice AP'!A:A,'Matrice AP'!H:H)</f>
        <v>#N/A</v>
      </c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</row>
    <row r="96" spans="1:39" ht="21" x14ac:dyDescent="0.3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21" t="str">
        <f t="shared" si="3"/>
        <v>..</v>
      </c>
      <c r="O96" s="14" t="e">
        <f>LOOKUP(N96,'Matrice AP'!A:A,'Matrice AP'!H:H)</f>
        <v>#N/A</v>
      </c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</row>
    <row r="97" spans="1:39" ht="21" x14ac:dyDescent="0.3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21" t="str">
        <f t="shared" si="3"/>
        <v>..</v>
      </c>
      <c r="O97" s="14" t="e">
        <f>LOOKUP(N97,'Matrice AP'!A:A,'Matrice AP'!H:H)</f>
        <v>#N/A</v>
      </c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</row>
    <row r="98" spans="1:39" ht="21" x14ac:dyDescent="0.3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21" t="str">
        <f t="shared" si="3"/>
        <v>..</v>
      </c>
      <c r="O98" s="14" t="e">
        <f>LOOKUP(N98,'Matrice AP'!A:A,'Matrice AP'!H:H)</f>
        <v>#N/A</v>
      </c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</row>
    <row r="99" spans="1:39" ht="21" x14ac:dyDescent="0.3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21" t="str">
        <f t="shared" si="3"/>
        <v>..</v>
      </c>
      <c r="O99" s="14" t="e">
        <f>LOOKUP(N99,'Matrice AP'!A:A,'Matrice AP'!H:H)</f>
        <v>#N/A</v>
      </c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</row>
    <row r="100" spans="1:39" ht="21" x14ac:dyDescent="0.3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21" t="e">
        <f>CONCATENATE(G00,".",K00,".",M00)</f>
        <v>#NAME?</v>
      </c>
      <c r="O100" s="14" t="e">
        <f>LOOKUP(N00,'Matrice AP'!A:A,'Matrice AP'!H:H)</f>
        <v>#NAME?</v>
      </c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</row>
    <row r="101" spans="1:39" ht="21" x14ac:dyDescent="0.3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21" t="str">
        <f t="shared" ref="N101:N109" si="4">CONCATENATE(G1,".",K1,".",M1)</f>
        <v>..</v>
      </c>
      <c r="O101" s="14" t="e">
        <f>LOOKUP(N1,'Matrice AP'!A:A,'Matrice AP'!H:H)</f>
        <v>#N/A</v>
      </c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</row>
    <row r="102" spans="1:39" ht="42" x14ac:dyDescent="0.3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21" t="str">
        <f t="shared" si="4"/>
        <v>Sévérité.Occurrence.Détection</v>
      </c>
      <c r="O102" s="14" t="e">
        <f>LOOKUP(N2,'Matrice AP'!A:A,'Matrice AP'!H:H)</f>
        <v>#N/A</v>
      </c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</row>
    <row r="103" spans="1:39" ht="21" x14ac:dyDescent="0.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21" t="str">
        <f t="shared" si="4"/>
        <v>..</v>
      </c>
      <c r="O103" s="14" t="e">
        <f>LOOKUP(N3,'Matrice AP'!A:A,'Matrice AP'!H:H)</f>
        <v>#N/A</v>
      </c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</row>
    <row r="104" spans="1:39" ht="21" x14ac:dyDescent="0.3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21" t="str">
        <f t="shared" si="4"/>
        <v>3.9.1</v>
      </c>
      <c r="O104" s="14" t="e">
        <f>LOOKUP(N4,'Matrice AP'!A:A,'Matrice AP'!H:H)</f>
        <v>#N/A</v>
      </c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</row>
    <row r="105" spans="1:39" ht="21" x14ac:dyDescent="0.3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21" t="str">
        <f t="shared" si="4"/>
        <v>5.3.2</v>
      </c>
      <c r="O105" s="14" t="e">
        <f>LOOKUP(N5,'Matrice AP'!A:A,'Matrice AP'!H:H)</f>
        <v>#N/A</v>
      </c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</row>
    <row r="106" spans="1:39" ht="21" x14ac:dyDescent="0.3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21" t="str">
        <f t="shared" si="4"/>
        <v>5.8.1</v>
      </c>
      <c r="O106" s="14" t="e">
        <f>LOOKUP(N6,'Matrice AP'!A:A,'Matrice AP'!H:H)</f>
        <v>#N/A</v>
      </c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</row>
    <row r="107" spans="1:39" ht="21" x14ac:dyDescent="0.3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21" t="str">
        <f t="shared" si="4"/>
        <v>4.2.1</v>
      </c>
      <c r="O107" s="14" t="e">
        <f>LOOKUP(N7,'Matrice AP'!A:A,'Matrice AP'!H:H)</f>
        <v>#N/A</v>
      </c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</row>
    <row r="108" spans="1:39" ht="21" x14ac:dyDescent="0.3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21" t="str">
        <f t="shared" si="4"/>
        <v>6.3.2</v>
      </c>
      <c r="O108" s="14" t="e">
        <f>LOOKUP(N8,'Matrice AP'!A:A,'Matrice AP'!H:H)</f>
        <v>#N/A</v>
      </c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</row>
    <row r="109" spans="1:39" ht="21" x14ac:dyDescent="0.3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21" t="str">
        <f t="shared" si="4"/>
        <v>3.3.10</v>
      </c>
      <c r="O109" s="14" t="e">
        <f>LOOKUP(N9,'Matrice AP'!A:A,'Matrice AP'!H:H)</f>
        <v>#N/A</v>
      </c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</row>
    <row r="110" spans="1:39" ht="21" x14ac:dyDescent="0.3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21" t="e">
        <f>CONCATENATE(G0,".",K0,".",M0)</f>
        <v>#NAME?</v>
      </c>
      <c r="O110" s="14" t="e">
        <f>LOOKUP(N0,'Matrice AP'!A:A,'Matrice AP'!H:H)</f>
        <v>#NAME?</v>
      </c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</row>
    <row r="111" spans="1:39" ht="21" x14ac:dyDescent="0.3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21" t="str">
        <f t="shared" si="3"/>
        <v>..</v>
      </c>
      <c r="O111" s="14" t="e">
        <f>LOOKUP(N111,'Matrice AP'!A:A,'Matrice AP'!H:H)</f>
        <v>#N/A</v>
      </c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</row>
    <row r="112" spans="1:39" ht="21" x14ac:dyDescent="0.3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21" t="str">
        <f t="shared" si="3"/>
        <v>..</v>
      </c>
      <c r="O112" s="14" t="e">
        <f>LOOKUP(N112,'Matrice AP'!A:A,'Matrice AP'!H:H)</f>
        <v>#N/A</v>
      </c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</row>
    <row r="113" spans="1:39" ht="21" x14ac:dyDescent="0.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21" t="str">
        <f t="shared" si="3"/>
        <v>..</v>
      </c>
      <c r="O113" s="14" t="e">
        <f>LOOKUP(N113,'Matrice AP'!A:A,'Matrice AP'!H:H)</f>
        <v>#N/A</v>
      </c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</row>
    <row r="114" spans="1:39" ht="21" x14ac:dyDescent="0.3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21" t="str">
        <f t="shared" si="3"/>
        <v>..</v>
      </c>
      <c r="O114" s="14" t="e">
        <f>LOOKUP(N114,'Matrice AP'!A:A,'Matrice AP'!H:H)</f>
        <v>#N/A</v>
      </c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</row>
    <row r="115" spans="1:39" ht="21" x14ac:dyDescent="0.3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21" t="str">
        <f t="shared" si="3"/>
        <v>..</v>
      </c>
      <c r="O115" s="14" t="e">
        <f>LOOKUP(N115,'Matrice AP'!A:A,'Matrice AP'!H:H)</f>
        <v>#N/A</v>
      </c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</row>
    <row r="116" spans="1:39" ht="21" x14ac:dyDescent="0.3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21" t="str">
        <f t="shared" si="3"/>
        <v>..</v>
      </c>
      <c r="O116" s="14" t="e">
        <f>LOOKUP(N116,'Matrice AP'!A:A,'Matrice AP'!H:H)</f>
        <v>#N/A</v>
      </c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</row>
    <row r="117" spans="1:39" ht="21" x14ac:dyDescent="0.3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21" t="str">
        <f t="shared" si="3"/>
        <v>..</v>
      </c>
      <c r="O117" s="14" t="e">
        <f>LOOKUP(N117,'Matrice AP'!A:A,'Matrice AP'!H:H)</f>
        <v>#N/A</v>
      </c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</row>
    <row r="118" spans="1:39" ht="21" x14ac:dyDescent="0.3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21" t="str">
        <f t="shared" si="3"/>
        <v>..</v>
      </c>
      <c r="O118" s="14" t="e">
        <f>LOOKUP(N118,'Matrice AP'!A:A,'Matrice AP'!H:H)</f>
        <v>#N/A</v>
      </c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</row>
    <row r="119" spans="1:39" ht="21" x14ac:dyDescent="0.3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21" t="str">
        <f t="shared" si="3"/>
        <v>..</v>
      </c>
      <c r="O119" s="14" t="e">
        <f>LOOKUP(N119,'Matrice AP'!A:A,'Matrice AP'!H:H)</f>
        <v>#N/A</v>
      </c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</row>
    <row r="120" spans="1:39" ht="21" x14ac:dyDescent="0.3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21" t="str">
        <f t="shared" si="3"/>
        <v>..</v>
      </c>
      <c r="O120" s="14" t="e">
        <f>LOOKUP(N120,'Matrice AP'!A:A,'Matrice AP'!H:H)</f>
        <v>#N/A</v>
      </c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</row>
    <row r="121" spans="1:39" ht="21" x14ac:dyDescent="0.3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21" t="str">
        <f t="shared" si="3"/>
        <v>..</v>
      </c>
      <c r="O121" s="14" t="e">
        <f>LOOKUP(N121,'Matrice AP'!A:A,'Matrice AP'!H:H)</f>
        <v>#N/A</v>
      </c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</row>
    <row r="122" spans="1:39" ht="21" x14ac:dyDescent="0.3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21" t="str">
        <f t="shared" si="3"/>
        <v>..</v>
      </c>
      <c r="O122" s="14" t="e">
        <f>LOOKUP(N122,'Matrice AP'!A:A,'Matrice AP'!H:H)</f>
        <v>#N/A</v>
      </c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</row>
    <row r="123" spans="1:39" ht="21" x14ac:dyDescent="0.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21" t="str">
        <f t="shared" si="3"/>
        <v>..</v>
      </c>
      <c r="O123" s="14" t="e">
        <f>LOOKUP(N123,'Matrice AP'!A:A,'Matrice AP'!H:H)</f>
        <v>#N/A</v>
      </c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</row>
    <row r="124" spans="1:39" ht="21" x14ac:dyDescent="0.3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21" t="str">
        <f t="shared" si="3"/>
        <v>..</v>
      </c>
      <c r="O124" s="14" t="e">
        <f>LOOKUP(N124,'Matrice AP'!A:A,'Matrice AP'!H:H)</f>
        <v>#N/A</v>
      </c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</row>
    <row r="125" spans="1:39" ht="21" x14ac:dyDescent="0.3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21" t="str">
        <f t="shared" si="3"/>
        <v>..</v>
      </c>
      <c r="O125" s="14" t="e">
        <f>LOOKUP(N125,'Matrice AP'!A:A,'Matrice AP'!H:H)</f>
        <v>#N/A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</row>
    <row r="126" spans="1:39" ht="21" x14ac:dyDescent="0.3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21" t="str">
        <f t="shared" si="3"/>
        <v>..</v>
      </c>
      <c r="O126" s="14" t="e">
        <f>LOOKUP(N126,'Matrice AP'!A:A,'Matrice AP'!H:H)</f>
        <v>#N/A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</row>
    <row r="127" spans="1:39" ht="21" x14ac:dyDescent="0.3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21" t="str">
        <f t="shared" si="3"/>
        <v>..</v>
      </c>
      <c r="O127" s="14" t="e">
        <f>LOOKUP(N127,'Matrice AP'!A:A,'Matrice AP'!H:H)</f>
        <v>#N/A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</row>
    <row r="128" spans="1:39" ht="21" x14ac:dyDescent="0.3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21" t="str">
        <f t="shared" si="3"/>
        <v>..</v>
      </c>
      <c r="O128" s="14" t="e">
        <f>LOOKUP(N128,'Matrice AP'!A:A,'Matrice AP'!H:H)</f>
        <v>#N/A</v>
      </c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</row>
    <row r="129" spans="1:39" ht="21" x14ac:dyDescent="0.3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21" t="str">
        <f t="shared" si="3"/>
        <v>..</v>
      </c>
      <c r="O129" s="14" t="e">
        <f>LOOKUP(N129,'Matrice AP'!A:A,'Matrice AP'!H:H)</f>
        <v>#N/A</v>
      </c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</row>
    <row r="130" spans="1:39" ht="21" x14ac:dyDescent="0.3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21" t="str">
        <f t="shared" si="3"/>
        <v>..</v>
      </c>
      <c r="O130" s="14" t="e">
        <f>LOOKUP(N130,'Matrice AP'!A:A,'Matrice AP'!H:H)</f>
        <v>#N/A</v>
      </c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</row>
    <row r="131" spans="1:39" ht="21" x14ac:dyDescent="0.3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21" t="str">
        <f t="shared" si="3"/>
        <v>..</v>
      </c>
      <c r="O131" s="14" t="e">
        <f>LOOKUP(N131,'Matrice AP'!A:A,'Matrice AP'!H:H)</f>
        <v>#N/A</v>
      </c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</row>
    <row r="132" spans="1:39" ht="21" x14ac:dyDescent="0.3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21" t="str">
        <f t="shared" si="3"/>
        <v>..</v>
      </c>
      <c r="O132" s="14" t="e">
        <f>LOOKUP(N132,'Matrice AP'!A:A,'Matrice AP'!H:H)</f>
        <v>#N/A</v>
      </c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</row>
    <row r="133" spans="1:39" ht="21" x14ac:dyDescent="0.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21" t="str">
        <f t="shared" ref="N133:N196" si="5">CONCATENATE(G133,".",K133,".",M133)</f>
        <v>..</v>
      </c>
      <c r="O133" s="14" t="e">
        <f>LOOKUP(N133,'Matrice AP'!A:A,'Matrice AP'!H:H)</f>
        <v>#N/A</v>
      </c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</row>
    <row r="134" spans="1:39" ht="21" x14ac:dyDescent="0.3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21" t="str">
        <f t="shared" si="5"/>
        <v>..</v>
      </c>
      <c r="O134" s="14" t="e">
        <f>LOOKUP(N134,'Matrice AP'!A:A,'Matrice AP'!H:H)</f>
        <v>#N/A</v>
      </c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</row>
    <row r="135" spans="1:39" ht="21" x14ac:dyDescent="0.3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21" t="str">
        <f t="shared" si="5"/>
        <v>..</v>
      </c>
      <c r="O135" s="14" t="e">
        <f>LOOKUP(N135,'Matrice AP'!A:A,'Matrice AP'!H:H)</f>
        <v>#N/A</v>
      </c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</row>
    <row r="136" spans="1:39" ht="21" x14ac:dyDescent="0.3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21" t="str">
        <f t="shared" si="5"/>
        <v>..</v>
      </c>
      <c r="O136" s="14" t="e">
        <f>LOOKUP(N136,'Matrice AP'!A:A,'Matrice AP'!H:H)</f>
        <v>#N/A</v>
      </c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</row>
    <row r="137" spans="1:39" ht="21" x14ac:dyDescent="0.3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21" t="str">
        <f t="shared" si="5"/>
        <v>..</v>
      </c>
      <c r="O137" s="14" t="e">
        <f>LOOKUP(N137,'Matrice AP'!A:A,'Matrice AP'!H:H)</f>
        <v>#N/A</v>
      </c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</row>
    <row r="138" spans="1:39" ht="21" x14ac:dyDescent="0.3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21" t="str">
        <f t="shared" si="5"/>
        <v>..</v>
      </c>
      <c r="O138" s="14" t="e">
        <f>LOOKUP(N138,'Matrice AP'!A:A,'Matrice AP'!H:H)</f>
        <v>#N/A</v>
      </c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</row>
    <row r="139" spans="1:39" ht="21" x14ac:dyDescent="0.3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21" t="str">
        <f t="shared" si="5"/>
        <v>..</v>
      </c>
      <c r="O139" s="14" t="e">
        <f>LOOKUP(N139,'Matrice AP'!A:A,'Matrice AP'!H:H)</f>
        <v>#N/A</v>
      </c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</row>
    <row r="140" spans="1:39" ht="21" x14ac:dyDescent="0.3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21" t="str">
        <f t="shared" si="5"/>
        <v>..</v>
      </c>
      <c r="O140" s="14" t="e">
        <f>LOOKUP(N140,'Matrice AP'!A:A,'Matrice AP'!H:H)</f>
        <v>#N/A</v>
      </c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</row>
    <row r="141" spans="1:39" ht="21" x14ac:dyDescent="0.3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21" t="str">
        <f t="shared" si="5"/>
        <v>..</v>
      </c>
      <c r="O141" s="14" t="e">
        <f>LOOKUP(N141,'Matrice AP'!A:A,'Matrice AP'!H:H)</f>
        <v>#N/A</v>
      </c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</row>
    <row r="142" spans="1:39" ht="21" x14ac:dyDescent="0.3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21" t="str">
        <f t="shared" si="5"/>
        <v>..</v>
      </c>
      <c r="O142" s="14" t="e">
        <f>LOOKUP(N142,'Matrice AP'!A:A,'Matrice AP'!H:H)</f>
        <v>#N/A</v>
      </c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</row>
    <row r="143" spans="1:39" ht="21" x14ac:dyDescent="0.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21" t="str">
        <f t="shared" si="5"/>
        <v>..</v>
      </c>
      <c r="O143" s="14" t="e">
        <f>LOOKUP(N143,'Matrice AP'!A:A,'Matrice AP'!H:H)</f>
        <v>#N/A</v>
      </c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</row>
    <row r="144" spans="1:39" ht="21" x14ac:dyDescent="0.3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21" t="str">
        <f t="shared" si="5"/>
        <v>..</v>
      </c>
      <c r="O144" s="14" t="e">
        <f>LOOKUP(N144,'Matrice AP'!A:A,'Matrice AP'!H:H)</f>
        <v>#N/A</v>
      </c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</row>
    <row r="145" spans="1:39" ht="21" x14ac:dyDescent="0.3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21" t="str">
        <f t="shared" si="5"/>
        <v>..</v>
      </c>
      <c r="O145" s="14" t="e">
        <f>LOOKUP(N145,'Matrice AP'!A:A,'Matrice AP'!H:H)</f>
        <v>#N/A</v>
      </c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</row>
    <row r="146" spans="1:39" ht="21" x14ac:dyDescent="0.3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21" t="str">
        <f t="shared" si="5"/>
        <v>..</v>
      </c>
      <c r="O146" s="14" t="e">
        <f>LOOKUP(N146,'Matrice AP'!A:A,'Matrice AP'!H:H)</f>
        <v>#N/A</v>
      </c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</row>
    <row r="147" spans="1:39" ht="21" x14ac:dyDescent="0.3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21" t="str">
        <f t="shared" si="5"/>
        <v>..</v>
      </c>
      <c r="O147" s="14" t="e">
        <f>LOOKUP(N147,'Matrice AP'!A:A,'Matrice AP'!H:H)</f>
        <v>#N/A</v>
      </c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</row>
    <row r="148" spans="1:39" ht="21" x14ac:dyDescent="0.3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21" t="str">
        <f t="shared" si="5"/>
        <v>..</v>
      </c>
      <c r="O148" s="14" t="e">
        <f>LOOKUP(N148,'Matrice AP'!A:A,'Matrice AP'!H:H)</f>
        <v>#N/A</v>
      </c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</row>
    <row r="149" spans="1:39" ht="21" x14ac:dyDescent="0.3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21" t="str">
        <f t="shared" si="5"/>
        <v>..</v>
      </c>
      <c r="O149" s="14" t="e">
        <f>LOOKUP(N149,'Matrice AP'!A:A,'Matrice AP'!H:H)</f>
        <v>#N/A</v>
      </c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</row>
    <row r="150" spans="1:39" ht="21" x14ac:dyDescent="0.3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21" t="str">
        <f t="shared" si="5"/>
        <v>..</v>
      </c>
      <c r="O150" s="14" t="e">
        <f>LOOKUP(N150,'Matrice AP'!A:A,'Matrice AP'!H:H)</f>
        <v>#N/A</v>
      </c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</row>
    <row r="151" spans="1:39" ht="21" x14ac:dyDescent="0.3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21" t="str">
        <f t="shared" si="5"/>
        <v>..</v>
      </c>
      <c r="O151" s="14" t="e">
        <f>LOOKUP(N151,'Matrice AP'!A:A,'Matrice AP'!H:H)</f>
        <v>#N/A</v>
      </c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</row>
    <row r="152" spans="1:39" ht="21" x14ac:dyDescent="0.3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21" t="str">
        <f t="shared" si="5"/>
        <v>..</v>
      </c>
      <c r="O152" s="14" t="e">
        <f>LOOKUP(N152,'Matrice AP'!A:A,'Matrice AP'!H:H)</f>
        <v>#N/A</v>
      </c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</row>
    <row r="153" spans="1:39" ht="21" x14ac:dyDescent="0.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21" t="str">
        <f t="shared" si="5"/>
        <v>..</v>
      </c>
      <c r="O153" s="14" t="e">
        <f>LOOKUP(N153,'Matrice AP'!A:A,'Matrice AP'!H:H)</f>
        <v>#N/A</v>
      </c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</row>
    <row r="154" spans="1:39" ht="21" x14ac:dyDescent="0.3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21" t="str">
        <f t="shared" si="5"/>
        <v>..</v>
      </c>
      <c r="O154" s="14" t="e">
        <f>LOOKUP(N154,'Matrice AP'!A:A,'Matrice AP'!H:H)</f>
        <v>#N/A</v>
      </c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</row>
    <row r="155" spans="1:39" ht="21" x14ac:dyDescent="0.3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21" t="str">
        <f t="shared" si="5"/>
        <v>..</v>
      </c>
      <c r="O155" s="14" t="e">
        <f>LOOKUP(N155,'Matrice AP'!A:A,'Matrice AP'!H:H)</f>
        <v>#N/A</v>
      </c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</row>
    <row r="156" spans="1:39" ht="21" x14ac:dyDescent="0.3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21" t="str">
        <f t="shared" si="5"/>
        <v>..</v>
      </c>
      <c r="O156" s="14" t="e">
        <f>LOOKUP(N156,'Matrice AP'!A:A,'Matrice AP'!H:H)</f>
        <v>#N/A</v>
      </c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</row>
    <row r="157" spans="1:39" ht="21" x14ac:dyDescent="0.3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21" t="str">
        <f t="shared" si="5"/>
        <v>..</v>
      </c>
      <c r="O157" s="14" t="e">
        <f>LOOKUP(N157,'Matrice AP'!A:A,'Matrice AP'!H:H)</f>
        <v>#N/A</v>
      </c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</row>
    <row r="158" spans="1:39" ht="21" x14ac:dyDescent="0.3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21" t="str">
        <f t="shared" si="5"/>
        <v>..</v>
      </c>
      <c r="O158" s="14" t="e">
        <f>LOOKUP(N158,'Matrice AP'!A:A,'Matrice AP'!H:H)</f>
        <v>#N/A</v>
      </c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</row>
    <row r="159" spans="1:39" ht="21" x14ac:dyDescent="0.3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21" t="str">
        <f t="shared" si="5"/>
        <v>..</v>
      </c>
      <c r="O159" s="14" t="e">
        <f>LOOKUP(N159,'Matrice AP'!A:A,'Matrice AP'!H:H)</f>
        <v>#N/A</v>
      </c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</row>
    <row r="160" spans="1:39" ht="21" x14ac:dyDescent="0.3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21" t="str">
        <f t="shared" si="5"/>
        <v>..</v>
      </c>
      <c r="O160" s="14" t="e">
        <f>LOOKUP(N160,'Matrice AP'!A:A,'Matrice AP'!H:H)</f>
        <v>#N/A</v>
      </c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</row>
    <row r="161" spans="1:39" ht="21" x14ac:dyDescent="0.3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21" t="str">
        <f t="shared" si="5"/>
        <v>..</v>
      </c>
      <c r="O161" s="14" t="e">
        <f>LOOKUP(N161,'Matrice AP'!A:A,'Matrice AP'!H:H)</f>
        <v>#N/A</v>
      </c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</row>
    <row r="162" spans="1:39" ht="21" x14ac:dyDescent="0.3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21" t="str">
        <f t="shared" si="5"/>
        <v>..</v>
      </c>
      <c r="O162" s="14" t="e">
        <f>LOOKUP(N162,'Matrice AP'!A:A,'Matrice AP'!H:H)</f>
        <v>#N/A</v>
      </c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</row>
    <row r="163" spans="1:39" ht="21" x14ac:dyDescent="0.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21" t="str">
        <f t="shared" si="5"/>
        <v>..</v>
      </c>
      <c r="O163" s="14" t="e">
        <f>LOOKUP(N163,'Matrice AP'!A:A,'Matrice AP'!H:H)</f>
        <v>#N/A</v>
      </c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</row>
    <row r="164" spans="1:39" ht="21" x14ac:dyDescent="0.3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21" t="str">
        <f t="shared" si="5"/>
        <v>..</v>
      </c>
      <c r="O164" s="14" t="e">
        <f>LOOKUP(N164,'Matrice AP'!A:A,'Matrice AP'!H:H)</f>
        <v>#N/A</v>
      </c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</row>
    <row r="165" spans="1:39" ht="21" x14ac:dyDescent="0.3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21" t="str">
        <f t="shared" si="5"/>
        <v>..</v>
      </c>
      <c r="O165" s="14" t="e">
        <f>LOOKUP(N165,'Matrice AP'!A:A,'Matrice AP'!H:H)</f>
        <v>#N/A</v>
      </c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</row>
    <row r="166" spans="1:39" ht="21" x14ac:dyDescent="0.3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21" t="str">
        <f t="shared" si="5"/>
        <v>..</v>
      </c>
      <c r="O166" s="14" t="e">
        <f>LOOKUP(N166,'Matrice AP'!A:A,'Matrice AP'!H:H)</f>
        <v>#N/A</v>
      </c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</row>
    <row r="167" spans="1:39" ht="21" x14ac:dyDescent="0.3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21" t="str">
        <f t="shared" si="5"/>
        <v>..</v>
      </c>
      <c r="O167" s="14" t="e">
        <f>LOOKUP(N167,'Matrice AP'!A:A,'Matrice AP'!H:H)</f>
        <v>#N/A</v>
      </c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</row>
    <row r="168" spans="1:39" ht="21" x14ac:dyDescent="0.3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21" t="str">
        <f t="shared" si="5"/>
        <v>..</v>
      </c>
      <c r="O168" s="14" t="e">
        <f>LOOKUP(N168,'Matrice AP'!A:A,'Matrice AP'!H:H)</f>
        <v>#N/A</v>
      </c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</row>
    <row r="169" spans="1:39" ht="21" x14ac:dyDescent="0.3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21" t="str">
        <f t="shared" si="5"/>
        <v>..</v>
      </c>
      <c r="O169" s="14" t="e">
        <f>LOOKUP(N169,'Matrice AP'!A:A,'Matrice AP'!H:H)</f>
        <v>#N/A</v>
      </c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</row>
    <row r="170" spans="1:39" ht="21" x14ac:dyDescent="0.3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21" t="str">
        <f t="shared" si="5"/>
        <v>..</v>
      </c>
      <c r="O170" s="14" t="e">
        <f>LOOKUP(N170,'Matrice AP'!A:A,'Matrice AP'!H:H)</f>
        <v>#N/A</v>
      </c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</row>
    <row r="171" spans="1:39" ht="21" x14ac:dyDescent="0.3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21" t="str">
        <f t="shared" si="5"/>
        <v>..</v>
      </c>
      <c r="O171" s="14" t="e">
        <f>LOOKUP(N171,'Matrice AP'!A:A,'Matrice AP'!H:H)</f>
        <v>#N/A</v>
      </c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</row>
    <row r="172" spans="1:39" ht="21" x14ac:dyDescent="0.3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21" t="str">
        <f t="shared" si="5"/>
        <v>..</v>
      </c>
      <c r="O172" s="14" t="e">
        <f>LOOKUP(N172,'Matrice AP'!A:A,'Matrice AP'!H:H)</f>
        <v>#N/A</v>
      </c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</row>
    <row r="173" spans="1:39" ht="21" x14ac:dyDescent="0.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21" t="str">
        <f t="shared" si="5"/>
        <v>..</v>
      </c>
      <c r="O173" s="14" t="e">
        <f>LOOKUP(N173,'Matrice AP'!A:A,'Matrice AP'!H:H)</f>
        <v>#N/A</v>
      </c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</row>
    <row r="174" spans="1:39" ht="21" x14ac:dyDescent="0.3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21" t="str">
        <f t="shared" si="5"/>
        <v>..</v>
      </c>
      <c r="O174" s="14" t="e">
        <f>LOOKUP(N174,'Matrice AP'!A:A,'Matrice AP'!H:H)</f>
        <v>#N/A</v>
      </c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</row>
    <row r="175" spans="1:39" ht="21" x14ac:dyDescent="0.3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21" t="str">
        <f t="shared" si="5"/>
        <v>..</v>
      </c>
      <c r="O175" s="14" t="e">
        <f>LOOKUP(N175,'Matrice AP'!A:A,'Matrice AP'!H:H)</f>
        <v>#N/A</v>
      </c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</row>
    <row r="176" spans="1:39" ht="21" x14ac:dyDescent="0.3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21" t="str">
        <f t="shared" si="5"/>
        <v>..</v>
      </c>
      <c r="O176" s="14" t="e">
        <f>LOOKUP(N176,'Matrice AP'!A:A,'Matrice AP'!H:H)</f>
        <v>#N/A</v>
      </c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</row>
    <row r="177" spans="1:39" ht="21" x14ac:dyDescent="0.3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21" t="str">
        <f t="shared" si="5"/>
        <v>..</v>
      </c>
      <c r="O177" s="14" t="e">
        <f>LOOKUP(N177,'Matrice AP'!A:A,'Matrice AP'!H:H)</f>
        <v>#N/A</v>
      </c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</row>
    <row r="178" spans="1:39" ht="21" x14ac:dyDescent="0.3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21" t="str">
        <f t="shared" si="5"/>
        <v>..</v>
      </c>
      <c r="O178" s="14" t="e">
        <f>LOOKUP(N178,'Matrice AP'!A:A,'Matrice AP'!H:H)</f>
        <v>#N/A</v>
      </c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</row>
    <row r="179" spans="1:39" ht="21" x14ac:dyDescent="0.3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21" t="str">
        <f t="shared" si="5"/>
        <v>..</v>
      </c>
      <c r="O179" s="14" t="e">
        <f>LOOKUP(N179,'Matrice AP'!A:A,'Matrice AP'!H:H)</f>
        <v>#N/A</v>
      </c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</row>
    <row r="180" spans="1:39" ht="21" x14ac:dyDescent="0.3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21" t="str">
        <f t="shared" si="5"/>
        <v>..</v>
      </c>
      <c r="O180" s="14" t="e">
        <f>LOOKUP(N180,'Matrice AP'!A:A,'Matrice AP'!H:H)</f>
        <v>#N/A</v>
      </c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</row>
    <row r="181" spans="1:39" ht="21" x14ac:dyDescent="0.3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21" t="str">
        <f t="shared" si="5"/>
        <v>..</v>
      </c>
      <c r="O181" s="14" t="e">
        <f>LOOKUP(N181,'Matrice AP'!A:A,'Matrice AP'!H:H)</f>
        <v>#N/A</v>
      </c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</row>
    <row r="182" spans="1:39" ht="21" x14ac:dyDescent="0.3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21" t="str">
        <f t="shared" si="5"/>
        <v>..</v>
      </c>
      <c r="O182" s="14" t="e">
        <f>LOOKUP(N182,'Matrice AP'!A:A,'Matrice AP'!H:H)</f>
        <v>#N/A</v>
      </c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</row>
    <row r="183" spans="1:39" ht="21" x14ac:dyDescent="0.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21" t="str">
        <f t="shared" si="5"/>
        <v>..</v>
      </c>
      <c r="O183" s="14" t="e">
        <f>LOOKUP(N183,'Matrice AP'!A:A,'Matrice AP'!H:H)</f>
        <v>#N/A</v>
      </c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</row>
    <row r="184" spans="1:39" ht="21" x14ac:dyDescent="0.3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21" t="str">
        <f t="shared" si="5"/>
        <v>..</v>
      </c>
      <c r="O184" s="14" t="e">
        <f>LOOKUP(N184,'Matrice AP'!A:A,'Matrice AP'!H:H)</f>
        <v>#N/A</v>
      </c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</row>
    <row r="185" spans="1:39" ht="21" x14ac:dyDescent="0.3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21" t="str">
        <f t="shared" si="5"/>
        <v>..</v>
      </c>
      <c r="O185" s="14" t="e">
        <f>LOOKUP(N185,'Matrice AP'!A:A,'Matrice AP'!H:H)</f>
        <v>#N/A</v>
      </c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</row>
    <row r="186" spans="1:39" ht="21" x14ac:dyDescent="0.3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21" t="str">
        <f t="shared" si="5"/>
        <v>..</v>
      </c>
      <c r="O186" s="14" t="e">
        <f>LOOKUP(N186,'Matrice AP'!A:A,'Matrice AP'!H:H)</f>
        <v>#N/A</v>
      </c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</row>
    <row r="187" spans="1:39" ht="21" x14ac:dyDescent="0.3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21" t="str">
        <f t="shared" si="5"/>
        <v>..</v>
      </c>
      <c r="O187" s="14" t="e">
        <f>LOOKUP(N187,'Matrice AP'!A:A,'Matrice AP'!H:H)</f>
        <v>#N/A</v>
      </c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</row>
    <row r="188" spans="1:39" ht="21" x14ac:dyDescent="0.3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21" t="str">
        <f t="shared" si="5"/>
        <v>..</v>
      </c>
      <c r="O188" s="14" t="e">
        <f>LOOKUP(N188,'Matrice AP'!A:A,'Matrice AP'!H:H)</f>
        <v>#N/A</v>
      </c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</row>
    <row r="189" spans="1:39" ht="21" x14ac:dyDescent="0.3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21" t="str">
        <f t="shared" si="5"/>
        <v>..</v>
      </c>
      <c r="O189" s="14" t="e">
        <f>LOOKUP(N189,'Matrice AP'!A:A,'Matrice AP'!H:H)</f>
        <v>#N/A</v>
      </c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</row>
    <row r="190" spans="1:39" ht="21" x14ac:dyDescent="0.3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21" t="str">
        <f t="shared" si="5"/>
        <v>..</v>
      </c>
      <c r="O190" s="14" t="e">
        <f>LOOKUP(N190,'Matrice AP'!A:A,'Matrice AP'!H:H)</f>
        <v>#N/A</v>
      </c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</row>
    <row r="191" spans="1:39" ht="21" x14ac:dyDescent="0.3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21" t="str">
        <f t="shared" si="5"/>
        <v>..</v>
      </c>
      <c r="O191" s="14" t="e">
        <f>LOOKUP(N191,'Matrice AP'!A:A,'Matrice AP'!H:H)</f>
        <v>#N/A</v>
      </c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</row>
    <row r="192" spans="1:39" ht="21" x14ac:dyDescent="0.3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21" t="str">
        <f t="shared" si="5"/>
        <v>..</v>
      </c>
      <c r="O192" s="14" t="e">
        <f>LOOKUP(N192,'Matrice AP'!A:A,'Matrice AP'!H:H)</f>
        <v>#N/A</v>
      </c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</row>
    <row r="193" spans="1:39" ht="21" x14ac:dyDescent="0.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21" t="str">
        <f t="shared" si="5"/>
        <v>..</v>
      </c>
      <c r="O193" s="14" t="e">
        <f>LOOKUP(N193,'Matrice AP'!A:A,'Matrice AP'!H:H)</f>
        <v>#N/A</v>
      </c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</row>
    <row r="194" spans="1:39" ht="21" x14ac:dyDescent="0.3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21" t="str">
        <f t="shared" si="5"/>
        <v>..</v>
      </c>
      <c r="O194" s="14" t="e">
        <f>LOOKUP(N194,'Matrice AP'!A:A,'Matrice AP'!H:H)</f>
        <v>#N/A</v>
      </c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</row>
    <row r="195" spans="1:39" ht="21" x14ac:dyDescent="0.3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21" t="str">
        <f t="shared" si="5"/>
        <v>..</v>
      </c>
      <c r="O195" s="14" t="e">
        <f>LOOKUP(N195,'Matrice AP'!A:A,'Matrice AP'!H:H)</f>
        <v>#N/A</v>
      </c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</row>
    <row r="196" spans="1:39" ht="21" x14ac:dyDescent="0.3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21" t="str">
        <f t="shared" si="5"/>
        <v>..</v>
      </c>
      <c r="O196" s="14" t="e">
        <f>LOOKUP(N196,'Matrice AP'!A:A,'Matrice AP'!H:H)</f>
        <v>#N/A</v>
      </c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</row>
    <row r="197" spans="1:39" ht="21" x14ac:dyDescent="0.3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21" t="str">
        <f t="shared" ref="N197:N260" si="6">CONCATENATE(G197,".",K197,".",M197)</f>
        <v>..</v>
      </c>
      <c r="O197" s="14" t="e">
        <f>LOOKUP(N197,'Matrice AP'!A:A,'Matrice AP'!H:H)</f>
        <v>#N/A</v>
      </c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</row>
    <row r="198" spans="1:39" ht="21" x14ac:dyDescent="0.3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21" t="str">
        <f t="shared" si="6"/>
        <v>..</v>
      </c>
      <c r="O198" s="14" t="e">
        <f>LOOKUP(N198,'Matrice AP'!A:A,'Matrice AP'!H:H)</f>
        <v>#N/A</v>
      </c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</row>
    <row r="199" spans="1:39" ht="21" x14ac:dyDescent="0.3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21" t="str">
        <f t="shared" si="6"/>
        <v>..</v>
      </c>
      <c r="O199" s="14" t="e">
        <f>LOOKUP(N199,'Matrice AP'!A:A,'Matrice AP'!H:H)</f>
        <v>#N/A</v>
      </c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</row>
    <row r="200" spans="1:39" ht="21" x14ac:dyDescent="0.3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21" t="str">
        <f t="shared" si="6"/>
        <v>..</v>
      </c>
      <c r="O200" s="14" t="e">
        <f>LOOKUP(N200,'Matrice AP'!A:A,'Matrice AP'!H:H)</f>
        <v>#N/A</v>
      </c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</row>
    <row r="201" spans="1:39" ht="21" x14ac:dyDescent="0.3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21" t="str">
        <f t="shared" si="6"/>
        <v>..</v>
      </c>
      <c r="O201" s="14" t="e">
        <f>LOOKUP(N201,'Matrice AP'!A:A,'Matrice AP'!H:H)</f>
        <v>#N/A</v>
      </c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</row>
    <row r="202" spans="1:39" ht="21" x14ac:dyDescent="0.3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21" t="str">
        <f t="shared" si="6"/>
        <v>..</v>
      </c>
      <c r="O202" s="14" t="e">
        <f>LOOKUP(N202,'Matrice AP'!A:A,'Matrice AP'!H:H)</f>
        <v>#N/A</v>
      </c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</row>
    <row r="203" spans="1:39" ht="21" x14ac:dyDescent="0.3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21" t="str">
        <f t="shared" si="6"/>
        <v>..</v>
      </c>
      <c r="O203" s="14" t="e">
        <f>LOOKUP(N203,'Matrice AP'!A:A,'Matrice AP'!H:H)</f>
        <v>#N/A</v>
      </c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</row>
    <row r="204" spans="1:39" ht="21" x14ac:dyDescent="0.3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21" t="str">
        <f t="shared" si="6"/>
        <v>..</v>
      </c>
      <c r="O204" s="14" t="e">
        <f>LOOKUP(N204,'Matrice AP'!A:A,'Matrice AP'!H:H)</f>
        <v>#N/A</v>
      </c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</row>
    <row r="205" spans="1:39" ht="21" x14ac:dyDescent="0.3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21" t="str">
        <f t="shared" si="6"/>
        <v>..</v>
      </c>
      <c r="O205" s="14" t="e">
        <f>LOOKUP(N205,'Matrice AP'!A:A,'Matrice AP'!H:H)</f>
        <v>#N/A</v>
      </c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</row>
    <row r="206" spans="1:39" ht="21" x14ac:dyDescent="0.3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21" t="str">
        <f t="shared" si="6"/>
        <v>..</v>
      </c>
      <c r="O206" s="14" t="e">
        <f>LOOKUP(N206,'Matrice AP'!A:A,'Matrice AP'!H:H)</f>
        <v>#N/A</v>
      </c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</row>
    <row r="207" spans="1:39" ht="21" x14ac:dyDescent="0.3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21" t="str">
        <f t="shared" si="6"/>
        <v>..</v>
      </c>
      <c r="O207" s="14" t="e">
        <f>LOOKUP(N207,'Matrice AP'!A:A,'Matrice AP'!H:H)</f>
        <v>#N/A</v>
      </c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</row>
    <row r="208" spans="1:39" ht="21" x14ac:dyDescent="0.3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21" t="str">
        <f t="shared" si="6"/>
        <v>..</v>
      </c>
      <c r="O208" s="14" t="e">
        <f>LOOKUP(N208,'Matrice AP'!A:A,'Matrice AP'!H:H)</f>
        <v>#N/A</v>
      </c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</row>
    <row r="209" spans="1:39" ht="21" x14ac:dyDescent="0.3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21" t="str">
        <f t="shared" si="6"/>
        <v>..</v>
      </c>
      <c r="O209" s="14" t="e">
        <f>LOOKUP(N209,'Matrice AP'!A:A,'Matrice AP'!H:H)</f>
        <v>#N/A</v>
      </c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</row>
    <row r="210" spans="1:39" ht="21" x14ac:dyDescent="0.3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21" t="str">
        <f>CONCATENATE(G20,".",K20,".",M20)</f>
        <v>..</v>
      </c>
      <c r="O210" s="14" t="e">
        <f>LOOKUP(N20,'Matrice AP'!A:A,'Matrice AP'!H:H)</f>
        <v>#N/A</v>
      </c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</row>
    <row r="211" spans="1:39" ht="21" x14ac:dyDescent="0.3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21" t="str">
        <f t="shared" si="6"/>
        <v>..</v>
      </c>
      <c r="O211" s="14" t="e">
        <f>LOOKUP(N211,'Matrice AP'!A:A,'Matrice AP'!H:H)</f>
        <v>#N/A</v>
      </c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</row>
    <row r="212" spans="1:39" ht="21" x14ac:dyDescent="0.3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21" t="str">
        <f t="shared" si="6"/>
        <v>..</v>
      </c>
      <c r="O212" s="14" t="e">
        <f>LOOKUP(N212,'Matrice AP'!A:A,'Matrice AP'!H:H)</f>
        <v>#N/A</v>
      </c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</row>
    <row r="213" spans="1:39" ht="21" x14ac:dyDescent="0.3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21" t="str">
        <f t="shared" si="6"/>
        <v>..</v>
      </c>
      <c r="O213" s="14" t="e">
        <f>LOOKUP(N213,'Matrice AP'!A:A,'Matrice AP'!H:H)</f>
        <v>#N/A</v>
      </c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</row>
    <row r="214" spans="1:39" ht="21" x14ac:dyDescent="0.3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21" t="str">
        <f t="shared" si="6"/>
        <v>..</v>
      </c>
      <c r="O214" s="14" t="e">
        <f>LOOKUP(N214,'Matrice AP'!A:A,'Matrice AP'!H:H)</f>
        <v>#N/A</v>
      </c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</row>
    <row r="215" spans="1:39" ht="21" x14ac:dyDescent="0.3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21" t="str">
        <f t="shared" si="6"/>
        <v>..</v>
      </c>
      <c r="O215" s="14" t="e">
        <f>LOOKUP(N215,'Matrice AP'!A:A,'Matrice AP'!H:H)</f>
        <v>#N/A</v>
      </c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</row>
    <row r="216" spans="1:39" ht="21" x14ac:dyDescent="0.3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21" t="str">
        <f t="shared" si="6"/>
        <v>..</v>
      </c>
      <c r="O216" s="14" t="e">
        <f>LOOKUP(N216,'Matrice AP'!A:A,'Matrice AP'!H:H)</f>
        <v>#N/A</v>
      </c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</row>
    <row r="217" spans="1:39" ht="21" x14ac:dyDescent="0.3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21" t="str">
        <f t="shared" si="6"/>
        <v>..</v>
      </c>
      <c r="O217" s="14" t="e">
        <f>LOOKUP(N217,'Matrice AP'!A:A,'Matrice AP'!H:H)</f>
        <v>#N/A</v>
      </c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</row>
    <row r="218" spans="1:39" ht="21" x14ac:dyDescent="0.3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21" t="str">
        <f t="shared" si="6"/>
        <v>..</v>
      </c>
      <c r="O218" s="14" t="e">
        <f>LOOKUP(N218,'Matrice AP'!A:A,'Matrice AP'!H:H)</f>
        <v>#N/A</v>
      </c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</row>
    <row r="219" spans="1:39" ht="21" x14ac:dyDescent="0.3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21" t="str">
        <f t="shared" si="6"/>
        <v>..</v>
      </c>
      <c r="O219" s="14" t="e">
        <f>LOOKUP(N219,'Matrice AP'!A:A,'Matrice AP'!H:H)</f>
        <v>#N/A</v>
      </c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</row>
    <row r="220" spans="1:39" ht="21" x14ac:dyDescent="0.3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21" t="str">
        <f t="shared" si="6"/>
        <v>..</v>
      </c>
      <c r="O220" s="14" t="e">
        <f>LOOKUP(N220,'Matrice AP'!A:A,'Matrice AP'!H:H)</f>
        <v>#N/A</v>
      </c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</row>
    <row r="221" spans="1:39" ht="21" x14ac:dyDescent="0.3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21" t="str">
        <f t="shared" si="6"/>
        <v>..</v>
      </c>
      <c r="O221" s="14" t="e">
        <f>LOOKUP(N221,'Matrice AP'!A:A,'Matrice AP'!H:H)</f>
        <v>#N/A</v>
      </c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</row>
    <row r="222" spans="1:39" ht="21" x14ac:dyDescent="0.3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21" t="str">
        <f t="shared" si="6"/>
        <v>..</v>
      </c>
      <c r="O222" s="14" t="e">
        <f>LOOKUP(N222,'Matrice AP'!A:A,'Matrice AP'!H:H)</f>
        <v>#N/A</v>
      </c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</row>
    <row r="223" spans="1:39" ht="21" x14ac:dyDescent="0.3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21" t="str">
        <f t="shared" si="6"/>
        <v>..</v>
      </c>
      <c r="O223" s="14" t="e">
        <f>LOOKUP(N223,'Matrice AP'!A:A,'Matrice AP'!H:H)</f>
        <v>#N/A</v>
      </c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</row>
    <row r="224" spans="1:39" ht="21" x14ac:dyDescent="0.3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21" t="str">
        <f t="shared" si="6"/>
        <v>..</v>
      </c>
      <c r="O224" s="14" t="e">
        <f>LOOKUP(N224,'Matrice AP'!A:A,'Matrice AP'!H:H)</f>
        <v>#N/A</v>
      </c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</row>
    <row r="225" spans="1:39" ht="21" x14ac:dyDescent="0.3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21" t="str">
        <f t="shared" si="6"/>
        <v>..</v>
      </c>
      <c r="O225" s="14" t="e">
        <f>LOOKUP(N225,'Matrice AP'!A:A,'Matrice AP'!H:H)</f>
        <v>#N/A</v>
      </c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</row>
    <row r="226" spans="1:39" ht="21" x14ac:dyDescent="0.3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21" t="str">
        <f t="shared" si="6"/>
        <v>..</v>
      </c>
      <c r="O226" s="14" t="e">
        <f>LOOKUP(N226,'Matrice AP'!A:A,'Matrice AP'!H:H)</f>
        <v>#N/A</v>
      </c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</row>
    <row r="227" spans="1:39" ht="21" x14ac:dyDescent="0.3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21" t="str">
        <f t="shared" si="6"/>
        <v>..</v>
      </c>
      <c r="O227" s="14" t="e">
        <f>LOOKUP(N227,'Matrice AP'!A:A,'Matrice AP'!H:H)</f>
        <v>#N/A</v>
      </c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</row>
    <row r="228" spans="1:39" ht="21" x14ac:dyDescent="0.3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21" t="str">
        <f t="shared" si="6"/>
        <v>..</v>
      </c>
      <c r="O228" s="14" t="e">
        <f>LOOKUP(N228,'Matrice AP'!A:A,'Matrice AP'!H:H)</f>
        <v>#N/A</v>
      </c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</row>
    <row r="229" spans="1:39" ht="21" x14ac:dyDescent="0.3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21" t="str">
        <f t="shared" si="6"/>
        <v>..</v>
      </c>
      <c r="O229" s="14" t="e">
        <f>LOOKUP(N229,'Matrice AP'!A:A,'Matrice AP'!H:H)</f>
        <v>#N/A</v>
      </c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</row>
    <row r="230" spans="1:39" ht="21" x14ac:dyDescent="0.3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21" t="str">
        <f t="shared" si="6"/>
        <v>..</v>
      </c>
      <c r="O230" s="14" t="e">
        <f>LOOKUP(N230,'Matrice AP'!A:A,'Matrice AP'!H:H)</f>
        <v>#N/A</v>
      </c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</row>
    <row r="231" spans="1:39" ht="21" x14ac:dyDescent="0.3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21" t="str">
        <f t="shared" si="6"/>
        <v>..</v>
      </c>
      <c r="O231" s="14" t="e">
        <f>LOOKUP(N231,'Matrice AP'!A:A,'Matrice AP'!H:H)</f>
        <v>#N/A</v>
      </c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</row>
    <row r="232" spans="1:39" ht="21" x14ac:dyDescent="0.3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21" t="str">
        <f t="shared" si="6"/>
        <v>..</v>
      </c>
      <c r="O232" s="14" t="e">
        <f>LOOKUP(N232,'Matrice AP'!A:A,'Matrice AP'!H:H)</f>
        <v>#N/A</v>
      </c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</row>
    <row r="233" spans="1:39" ht="21" x14ac:dyDescent="0.3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21" t="str">
        <f t="shared" si="6"/>
        <v>..</v>
      </c>
      <c r="O233" s="14" t="e">
        <f>LOOKUP(N233,'Matrice AP'!A:A,'Matrice AP'!H:H)</f>
        <v>#N/A</v>
      </c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</row>
    <row r="234" spans="1:39" ht="21" x14ac:dyDescent="0.3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21" t="str">
        <f t="shared" si="6"/>
        <v>..</v>
      </c>
      <c r="O234" s="14" t="e">
        <f>LOOKUP(N234,'Matrice AP'!A:A,'Matrice AP'!H:H)</f>
        <v>#N/A</v>
      </c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</row>
    <row r="235" spans="1:39" ht="21" x14ac:dyDescent="0.3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21" t="str">
        <f t="shared" si="6"/>
        <v>..</v>
      </c>
      <c r="O235" s="14" t="e">
        <f>LOOKUP(N235,'Matrice AP'!A:A,'Matrice AP'!H:H)</f>
        <v>#N/A</v>
      </c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</row>
    <row r="236" spans="1:39" ht="21" x14ac:dyDescent="0.3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21" t="str">
        <f t="shared" si="6"/>
        <v>..</v>
      </c>
      <c r="O236" s="14" t="e">
        <f>LOOKUP(N236,'Matrice AP'!A:A,'Matrice AP'!H:H)</f>
        <v>#N/A</v>
      </c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</row>
    <row r="237" spans="1:39" ht="21" x14ac:dyDescent="0.3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21" t="str">
        <f t="shared" si="6"/>
        <v>..</v>
      </c>
      <c r="O237" s="14" t="e">
        <f>LOOKUP(N237,'Matrice AP'!A:A,'Matrice AP'!H:H)</f>
        <v>#N/A</v>
      </c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</row>
    <row r="238" spans="1:39" ht="21" x14ac:dyDescent="0.3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21" t="str">
        <f t="shared" si="6"/>
        <v>..</v>
      </c>
      <c r="O238" s="14" t="e">
        <f>LOOKUP(N238,'Matrice AP'!A:A,'Matrice AP'!H:H)</f>
        <v>#N/A</v>
      </c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</row>
    <row r="239" spans="1:39" ht="21" x14ac:dyDescent="0.3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21" t="str">
        <f t="shared" si="6"/>
        <v>..</v>
      </c>
      <c r="O239" s="14" t="e">
        <f>LOOKUP(N239,'Matrice AP'!A:A,'Matrice AP'!H:H)</f>
        <v>#N/A</v>
      </c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</row>
    <row r="240" spans="1:39" ht="21" x14ac:dyDescent="0.3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21" t="str">
        <f t="shared" si="6"/>
        <v>..</v>
      </c>
      <c r="O240" s="14" t="e">
        <f>LOOKUP(N240,'Matrice AP'!A:A,'Matrice AP'!H:H)</f>
        <v>#N/A</v>
      </c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</row>
    <row r="241" spans="1:39" ht="21" x14ac:dyDescent="0.3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21" t="str">
        <f t="shared" si="6"/>
        <v>..</v>
      </c>
      <c r="O241" s="14" t="e">
        <f>LOOKUP(N241,'Matrice AP'!A:A,'Matrice AP'!H:H)</f>
        <v>#N/A</v>
      </c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</row>
    <row r="242" spans="1:39" ht="21" x14ac:dyDescent="0.3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21" t="str">
        <f t="shared" si="6"/>
        <v>..</v>
      </c>
      <c r="O242" s="14" t="e">
        <f>LOOKUP(N242,'Matrice AP'!A:A,'Matrice AP'!H:H)</f>
        <v>#N/A</v>
      </c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</row>
    <row r="243" spans="1:39" ht="21" x14ac:dyDescent="0.3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21" t="str">
        <f t="shared" si="6"/>
        <v>..</v>
      </c>
      <c r="O243" s="14" t="e">
        <f>LOOKUP(N243,'Matrice AP'!A:A,'Matrice AP'!H:H)</f>
        <v>#N/A</v>
      </c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</row>
    <row r="244" spans="1:39" ht="21" x14ac:dyDescent="0.3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21" t="str">
        <f t="shared" si="6"/>
        <v>..</v>
      </c>
      <c r="O244" s="14" t="e">
        <f>LOOKUP(N244,'Matrice AP'!A:A,'Matrice AP'!H:H)</f>
        <v>#N/A</v>
      </c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</row>
    <row r="245" spans="1:39" ht="21" x14ac:dyDescent="0.3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21" t="str">
        <f t="shared" si="6"/>
        <v>..</v>
      </c>
      <c r="O245" s="14" t="e">
        <f>LOOKUP(N245,'Matrice AP'!A:A,'Matrice AP'!H:H)</f>
        <v>#N/A</v>
      </c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</row>
    <row r="246" spans="1:39" ht="21" x14ac:dyDescent="0.3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21" t="str">
        <f t="shared" si="6"/>
        <v>..</v>
      </c>
      <c r="O246" s="14" t="e">
        <f>LOOKUP(N246,'Matrice AP'!A:A,'Matrice AP'!H:H)</f>
        <v>#N/A</v>
      </c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</row>
    <row r="247" spans="1:39" ht="21" x14ac:dyDescent="0.3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21" t="str">
        <f t="shared" si="6"/>
        <v>..</v>
      </c>
      <c r="O247" s="14" t="e">
        <f>LOOKUP(N247,'Matrice AP'!A:A,'Matrice AP'!H:H)</f>
        <v>#N/A</v>
      </c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</row>
    <row r="248" spans="1:39" ht="21" x14ac:dyDescent="0.3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21" t="str">
        <f t="shared" si="6"/>
        <v>..</v>
      </c>
      <c r="O248" s="14" t="e">
        <f>LOOKUP(N248,'Matrice AP'!A:A,'Matrice AP'!H:H)</f>
        <v>#N/A</v>
      </c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</row>
    <row r="249" spans="1:39" ht="21" x14ac:dyDescent="0.3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21" t="str">
        <f t="shared" si="6"/>
        <v>..</v>
      </c>
      <c r="O249" s="14" t="e">
        <f>LOOKUP(N249,'Matrice AP'!A:A,'Matrice AP'!H:H)</f>
        <v>#N/A</v>
      </c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</row>
    <row r="250" spans="1:39" ht="21" x14ac:dyDescent="0.3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21" t="str">
        <f t="shared" si="6"/>
        <v>..</v>
      </c>
      <c r="O250" s="14" t="e">
        <f>LOOKUP(N250,'Matrice AP'!A:A,'Matrice AP'!H:H)</f>
        <v>#N/A</v>
      </c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</row>
    <row r="251" spans="1:39" ht="21" x14ac:dyDescent="0.3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21" t="str">
        <f t="shared" si="6"/>
        <v>..</v>
      </c>
      <c r="O251" s="14" t="e">
        <f>LOOKUP(N251,'Matrice AP'!A:A,'Matrice AP'!H:H)</f>
        <v>#N/A</v>
      </c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</row>
    <row r="252" spans="1:39" ht="21" x14ac:dyDescent="0.3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21" t="str">
        <f t="shared" si="6"/>
        <v>..</v>
      </c>
      <c r="O252" s="14" t="e">
        <f>LOOKUP(N252,'Matrice AP'!A:A,'Matrice AP'!H:H)</f>
        <v>#N/A</v>
      </c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</row>
    <row r="253" spans="1:39" ht="21" x14ac:dyDescent="0.3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21" t="str">
        <f t="shared" si="6"/>
        <v>..</v>
      </c>
      <c r="O253" s="14" t="e">
        <f>LOOKUP(N253,'Matrice AP'!A:A,'Matrice AP'!H:H)</f>
        <v>#N/A</v>
      </c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</row>
    <row r="254" spans="1:39" ht="21" x14ac:dyDescent="0.3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21" t="str">
        <f t="shared" si="6"/>
        <v>..</v>
      </c>
      <c r="O254" s="14" t="e">
        <f>LOOKUP(N254,'Matrice AP'!A:A,'Matrice AP'!H:H)</f>
        <v>#N/A</v>
      </c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</row>
    <row r="255" spans="1:39" ht="21" x14ac:dyDescent="0.3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21" t="str">
        <f t="shared" si="6"/>
        <v>..</v>
      </c>
      <c r="O255" s="14" t="e">
        <f>LOOKUP(N255,'Matrice AP'!A:A,'Matrice AP'!H:H)</f>
        <v>#N/A</v>
      </c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</row>
    <row r="256" spans="1:39" ht="21" x14ac:dyDescent="0.3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21" t="str">
        <f t="shared" si="6"/>
        <v>..</v>
      </c>
      <c r="O256" s="14" t="e">
        <f>LOOKUP(N256,'Matrice AP'!A:A,'Matrice AP'!H:H)</f>
        <v>#N/A</v>
      </c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</row>
    <row r="257" spans="1:39" ht="21" x14ac:dyDescent="0.3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21" t="str">
        <f t="shared" si="6"/>
        <v>..</v>
      </c>
      <c r="O257" s="14" t="e">
        <f>LOOKUP(N257,'Matrice AP'!A:A,'Matrice AP'!H:H)</f>
        <v>#N/A</v>
      </c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</row>
    <row r="258" spans="1:39" ht="21" x14ac:dyDescent="0.3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21" t="str">
        <f t="shared" si="6"/>
        <v>..</v>
      </c>
      <c r="O258" s="14" t="e">
        <f>LOOKUP(N258,'Matrice AP'!A:A,'Matrice AP'!H:H)</f>
        <v>#N/A</v>
      </c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</row>
    <row r="259" spans="1:39" ht="21" x14ac:dyDescent="0.3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21" t="str">
        <f t="shared" si="6"/>
        <v>..</v>
      </c>
      <c r="O259" s="14" t="e">
        <f>LOOKUP(N259,'Matrice AP'!A:A,'Matrice AP'!H:H)</f>
        <v>#N/A</v>
      </c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</row>
    <row r="260" spans="1:39" ht="21" x14ac:dyDescent="0.3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21" t="str">
        <f t="shared" si="6"/>
        <v>..</v>
      </c>
      <c r="O260" s="14" t="e">
        <f>LOOKUP(N260,'Matrice AP'!A:A,'Matrice AP'!H:H)</f>
        <v>#N/A</v>
      </c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</row>
    <row r="261" spans="1:39" ht="21" x14ac:dyDescent="0.3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21" t="str">
        <f t="shared" ref="N261:N324" si="7">CONCATENATE(G261,".",K261,".",M261)</f>
        <v>..</v>
      </c>
      <c r="O261" s="14" t="e">
        <f>LOOKUP(N261,'Matrice AP'!A:A,'Matrice AP'!H:H)</f>
        <v>#N/A</v>
      </c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</row>
    <row r="262" spans="1:39" ht="21" x14ac:dyDescent="0.3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21" t="str">
        <f t="shared" si="7"/>
        <v>..</v>
      </c>
      <c r="O262" s="14" t="e">
        <f>LOOKUP(N262,'Matrice AP'!A:A,'Matrice AP'!H:H)</f>
        <v>#N/A</v>
      </c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</row>
    <row r="263" spans="1:39" ht="21" x14ac:dyDescent="0.3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21" t="str">
        <f t="shared" si="7"/>
        <v>..</v>
      </c>
      <c r="O263" s="14" t="e">
        <f>LOOKUP(N263,'Matrice AP'!A:A,'Matrice AP'!H:H)</f>
        <v>#N/A</v>
      </c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</row>
    <row r="264" spans="1:39" ht="21" x14ac:dyDescent="0.3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21" t="str">
        <f t="shared" si="7"/>
        <v>..</v>
      </c>
      <c r="O264" s="14" t="e">
        <f>LOOKUP(N264,'Matrice AP'!A:A,'Matrice AP'!H:H)</f>
        <v>#N/A</v>
      </c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</row>
    <row r="265" spans="1:39" ht="21" x14ac:dyDescent="0.3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21" t="str">
        <f t="shared" si="7"/>
        <v>..</v>
      </c>
      <c r="O265" s="14" t="e">
        <f>LOOKUP(N265,'Matrice AP'!A:A,'Matrice AP'!H:H)</f>
        <v>#N/A</v>
      </c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</row>
    <row r="266" spans="1:39" ht="21" x14ac:dyDescent="0.3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21" t="str">
        <f t="shared" si="7"/>
        <v>..</v>
      </c>
      <c r="O266" s="14" t="e">
        <f>LOOKUP(N266,'Matrice AP'!A:A,'Matrice AP'!H:H)</f>
        <v>#N/A</v>
      </c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</row>
    <row r="267" spans="1:39" ht="21" x14ac:dyDescent="0.3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21" t="str">
        <f t="shared" si="7"/>
        <v>..</v>
      </c>
      <c r="O267" s="14" t="e">
        <f>LOOKUP(N267,'Matrice AP'!A:A,'Matrice AP'!H:H)</f>
        <v>#N/A</v>
      </c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</row>
    <row r="268" spans="1:39" ht="21" x14ac:dyDescent="0.3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21" t="str">
        <f t="shared" si="7"/>
        <v>..</v>
      </c>
      <c r="O268" s="14" t="e">
        <f>LOOKUP(N268,'Matrice AP'!A:A,'Matrice AP'!H:H)</f>
        <v>#N/A</v>
      </c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</row>
    <row r="269" spans="1:39" ht="21" x14ac:dyDescent="0.3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21" t="str">
        <f t="shared" si="7"/>
        <v>..</v>
      </c>
      <c r="O269" s="14" t="e">
        <f>LOOKUP(N269,'Matrice AP'!A:A,'Matrice AP'!H:H)</f>
        <v>#N/A</v>
      </c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</row>
    <row r="270" spans="1:39" ht="21" x14ac:dyDescent="0.3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21" t="str">
        <f t="shared" si="7"/>
        <v>..</v>
      </c>
      <c r="O270" s="14" t="e">
        <f>LOOKUP(N270,'Matrice AP'!A:A,'Matrice AP'!H:H)</f>
        <v>#N/A</v>
      </c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</row>
    <row r="271" spans="1:39" ht="21" x14ac:dyDescent="0.3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21" t="str">
        <f t="shared" si="7"/>
        <v>..</v>
      </c>
      <c r="O271" s="14" t="e">
        <f>LOOKUP(N271,'Matrice AP'!A:A,'Matrice AP'!H:H)</f>
        <v>#N/A</v>
      </c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</row>
    <row r="272" spans="1:39" ht="21" x14ac:dyDescent="0.3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21" t="str">
        <f t="shared" si="7"/>
        <v>..</v>
      </c>
      <c r="O272" s="14" t="e">
        <f>LOOKUP(N272,'Matrice AP'!A:A,'Matrice AP'!H:H)</f>
        <v>#N/A</v>
      </c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</row>
    <row r="273" spans="1:39" ht="21" x14ac:dyDescent="0.3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21" t="str">
        <f t="shared" si="7"/>
        <v>..</v>
      </c>
      <c r="O273" s="14" t="e">
        <f>LOOKUP(N273,'Matrice AP'!A:A,'Matrice AP'!H:H)</f>
        <v>#N/A</v>
      </c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</row>
    <row r="274" spans="1:39" ht="21" x14ac:dyDescent="0.3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21" t="str">
        <f t="shared" si="7"/>
        <v>..</v>
      </c>
      <c r="O274" s="14" t="e">
        <f>LOOKUP(N274,'Matrice AP'!A:A,'Matrice AP'!H:H)</f>
        <v>#N/A</v>
      </c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</row>
    <row r="275" spans="1:39" ht="21" x14ac:dyDescent="0.3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21" t="str">
        <f t="shared" si="7"/>
        <v>..</v>
      </c>
      <c r="O275" s="14" t="e">
        <f>LOOKUP(N275,'Matrice AP'!A:A,'Matrice AP'!H:H)</f>
        <v>#N/A</v>
      </c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</row>
    <row r="276" spans="1:39" ht="21" x14ac:dyDescent="0.3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21" t="str">
        <f t="shared" si="7"/>
        <v>..</v>
      </c>
      <c r="O276" s="14" t="e">
        <f>LOOKUP(N276,'Matrice AP'!A:A,'Matrice AP'!H:H)</f>
        <v>#N/A</v>
      </c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</row>
    <row r="277" spans="1:39" ht="21" x14ac:dyDescent="0.3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21" t="str">
        <f t="shared" si="7"/>
        <v>..</v>
      </c>
      <c r="O277" s="14" t="e">
        <f>LOOKUP(N277,'Matrice AP'!A:A,'Matrice AP'!H:H)</f>
        <v>#N/A</v>
      </c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</row>
    <row r="278" spans="1:39" ht="21" x14ac:dyDescent="0.3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21" t="str">
        <f t="shared" si="7"/>
        <v>..</v>
      </c>
      <c r="O278" s="14" t="e">
        <f>LOOKUP(N278,'Matrice AP'!A:A,'Matrice AP'!H:H)</f>
        <v>#N/A</v>
      </c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</row>
    <row r="279" spans="1:39" ht="21" x14ac:dyDescent="0.3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21" t="str">
        <f t="shared" si="7"/>
        <v>..</v>
      </c>
      <c r="O279" s="14" t="e">
        <f>LOOKUP(N279,'Matrice AP'!A:A,'Matrice AP'!H:H)</f>
        <v>#N/A</v>
      </c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</row>
    <row r="280" spans="1:39" ht="21" x14ac:dyDescent="0.3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21" t="str">
        <f t="shared" si="7"/>
        <v>..</v>
      </c>
      <c r="O280" s="14" t="e">
        <f>LOOKUP(N280,'Matrice AP'!A:A,'Matrice AP'!H:H)</f>
        <v>#N/A</v>
      </c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</row>
    <row r="281" spans="1:39" ht="21" x14ac:dyDescent="0.3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21" t="str">
        <f t="shared" si="7"/>
        <v>..</v>
      </c>
      <c r="O281" s="14" t="e">
        <f>LOOKUP(N281,'Matrice AP'!A:A,'Matrice AP'!H:H)</f>
        <v>#N/A</v>
      </c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</row>
    <row r="282" spans="1:39" ht="21" x14ac:dyDescent="0.3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21" t="str">
        <f t="shared" si="7"/>
        <v>..</v>
      </c>
      <c r="O282" s="14" t="e">
        <f>LOOKUP(N282,'Matrice AP'!A:A,'Matrice AP'!H:H)</f>
        <v>#N/A</v>
      </c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</row>
    <row r="283" spans="1:39" ht="21" x14ac:dyDescent="0.3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21" t="str">
        <f t="shared" si="7"/>
        <v>..</v>
      </c>
      <c r="O283" s="14" t="e">
        <f>LOOKUP(N283,'Matrice AP'!A:A,'Matrice AP'!H:H)</f>
        <v>#N/A</v>
      </c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</row>
    <row r="284" spans="1:39" ht="21" x14ac:dyDescent="0.3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21" t="str">
        <f t="shared" si="7"/>
        <v>..</v>
      </c>
      <c r="O284" s="14" t="e">
        <f>LOOKUP(N284,'Matrice AP'!A:A,'Matrice AP'!H:H)</f>
        <v>#N/A</v>
      </c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</row>
    <row r="285" spans="1:39" ht="21" x14ac:dyDescent="0.3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21" t="str">
        <f t="shared" si="7"/>
        <v>..</v>
      </c>
      <c r="O285" s="14" t="e">
        <f>LOOKUP(N285,'Matrice AP'!A:A,'Matrice AP'!H:H)</f>
        <v>#N/A</v>
      </c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</row>
    <row r="286" spans="1:39" ht="21" x14ac:dyDescent="0.3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21" t="str">
        <f t="shared" si="7"/>
        <v>..</v>
      </c>
      <c r="O286" s="14" t="e">
        <f>LOOKUP(N286,'Matrice AP'!A:A,'Matrice AP'!H:H)</f>
        <v>#N/A</v>
      </c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</row>
    <row r="287" spans="1:39" ht="21" x14ac:dyDescent="0.3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21" t="str">
        <f t="shared" si="7"/>
        <v>..</v>
      </c>
      <c r="O287" s="14" t="e">
        <f>LOOKUP(N287,'Matrice AP'!A:A,'Matrice AP'!H:H)</f>
        <v>#N/A</v>
      </c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</row>
    <row r="288" spans="1:39" ht="21" x14ac:dyDescent="0.3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21" t="str">
        <f t="shared" si="7"/>
        <v>..</v>
      </c>
      <c r="O288" s="14" t="e">
        <f>LOOKUP(N288,'Matrice AP'!A:A,'Matrice AP'!H:H)</f>
        <v>#N/A</v>
      </c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</row>
    <row r="289" spans="1:39" ht="21" x14ac:dyDescent="0.3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21" t="str">
        <f t="shared" si="7"/>
        <v>..</v>
      </c>
      <c r="O289" s="14" t="e">
        <f>LOOKUP(N289,'Matrice AP'!A:A,'Matrice AP'!H:H)</f>
        <v>#N/A</v>
      </c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</row>
    <row r="290" spans="1:39" ht="21" x14ac:dyDescent="0.3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21" t="str">
        <f t="shared" si="7"/>
        <v>..</v>
      </c>
      <c r="O290" s="14" t="e">
        <f>LOOKUP(N290,'Matrice AP'!A:A,'Matrice AP'!H:H)</f>
        <v>#N/A</v>
      </c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</row>
    <row r="291" spans="1:39" ht="21" x14ac:dyDescent="0.3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21" t="str">
        <f t="shared" si="7"/>
        <v>..</v>
      </c>
      <c r="O291" s="14" t="e">
        <f>LOOKUP(N291,'Matrice AP'!A:A,'Matrice AP'!H:H)</f>
        <v>#N/A</v>
      </c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</row>
    <row r="292" spans="1:39" ht="21" x14ac:dyDescent="0.3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21" t="str">
        <f t="shared" si="7"/>
        <v>..</v>
      </c>
      <c r="O292" s="14" t="e">
        <f>LOOKUP(N292,'Matrice AP'!A:A,'Matrice AP'!H:H)</f>
        <v>#N/A</v>
      </c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</row>
    <row r="293" spans="1:39" ht="21" x14ac:dyDescent="0.3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21" t="str">
        <f t="shared" si="7"/>
        <v>..</v>
      </c>
      <c r="O293" s="14" t="e">
        <f>LOOKUP(N293,'Matrice AP'!A:A,'Matrice AP'!H:H)</f>
        <v>#N/A</v>
      </c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</row>
    <row r="294" spans="1:39" ht="21" x14ac:dyDescent="0.3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21" t="str">
        <f t="shared" si="7"/>
        <v>..</v>
      </c>
      <c r="O294" s="14" t="e">
        <f>LOOKUP(N294,'Matrice AP'!A:A,'Matrice AP'!H:H)</f>
        <v>#N/A</v>
      </c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</row>
    <row r="295" spans="1:39" ht="21" x14ac:dyDescent="0.3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21" t="str">
        <f t="shared" si="7"/>
        <v>..</v>
      </c>
      <c r="O295" s="14" t="e">
        <f>LOOKUP(N295,'Matrice AP'!A:A,'Matrice AP'!H:H)</f>
        <v>#N/A</v>
      </c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</row>
    <row r="296" spans="1:39" ht="21" x14ac:dyDescent="0.3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21" t="str">
        <f t="shared" si="7"/>
        <v>..</v>
      </c>
      <c r="O296" s="14" t="e">
        <f>LOOKUP(N296,'Matrice AP'!A:A,'Matrice AP'!H:H)</f>
        <v>#N/A</v>
      </c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</row>
    <row r="297" spans="1:39" ht="21" x14ac:dyDescent="0.3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21" t="str">
        <f t="shared" si="7"/>
        <v>..</v>
      </c>
      <c r="O297" s="14" t="e">
        <f>LOOKUP(N297,'Matrice AP'!A:A,'Matrice AP'!H:H)</f>
        <v>#N/A</v>
      </c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</row>
    <row r="298" spans="1:39" ht="21" x14ac:dyDescent="0.3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21" t="str">
        <f t="shared" si="7"/>
        <v>..</v>
      </c>
      <c r="O298" s="14" t="e">
        <f>LOOKUP(N298,'Matrice AP'!A:A,'Matrice AP'!H:H)</f>
        <v>#N/A</v>
      </c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</row>
    <row r="299" spans="1:39" ht="21" x14ac:dyDescent="0.3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21" t="str">
        <f t="shared" si="7"/>
        <v>..</v>
      </c>
      <c r="O299" s="14" t="e">
        <f>LOOKUP(N299,'Matrice AP'!A:A,'Matrice AP'!H:H)</f>
        <v>#N/A</v>
      </c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</row>
    <row r="300" spans="1:39" ht="21" x14ac:dyDescent="0.3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21" t="str">
        <f t="shared" si="7"/>
        <v>..</v>
      </c>
      <c r="O300" s="14" t="e">
        <f>LOOKUP(N300,'Matrice AP'!A:A,'Matrice AP'!H:H)</f>
        <v>#N/A</v>
      </c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</row>
    <row r="301" spans="1:39" ht="21" x14ac:dyDescent="0.3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21" t="str">
        <f t="shared" si="7"/>
        <v>..</v>
      </c>
      <c r="O301" s="14" t="e">
        <f>LOOKUP(N301,'Matrice AP'!A:A,'Matrice AP'!H:H)</f>
        <v>#N/A</v>
      </c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</row>
    <row r="302" spans="1:39" ht="21" x14ac:dyDescent="0.3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21" t="str">
        <f t="shared" si="7"/>
        <v>..</v>
      </c>
      <c r="O302" s="14" t="e">
        <f>LOOKUP(N302,'Matrice AP'!A:A,'Matrice AP'!H:H)</f>
        <v>#N/A</v>
      </c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</row>
    <row r="303" spans="1:39" ht="21" x14ac:dyDescent="0.3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21" t="str">
        <f t="shared" si="7"/>
        <v>..</v>
      </c>
      <c r="O303" s="14" t="e">
        <f>LOOKUP(N303,'Matrice AP'!A:A,'Matrice AP'!H:H)</f>
        <v>#N/A</v>
      </c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</row>
    <row r="304" spans="1:39" ht="21" x14ac:dyDescent="0.3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21" t="str">
        <f t="shared" si="7"/>
        <v>..</v>
      </c>
      <c r="O304" s="14" t="e">
        <f>LOOKUP(N304,'Matrice AP'!A:A,'Matrice AP'!H:H)</f>
        <v>#N/A</v>
      </c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</row>
    <row r="305" spans="1:39" ht="21" x14ac:dyDescent="0.3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21" t="str">
        <f t="shared" si="7"/>
        <v>..</v>
      </c>
      <c r="O305" s="14" t="e">
        <f>LOOKUP(N305,'Matrice AP'!A:A,'Matrice AP'!H:H)</f>
        <v>#N/A</v>
      </c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</row>
    <row r="306" spans="1:39" ht="21" x14ac:dyDescent="0.3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21" t="str">
        <f t="shared" si="7"/>
        <v>..</v>
      </c>
      <c r="O306" s="14" t="e">
        <f>LOOKUP(N306,'Matrice AP'!A:A,'Matrice AP'!H:H)</f>
        <v>#N/A</v>
      </c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</row>
    <row r="307" spans="1:39" ht="21" x14ac:dyDescent="0.3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21" t="str">
        <f t="shared" si="7"/>
        <v>..</v>
      </c>
      <c r="O307" s="14" t="e">
        <f>LOOKUP(N307,'Matrice AP'!A:A,'Matrice AP'!H:H)</f>
        <v>#N/A</v>
      </c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</row>
    <row r="308" spans="1:39" ht="21" x14ac:dyDescent="0.3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21" t="str">
        <f t="shared" si="7"/>
        <v>..</v>
      </c>
      <c r="O308" s="14" t="e">
        <f>LOOKUP(N308,'Matrice AP'!A:A,'Matrice AP'!H:H)</f>
        <v>#N/A</v>
      </c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</row>
    <row r="309" spans="1:39" ht="21" x14ac:dyDescent="0.3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21" t="str">
        <f t="shared" si="7"/>
        <v>..</v>
      </c>
      <c r="O309" s="14" t="e">
        <f>LOOKUP(N309,'Matrice AP'!A:A,'Matrice AP'!H:H)</f>
        <v>#N/A</v>
      </c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</row>
    <row r="310" spans="1:39" ht="21" x14ac:dyDescent="0.3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21" t="str">
        <f>CONCATENATE(G30,".",K30,".",M30)</f>
        <v>..</v>
      </c>
      <c r="O310" s="14" t="e">
        <f>LOOKUP(N30,'Matrice AP'!A:A,'Matrice AP'!H:H)</f>
        <v>#N/A</v>
      </c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</row>
    <row r="311" spans="1:39" ht="21" x14ac:dyDescent="0.3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21" t="str">
        <f t="shared" si="7"/>
        <v>..</v>
      </c>
      <c r="O311" s="14" t="e">
        <f>LOOKUP(N311,'Matrice AP'!A:A,'Matrice AP'!H:H)</f>
        <v>#N/A</v>
      </c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</row>
    <row r="312" spans="1:39" ht="21" x14ac:dyDescent="0.3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21" t="str">
        <f t="shared" si="7"/>
        <v>..</v>
      </c>
      <c r="O312" s="14" t="e">
        <f>LOOKUP(N312,'Matrice AP'!A:A,'Matrice AP'!H:H)</f>
        <v>#N/A</v>
      </c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</row>
    <row r="313" spans="1:39" ht="21" x14ac:dyDescent="0.3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21" t="str">
        <f t="shared" si="7"/>
        <v>..</v>
      </c>
      <c r="O313" s="14" t="e">
        <f>LOOKUP(N313,'Matrice AP'!A:A,'Matrice AP'!H:H)</f>
        <v>#N/A</v>
      </c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</row>
    <row r="314" spans="1:39" ht="21" x14ac:dyDescent="0.3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21" t="str">
        <f t="shared" si="7"/>
        <v>..</v>
      </c>
      <c r="O314" s="14" t="e">
        <f>LOOKUP(N314,'Matrice AP'!A:A,'Matrice AP'!H:H)</f>
        <v>#N/A</v>
      </c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</row>
    <row r="315" spans="1:39" ht="21" x14ac:dyDescent="0.3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21" t="str">
        <f t="shared" si="7"/>
        <v>..</v>
      </c>
      <c r="O315" s="14" t="e">
        <f>LOOKUP(N315,'Matrice AP'!A:A,'Matrice AP'!H:H)</f>
        <v>#N/A</v>
      </c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</row>
    <row r="316" spans="1:39" ht="21" x14ac:dyDescent="0.3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21" t="str">
        <f t="shared" si="7"/>
        <v>..</v>
      </c>
      <c r="O316" s="14" t="e">
        <f>LOOKUP(N316,'Matrice AP'!A:A,'Matrice AP'!H:H)</f>
        <v>#N/A</v>
      </c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</row>
    <row r="317" spans="1:39" ht="21" x14ac:dyDescent="0.3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21" t="str">
        <f t="shared" si="7"/>
        <v>..</v>
      </c>
      <c r="O317" s="14" t="e">
        <f>LOOKUP(N317,'Matrice AP'!A:A,'Matrice AP'!H:H)</f>
        <v>#N/A</v>
      </c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</row>
    <row r="318" spans="1:39" ht="21" x14ac:dyDescent="0.3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21" t="str">
        <f t="shared" si="7"/>
        <v>..</v>
      </c>
      <c r="O318" s="14" t="e">
        <f>LOOKUP(N318,'Matrice AP'!A:A,'Matrice AP'!H:H)</f>
        <v>#N/A</v>
      </c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</row>
    <row r="319" spans="1:39" ht="21" x14ac:dyDescent="0.3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21" t="str">
        <f t="shared" si="7"/>
        <v>..</v>
      </c>
      <c r="O319" s="14" t="e">
        <f>LOOKUP(N319,'Matrice AP'!A:A,'Matrice AP'!H:H)</f>
        <v>#N/A</v>
      </c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</row>
    <row r="320" spans="1:39" ht="21" x14ac:dyDescent="0.3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21" t="str">
        <f t="shared" si="7"/>
        <v>..</v>
      </c>
      <c r="O320" s="14" t="e">
        <f>LOOKUP(N320,'Matrice AP'!A:A,'Matrice AP'!H:H)</f>
        <v>#N/A</v>
      </c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</row>
    <row r="321" spans="1:39" ht="21" x14ac:dyDescent="0.3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21" t="str">
        <f t="shared" si="7"/>
        <v>..</v>
      </c>
      <c r="O321" s="14" t="e">
        <f>LOOKUP(N321,'Matrice AP'!A:A,'Matrice AP'!H:H)</f>
        <v>#N/A</v>
      </c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</row>
    <row r="322" spans="1:39" ht="21" x14ac:dyDescent="0.3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21" t="str">
        <f t="shared" si="7"/>
        <v>..</v>
      </c>
      <c r="O322" s="14" t="e">
        <f>LOOKUP(N322,'Matrice AP'!A:A,'Matrice AP'!H:H)</f>
        <v>#N/A</v>
      </c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</row>
    <row r="323" spans="1:39" ht="21" x14ac:dyDescent="0.3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21" t="str">
        <f t="shared" si="7"/>
        <v>..</v>
      </c>
      <c r="O323" s="14" t="e">
        <f>LOOKUP(N323,'Matrice AP'!A:A,'Matrice AP'!H:H)</f>
        <v>#N/A</v>
      </c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</row>
    <row r="324" spans="1:39" ht="21" x14ac:dyDescent="0.3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21" t="str">
        <f t="shared" si="7"/>
        <v>..</v>
      </c>
      <c r="O324" s="14" t="e">
        <f>LOOKUP(N324,'Matrice AP'!A:A,'Matrice AP'!H:H)</f>
        <v>#N/A</v>
      </c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</row>
    <row r="325" spans="1:39" ht="21" x14ac:dyDescent="0.3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21" t="str">
        <f t="shared" ref="N325:N388" si="8">CONCATENATE(G325,".",K325,".",M325)</f>
        <v>..</v>
      </c>
      <c r="O325" s="14" t="e">
        <f>LOOKUP(N325,'Matrice AP'!A:A,'Matrice AP'!H:H)</f>
        <v>#N/A</v>
      </c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</row>
    <row r="326" spans="1:39" ht="21" x14ac:dyDescent="0.3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21" t="str">
        <f t="shared" si="8"/>
        <v>..</v>
      </c>
      <c r="O326" s="14" t="e">
        <f>LOOKUP(N326,'Matrice AP'!A:A,'Matrice AP'!H:H)</f>
        <v>#N/A</v>
      </c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</row>
    <row r="327" spans="1:39" ht="21" x14ac:dyDescent="0.3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21" t="str">
        <f t="shared" si="8"/>
        <v>..</v>
      </c>
      <c r="O327" s="14" t="e">
        <f>LOOKUP(N327,'Matrice AP'!A:A,'Matrice AP'!H:H)</f>
        <v>#N/A</v>
      </c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</row>
    <row r="328" spans="1:39" ht="21" x14ac:dyDescent="0.3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21" t="str">
        <f t="shared" si="8"/>
        <v>..</v>
      </c>
      <c r="O328" s="14" t="e">
        <f>LOOKUP(N328,'Matrice AP'!A:A,'Matrice AP'!H:H)</f>
        <v>#N/A</v>
      </c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</row>
    <row r="329" spans="1:39" ht="21" x14ac:dyDescent="0.3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21" t="str">
        <f t="shared" si="8"/>
        <v>..</v>
      </c>
      <c r="O329" s="14" t="e">
        <f>LOOKUP(N329,'Matrice AP'!A:A,'Matrice AP'!H:H)</f>
        <v>#N/A</v>
      </c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</row>
    <row r="330" spans="1:39" ht="21" x14ac:dyDescent="0.3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21" t="str">
        <f t="shared" si="8"/>
        <v>..</v>
      </c>
      <c r="O330" s="14" t="e">
        <f>LOOKUP(N330,'Matrice AP'!A:A,'Matrice AP'!H:H)</f>
        <v>#N/A</v>
      </c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</row>
    <row r="331" spans="1:39" ht="21" x14ac:dyDescent="0.3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21" t="str">
        <f t="shared" si="8"/>
        <v>..</v>
      </c>
      <c r="O331" s="14" t="e">
        <f>LOOKUP(N331,'Matrice AP'!A:A,'Matrice AP'!H:H)</f>
        <v>#N/A</v>
      </c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</row>
    <row r="332" spans="1:39" ht="21" x14ac:dyDescent="0.3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21" t="str">
        <f t="shared" si="8"/>
        <v>..</v>
      </c>
      <c r="O332" s="14" t="e">
        <f>LOOKUP(N332,'Matrice AP'!A:A,'Matrice AP'!H:H)</f>
        <v>#N/A</v>
      </c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</row>
    <row r="333" spans="1:39" ht="21" x14ac:dyDescent="0.3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21" t="str">
        <f t="shared" si="8"/>
        <v>..</v>
      </c>
      <c r="O333" s="14" t="e">
        <f>LOOKUP(N333,'Matrice AP'!A:A,'Matrice AP'!H:H)</f>
        <v>#N/A</v>
      </c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</row>
    <row r="334" spans="1:39" ht="21" x14ac:dyDescent="0.3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21" t="str">
        <f t="shared" si="8"/>
        <v>..</v>
      </c>
      <c r="O334" s="14" t="e">
        <f>LOOKUP(N334,'Matrice AP'!A:A,'Matrice AP'!H:H)</f>
        <v>#N/A</v>
      </c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</row>
    <row r="335" spans="1:39" ht="21" x14ac:dyDescent="0.3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21" t="str">
        <f t="shared" si="8"/>
        <v>..</v>
      </c>
      <c r="O335" s="14" t="e">
        <f>LOOKUP(N335,'Matrice AP'!A:A,'Matrice AP'!H:H)</f>
        <v>#N/A</v>
      </c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</row>
    <row r="336" spans="1:39" ht="21" x14ac:dyDescent="0.3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21" t="str">
        <f t="shared" si="8"/>
        <v>..</v>
      </c>
      <c r="O336" s="14" t="e">
        <f>LOOKUP(N336,'Matrice AP'!A:A,'Matrice AP'!H:H)</f>
        <v>#N/A</v>
      </c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</row>
    <row r="337" spans="1:39" ht="21" x14ac:dyDescent="0.3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21" t="str">
        <f t="shared" si="8"/>
        <v>..</v>
      </c>
      <c r="O337" s="14" t="e">
        <f>LOOKUP(N337,'Matrice AP'!A:A,'Matrice AP'!H:H)</f>
        <v>#N/A</v>
      </c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</row>
    <row r="338" spans="1:39" ht="21" x14ac:dyDescent="0.3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21" t="str">
        <f t="shared" si="8"/>
        <v>..</v>
      </c>
      <c r="O338" s="14" t="e">
        <f>LOOKUP(N338,'Matrice AP'!A:A,'Matrice AP'!H:H)</f>
        <v>#N/A</v>
      </c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</row>
    <row r="339" spans="1:39" ht="21" x14ac:dyDescent="0.3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21" t="str">
        <f t="shared" si="8"/>
        <v>..</v>
      </c>
      <c r="O339" s="14" t="e">
        <f>LOOKUP(N339,'Matrice AP'!A:A,'Matrice AP'!H:H)</f>
        <v>#N/A</v>
      </c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</row>
    <row r="340" spans="1:39" ht="21" x14ac:dyDescent="0.3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21" t="str">
        <f t="shared" si="8"/>
        <v>..</v>
      </c>
      <c r="O340" s="14" t="e">
        <f>LOOKUP(N340,'Matrice AP'!A:A,'Matrice AP'!H:H)</f>
        <v>#N/A</v>
      </c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</row>
    <row r="341" spans="1:39" ht="21" x14ac:dyDescent="0.3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21" t="str">
        <f t="shared" si="8"/>
        <v>..</v>
      </c>
      <c r="O341" s="14" t="e">
        <f>LOOKUP(N341,'Matrice AP'!A:A,'Matrice AP'!H:H)</f>
        <v>#N/A</v>
      </c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</row>
    <row r="342" spans="1:39" ht="21" x14ac:dyDescent="0.3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21" t="str">
        <f t="shared" si="8"/>
        <v>..</v>
      </c>
      <c r="O342" s="14" t="e">
        <f>LOOKUP(N342,'Matrice AP'!A:A,'Matrice AP'!H:H)</f>
        <v>#N/A</v>
      </c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</row>
    <row r="343" spans="1:39" ht="21" x14ac:dyDescent="0.3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21" t="str">
        <f t="shared" si="8"/>
        <v>..</v>
      </c>
      <c r="O343" s="14" t="e">
        <f>LOOKUP(N343,'Matrice AP'!A:A,'Matrice AP'!H:H)</f>
        <v>#N/A</v>
      </c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</row>
    <row r="344" spans="1:39" ht="21" x14ac:dyDescent="0.3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21" t="str">
        <f t="shared" si="8"/>
        <v>..</v>
      </c>
      <c r="O344" s="14" t="e">
        <f>LOOKUP(N344,'Matrice AP'!A:A,'Matrice AP'!H:H)</f>
        <v>#N/A</v>
      </c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</row>
    <row r="345" spans="1:39" ht="21" x14ac:dyDescent="0.3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21" t="str">
        <f t="shared" si="8"/>
        <v>..</v>
      </c>
      <c r="O345" s="14" t="e">
        <f>LOOKUP(N345,'Matrice AP'!A:A,'Matrice AP'!H:H)</f>
        <v>#N/A</v>
      </c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</row>
    <row r="346" spans="1:39" ht="21" x14ac:dyDescent="0.3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21" t="str">
        <f t="shared" si="8"/>
        <v>..</v>
      </c>
      <c r="O346" s="14" t="e">
        <f>LOOKUP(N346,'Matrice AP'!A:A,'Matrice AP'!H:H)</f>
        <v>#N/A</v>
      </c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</row>
    <row r="347" spans="1:39" ht="21" x14ac:dyDescent="0.3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21" t="str">
        <f t="shared" si="8"/>
        <v>..</v>
      </c>
      <c r="O347" s="14" t="e">
        <f>LOOKUP(N347,'Matrice AP'!A:A,'Matrice AP'!H:H)</f>
        <v>#N/A</v>
      </c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</row>
    <row r="348" spans="1:39" ht="21" x14ac:dyDescent="0.3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21" t="str">
        <f t="shared" si="8"/>
        <v>..</v>
      </c>
      <c r="O348" s="14" t="e">
        <f>LOOKUP(N348,'Matrice AP'!A:A,'Matrice AP'!H:H)</f>
        <v>#N/A</v>
      </c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</row>
    <row r="349" spans="1:39" ht="21" x14ac:dyDescent="0.3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21" t="str">
        <f t="shared" si="8"/>
        <v>..</v>
      </c>
      <c r="O349" s="14" t="e">
        <f>LOOKUP(N349,'Matrice AP'!A:A,'Matrice AP'!H:H)</f>
        <v>#N/A</v>
      </c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</row>
    <row r="350" spans="1:39" ht="21" x14ac:dyDescent="0.3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21" t="str">
        <f t="shared" si="8"/>
        <v>..</v>
      </c>
      <c r="O350" s="14" t="e">
        <f>LOOKUP(N350,'Matrice AP'!A:A,'Matrice AP'!H:H)</f>
        <v>#N/A</v>
      </c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</row>
    <row r="351" spans="1:39" ht="21" x14ac:dyDescent="0.3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21" t="str">
        <f t="shared" si="8"/>
        <v>..</v>
      </c>
      <c r="O351" s="14" t="e">
        <f>LOOKUP(N351,'Matrice AP'!A:A,'Matrice AP'!H:H)</f>
        <v>#N/A</v>
      </c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</row>
    <row r="352" spans="1:39" ht="21" x14ac:dyDescent="0.3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21" t="str">
        <f t="shared" si="8"/>
        <v>..</v>
      </c>
      <c r="O352" s="14" t="e">
        <f>LOOKUP(N352,'Matrice AP'!A:A,'Matrice AP'!H:H)</f>
        <v>#N/A</v>
      </c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</row>
    <row r="353" spans="1:39" ht="21" x14ac:dyDescent="0.3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21" t="str">
        <f t="shared" si="8"/>
        <v>..</v>
      </c>
      <c r="O353" s="14" t="e">
        <f>LOOKUP(N353,'Matrice AP'!A:A,'Matrice AP'!H:H)</f>
        <v>#N/A</v>
      </c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</row>
    <row r="354" spans="1:39" ht="21" x14ac:dyDescent="0.3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21" t="str">
        <f t="shared" si="8"/>
        <v>..</v>
      </c>
      <c r="O354" s="14" t="e">
        <f>LOOKUP(N354,'Matrice AP'!A:A,'Matrice AP'!H:H)</f>
        <v>#N/A</v>
      </c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</row>
    <row r="355" spans="1:39" ht="21" x14ac:dyDescent="0.3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21" t="str">
        <f t="shared" si="8"/>
        <v>..</v>
      </c>
      <c r="O355" s="14" t="e">
        <f>LOOKUP(N355,'Matrice AP'!A:A,'Matrice AP'!H:H)</f>
        <v>#N/A</v>
      </c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</row>
    <row r="356" spans="1:39" ht="21" x14ac:dyDescent="0.3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21" t="str">
        <f t="shared" si="8"/>
        <v>..</v>
      </c>
      <c r="O356" s="14" t="e">
        <f>LOOKUP(N356,'Matrice AP'!A:A,'Matrice AP'!H:H)</f>
        <v>#N/A</v>
      </c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</row>
    <row r="357" spans="1:39" ht="21" x14ac:dyDescent="0.3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21" t="str">
        <f t="shared" si="8"/>
        <v>..</v>
      </c>
      <c r="O357" s="14" t="e">
        <f>LOOKUP(N357,'Matrice AP'!A:A,'Matrice AP'!H:H)</f>
        <v>#N/A</v>
      </c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</row>
    <row r="358" spans="1:39" ht="21" x14ac:dyDescent="0.3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21" t="str">
        <f t="shared" si="8"/>
        <v>..</v>
      </c>
      <c r="O358" s="14" t="e">
        <f>LOOKUP(N358,'Matrice AP'!A:A,'Matrice AP'!H:H)</f>
        <v>#N/A</v>
      </c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</row>
    <row r="359" spans="1:39" ht="21" x14ac:dyDescent="0.3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21" t="str">
        <f t="shared" si="8"/>
        <v>..</v>
      </c>
      <c r="O359" s="14" t="e">
        <f>LOOKUP(N359,'Matrice AP'!A:A,'Matrice AP'!H:H)</f>
        <v>#N/A</v>
      </c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</row>
    <row r="360" spans="1:39" ht="21" x14ac:dyDescent="0.3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21" t="str">
        <f t="shared" si="8"/>
        <v>..</v>
      </c>
      <c r="O360" s="14" t="e">
        <f>LOOKUP(N360,'Matrice AP'!A:A,'Matrice AP'!H:H)</f>
        <v>#N/A</v>
      </c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</row>
    <row r="361" spans="1:39" ht="21" x14ac:dyDescent="0.3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21" t="str">
        <f t="shared" si="8"/>
        <v>..</v>
      </c>
      <c r="O361" s="14" t="e">
        <f>LOOKUP(N361,'Matrice AP'!A:A,'Matrice AP'!H:H)</f>
        <v>#N/A</v>
      </c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</row>
    <row r="362" spans="1:39" ht="21" x14ac:dyDescent="0.3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21" t="str">
        <f t="shared" si="8"/>
        <v>..</v>
      </c>
      <c r="O362" s="14" t="e">
        <f>LOOKUP(N362,'Matrice AP'!A:A,'Matrice AP'!H:H)</f>
        <v>#N/A</v>
      </c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</row>
    <row r="363" spans="1:39" ht="21" x14ac:dyDescent="0.3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21" t="str">
        <f t="shared" si="8"/>
        <v>..</v>
      </c>
      <c r="O363" s="14" t="e">
        <f>LOOKUP(N363,'Matrice AP'!A:A,'Matrice AP'!H:H)</f>
        <v>#N/A</v>
      </c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</row>
    <row r="364" spans="1:39" ht="21" x14ac:dyDescent="0.3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21" t="str">
        <f t="shared" si="8"/>
        <v>..</v>
      </c>
      <c r="O364" s="14" t="e">
        <f>LOOKUP(N364,'Matrice AP'!A:A,'Matrice AP'!H:H)</f>
        <v>#N/A</v>
      </c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</row>
    <row r="365" spans="1:39" ht="21" x14ac:dyDescent="0.3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21" t="str">
        <f t="shared" si="8"/>
        <v>..</v>
      </c>
      <c r="O365" s="14" t="e">
        <f>LOOKUP(N365,'Matrice AP'!A:A,'Matrice AP'!H:H)</f>
        <v>#N/A</v>
      </c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</row>
    <row r="366" spans="1:39" ht="21" x14ac:dyDescent="0.3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21" t="str">
        <f t="shared" si="8"/>
        <v>..</v>
      </c>
      <c r="O366" s="14" t="e">
        <f>LOOKUP(N366,'Matrice AP'!A:A,'Matrice AP'!H:H)</f>
        <v>#N/A</v>
      </c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</row>
    <row r="367" spans="1:39" ht="21" x14ac:dyDescent="0.3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21" t="str">
        <f t="shared" si="8"/>
        <v>..</v>
      </c>
      <c r="O367" s="14" t="e">
        <f>LOOKUP(N367,'Matrice AP'!A:A,'Matrice AP'!H:H)</f>
        <v>#N/A</v>
      </c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</row>
    <row r="368" spans="1:39" ht="21" x14ac:dyDescent="0.3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21" t="str">
        <f t="shared" si="8"/>
        <v>..</v>
      </c>
      <c r="O368" s="14" t="e">
        <f>LOOKUP(N368,'Matrice AP'!A:A,'Matrice AP'!H:H)</f>
        <v>#N/A</v>
      </c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</row>
    <row r="369" spans="1:39" ht="21" x14ac:dyDescent="0.3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21" t="str">
        <f t="shared" si="8"/>
        <v>..</v>
      </c>
      <c r="O369" s="14" t="e">
        <f>LOOKUP(N369,'Matrice AP'!A:A,'Matrice AP'!H:H)</f>
        <v>#N/A</v>
      </c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</row>
    <row r="370" spans="1:39" ht="21" x14ac:dyDescent="0.3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21" t="str">
        <f t="shared" si="8"/>
        <v>..</v>
      </c>
      <c r="O370" s="14" t="e">
        <f>LOOKUP(N370,'Matrice AP'!A:A,'Matrice AP'!H:H)</f>
        <v>#N/A</v>
      </c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</row>
    <row r="371" spans="1:39" ht="21" x14ac:dyDescent="0.3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21" t="str">
        <f t="shared" si="8"/>
        <v>..</v>
      </c>
      <c r="O371" s="14" t="e">
        <f>LOOKUP(N371,'Matrice AP'!A:A,'Matrice AP'!H:H)</f>
        <v>#N/A</v>
      </c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</row>
    <row r="372" spans="1:39" ht="21" x14ac:dyDescent="0.3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21" t="str">
        <f t="shared" si="8"/>
        <v>..</v>
      </c>
      <c r="O372" s="14" t="e">
        <f>LOOKUP(N372,'Matrice AP'!A:A,'Matrice AP'!H:H)</f>
        <v>#N/A</v>
      </c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</row>
    <row r="373" spans="1:39" ht="21" x14ac:dyDescent="0.3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21" t="str">
        <f t="shared" si="8"/>
        <v>..</v>
      </c>
      <c r="O373" s="14" t="e">
        <f>LOOKUP(N373,'Matrice AP'!A:A,'Matrice AP'!H:H)</f>
        <v>#N/A</v>
      </c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</row>
    <row r="374" spans="1:39" ht="21" x14ac:dyDescent="0.3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21" t="str">
        <f t="shared" si="8"/>
        <v>..</v>
      </c>
      <c r="O374" s="14" t="e">
        <f>LOOKUP(N374,'Matrice AP'!A:A,'Matrice AP'!H:H)</f>
        <v>#N/A</v>
      </c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</row>
    <row r="375" spans="1:39" ht="21" x14ac:dyDescent="0.3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21" t="str">
        <f t="shared" si="8"/>
        <v>..</v>
      </c>
      <c r="O375" s="14" t="e">
        <f>LOOKUP(N375,'Matrice AP'!A:A,'Matrice AP'!H:H)</f>
        <v>#N/A</v>
      </c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</row>
    <row r="376" spans="1:39" ht="21" x14ac:dyDescent="0.3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21" t="str">
        <f t="shared" si="8"/>
        <v>..</v>
      </c>
      <c r="O376" s="14" t="e">
        <f>LOOKUP(N376,'Matrice AP'!A:A,'Matrice AP'!H:H)</f>
        <v>#N/A</v>
      </c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</row>
    <row r="377" spans="1:39" ht="21" x14ac:dyDescent="0.3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21" t="str">
        <f t="shared" si="8"/>
        <v>..</v>
      </c>
      <c r="O377" s="14" t="e">
        <f>LOOKUP(N377,'Matrice AP'!A:A,'Matrice AP'!H:H)</f>
        <v>#N/A</v>
      </c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</row>
    <row r="378" spans="1:39" ht="21" x14ac:dyDescent="0.3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21" t="str">
        <f t="shared" si="8"/>
        <v>..</v>
      </c>
      <c r="O378" s="14" t="e">
        <f>LOOKUP(N378,'Matrice AP'!A:A,'Matrice AP'!H:H)</f>
        <v>#N/A</v>
      </c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</row>
    <row r="379" spans="1:39" ht="21" x14ac:dyDescent="0.3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21" t="str">
        <f t="shared" si="8"/>
        <v>..</v>
      </c>
      <c r="O379" s="14" t="e">
        <f>LOOKUP(N379,'Matrice AP'!A:A,'Matrice AP'!H:H)</f>
        <v>#N/A</v>
      </c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</row>
    <row r="380" spans="1:39" ht="21" x14ac:dyDescent="0.3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21" t="str">
        <f t="shared" si="8"/>
        <v>..</v>
      </c>
      <c r="O380" s="14" t="e">
        <f>LOOKUP(N380,'Matrice AP'!A:A,'Matrice AP'!H:H)</f>
        <v>#N/A</v>
      </c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</row>
    <row r="381" spans="1:39" ht="21" x14ac:dyDescent="0.3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21" t="str">
        <f t="shared" si="8"/>
        <v>..</v>
      </c>
      <c r="O381" s="14" t="e">
        <f>LOOKUP(N381,'Matrice AP'!A:A,'Matrice AP'!H:H)</f>
        <v>#N/A</v>
      </c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</row>
    <row r="382" spans="1:39" ht="21" x14ac:dyDescent="0.3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21" t="str">
        <f t="shared" si="8"/>
        <v>..</v>
      </c>
      <c r="O382" s="14" t="e">
        <f>LOOKUP(N382,'Matrice AP'!A:A,'Matrice AP'!H:H)</f>
        <v>#N/A</v>
      </c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</row>
    <row r="383" spans="1:39" ht="21" x14ac:dyDescent="0.3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21" t="str">
        <f t="shared" si="8"/>
        <v>..</v>
      </c>
      <c r="O383" s="14" t="e">
        <f>LOOKUP(N383,'Matrice AP'!A:A,'Matrice AP'!H:H)</f>
        <v>#N/A</v>
      </c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</row>
    <row r="384" spans="1:39" ht="21" x14ac:dyDescent="0.3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21" t="str">
        <f t="shared" si="8"/>
        <v>..</v>
      </c>
      <c r="O384" s="14" t="e">
        <f>LOOKUP(N384,'Matrice AP'!A:A,'Matrice AP'!H:H)</f>
        <v>#N/A</v>
      </c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</row>
    <row r="385" spans="1:39" ht="21" x14ac:dyDescent="0.3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21" t="str">
        <f t="shared" si="8"/>
        <v>..</v>
      </c>
      <c r="O385" s="14" t="e">
        <f>LOOKUP(N385,'Matrice AP'!A:A,'Matrice AP'!H:H)</f>
        <v>#N/A</v>
      </c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</row>
    <row r="386" spans="1:39" ht="21" x14ac:dyDescent="0.3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21" t="str">
        <f t="shared" si="8"/>
        <v>..</v>
      </c>
      <c r="O386" s="14" t="e">
        <f>LOOKUP(N386,'Matrice AP'!A:A,'Matrice AP'!H:H)</f>
        <v>#N/A</v>
      </c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</row>
    <row r="387" spans="1:39" ht="21" x14ac:dyDescent="0.3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21" t="str">
        <f t="shared" si="8"/>
        <v>..</v>
      </c>
      <c r="O387" s="14" t="e">
        <f>LOOKUP(N387,'Matrice AP'!A:A,'Matrice AP'!H:H)</f>
        <v>#N/A</v>
      </c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</row>
    <row r="388" spans="1:39" ht="21" x14ac:dyDescent="0.3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21" t="str">
        <f t="shared" si="8"/>
        <v>..</v>
      </c>
      <c r="O388" s="14" t="e">
        <f>LOOKUP(N388,'Matrice AP'!A:A,'Matrice AP'!H:H)</f>
        <v>#N/A</v>
      </c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</row>
    <row r="389" spans="1:39" ht="21" x14ac:dyDescent="0.3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21" t="str">
        <f t="shared" ref="N389:N452" si="9">CONCATENATE(G389,".",K389,".",M389)</f>
        <v>..</v>
      </c>
      <c r="O389" s="14" t="e">
        <f>LOOKUP(N389,'Matrice AP'!A:A,'Matrice AP'!H:H)</f>
        <v>#N/A</v>
      </c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</row>
    <row r="390" spans="1:39" ht="21" x14ac:dyDescent="0.3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21" t="str">
        <f t="shared" si="9"/>
        <v>..</v>
      </c>
      <c r="O390" s="14" t="e">
        <f>LOOKUP(N390,'Matrice AP'!A:A,'Matrice AP'!H:H)</f>
        <v>#N/A</v>
      </c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</row>
    <row r="391" spans="1:39" ht="21" x14ac:dyDescent="0.3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21" t="str">
        <f t="shared" si="9"/>
        <v>..</v>
      </c>
      <c r="O391" s="14" t="e">
        <f>LOOKUP(N391,'Matrice AP'!A:A,'Matrice AP'!H:H)</f>
        <v>#N/A</v>
      </c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</row>
    <row r="392" spans="1:39" ht="21" x14ac:dyDescent="0.3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21" t="str">
        <f t="shared" si="9"/>
        <v>..</v>
      </c>
      <c r="O392" s="14" t="e">
        <f>LOOKUP(N392,'Matrice AP'!A:A,'Matrice AP'!H:H)</f>
        <v>#N/A</v>
      </c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</row>
    <row r="393" spans="1:39" ht="21" x14ac:dyDescent="0.3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21" t="str">
        <f t="shared" si="9"/>
        <v>..</v>
      </c>
      <c r="O393" s="14" t="e">
        <f>LOOKUP(N393,'Matrice AP'!A:A,'Matrice AP'!H:H)</f>
        <v>#N/A</v>
      </c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</row>
    <row r="394" spans="1:39" ht="21" x14ac:dyDescent="0.3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21" t="str">
        <f t="shared" si="9"/>
        <v>..</v>
      </c>
      <c r="O394" s="14" t="e">
        <f>LOOKUP(N394,'Matrice AP'!A:A,'Matrice AP'!H:H)</f>
        <v>#N/A</v>
      </c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</row>
    <row r="395" spans="1:39" ht="21" x14ac:dyDescent="0.3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21" t="str">
        <f t="shared" si="9"/>
        <v>..</v>
      </c>
      <c r="O395" s="14" t="e">
        <f>LOOKUP(N395,'Matrice AP'!A:A,'Matrice AP'!H:H)</f>
        <v>#N/A</v>
      </c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</row>
    <row r="396" spans="1:39" ht="21" x14ac:dyDescent="0.3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21" t="str">
        <f t="shared" si="9"/>
        <v>..</v>
      </c>
      <c r="O396" s="14" t="e">
        <f>LOOKUP(N396,'Matrice AP'!A:A,'Matrice AP'!H:H)</f>
        <v>#N/A</v>
      </c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</row>
    <row r="397" spans="1:39" ht="21" x14ac:dyDescent="0.3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21" t="str">
        <f t="shared" si="9"/>
        <v>..</v>
      </c>
      <c r="O397" s="14" t="e">
        <f>LOOKUP(N397,'Matrice AP'!A:A,'Matrice AP'!H:H)</f>
        <v>#N/A</v>
      </c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</row>
    <row r="398" spans="1:39" ht="21" x14ac:dyDescent="0.3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21" t="str">
        <f t="shared" si="9"/>
        <v>..</v>
      </c>
      <c r="O398" s="14" t="e">
        <f>LOOKUP(N398,'Matrice AP'!A:A,'Matrice AP'!H:H)</f>
        <v>#N/A</v>
      </c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</row>
    <row r="399" spans="1:39" ht="21" x14ac:dyDescent="0.3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21" t="str">
        <f t="shared" si="9"/>
        <v>..</v>
      </c>
      <c r="O399" s="14" t="e">
        <f>LOOKUP(N399,'Matrice AP'!A:A,'Matrice AP'!H:H)</f>
        <v>#N/A</v>
      </c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</row>
    <row r="400" spans="1:39" ht="21" x14ac:dyDescent="0.3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21" t="str">
        <f t="shared" si="9"/>
        <v>..</v>
      </c>
      <c r="O400" s="14" t="e">
        <f>LOOKUP(N400,'Matrice AP'!A:A,'Matrice AP'!H:H)</f>
        <v>#N/A</v>
      </c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</row>
    <row r="401" spans="1:39" ht="21" x14ac:dyDescent="0.3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21" t="str">
        <f t="shared" si="9"/>
        <v>..</v>
      </c>
      <c r="O401" s="14" t="e">
        <f>LOOKUP(N401,'Matrice AP'!A:A,'Matrice AP'!H:H)</f>
        <v>#N/A</v>
      </c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</row>
    <row r="402" spans="1:39" ht="21" x14ac:dyDescent="0.3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21" t="str">
        <f t="shared" si="9"/>
        <v>..</v>
      </c>
      <c r="O402" s="14" t="e">
        <f>LOOKUP(N402,'Matrice AP'!A:A,'Matrice AP'!H:H)</f>
        <v>#N/A</v>
      </c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</row>
    <row r="403" spans="1:39" ht="21" x14ac:dyDescent="0.3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21" t="str">
        <f t="shared" si="9"/>
        <v>..</v>
      </c>
      <c r="O403" s="14" t="e">
        <f>LOOKUP(N403,'Matrice AP'!A:A,'Matrice AP'!H:H)</f>
        <v>#N/A</v>
      </c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</row>
    <row r="404" spans="1:39" ht="21" x14ac:dyDescent="0.3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21" t="str">
        <f t="shared" si="9"/>
        <v>..</v>
      </c>
      <c r="O404" s="14" t="e">
        <f>LOOKUP(N404,'Matrice AP'!A:A,'Matrice AP'!H:H)</f>
        <v>#N/A</v>
      </c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</row>
    <row r="405" spans="1:39" ht="21" x14ac:dyDescent="0.3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21" t="str">
        <f t="shared" si="9"/>
        <v>..</v>
      </c>
      <c r="O405" s="14" t="e">
        <f>LOOKUP(N405,'Matrice AP'!A:A,'Matrice AP'!H:H)</f>
        <v>#N/A</v>
      </c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</row>
    <row r="406" spans="1:39" ht="21" x14ac:dyDescent="0.3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21" t="str">
        <f t="shared" si="9"/>
        <v>..</v>
      </c>
      <c r="O406" s="14" t="e">
        <f>LOOKUP(N406,'Matrice AP'!A:A,'Matrice AP'!H:H)</f>
        <v>#N/A</v>
      </c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</row>
    <row r="407" spans="1:39" ht="21" x14ac:dyDescent="0.3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21" t="str">
        <f t="shared" si="9"/>
        <v>..</v>
      </c>
      <c r="O407" s="14" t="e">
        <f>LOOKUP(N407,'Matrice AP'!A:A,'Matrice AP'!H:H)</f>
        <v>#N/A</v>
      </c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</row>
    <row r="408" spans="1:39" ht="21" x14ac:dyDescent="0.3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21" t="str">
        <f t="shared" si="9"/>
        <v>..</v>
      </c>
      <c r="O408" s="14" t="e">
        <f>LOOKUP(N408,'Matrice AP'!A:A,'Matrice AP'!H:H)</f>
        <v>#N/A</v>
      </c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</row>
    <row r="409" spans="1:39" ht="21" x14ac:dyDescent="0.3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21" t="str">
        <f t="shared" si="9"/>
        <v>..</v>
      </c>
      <c r="O409" s="14" t="e">
        <f>LOOKUP(N409,'Matrice AP'!A:A,'Matrice AP'!H:H)</f>
        <v>#N/A</v>
      </c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</row>
    <row r="410" spans="1:39" ht="21" x14ac:dyDescent="0.3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21" t="str">
        <f>CONCATENATE(G40,".",K40,".",M40)</f>
        <v>..</v>
      </c>
      <c r="O410" s="14" t="e">
        <f>LOOKUP(N40,'Matrice AP'!A:A,'Matrice AP'!H:H)</f>
        <v>#N/A</v>
      </c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</row>
    <row r="411" spans="1:39" ht="21" x14ac:dyDescent="0.3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21" t="str">
        <f t="shared" si="9"/>
        <v>..</v>
      </c>
      <c r="O411" s="14" t="e">
        <f>LOOKUP(N411,'Matrice AP'!A:A,'Matrice AP'!H:H)</f>
        <v>#N/A</v>
      </c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</row>
    <row r="412" spans="1:39" ht="21" x14ac:dyDescent="0.3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21" t="str">
        <f t="shared" si="9"/>
        <v>..</v>
      </c>
      <c r="O412" s="14" t="e">
        <f>LOOKUP(N412,'Matrice AP'!A:A,'Matrice AP'!H:H)</f>
        <v>#N/A</v>
      </c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</row>
    <row r="413" spans="1:39" ht="21" x14ac:dyDescent="0.3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21" t="str">
        <f t="shared" si="9"/>
        <v>..</v>
      </c>
      <c r="O413" s="14" t="e">
        <f>LOOKUP(N413,'Matrice AP'!A:A,'Matrice AP'!H:H)</f>
        <v>#N/A</v>
      </c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</row>
    <row r="414" spans="1:39" ht="21" x14ac:dyDescent="0.3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21" t="str">
        <f t="shared" si="9"/>
        <v>..</v>
      </c>
      <c r="O414" s="14" t="e">
        <f>LOOKUP(N414,'Matrice AP'!A:A,'Matrice AP'!H:H)</f>
        <v>#N/A</v>
      </c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</row>
    <row r="415" spans="1:39" ht="21" x14ac:dyDescent="0.3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21" t="str">
        <f t="shared" si="9"/>
        <v>..</v>
      </c>
      <c r="O415" s="14" t="e">
        <f>LOOKUP(N415,'Matrice AP'!A:A,'Matrice AP'!H:H)</f>
        <v>#N/A</v>
      </c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</row>
    <row r="416" spans="1:39" ht="21" x14ac:dyDescent="0.3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21" t="str">
        <f t="shared" si="9"/>
        <v>..</v>
      </c>
      <c r="O416" s="14" t="e">
        <f>LOOKUP(N416,'Matrice AP'!A:A,'Matrice AP'!H:H)</f>
        <v>#N/A</v>
      </c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</row>
    <row r="417" spans="1:39" ht="21" x14ac:dyDescent="0.3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21" t="str">
        <f t="shared" si="9"/>
        <v>..</v>
      </c>
      <c r="O417" s="14" t="e">
        <f>LOOKUP(N417,'Matrice AP'!A:A,'Matrice AP'!H:H)</f>
        <v>#N/A</v>
      </c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</row>
    <row r="418" spans="1:39" ht="21" x14ac:dyDescent="0.3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21" t="str">
        <f t="shared" si="9"/>
        <v>..</v>
      </c>
      <c r="O418" s="14" t="e">
        <f>LOOKUP(N418,'Matrice AP'!A:A,'Matrice AP'!H:H)</f>
        <v>#N/A</v>
      </c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</row>
    <row r="419" spans="1:39" ht="21" x14ac:dyDescent="0.3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21" t="str">
        <f t="shared" si="9"/>
        <v>..</v>
      </c>
      <c r="O419" s="14" t="e">
        <f>LOOKUP(N419,'Matrice AP'!A:A,'Matrice AP'!H:H)</f>
        <v>#N/A</v>
      </c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</row>
    <row r="420" spans="1:39" ht="21" x14ac:dyDescent="0.3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21" t="str">
        <f t="shared" si="9"/>
        <v>..</v>
      </c>
      <c r="O420" s="14" t="e">
        <f>LOOKUP(N420,'Matrice AP'!A:A,'Matrice AP'!H:H)</f>
        <v>#N/A</v>
      </c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</row>
    <row r="421" spans="1:39" ht="21" x14ac:dyDescent="0.3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21" t="str">
        <f t="shared" si="9"/>
        <v>..</v>
      </c>
      <c r="O421" s="14" t="e">
        <f>LOOKUP(N421,'Matrice AP'!A:A,'Matrice AP'!H:H)</f>
        <v>#N/A</v>
      </c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</row>
    <row r="422" spans="1:39" ht="21" x14ac:dyDescent="0.3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21" t="str">
        <f t="shared" si="9"/>
        <v>..</v>
      </c>
      <c r="O422" s="14" t="e">
        <f>LOOKUP(N422,'Matrice AP'!A:A,'Matrice AP'!H:H)</f>
        <v>#N/A</v>
      </c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</row>
    <row r="423" spans="1:39" ht="21" x14ac:dyDescent="0.3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21" t="str">
        <f t="shared" si="9"/>
        <v>..</v>
      </c>
      <c r="O423" s="14" t="e">
        <f>LOOKUP(N423,'Matrice AP'!A:A,'Matrice AP'!H:H)</f>
        <v>#N/A</v>
      </c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</row>
    <row r="424" spans="1:39" ht="21" x14ac:dyDescent="0.3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21" t="str">
        <f t="shared" si="9"/>
        <v>..</v>
      </c>
      <c r="O424" s="14" t="e">
        <f>LOOKUP(N424,'Matrice AP'!A:A,'Matrice AP'!H:H)</f>
        <v>#N/A</v>
      </c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</row>
    <row r="425" spans="1:39" ht="21" x14ac:dyDescent="0.3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21" t="str">
        <f t="shared" si="9"/>
        <v>..</v>
      </c>
      <c r="O425" s="14" t="e">
        <f>LOOKUP(N425,'Matrice AP'!A:A,'Matrice AP'!H:H)</f>
        <v>#N/A</v>
      </c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</row>
    <row r="426" spans="1:39" ht="21" x14ac:dyDescent="0.3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21" t="str">
        <f t="shared" si="9"/>
        <v>..</v>
      </c>
      <c r="O426" s="14" t="e">
        <f>LOOKUP(N426,'Matrice AP'!A:A,'Matrice AP'!H:H)</f>
        <v>#N/A</v>
      </c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</row>
    <row r="427" spans="1:39" ht="21" x14ac:dyDescent="0.3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21" t="str">
        <f t="shared" si="9"/>
        <v>..</v>
      </c>
      <c r="O427" s="14" t="e">
        <f>LOOKUP(N427,'Matrice AP'!A:A,'Matrice AP'!H:H)</f>
        <v>#N/A</v>
      </c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</row>
    <row r="428" spans="1:39" ht="21" x14ac:dyDescent="0.3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21" t="str">
        <f t="shared" si="9"/>
        <v>..</v>
      </c>
      <c r="O428" s="14" t="e">
        <f>LOOKUP(N428,'Matrice AP'!A:A,'Matrice AP'!H:H)</f>
        <v>#N/A</v>
      </c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</row>
    <row r="429" spans="1:39" ht="21" x14ac:dyDescent="0.3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21" t="str">
        <f t="shared" si="9"/>
        <v>..</v>
      </c>
      <c r="O429" s="14" t="e">
        <f>LOOKUP(N429,'Matrice AP'!A:A,'Matrice AP'!H:H)</f>
        <v>#N/A</v>
      </c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</row>
    <row r="430" spans="1:39" ht="21" x14ac:dyDescent="0.3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21" t="str">
        <f t="shared" si="9"/>
        <v>..</v>
      </c>
      <c r="O430" s="14" t="e">
        <f>LOOKUP(N430,'Matrice AP'!A:A,'Matrice AP'!H:H)</f>
        <v>#N/A</v>
      </c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</row>
    <row r="431" spans="1:39" ht="21" x14ac:dyDescent="0.3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21" t="str">
        <f t="shared" si="9"/>
        <v>..</v>
      </c>
      <c r="O431" s="14" t="e">
        <f>LOOKUP(N431,'Matrice AP'!A:A,'Matrice AP'!H:H)</f>
        <v>#N/A</v>
      </c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</row>
    <row r="432" spans="1:39" ht="21" x14ac:dyDescent="0.3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21" t="str">
        <f t="shared" si="9"/>
        <v>..</v>
      </c>
      <c r="O432" s="14" t="e">
        <f>LOOKUP(N432,'Matrice AP'!A:A,'Matrice AP'!H:H)</f>
        <v>#N/A</v>
      </c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</row>
    <row r="433" spans="1:39" ht="21" x14ac:dyDescent="0.3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21" t="str">
        <f t="shared" si="9"/>
        <v>..</v>
      </c>
      <c r="O433" s="14" t="e">
        <f>LOOKUP(N433,'Matrice AP'!A:A,'Matrice AP'!H:H)</f>
        <v>#N/A</v>
      </c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</row>
    <row r="434" spans="1:39" ht="21" x14ac:dyDescent="0.3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21" t="str">
        <f t="shared" si="9"/>
        <v>..</v>
      </c>
      <c r="O434" s="14" t="e">
        <f>LOOKUP(N434,'Matrice AP'!A:A,'Matrice AP'!H:H)</f>
        <v>#N/A</v>
      </c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</row>
    <row r="435" spans="1:39" ht="21" x14ac:dyDescent="0.3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21" t="str">
        <f t="shared" si="9"/>
        <v>..</v>
      </c>
      <c r="O435" s="14" t="e">
        <f>LOOKUP(N435,'Matrice AP'!A:A,'Matrice AP'!H:H)</f>
        <v>#N/A</v>
      </c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</row>
    <row r="436" spans="1:39" ht="21" x14ac:dyDescent="0.3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21" t="str">
        <f t="shared" si="9"/>
        <v>..</v>
      </c>
      <c r="O436" s="14" t="e">
        <f>LOOKUP(N436,'Matrice AP'!A:A,'Matrice AP'!H:H)</f>
        <v>#N/A</v>
      </c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</row>
    <row r="437" spans="1:39" ht="21" x14ac:dyDescent="0.3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21" t="str">
        <f t="shared" si="9"/>
        <v>..</v>
      </c>
      <c r="O437" s="14" t="e">
        <f>LOOKUP(N437,'Matrice AP'!A:A,'Matrice AP'!H:H)</f>
        <v>#N/A</v>
      </c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</row>
    <row r="438" spans="1:39" ht="21" x14ac:dyDescent="0.3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21" t="str">
        <f t="shared" si="9"/>
        <v>..</v>
      </c>
      <c r="O438" s="14" t="e">
        <f>LOOKUP(N438,'Matrice AP'!A:A,'Matrice AP'!H:H)</f>
        <v>#N/A</v>
      </c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</row>
    <row r="439" spans="1:39" ht="21" x14ac:dyDescent="0.3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21" t="str">
        <f t="shared" si="9"/>
        <v>..</v>
      </c>
      <c r="O439" s="14" t="e">
        <f>LOOKUP(N439,'Matrice AP'!A:A,'Matrice AP'!H:H)</f>
        <v>#N/A</v>
      </c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</row>
    <row r="440" spans="1:39" ht="21" x14ac:dyDescent="0.3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21" t="str">
        <f t="shared" si="9"/>
        <v>..</v>
      </c>
      <c r="O440" s="14" t="e">
        <f>LOOKUP(N440,'Matrice AP'!A:A,'Matrice AP'!H:H)</f>
        <v>#N/A</v>
      </c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</row>
    <row r="441" spans="1:39" ht="21" x14ac:dyDescent="0.3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21" t="str">
        <f t="shared" si="9"/>
        <v>..</v>
      </c>
      <c r="O441" s="14" t="e">
        <f>LOOKUP(N441,'Matrice AP'!A:A,'Matrice AP'!H:H)</f>
        <v>#N/A</v>
      </c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</row>
    <row r="442" spans="1:39" ht="21" x14ac:dyDescent="0.3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21" t="str">
        <f t="shared" si="9"/>
        <v>..</v>
      </c>
      <c r="O442" s="14" t="e">
        <f>LOOKUP(N442,'Matrice AP'!A:A,'Matrice AP'!H:H)</f>
        <v>#N/A</v>
      </c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</row>
    <row r="443" spans="1:39" ht="21" x14ac:dyDescent="0.3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21" t="str">
        <f t="shared" si="9"/>
        <v>..</v>
      </c>
      <c r="O443" s="14" t="e">
        <f>LOOKUP(N443,'Matrice AP'!A:A,'Matrice AP'!H:H)</f>
        <v>#N/A</v>
      </c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</row>
    <row r="444" spans="1:39" ht="21" x14ac:dyDescent="0.3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21" t="str">
        <f t="shared" si="9"/>
        <v>..</v>
      </c>
      <c r="O444" s="14" t="e">
        <f>LOOKUP(N444,'Matrice AP'!A:A,'Matrice AP'!H:H)</f>
        <v>#N/A</v>
      </c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</row>
    <row r="445" spans="1:39" ht="21" x14ac:dyDescent="0.3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21" t="str">
        <f t="shared" si="9"/>
        <v>..</v>
      </c>
      <c r="O445" s="14" t="e">
        <f>LOOKUP(N445,'Matrice AP'!A:A,'Matrice AP'!H:H)</f>
        <v>#N/A</v>
      </c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</row>
    <row r="446" spans="1:39" ht="21" x14ac:dyDescent="0.3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21" t="str">
        <f t="shared" si="9"/>
        <v>..</v>
      </c>
      <c r="O446" s="14" t="e">
        <f>LOOKUP(N446,'Matrice AP'!A:A,'Matrice AP'!H:H)</f>
        <v>#N/A</v>
      </c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</row>
    <row r="447" spans="1:39" ht="21" x14ac:dyDescent="0.3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21" t="str">
        <f t="shared" si="9"/>
        <v>..</v>
      </c>
      <c r="O447" s="14" t="e">
        <f>LOOKUP(N447,'Matrice AP'!A:A,'Matrice AP'!H:H)</f>
        <v>#N/A</v>
      </c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</row>
    <row r="448" spans="1:39" ht="21" x14ac:dyDescent="0.3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21" t="str">
        <f t="shared" si="9"/>
        <v>..</v>
      </c>
      <c r="O448" s="14" t="e">
        <f>LOOKUP(N448,'Matrice AP'!A:A,'Matrice AP'!H:H)</f>
        <v>#N/A</v>
      </c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</row>
    <row r="449" spans="1:39" ht="21" x14ac:dyDescent="0.3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21" t="str">
        <f t="shared" si="9"/>
        <v>..</v>
      </c>
      <c r="O449" s="14" t="e">
        <f>LOOKUP(N449,'Matrice AP'!A:A,'Matrice AP'!H:H)</f>
        <v>#N/A</v>
      </c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</row>
    <row r="450" spans="1:39" ht="21" x14ac:dyDescent="0.3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21" t="str">
        <f t="shared" si="9"/>
        <v>..</v>
      </c>
      <c r="O450" s="14" t="e">
        <f>LOOKUP(N450,'Matrice AP'!A:A,'Matrice AP'!H:H)</f>
        <v>#N/A</v>
      </c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</row>
    <row r="451" spans="1:39" ht="21" x14ac:dyDescent="0.3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21" t="str">
        <f t="shared" si="9"/>
        <v>..</v>
      </c>
      <c r="O451" s="14" t="e">
        <f>LOOKUP(N451,'Matrice AP'!A:A,'Matrice AP'!H:H)</f>
        <v>#N/A</v>
      </c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</row>
    <row r="452" spans="1:39" ht="21" x14ac:dyDescent="0.3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21" t="str">
        <f t="shared" si="9"/>
        <v>..</v>
      </c>
      <c r="O452" s="14" t="e">
        <f>LOOKUP(N452,'Matrice AP'!A:A,'Matrice AP'!H:H)</f>
        <v>#N/A</v>
      </c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</row>
    <row r="453" spans="1:39" ht="21" x14ac:dyDescent="0.3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21" t="str">
        <f t="shared" ref="N453:N516" si="10">CONCATENATE(G453,".",K453,".",M453)</f>
        <v>..</v>
      </c>
      <c r="O453" s="14" t="e">
        <f>LOOKUP(N453,'Matrice AP'!A:A,'Matrice AP'!H:H)</f>
        <v>#N/A</v>
      </c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</row>
    <row r="454" spans="1:39" ht="21" x14ac:dyDescent="0.3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21" t="str">
        <f t="shared" si="10"/>
        <v>..</v>
      </c>
      <c r="O454" s="14" t="e">
        <f>LOOKUP(N454,'Matrice AP'!A:A,'Matrice AP'!H:H)</f>
        <v>#N/A</v>
      </c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</row>
    <row r="455" spans="1:39" ht="21" x14ac:dyDescent="0.3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21" t="str">
        <f t="shared" si="10"/>
        <v>..</v>
      </c>
      <c r="O455" s="14" t="e">
        <f>LOOKUP(N455,'Matrice AP'!A:A,'Matrice AP'!H:H)</f>
        <v>#N/A</v>
      </c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</row>
    <row r="456" spans="1:39" ht="21" x14ac:dyDescent="0.3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21" t="str">
        <f t="shared" si="10"/>
        <v>..</v>
      </c>
      <c r="O456" s="14" t="e">
        <f>LOOKUP(N456,'Matrice AP'!A:A,'Matrice AP'!H:H)</f>
        <v>#N/A</v>
      </c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</row>
    <row r="457" spans="1:39" ht="21" x14ac:dyDescent="0.3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21" t="str">
        <f t="shared" si="10"/>
        <v>..</v>
      </c>
      <c r="O457" s="14" t="e">
        <f>LOOKUP(N457,'Matrice AP'!A:A,'Matrice AP'!H:H)</f>
        <v>#N/A</v>
      </c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</row>
    <row r="458" spans="1:39" ht="21" x14ac:dyDescent="0.3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21" t="str">
        <f t="shared" si="10"/>
        <v>..</v>
      </c>
      <c r="O458" s="14" t="e">
        <f>LOOKUP(N458,'Matrice AP'!A:A,'Matrice AP'!H:H)</f>
        <v>#N/A</v>
      </c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</row>
    <row r="459" spans="1:39" ht="21" x14ac:dyDescent="0.3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21" t="str">
        <f t="shared" si="10"/>
        <v>..</v>
      </c>
      <c r="O459" s="14" t="e">
        <f>LOOKUP(N459,'Matrice AP'!A:A,'Matrice AP'!H:H)</f>
        <v>#N/A</v>
      </c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</row>
    <row r="460" spans="1:39" ht="21" x14ac:dyDescent="0.3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21" t="str">
        <f t="shared" si="10"/>
        <v>..</v>
      </c>
      <c r="O460" s="14" t="e">
        <f>LOOKUP(N460,'Matrice AP'!A:A,'Matrice AP'!H:H)</f>
        <v>#N/A</v>
      </c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</row>
    <row r="461" spans="1:39" ht="21" x14ac:dyDescent="0.3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21" t="str">
        <f t="shared" si="10"/>
        <v>..</v>
      </c>
      <c r="O461" s="14" t="e">
        <f>LOOKUP(N461,'Matrice AP'!A:A,'Matrice AP'!H:H)</f>
        <v>#N/A</v>
      </c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</row>
    <row r="462" spans="1:39" ht="21" x14ac:dyDescent="0.3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21" t="str">
        <f t="shared" si="10"/>
        <v>..</v>
      </c>
      <c r="O462" s="14" t="e">
        <f>LOOKUP(N462,'Matrice AP'!A:A,'Matrice AP'!H:H)</f>
        <v>#N/A</v>
      </c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</row>
    <row r="463" spans="1:39" ht="21" x14ac:dyDescent="0.3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21" t="str">
        <f t="shared" si="10"/>
        <v>..</v>
      </c>
      <c r="O463" s="14" t="e">
        <f>LOOKUP(N463,'Matrice AP'!A:A,'Matrice AP'!H:H)</f>
        <v>#N/A</v>
      </c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</row>
    <row r="464" spans="1:39" ht="21" x14ac:dyDescent="0.3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21" t="str">
        <f t="shared" si="10"/>
        <v>..</v>
      </c>
      <c r="O464" s="14" t="e">
        <f>LOOKUP(N464,'Matrice AP'!A:A,'Matrice AP'!H:H)</f>
        <v>#N/A</v>
      </c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</row>
    <row r="465" spans="1:39" ht="21" x14ac:dyDescent="0.3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21" t="str">
        <f t="shared" si="10"/>
        <v>..</v>
      </c>
      <c r="O465" s="14" t="e">
        <f>LOOKUP(N465,'Matrice AP'!A:A,'Matrice AP'!H:H)</f>
        <v>#N/A</v>
      </c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</row>
    <row r="466" spans="1:39" ht="21" x14ac:dyDescent="0.3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21" t="str">
        <f t="shared" si="10"/>
        <v>..</v>
      </c>
      <c r="O466" s="14" t="e">
        <f>LOOKUP(N466,'Matrice AP'!A:A,'Matrice AP'!H:H)</f>
        <v>#N/A</v>
      </c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</row>
    <row r="467" spans="1:39" ht="21" x14ac:dyDescent="0.3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21" t="str">
        <f t="shared" si="10"/>
        <v>..</v>
      </c>
      <c r="O467" s="14" t="e">
        <f>LOOKUP(N467,'Matrice AP'!A:A,'Matrice AP'!H:H)</f>
        <v>#N/A</v>
      </c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</row>
    <row r="468" spans="1:39" ht="21" x14ac:dyDescent="0.3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21" t="str">
        <f t="shared" si="10"/>
        <v>..</v>
      </c>
      <c r="O468" s="14" t="e">
        <f>LOOKUP(N468,'Matrice AP'!A:A,'Matrice AP'!H:H)</f>
        <v>#N/A</v>
      </c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</row>
    <row r="469" spans="1:39" ht="21" x14ac:dyDescent="0.3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21" t="str">
        <f t="shared" si="10"/>
        <v>..</v>
      </c>
      <c r="O469" s="14" t="e">
        <f>LOOKUP(N469,'Matrice AP'!A:A,'Matrice AP'!H:H)</f>
        <v>#N/A</v>
      </c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</row>
    <row r="470" spans="1:39" ht="21" x14ac:dyDescent="0.3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21" t="str">
        <f t="shared" si="10"/>
        <v>..</v>
      </c>
      <c r="O470" s="14" t="e">
        <f>LOOKUP(N470,'Matrice AP'!A:A,'Matrice AP'!H:H)</f>
        <v>#N/A</v>
      </c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</row>
    <row r="471" spans="1:39" ht="21" x14ac:dyDescent="0.3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21" t="str">
        <f t="shared" si="10"/>
        <v>..</v>
      </c>
      <c r="O471" s="14" t="e">
        <f>LOOKUP(N471,'Matrice AP'!A:A,'Matrice AP'!H:H)</f>
        <v>#N/A</v>
      </c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</row>
    <row r="472" spans="1:39" ht="21" x14ac:dyDescent="0.3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21" t="str">
        <f t="shared" si="10"/>
        <v>..</v>
      </c>
      <c r="O472" s="14" t="e">
        <f>LOOKUP(N472,'Matrice AP'!A:A,'Matrice AP'!H:H)</f>
        <v>#N/A</v>
      </c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</row>
    <row r="473" spans="1:39" ht="21" x14ac:dyDescent="0.3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21" t="str">
        <f t="shared" si="10"/>
        <v>..</v>
      </c>
      <c r="O473" s="14" t="e">
        <f>LOOKUP(N473,'Matrice AP'!A:A,'Matrice AP'!H:H)</f>
        <v>#N/A</v>
      </c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</row>
    <row r="474" spans="1:39" ht="21" x14ac:dyDescent="0.3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21" t="str">
        <f t="shared" si="10"/>
        <v>..</v>
      </c>
      <c r="O474" s="14" t="e">
        <f>LOOKUP(N474,'Matrice AP'!A:A,'Matrice AP'!H:H)</f>
        <v>#N/A</v>
      </c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</row>
    <row r="475" spans="1:39" ht="21" x14ac:dyDescent="0.3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21" t="str">
        <f t="shared" si="10"/>
        <v>..</v>
      </c>
      <c r="O475" s="14" t="e">
        <f>LOOKUP(N475,'Matrice AP'!A:A,'Matrice AP'!H:H)</f>
        <v>#N/A</v>
      </c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</row>
    <row r="476" spans="1:39" ht="21" x14ac:dyDescent="0.3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21" t="str">
        <f t="shared" si="10"/>
        <v>..</v>
      </c>
      <c r="O476" s="14" t="e">
        <f>LOOKUP(N476,'Matrice AP'!A:A,'Matrice AP'!H:H)</f>
        <v>#N/A</v>
      </c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</row>
    <row r="477" spans="1:39" ht="21" x14ac:dyDescent="0.3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21" t="str">
        <f t="shared" si="10"/>
        <v>..</v>
      </c>
      <c r="O477" s="14" t="e">
        <f>LOOKUP(N477,'Matrice AP'!A:A,'Matrice AP'!H:H)</f>
        <v>#N/A</v>
      </c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</row>
    <row r="478" spans="1:39" ht="21" x14ac:dyDescent="0.3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21" t="str">
        <f t="shared" si="10"/>
        <v>..</v>
      </c>
      <c r="O478" s="14" t="e">
        <f>LOOKUP(N478,'Matrice AP'!A:A,'Matrice AP'!H:H)</f>
        <v>#N/A</v>
      </c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</row>
    <row r="479" spans="1:39" ht="21" x14ac:dyDescent="0.3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21" t="str">
        <f t="shared" si="10"/>
        <v>..</v>
      </c>
      <c r="O479" s="14" t="e">
        <f>LOOKUP(N479,'Matrice AP'!A:A,'Matrice AP'!H:H)</f>
        <v>#N/A</v>
      </c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</row>
    <row r="480" spans="1:39" ht="21" x14ac:dyDescent="0.3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21" t="str">
        <f t="shared" si="10"/>
        <v>..</v>
      </c>
      <c r="O480" s="14" t="e">
        <f>LOOKUP(N480,'Matrice AP'!A:A,'Matrice AP'!H:H)</f>
        <v>#N/A</v>
      </c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</row>
    <row r="481" spans="1:39" ht="21" x14ac:dyDescent="0.3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21" t="str">
        <f t="shared" si="10"/>
        <v>..</v>
      </c>
      <c r="O481" s="14" t="e">
        <f>LOOKUP(N481,'Matrice AP'!A:A,'Matrice AP'!H:H)</f>
        <v>#N/A</v>
      </c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</row>
    <row r="482" spans="1:39" ht="21" x14ac:dyDescent="0.3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21" t="str">
        <f t="shared" si="10"/>
        <v>..</v>
      </c>
      <c r="O482" s="14" t="e">
        <f>LOOKUP(N482,'Matrice AP'!A:A,'Matrice AP'!H:H)</f>
        <v>#N/A</v>
      </c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</row>
    <row r="483" spans="1:39" ht="21" x14ac:dyDescent="0.3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21" t="str">
        <f t="shared" si="10"/>
        <v>..</v>
      </c>
      <c r="O483" s="14" t="e">
        <f>LOOKUP(N483,'Matrice AP'!A:A,'Matrice AP'!H:H)</f>
        <v>#N/A</v>
      </c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</row>
    <row r="484" spans="1:39" ht="21" x14ac:dyDescent="0.3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21" t="str">
        <f t="shared" si="10"/>
        <v>..</v>
      </c>
      <c r="O484" s="14" t="e">
        <f>LOOKUP(N484,'Matrice AP'!A:A,'Matrice AP'!H:H)</f>
        <v>#N/A</v>
      </c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</row>
    <row r="485" spans="1:39" ht="21" x14ac:dyDescent="0.3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21" t="str">
        <f t="shared" si="10"/>
        <v>..</v>
      </c>
      <c r="O485" s="14" t="e">
        <f>LOOKUP(N485,'Matrice AP'!A:A,'Matrice AP'!H:H)</f>
        <v>#N/A</v>
      </c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</row>
    <row r="486" spans="1:39" ht="21" x14ac:dyDescent="0.3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21" t="str">
        <f t="shared" si="10"/>
        <v>..</v>
      </c>
      <c r="O486" s="14" t="e">
        <f>LOOKUP(N486,'Matrice AP'!A:A,'Matrice AP'!H:H)</f>
        <v>#N/A</v>
      </c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</row>
    <row r="487" spans="1:39" ht="21" x14ac:dyDescent="0.3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21" t="str">
        <f t="shared" si="10"/>
        <v>..</v>
      </c>
      <c r="O487" s="14" t="e">
        <f>LOOKUP(N487,'Matrice AP'!A:A,'Matrice AP'!H:H)</f>
        <v>#N/A</v>
      </c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</row>
    <row r="488" spans="1:39" ht="21" x14ac:dyDescent="0.3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21" t="str">
        <f t="shared" si="10"/>
        <v>..</v>
      </c>
      <c r="O488" s="14" t="e">
        <f>LOOKUP(N488,'Matrice AP'!A:A,'Matrice AP'!H:H)</f>
        <v>#N/A</v>
      </c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</row>
    <row r="489" spans="1:39" ht="21" x14ac:dyDescent="0.3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21" t="str">
        <f t="shared" si="10"/>
        <v>..</v>
      </c>
      <c r="O489" s="14" t="e">
        <f>LOOKUP(N489,'Matrice AP'!A:A,'Matrice AP'!H:H)</f>
        <v>#N/A</v>
      </c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</row>
    <row r="490" spans="1:39" ht="21" x14ac:dyDescent="0.3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21" t="str">
        <f t="shared" si="10"/>
        <v>..</v>
      </c>
      <c r="O490" s="14" t="e">
        <f>LOOKUP(N490,'Matrice AP'!A:A,'Matrice AP'!H:H)</f>
        <v>#N/A</v>
      </c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</row>
    <row r="491" spans="1:39" ht="21" x14ac:dyDescent="0.3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21" t="str">
        <f t="shared" si="10"/>
        <v>..</v>
      </c>
      <c r="O491" s="14" t="e">
        <f>LOOKUP(N491,'Matrice AP'!A:A,'Matrice AP'!H:H)</f>
        <v>#N/A</v>
      </c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</row>
    <row r="492" spans="1:39" ht="21" x14ac:dyDescent="0.3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21" t="str">
        <f t="shared" si="10"/>
        <v>..</v>
      </c>
      <c r="O492" s="14" t="e">
        <f>LOOKUP(N492,'Matrice AP'!A:A,'Matrice AP'!H:H)</f>
        <v>#N/A</v>
      </c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</row>
    <row r="493" spans="1:39" ht="21" x14ac:dyDescent="0.3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21" t="str">
        <f t="shared" si="10"/>
        <v>..</v>
      </c>
      <c r="O493" s="14" t="e">
        <f>LOOKUP(N493,'Matrice AP'!A:A,'Matrice AP'!H:H)</f>
        <v>#N/A</v>
      </c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</row>
    <row r="494" spans="1:39" ht="21" x14ac:dyDescent="0.3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21" t="str">
        <f t="shared" si="10"/>
        <v>..</v>
      </c>
      <c r="O494" s="14" t="e">
        <f>LOOKUP(N494,'Matrice AP'!A:A,'Matrice AP'!H:H)</f>
        <v>#N/A</v>
      </c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</row>
    <row r="495" spans="1:39" ht="21" x14ac:dyDescent="0.3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21" t="str">
        <f t="shared" si="10"/>
        <v>..</v>
      </c>
      <c r="O495" s="14" t="e">
        <f>LOOKUP(N495,'Matrice AP'!A:A,'Matrice AP'!H:H)</f>
        <v>#N/A</v>
      </c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</row>
    <row r="496" spans="1:39" ht="21" x14ac:dyDescent="0.3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21" t="str">
        <f t="shared" si="10"/>
        <v>..</v>
      </c>
      <c r="O496" s="14" t="e">
        <f>LOOKUP(N496,'Matrice AP'!A:A,'Matrice AP'!H:H)</f>
        <v>#N/A</v>
      </c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</row>
    <row r="497" spans="1:39" ht="21" x14ac:dyDescent="0.3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21" t="str">
        <f t="shared" si="10"/>
        <v>..</v>
      </c>
      <c r="O497" s="14" t="e">
        <f>LOOKUP(N497,'Matrice AP'!A:A,'Matrice AP'!H:H)</f>
        <v>#N/A</v>
      </c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</row>
    <row r="498" spans="1:39" ht="21" x14ac:dyDescent="0.3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21" t="str">
        <f t="shared" si="10"/>
        <v>..</v>
      </c>
      <c r="O498" s="14" t="e">
        <f>LOOKUP(N498,'Matrice AP'!A:A,'Matrice AP'!H:H)</f>
        <v>#N/A</v>
      </c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</row>
    <row r="499" spans="1:39" ht="21" x14ac:dyDescent="0.3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21" t="str">
        <f t="shared" si="10"/>
        <v>..</v>
      </c>
      <c r="O499" s="14" t="e">
        <f>LOOKUP(N499,'Matrice AP'!A:A,'Matrice AP'!H:H)</f>
        <v>#N/A</v>
      </c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</row>
    <row r="500" spans="1:39" ht="21" x14ac:dyDescent="0.3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21" t="str">
        <f t="shared" si="10"/>
        <v>..</v>
      </c>
      <c r="O500" s="14" t="e">
        <f>LOOKUP(N500,'Matrice AP'!A:A,'Matrice AP'!H:H)</f>
        <v>#N/A</v>
      </c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</row>
    <row r="501" spans="1:39" ht="21" x14ac:dyDescent="0.3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21" t="str">
        <f t="shared" si="10"/>
        <v>..</v>
      </c>
      <c r="O501" s="14" t="e">
        <f>LOOKUP(N501,'Matrice AP'!A:A,'Matrice AP'!H:H)</f>
        <v>#N/A</v>
      </c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</row>
    <row r="502" spans="1:39" ht="21" x14ac:dyDescent="0.3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21" t="str">
        <f t="shared" si="10"/>
        <v>..</v>
      </c>
      <c r="O502" s="14" t="e">
        <f>LOOKUP(N502,'Matrice AP'!A:A,'Matrice AP'!H:H)</f>
        <v>#N/A</v>
      </c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</row>
    <row r="503" spans="1:39" ht="21" x14ac:dyDescent="0.3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21" t="str">
        <f t="shared" si="10"/>
        <v>..</v>
      </c>
      <c r="O503" s="14" t="e">
        <f>LOOKUP(N503,'Matrice AP'!A:A,'Matrice AP'!H:H)</f>
        <v>#N/A</v>
      </c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</row>
    <row r="504" spans="1:39" ht="21" x14ac:dyDescent="0.3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21" t="str">
        <f t="shared" si="10"/>
        <v>..</v>
      </c>
      <c r="O504" s="14" t="e">
        <f>LOOKUP(N504,'Matrice AP'!A:A,'Matrice AP'!H:H)</f>
        <v>#N/A</v>
      </c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</row>
    <row r="505" spans="1:39" ht="21" x14ac:dyDescent="0.3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21" t="str">
        <f t="shared" si="10"/>
        <v>..</v>
      </c>
      <c r="O505" s="14" t="e">
        <f>LOOKUP(N505,'Matrice AP'!A:A,'Matrice AP'!H:H)</f>
        <v>#N/A</v>
      </c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</row>
    <row r="506" spans="1:39" ht="21" x14ac:dyDescent="0.3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21" t="str">
        <f t="shared" si="10"/>
        <v>..</v>
      </c>
      <c r="O506" s="14" t="e">
        <f>LOOKUP(N506,'Matrice AP'!A:A,'Matrice AP'!H:H)</f>
        <v>#N/A</v>
      </c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</row>
    <row r="507" spans="1:39" ht="21" x14ac:dyDescent="0.3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21" t="str">
        <f t="shared" si="10"/>
        <v>..</v>
      </c>
      <c r="O507" s="14" t="e">
        <f>LOOKUP(N507,'Matrice AP'!A:A,'Matrice AP'!H:H)</f>
        <v>#N/A</v>
      </c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</row>
    <row r="508" spans="1:39" ht="21" x14ac:dyDescent="0.3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21" t="str">
        <f t="shared" si="10"/>
        <v>..</v>
      </c>
      <c r="O508" s="14" t="e">
        <f>LOOKUP(N508,'Matrice AP'!A:A,'Matrice AP'!H:H)</f>
        <v>#N/A</v>
      </c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</row>
    <row r="509" spans="1:39" ht="21" x14ac:dyDescent="0.3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21" t="str">
        <f t="shared" si="10"/>
        <v>..</v>
      </c>
      <c r="O509" s="14" t="e">
        <f>LOOKUP(N509,'Matrice AP'!A:A,'Matrice AP'!H:H)</f>
        <v>#N/A</v>
      </c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</row>
    <row r="510" spans="1:39" ht="21" x14ac:dyDescent="0.3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21" t="str">
        <f>CONCATENATE(G50,".",K50,".",M50)</f>
        <v>..</v>
      </c>
      <c r="O510" s="14" t="e">
        <f>LOOKUP(N50,'Matrice AP'!A:A,'Matrice AP'!H:H)</f>
        <v>#N/A</v>
      </c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</row>
    <row r="511" spans="1:39" ht="21" x14ac:dyDescent="0.3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21" t="str">
        <f t="shared" si="10"/>
        <v>..</v>
      </c>
      <c r="O511" s="14" t="e">
        <f>LOOKUP(N511,'Matrice AP'!A:A,'Matrice AP'!H:H)</f>
        <v>#N/A</v>
      </c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</row>
    <row r="512" spans="1:39" ht="21" x14ac:dyDescent="0.3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21" t="str">
        <f t="shared" si="10"/>
        <v>..</v>
      </c>
      <c r="O512" s="14" t="e">
        <f>LOOKUP(N512,'Matrice AP'!A:A,'Matrice AP'!H:H)</f>
        <v>#N/A</v>
      </c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</row>
    <row r="513" spans="1:39" ht="21" x14ac:dyDescent="0.3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21" t="str">
        <f t="shared" si="10"/>
        <v>..</v>
      </c>
      <c r="O513" s="14" t="e">
        <f>LOOKUP(N513,'Matrice AP'!A:A,'Matrice AP'!H:H)</f>
        <v>#N/A</v>
      </c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</row>
    <row r="514" spans="1:39" ht="21" x14ac:dyDescent="0.3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21" t="str">
        <f t="shared" si="10"/>
        <v>..</v>
      </c>
      <c r="O514" s="14" t="e">
        <f>LOOKUP(N514,'Matrice AP'!A:A,'Matrice AP'!H:H)</f>
        <v>#N/A</v>
      </c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</row>
    <row r="515" spans="1:39" ht="21" x14ac:dyDescent="0.3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21" t="str">
        <f t="shared" si="10"/>
        <v>..</v>
      </c>
      <c r="O515" s="14" t="e">
        <f>LOOKUP(N515,'Matrice AP'!A:A,'Matrice AP'!H:H)</f>
        <v>#N/A</v>
      </c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</row>
    <row r="516" spans="1:39" ht="21" x14ac:dyDescent="0.3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21" t="str">
        <f t="shared" si="10"/>
        <v>..</v>
      </c>
      <c r="O516" s="14" t="e">
        <f>LOOKUP(N516,'Matrice AP'!A:A,'Matrice AP'!H:H)</f>
        <v>#N/A</v>
      </c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</row>
    <row r="517" spans="1:39" ht="21" x14ac:dyDescent="0.3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21" t="str">
        <f t="shared" ref="N517:N580" si="11">CONCATENATE(G517,".",K517,".",M517)</f>
        <v>..</v>
      </c>
      <c r="O517" s="14" t="e">
        <f>LOOKUP(N517,'Matrice AP'!A:A,'Matrice AP'!H:H)</f>
        <v>#N/A</v>
      </c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</row>
    <row r="518" spans="1:39" ht="21" x14ac:dyDescent="0.3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21" t="str">
        <f t="shared" si="11"/>
        <v>..</v>
      </c>
      <c r="O518" s="14" t="e">
        <f>LOOKUP(N518,'Matrice AP'!A:A,'Matrice AP'!H:H)</f>
        <v>#N/A</v>
      </c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</row>
    <row r="519" spans="1:39" ht="21" x14ac:dyDescent="0.3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21" t="str">
        <f t="shared" si="11"/>
        <v>..</v>
      </c>
      <c r="O519" s="14" t="e">
        <f>LOOKUP(N519,'Matrice AP'!A:A,'Matrice AP'!H:H)</f>
        <v>#N/A</v>
      </c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</row>
    <row r="520" spans="1:39" ht="21" x14ac:dyDescent="0.3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21" t="str">
        <f t="shared" si="11"/>
        <v>..</v>
      </c>
      <c r="O520" s="14" t="e">
        <f>LOOKUP(N520,'Matrice AP'!A:A,'Matrice AP'!H:H)</f>
        <v>#N/A</v>
      </c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</row>
    <row r="521" spans="1:39" ht="21" x14ac:dyDescent="0.3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21" t="str">
        <f t="shared" si="11"/>
        <v>..</v>
      </c>
      <c r="O521" s="14" t="e">
        <f>LOOKUP(N521,'Matrice AP'!A:A,'Matrice AP'!H:H)</f>
        <v>#N/A</v>
      </c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</row>
    <row r="522" spans="1:39" ht="21" x14ac:dyDescent="0.3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21" t="str">
        <f t="shared" si="11"/>
        <v>..</v>
      </c>
      <c r="O522" s="14" t="e">
        <f>LOOKUP(N522,'Matrice AP'!A:A,'Matrice AP'!H:H)</f>
        <v>#N/A</v>
      </c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</row>
    <row r="523" spans="1:39" ht="21" x14ac:dyDescent="0.3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21" t="str">
        <f t="shared" si="11"/>
        <v>..</v>
      </c>
      <c r="O523" s="14" t="e">
        <f>LOOKUP(N523,'Matrice AP'!A:A,'Matrice AP'!H:H)</f>
        <v>#N/A</v>
      </c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</row>
    <row r="524" spans="1:39" ht="21" x14ac:dyDescent="0.3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21" t="str">
        <f t="shared" si="11"/>
        <v>..</v>
      </c>
      <c r="O524" s="14" t="e">
        <f>LOOKUP(N524,'Matrice AP'!A:A,'Matrice AP'!H:H)</f>
        <v>#N/A</v>
      </c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</row>
    <row r="525" spans="1:39" ht="21" x14ac:dyDescent="0.3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21" t="str">
        <f t="shared" si="11"/>
        <v>..</v>
      </c>
      <c r="O525" s="14" t="e">
        <f>LOOKUP(N525,'Matrice AP'!A:A,'Matrice AP'!H:H)</f>
        <v>#N/A</v>
      </c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</row>
    <row r="526" spans="1:39" ht="21" x14ac:dyDescent="0.3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21" t="str">
        <f t="shared" si="11"/>
        <v>..</v>
      </c>
      <c r="O526" s="14" t="e">
        <f>LOOKUP(N526,'Matrice AP'!A:A,'Matrice AP'!H:H)</f>
        <v>#N/A</v>
      </c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</row>
    <row r="527" spans="1:39" ht="21" x14ac:dyDescent="0.3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21" t="str">
        <f t="shared" si="11"/>
        <v>..</v>
      </c>
      <c r="O527" s="14" t="e">
        <f>LOOKUP(N527,'Matrice AP'!A:A,'Matrice AP'!H:H)</f>
        <v>#N/A</v>
      </c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</row>
    <row r="528" spans="1:39" ht="21" x14ac:dyDescent="0.3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21" t="str">
        <f t="shared" si="11"/>
        <v>..</v>
      </c>
      <c r="O528" s="14" t="e">
        <f>LOOKUP(N528,'Matrice AP'!A:A,'Matrice AP'!H:H)</f>
        <v>#N/A</v>
      </c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</row>
    <row r="529" spans="1:39" ht="21" x14ac:dyDescent="0.3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21" t="str">
        <f t="shared" si="11"/>
        <v>..</v>
      </c>
      <c r="O529" s="14" t="e">
        <f>LOOKUP(N529,'Matrice AP'!A:A,'Matrice AP'!H:H)</f>
        <v>#N/A</v>
      </c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</row>
    <row r="530" spans="1:39" ht="21" x14ac:dyDescent="0.3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21" t="str">
        <f t="shared" si="11"/>
        <v>..</v>
      </c>
      <c r="O530" s="14" t="e">
        <f>LOOKUP(N530,'Matrice AP'!A:A,'Matrice AP'!H:H)</f>
        <v>#N/A</v>
      </c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</row>
    <row r="531" spans="1:39" ht="21" x14ac:dyDescent="0.3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21" t="str">
        <f t="shared" si="11"/>
        <v>..</v>
      </c>
      <c r="O531" s="14" t="e">
        <f>LOOKUP(N531,'Matrice AP'!A:A,'Matrice AP'!H:H)</f>
        <v>#N/A</v>
      </c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</row>
    <row r="532" spans="1:39" ht="21" x14ac:dyDescent="0.3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21" t="str">
        <f t="shared" si="11"/>
        <v>..</v>
      </c>
      <c r="O532" s="14" t="e">
        <f>LOOKUP(N532,'Matrice AP'!A:A,'Matrice AP'!H:H)</f>
        <v>#N/A</v>
      </c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</row>
    <row r="533" spans="1:39" ht="21" x14ac:dyDescent="0.3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21" t="str">
        <f t="shared" si="11"/>
        <v>..</v>
      </c>
      <c r="O533" s="14" t="e">
        <f>LOOKUP(N533,'Matrice AP'!A:A,'Matrice AP'!H:H)</f>
        <v>#N/A</v>
      </c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</row>
    <row r="534" spans="1:39" ht="21" x14ac:dyDescent="0.3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21" t="str">
        <f t="shared" si="11"/>
        <v>..</v>
      </c>
      <c r="O534" s="14" t="e">
        <f>LOOKUP(N534,'Matrice AP'!A:A,'Matrice AP'!H:H)</f>
        <v>#N/A</v>
      </c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</row>
    <row r="535" spans="1:39" ht="21" x14ac:dyDescent="0.3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21" t="str">
        <f t="shared" si="11"/>
        <v>..</v>
      </c>
      <c r="O535" s="14" t="e">
        <f>LOOKUP(N535,'Matrice AP'!A:A,'Matrice AP'!H:H)</f>
        <v>#N/A</v>
      </c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</row>
    <row r="536" spans="1:39" ht="21" x14ac:dyDescent="0.3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21" t="str">
        <f t="shared" si="11"/>
        <v>..</v>
      </c>
      <c r="O536" s="14" t="e">
        <f>LOOKUP(N536,'Matrice AP'!A:A,'Matrice AP'!H:H)</f>
        <v>#N/A</v>
      </c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</row>
    <row r="537" spans="1:39" ht="21" x14ac:dyDescent="0.3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21" t="str">
        <f t="shared" si="11"/>
        <v>..</v>
      </c>
      <c r="O537" s="14" t="e">
        <f>LOOKUP(N537,'Matrice AP'!A:A,'Matrice AP'!H:H)</f>
        <v>#N/A</v>
      </c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</row>
    <row r="538" spans="1:39" ht="21" x14ac:dyDescent="0.3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21" t="str">
        <f t="shared" si="11"/>
        <v>..</v>
      </c>
      <c r="O538" s="14" t="e">
        <f>LOOKUP(N538,'Matrice AP'!A:A,'Matrice AP'!H:H)</f>
        <v>#N/A</v>
      </c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</row>
    <row r="539" spans="1:39" ht="21" x14ac:dyDescent="0.3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21" t="str">
        <f t="shared" si="11"/>
        <v>..</v>
      </c>
      <c r="O539" s="14" t="e">
        <f>LOOKUP(N539,'Matrice AP'!A:A,'Matrice AP'!H:H)</f>
        <v>#N/A</v>
      </c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</row>
    <row r="540" spans="1:39" ht="21" x14ac:dyDescent="0.3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21" t="str">
        <f t="shared" si="11"/>
        <v>..</v>
      </c>
      <c r="O540" s="14" t="e">
        <f>LOOKUP(N540,'Matrice AP'!A:A,'Matrice AP'!H:H)</f>
        <v>#N/A</v>
      </c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</row>
    <row r="541" spans="1:39" ht="21" x14ac:dyDescent="0.3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21" t="str">
        <f t="shared" si="11"/>
        <v>..</v>
      </c>
      <c r="O541" s="14" t="e">
        <f>LOOKUP(N541,'Matrice AP'!A:A,'Matrice AP'!H:H)</f>
        <v>#N/A</v>
      </c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</row>
    <row r="542" spans="1:39" ht="21" x14ac:dyDescent="0.3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21" t="str">
        <f t="shared" si="11"/>
        <v>..</v>
      </c>
      <c r="O542" s="14" t="e">
        <f>LOOKUP(N542,'Matrice AP'!A:A,'Matrice AP'!H:H)</f>
        <v>#N/A</v>
      </c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</row>
    <row r="543" spans="1:39" ht="21" x14ac:dyDescent="0.3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21" t="str">
        <f t="shared" si="11"/>
        <v>..</v>
      </c>
      <c r="O543" s="14" t="e">
        <f>LOOKUP(N543,'Matrice AP'!A:A,'Matrice AP'!H:H)</f>
        <v>#N/A</v>
      </c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</row>
    <row r="544" spans="1:39" ht="21" x14ac:dyDescent="0.3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21" t="str">
        <f t="shared" si="11"/>
        <v>..</v>
      </c>
      <c r="O544" s="14" t="e">
        <f>LOOKUP(N544,'Matrice AP'!A:A,'Matrice AP'!H:H)</f>
        <v>#N/A</v>
      </c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</row>
    <row r="545" spans="1:39" ht="21" x14ac:dyDescent="0.3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21" t="str">
        <f t="shared" si="11"/>
        <v>..</v>
      </c>
      <c r="O545" s="14" t="e">
        <f>LOOKUP(N545,'Matrice AP'!A:A,'Matrice AP'!H:H)</f>
        <v>#N/A</v>
      </c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</row>
    <row r="546" spans="1:39" ht="21" x14ac:dyDescent="0.3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21" t="str">
        <f t="shared" si="11"/>
        <v>..</v>
      </c>
      <c r="O546" s="14" t="e">
        <f>LOOKUP(N546,'Matrice AP'!A:A,'Matrice AP'!H:H)</f>
        <v>#N/A</v>
      </c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</row>
    <row r="547" spans="1:39" ht="21" x14ac:dyDescent="0.3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21" t="str">
        <f t="shared" si="11"/>
        <v>..</v>
      </c>
      <c r="O547" s="14" t="e">
        <f>LOOKUP(N547,'Matrice AP'!A:A,'Matrice AP'!H:H)</f>
        <v>#N/A</v>
      </c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</row>
    <row r="548" spans="1:39" ht="21" x14ac:dyDescent="0.3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21" t="str">
        <f t="shared" si="11"/>
        <v>..</v>
      </c>
      <c r="O548" s="14" t="e">
        <f>LOOKUP(N548,'Matrice AP'!A:A,'Matrice AP'!H:H)</f>
        <v>#N/A</v>
      </c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</row>
    <row r="549" spans="1:39" ht="21" x14ac:dyDescent="0.3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21" t="str">
        <f t="shared" si="11"/>
        <v>..</v>
      </c>
      <c r="O549" s="14" t="e">
        <f>LOOKUP(N549,'Matrice AP'!A:A,'Matrice AP'!H:H)</f>
        <v>#N/A</v>
      </c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</row>
    <row r="550" spans="1:39" ht="21" x14ac:dyDescent="0.3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21" t="str">
        <f t="shared" si="11"/>
        <v>..</v>
      </c>
      <c r="O550" s="14" t="e">
        <f>LOOKUP(N550,'Matrice AP'!A:A,'Matrice AP'!H:H)</f>
        <v>#N/A</v>
      </c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</row>
    <row r="551" spans="1:39" ht="21" x14ac:dyDescent="0.3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21" t="str">
        <f t="shared" si="11"/>
        <v>..</v>
      </c>
      <c r="O551" s="14" t="e">
        <f>LOOKUP(N551,'Matrice AP'!A:A,'Matrice AP'!H:H)</f>
        <v>#N/A</v>
      </c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</row>
    <row r="552" spans="1:39" ht="21" x14ac:dyDescent="0.3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21" t="str">
        <f t="shared" si="11"/>
        <v>..</v>
      </c>
      <c r="O552" s="14" t="e">
        <f>LOOKUP(N552,'Matrice AP'!A:A,'Matrice AP'!H:H)</f>
        <v>#N/A</v>
      </c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</row>
    <row r="553" spans="1:39" ht="21" x14ac:dyDescent="0.3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21" t="str">
        <f t="shared" si="11"/>
        <v>..</v>
      </c>
      <c r="O553" s="14" t="e">
        <f>LOOKUP(N553,'Matrice AP'!A:A,'Matrice AP'!H:H)</f>
        <v>#N/A</v>
      </c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</row>
    <row r="554" spans="1:39" ht="21" x14ac:dyDescent="0.3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21" t="str">
        <f t="shared" si="11"/>
        <v>..</v>
      </c>
      <c r="O554" s="14" t="e">
        <f>LOOKUP(N554,'Matrice AP'!A:A,'Matrice AP'!H:H)</f>
        <v>#N/A</v>
      </c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</row>
    <row r="555" spans="1:39" ht="21" x14ac:dyDescent="0.3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21" t="str">
        <f t="shared" si="11"/>
        <v>..</v>
      </c>
      <c r="O555" s="14" t="e">
        <f>LOOKUP(N555,'Matrice AP'!A:A,'Matrice AP'!H:H)</f>
        <v>#N/A</v>
      </c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</row>
    <row r="556" spans="1:39" ht="21" x14ac:dyDescent="0.3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21" t="str">
        <f t="shared" si="11"/>
        <v>..</v>
      </c>
      <c r="O556" s="14" t="e">
        <f>LOOKUP(N556,'Matrice AP'!A:A,'Matrice AP'!H:H)</f>
        <v>#N/A</v>
      </c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</row>
    <row r="557" spans="1:39" ht="21" x14ac:dyDescent="0.3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21" t="str">
        <f t="shared" si="11"/>
        <v>..</v>
      </c>
      <c r="O557" s="14" t="e">
        <f>LOOKUP(N557,'Matrice AP'!A:A,'Matrice AP'!H:H)</f>
        <v>#N/A</v>
      </c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</row>
    <row r="558" spans="1:39" ht="21" x14ac:dyDescent="0.3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21" t="str">
        <f t="shared" si="11"/>
        <v>..</v>
      </c>
      <c r="O558" s="14" t="e">
        <f>LOOKUP(N558,'Matrice AP'!A:A,'Matrice AP'!H:H)</f>
        <v>#N/A</v>
      </c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</row>
    <row r="559" spans="1:39" ht="21" x14ac:dyDescent="0.3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21" t="str">
        <f t="shared" si="11"/>
        <v>..</v>
      </c>
      <c r="O559" s="14" t="e">
        <f>LOOKUP(N559,'Matrice AP'!A:A,'Matrice AP'!H:H)</f>
        <v>#N/A</v>
      </c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</row>
    <row r="560" spans="1:39" ht="21" x14ac:dyDescent="0.3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21" t="str">
        <f t="shared" si="11"/>
        <v>..</v>
      </c>
      <c r="O560" s="14" t="e">
        <f>LOOKUP(N560,'Matrice AP'!A:A,'Matrice AP'!H:H)</f>
        <v>#N/A</v>
      </c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</row>
    <row r="561" spans="1:39" ht="21" x14ac:dyDescent="0.3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21" t="str">
        <f t="shared" si="11"/>
        <v>..</v>
      </c>
      <c r="O561" s="14" t="e">
        <f>LOOKUP(N561,'Matrice AP'!A:A,'Matrice AP'!H:H)</f>
        <v>#N/A</v>
      </c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</row>
    <row r="562" spans="1:39" ht="21" x14ac:dyDescent="0.3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21" t="str">
        <f t="shared" si="11"/>
        <v>..</v>
      </c>
      <c r="O562" s="14" t="e">
        <f>LOOKUP(N562,'Matrice AP'!A:A,'Matrice AP'!H:H)</f>
        <v>#N/A</v>
      </c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</row>
    <row r="563" spans="1:39" ht="21" x14ac:dyDescent="0.3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21" t="str">
        <f t="shared" si="11"/>
        <v>..</v>
      </c>
      <c r="O563" s="14" t="e">
        <f>LOOKUP(N563,'Matrice AP'!A:A,'Matrice AP'!H:H)</f>
        <v>#N/A</v>
      </c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</row>
    <row r="564" spans="1:39" ht="21" x14ac:dyDescent="0.3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21" t="str">
        <f t="shared" si="11"/>
        <v>..</v>
      </c>
      <c r="O564" s="14" t="e">
        <f>LOOKUP(N564,'Matrice AP'!A:A,'Matrice AP'!H:H)</f>
        <v>#N/A</v>
      </c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</row>
    <row r="565" spans="1:39" ht="21" x14ac:dyDescent="0.3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21" t="str">
        <f t="shared" si="11"/>
        <v>..</v>
      </c>
      <c r="O565" s="14" t="e">
        <f>LOOKUP(N565,'Matrice AP'!A:A,'Matrice AP'!H:H)</f>
        <v>#N/A</v>
      </c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</row>
    <row r="566" spans="1:39" ht="21" x14ac:dyDescent="0.3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21" t="str">
        <f t="shared" si="11"/>
        <v>..</v>
      </c>
      <c r="O566" s="14" t="e">
        <f>LOOKUP(N566,'Matrice AP'!A:A,'Matrice AP'!H:H)</f>
        <v>#N/A</v>
      </c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</row>
    <row r="567" spans="1:39" ht="21" x14ac:dyDescent="0.3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21" t="str">
        <f t="shared" si="11"/>
        <v>..</v>
      </c>
      <c r="O567" s="14" t="e">
        <f>LOOKUP(N567,'Matrice AP'!A:A,'Matrice AP'!H:H)</f>
        <v>#N/A</v>
      </c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</row>
    <row r="568" spans="1:39" ht="21" x14ac:dyDescent="0.3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21" t="str">
        <f t="shared" si="11"/>
        <v>..</v>
      </c>
      <c r="O568" s="14" t="e">
        <f>LOOKUP(N568,'Matrice AP'!A:A,'Matrice AP'!H:H)</f>
        <v>#N/A</v>
      </c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</row>
    <row r="569" spans="1:39" ht="21" x14ac:dyDescent="0.3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21" t="str">
        <f t="shared" si="11"/>
        <v>..</v>
      </c>
      <c r="O569" s="14" t="e">
        <f>LOOKUP(N569,'Matrice AP'!A:A,'Matrice AP'!H:H)</f>
        <v>#N/A</v>
      </c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</row>
    <row r="570" spans="1:39" ht="21" x14ac:dyDescent="0.3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21" t="str">
        <f t="shared" si="11"/>
        <v>..</v>
      </c>
      <c r="O570" s="14" t="e">
        <f>LOOKUP(N570,'Matrice AP'!A:A,'Matrice AP'!H:H)</f>
        <v>#N/A</v>
      </c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</row>
    <row r="571" spans="1:39" ht="21" x14ac:dyDescent="0.3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21" t="str">
        <f t="shared" si="11"/>
        <v>..</v>
      </c>
      <c r="O571" s="14" t="e">
        <f>LOOKUP(N571,'Matrice AP'!A:A,'Matrice AP'!H:H)</f>
        <v>#N/A</v>
      </c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</row>
    <row r="572" spans="1:39" ht="21" x14ac:dyDescent="0.3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21" t="str">
        <f t="shared" si="11"/>
        <v>..</v>
      </c>
      <c r="O572" s="14" t="e">
        <f>LOOKUP(N572,'Matrice AP'!A:A,'Matrice AP'!H:H)</f>
        <v>#N/A</v>
      </c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</row>
    <row r="573" spans="1:39" ht="21" x14ac:dyDescent="0.3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21" t="str">
        <f t="shared" si="11"/>
        <v>..</v>
      </c>
      <c r="O573" s="14" t="e">
        <f>LOOKUP(N573,'Matrice AP'!A:A,'Matrice AP'!H:H)</f>
        <v>#N/A</v>
      </c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</row>
    <row r="574" spans="1:39" ht="21" x14ac:dyDescent="0.3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21" t="str">
        <f t="shared" si="11"/>
        <v>..</v>
      </c>
      <c r="O574" s="14" t="e">
        <f>LOOKUP(N574,'Matrice AP'!A:A,'Matrice AP'!H:H)</f>
        <v>#N/A</v>
      </c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</row>
    <row r="575" spans="1:39" ht="21" x14ac:dyDescent="0.3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21" t="str">
        <f t="shared" si="11"/>
        <v>..</v>
      </c>
      <c r="O575" s="14" t="e">
        <f>LOOKUP(N575,'Matrice AP'!A:A,'Matrice AP'!H:H)</f>
        <v>#N/A</v>
      </c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</row>
    <row r="576" spans="1:39" ht="21" x14ac:dyDescent="0.3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21" t="str">
        <f t="shared" si="11"/>
        <v>..</v>
      </c>
      <c r="O576" s="14" t="e">
        <f>LOOKUP(N576,'Matrice AP'!A:A,'Matrice AP'!H:H)</f>
        <v>#N/A</v>
      </c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</row>
    <row r="577" spans="1:39" ht="21" x14ac:dyDescent="0.3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21" t="str">
        <f t="shared" si="11"/>
        <v>..</v>
      </c>
      <c r="O577" s="14" t="e">
        <f>LOOKUP(N577,'Matrice AP'!A:A,'Matrice AP'!H:H)</f>
        <v>#N/A</v>
      </c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</row>
    <row r="578" spans="1:39" ht="21" x14ac:dyDescent="0.3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21" t="str">
        <f t="shared" si="11"/>
        <v>..</v>
      </c>
      <c r="O578" s="14" t="e">
        <f>LOOKUP(N578,'Matrice AP'!A:A,'Matrice AP'!H:H)</f>
        <v>#N/A</v>
      </c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</row>
    <row r="579" spans="1:39" ht="21" x14ac:dyDescent="0.3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21" t="str">
        <f t="shared" si="11"/>
        <v>..</v>
      </c>
      <c r="O579" s="14" t="e">
        <f>LOOKUP(N579,'Matrice AP'!A:A,'Matrice AP'!H:H)</f>
        <v>#N/A</v>
      </c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</row>
    <row r="580" spans="1:39" ht="21" x14ac:dyDescent="0.3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21" t="str">
        <f t="shared" si="11"/>
        <v>..</v>
      </c>
      <c r="O580" s="14" t="e">
        <f>LOOKUP(N580,'Matrice AP'!A:A,'Matrice AP'!H:H)</f>
        <v>#N/A</v>
      </c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</row>
    <row r="581" spans="1:39" ht="21" x14ac:dyDescent="0.3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21" t="str">
        <f t="shared" ref="N581:N644" si="12">CONCATENATE(G581,".",K581,".",M581)</f>
        <v>..</v>
      </c>
      <c r="O581" s="14" t="e">
        <f>LOOKUP(N581,'Matrice AP'!A:A,'Matrice AP'!H:H)</f>
        <v>#N/A</v>
      </c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</row>
    <row r="582" spans="1:39" ht="21" x14ac:dyDescent="0.3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21" t="str">
        <f t="shared" si="12"/>
        <v>..</v>
      </c>
      <c r="O582" s="14" t="e">
        <f>LOOKUP(N582,'Matrice AP'!A:A,'Matrice AP'!H:H)</f>
        <v>#N/A</v>
      </c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</row>
    <row r="583" spans="1:39" ht="21" x14ac:dyDescent="0.3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21" t="str">
        <f t="shared" si="12"/>
        <v>..</v>
      </c>
      <c r="O583" s="14" t="e">
        <f>LOOKUP(N583,'Matrice AP'!A:A,'Matrice AP'!H:H)</f>
        <v>#N/A</v>
      </c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</row>
    <row r="584" spans="1:39" ht="21" x14ac:dyDescent="0.3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21" t="str">
        <f t="shared" si="12"/>
        <v>..</v>
      </c>
      <c r="O584" s="14" t="e">
        <f>LOOKUP(N584,'Matrice AP'!A:A,'Matrice AP'!H:H)</f>
        <v>#N/A</v>
      </c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</row>
    <row r="585" spans="1:39" ht="21" x14ac:dyDescent="0.3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21" t="str">
        <f t="shared" si="12"/>
        <v>..</v>
      </c>
      <c r="O585" s="14" t="e">
        <f>LOOKUP(N585,'Matrice AP'!A:A,'Matrice AP'!H:H)</f>
        <v>#N/A</v>
      </c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</row>
    <row r="586" spans="1:39" ht="21" x14ac:dyDescent="0.3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21" t="str">
        <f t="shared" si="12"/>
        <v>..</v>
      </c>
      <c r="O586" s="14" t="e">
        <f>LOOKUP(N586,'Matrice AP'!A:A,'Matrice AP'!H:H)</f>
        <v>#N/A</v>
      </c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</row>
    <row r="587" spans="1:39" ht="21" x14ac:dyDescent="0.3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21" t="str">
        <f t="shared" si="12"/>
        <v>..</v>
      </c>
      <c r="O587" s="14" t="e">
        <f>LOOKUP(N587,'Matrice AP'!A:A,'Matrice AP'!H:H)</f>
        <v>#N/A</v>
      </c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</row>
    <row r="588" spans="1:39" ht="21" x14ac:dyDescent="0.3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21" t="str">
        <f t="shared" si="12"/>
        <v>..</v>
      </c>
      <c r="O588" s="14" t="e">
        <f>LOOKUP(N588,'Matrice AP'!A:A,'Matrice AP'!H:H)</f>
        <v>#N/A</v>
      </c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</row>
    <row r="589" spans="1:39" ht="21" x14ac:dyDescent="0.3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21" t="str">
        <f t="shared" si="12"/>
        <v>..</v>
      </c>
      <c r="O589" s="14" t="e">
        <f>LOOKUP(N589,'Matrice AP'!A:A,'Matrice AP'!H:H)</f>
        <v>#N/A</v>
      </c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</row>
    <row r="590" spans="1:39" ht="21" x14ac:dyDescent="0.3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21" t="str">
        <f t="shared" si="12"/>
        <v>..</v>
      </c>
      <c r="O590" s="14" t="e">
        <f>LOOKUP(N590,'Matrice AP'!A:A,'Matrice AP'!H:H)</f>
        <v>#N/A</v>
      </c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</row>
    <row r="591" spans="1:39" ht="21" x14ac:dyDescent="0.3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21" t="str">
        <f t="shared" si="12"/>
        <v>..</v>
      </c>
      <c r="O591" s="14" t="e">
        <f>LOOKUP(N591,'Matrice AP'!A:A,'Matrice AP'!H:H)</f>
        <v>#N/A</v>
      </c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</row>
    <row r="592" spans="1:39" ht="21" x14ac:dyDescent="0.3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21" t="str">
        <f t="shared" si="12"/>
        <v>..</v>
      </c>
      <c r="O592" s="14" t="e">
        <f>LOOKUP(N592,'Matrice AP'!A:A,'Matrice AP'!H:H)</f>
        <v>#N/A</v>
      </c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</row>
    <row r="593" spans="1:39" ht="21" x14ac:dyDescent="0.3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21" t="str">
        <f t="shared" si="12"/>
        <v>..</v>
      </c>
      <c r="O593" s="14" t="e">
        <f>LOOKUP(N593,'Matrice AP'!A:A,'Matrice AP'!H:H)</f>
        <v>#N/A</v>
      </c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</row>
    <row r="594" spans="1:39" ht="21" x14ac:dyDescent="0.3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21" t="str">
        <f t="shared" si="12"/>
        <v>..</v>
      </c>
      <c r="O594" s="14" t="e">
        <f>LOOKUP(N594,'Matrice AP'!A:A,'Matrice AP'!H:H)</f>
        <v>#N/A</v>
      </c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</row>
    <row r="595" spans="1:39" ht="21" x14ac:dyDescent="0.3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21" t="str">
        <f t="shared" si="12"/>
        <v>..</v>
      </c>
      <c r="O595" s="14" t="e">
        <f>LOOKUP(N595,'Matrice AP'!A:A,'Matrice AP'!H:H)</f>
        <v>#N/A</v>
      </c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</row>
    <row r="596" spans="1:39" ht="21" x14ac:dyDescent="0.3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21" t="str">
        <f t="shared" si="12"/>
        <v>..</v>
      </c>
      <c r="O596" s="14" t="e">
        <f>LOOKUP(N596,'Matrice AP'!A:A,'Matrice AP'!H:H)</f>
        <v>#N/A</v>
      </c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</row>
    <row r="597" spans="1:39" ht="21" x14ac:dyDescent="0.3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21" t="str">
        <f t="shared" si="12"/>
        <v>..</v>
      </c>
      <c r="O597" s="14" t="e">
        <f>LOOKUP(N597,'Matrice AP'!A:A,'Matrice AP'!H:H)</f>
        <v>#N/A</v>
      </c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</row>
    <row r="598" spans="1:39" ht="21" x14ac:dyDescent="0.3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21" t="str">
        <f t="shared" si="12"/>
        <v>..</v>
      </c>
      <c r="O598" s="14" t="e">
        <f>LOOKUP(N598,'Matrice AP'!A:A,'Matrice AP'!H:H)</f>
        <v>#N/A</v>
      </c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</row>
    <row r="599" spans="1:39" ht="21" x14ac:dyDescent="0.3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21" t="str">
        <f t="shared" si="12"/>
        <v>..</v>
      </c>
      <c r="O599" s="14" t="e">
        <f>LOOKUP(N599,'Matrice AP'!A:A,'Matrice AP'!H:H)</f>
        <v>#N/A</v>
      </c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</row>
    <row r="600" spans="1:39" ht="21" x14ac:dyDescent="0.3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21" t="str">
        <f t="shared" si="12"/>
        <v>..</v>
      </c>
      <c r="O600" s="14" t="e">
        <f>LOOKUP(N600,'Matrice AP'!A:A,'Matrice AP'!H:H)</f>
        <v>#N/A</v>
      </c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</row>
    <row r="601" spans="1:39" ht="21" x14ac:dyDescent="0.3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21" t="str">
        <f t="shared" si="12"/>
        <v>..</v>
      </c>
      <c r="O601" s="14" t="e">
        <f>LOOKUP(N601,'Matrice AP'!A:A,'Matrice AP'!H:H)</f>
        <v>#N/A</v>
      </c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</row>
    <row r="602" spans="1:39" ht="21" x14ac:dyDescent="0.3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21" t="str">
        <f t="shared" si="12"/>
        <v>..</v>
      </c>
      <c r="O602" s="14" t="e">
        <f>LOOKUP(N602,'Matrice AP'!A:A,'Matrice AP'!H:H)</f>
        <v>#N/A</v>
      </c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</row>
    <row r="603" spans="1:39" ht="21" x14ac:dyDescent="0.3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21" t="str">
        <f t="shared" si="12"/>
        <v>..</v>
      </c>
      <c r="O603" s="14" t="e">
        <f>LOOKUP(N603,'Matrice AP'!A:A,'Matrice AP'!H:H)</f>
        <v>#N/A</v>
      </c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</row>
    <row r="604" spans="1:39" ht="21" x14ac:dyDescent="0.3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21" t="str">
        <f t="shared" si="12"/>
        <v>..</v>
      </c>
      <c r="O604" s="14" t="e">
        <f>LOOKUP(N604,'Matrice AP'!A:A,'Matrice AP'!H:H)</f>
        <v>#N/A</v>
      </c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</row>
    <row r="605" spans="1:39" ht="21" x14ac:dyDescent="0.3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21" t="str">
        <f t="shared" si="12"/>
        <v>..</v>
      </c>
      <c r="O605" s="14" t="e">
        <f>LOOKUP(N605,'Matrice AP'!A:A,'Matrice AP'!H:H)</f>
        <v>#N/A</v>
      </c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</row>
    <row r="606" spans="1:39" ht="21" x14ac:dyDescent="0.3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21" t="str">
        <f t="shared" si="12"/>
        <v>..</v>
      </c>
      <c r="O606" s="14" t="e">
        <f>LOOKUP(N606,'Matrice AP'!A:A,'Matrice AP'!H:H)</f>
        <v>#N/A</v>
      </c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</row>
    <row r="607" spans="1:39" ht="21" x14ac:dyDescent="0.3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21" t="str">
        <f t="shared" si="12"/>
        <v>..</v>
      </c>
      <c r="O607" s="14" t="e">
        <f>LOOKUP(N607,'Matrice AP'!A:A,'Matrice AP'!H:H)</f>
        <v>#N/A</v>
      </c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</row>
    <row r="608" spans="1:39" ht="21" x14ac:dyDescent="0.3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21" t="str">
        <f t="shared" si="12"/>
        <v>..</v>
      </c>
      <c r="O608" s="14" t="e">
        <f>LOOKUP(N608,'Matrice AP'!A:A,'Matrice AP'!H:H)</f>
        <v>#N/A</v>
      </c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</row>
    <row r="609" spans="1:39" ht="21" x14ac:dyDescent="0.3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21" t="str">
        <f t="shared" si="12"/>
        <v>..</v>
      </c>
      <c r="O609" s="14" t="e">
        <f>LOOKUP(N609,'Matrice AP'!A:A,'Matrice AP'!H:H)</f>
        <v>#N/A</v>
      </c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</row>
    <row r="610" spans="1:39" ht="21" x14ac:dyDescent="0.3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21" t="str">
        <f>CONCATENATE(G60,".",K60,".",M60)</f>
        <v>..</v>
      </c>
      <c r="O610" s="14" t="e">
        <f>LOOKUP(N60,'Matrice AP'!A:A,'Matrice AP'!H:H)</f>
        <v>#N/A</v>
      </c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</row>
    <row r="611" spans="1:39" ht="21" x14ac:dyDescent="0.3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21" t="str">
        <f t="shared" si="12"/>
        <v>..</v>
      </c>
      <c r="O611" s="14" t="e">
        <f>LOOKUP(N611,'Matrice AP'!A:A,'Matrice AP'!H:H)</f>
        <v>#N/A</v>
      </c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</row>
    <row r="612" spans="1:39" ht="21" x14ac:dyDescent="0.3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21" t="str">
        <f t="shared" si="12"/>
        <v>..</v>
      </c>
      <c r="O612" s="14" t="e">
        <f>LOOKUP(N612,'Matrice AP'!A:A,'Matrice AP'!H:H)</f>
        <v>#N/A</v>
      </c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</row>
    <row r="613" spans="1:39" ht="21" x14ac:dyDescent="0.3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21" t="str">
        <f t="shared" si="12"/>
        <v>..</v>
      </c>
      <c r="O613" s="14" t="e">
        <f>LOOKUP(N613,'Matrice AP'!A:A,'Matrice AP'!H:H)</f>
        <v>#N/A</v>
      </c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</row>
    <row r="614" spans="1:39" ht="21" x14ac:dyDescent="0.3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21" t="str">
        <f t="shared" si="12"/>
        <v>..</v>
      </c>
      <c r="O614" s="14" t="e">
        <f>LOOKUP(N614,'Matrice AP'!A:A,'Matrice AP'!H:H)</f>
        <v>#N/A</v>
      </c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</row>
    <row r="615" spans="1:39" ht="21" x14ac:dyDescent="0.3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21" t="str">
        <f t="shared" si="12"/>
        <v>..</v>
      </c>
      <c r="O615" s="14" t="e">
        <f>LOOKUP(N615,'Matrice AP'!A:A,'Matrice AP'!H:H)</f>
        <v>#N/A</v>
      </c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</row>
    <row r="616" spans="1:39" ht="21" x14ac:dyDescent="0.3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21" t="str">
        <f t="shared" si="12"/>
        <v>..</v>
      </c>
      <c r="O616" s="14" t="e">
        <f>LOOKUP(N616,'Matrice AP'!A:A,'Matrice AP'!H:H)</f>
        <v>#N/A</v>
      </c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</row>
    <row r="617" spans="1:39" ht="21" x14ac:dyDescent="0.3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21" t="str">
        <f t="shared" si="12"/>
        <v>..</v>
      </c>
      <c r="O617" s="14" t="e">
        <f>LOOKUP(N617,'Matrice AP'!A:A,'Matrice AP'!H:H)</f>
        <v>#N/A</v>
      </c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</row>
    <row r="618" spans="1:39" ht="21" x14ac:dyDescent="0.3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21" t="str">
        <f t="shared" si="12"/>
        <v>..</v>
      </c>
      <c r="O618" s="14" t="e">
        <f>LOOKUP(N618,'Matrice AP'!A:A,'Matrice AP'!H:H)</f>
        <v>#N/A</v>
      </c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</row>
    <row r="619" spans="1:39" ht="21" x14ac:dyDescent="0.3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21" t="str">
        <f t="shared" si="12"/>
        <v>..</v>
      </c>
      <c r="O619" s="14" t="e">
        <f>LOOKUP(N619,'Matrice AP'!A:A,'Matrice AP'!H:H)</f>
        <v>#N/A</v>
      </c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</row>
    <row r="620" spans="1:39" ht="21" x14ac:dyDescent="0.3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21" t="str">
        <f t="shared" si="12"/>
        <v>..</v>
      </c>
      <c r="O620" s="14" t="e">
        <f>LOOKUP(N620,'Matrice AP'!A:A,'Matrice AP'!H:H)</f>
        <v>#N/A</v>
      </c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</row>
    <row r="621" spans="1:39" ht="21" x14ac:dyDescent="0.3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21" t="str">
        <f t="shared" si="12"/>
        <v>..</v>
      </c>
      <c r="O621" s="14" t="e">
        <f>LOOKUP(N621,'Matrice AP'!A:A,'Matrice AP'!H:H)</f>
        <v>#N/A</v>
      </c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</row>
    <row r="622" spans="1:39" ht="21" x14ac:dyDescent="0.3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21" t="str">
        <f t="shared" si="12"/>
        <v>..</v>
      </c>
      <c r="O622" s="14" t="e">
        <f>LOOKUP(N622,'Matrice AP'!A:A,'Matrice AP'!H:H)</f>
        <v>#N/A</v>
      </c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</row>
    <row r="623" spans="1:39" ht="21" x14ac:dyDescent="0.3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21" t="str">
        <f t="shared" si="12"/>
        <v>..</v>
      </c>
      <c r="O623" s="14" t="e">
        <f>LOOKUP(N623,'Matrice AP'!A:A,'Matrice AP'!H:H)</f>
        <v>#N/A</v>
      </c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</row>
    <row r="624" spans="1:39" ht="21" x14ac:dyDescent="0.3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21" t="str">
        <f t="shared" si="12"/>
        <v>..</v>
      </c>
      <c r="O624" s="14" t="e">
        <f>LOOKUP(N624,'Matrice AP'!A:A,'Matrice AP'!H:H)</f>
        <v>#N/A</v>
      </c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</row>
    <row r="625" spans="1:39" ht="21" x14ac:dyDescent="0.3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21" t="str">
        <f t="shared" si="12"/>
        <v>..</v>
      </c>
      <c r="O625" s="14" t="e">
        <f>LOOKUP(N625,'Matrice AP'!A:A,'Matrice AP'!H:H)</f>
        <v>#N/A</v>
      </c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</row>
    <row r="626" spans="1:39" ht="21" x14ac:dyDescent="0.3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21" t="str">
        <f t="shared" si="12"/>
        <v>..</v>
      </c>
      <c r="O626" s="14" t="e">
        <f>LOOKUP(N626,'Matrice AP'!A:A,'Matrice AP'!H:H)</f>
        <v>#N/A</v>
      </c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</row>
    <row r="627" spans="1:39" ht="21" x14ac:dyDescent="0.3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21" t="str">
        <f t="shared" si="12"/>
        <v>..</v>
      </c>
      <c r="O627" s="14" t="e">
        <f>LOOKUP(N627,'Matrice AP'!A:A,'Matrice AP'!H:H)</f>
        <v>#N/A</v>
      </c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</row>
    <row r="628" spans="1:39" ht="21" x14ac:dyDescent="0.3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21" t="str">
        <f t="shared" si="12"/>
        <v>..</v>
      </c>
      <c r="O628" s="14" t="e">
        <f>LOOKUP(N628,'Matrice AP'!A:A,'Matrice AP'!H:H)</f>
        <v>#N/A</v>
      </c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</row>
    <row r="629" spans="1:39" ht="21" x14ac:dyDescent="0.3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21" t="str">
        <f t="shared" si="12"/>
        <v>..</v>
      </c>
      <c r="O629" s="14" t="e">
        <f>LOOKUP(N629,'Matrice AP'!A:A,'Matrice AP'!H:H)</f>
        <v>#N/A</v>
      </c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</row>
    <row r="630" spans="1:39" ht="21" x14ac:dyDescent="0.3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21" t="str">
        <f t="shared" si="12"/>
        <v>..</v>
      </c>
      <c r="O630" s="14" t="e">
        <f>LOOKUP(N630,'Matrice AP'!A:A,'Matrice AP'!H:H)</f>
        <v>#N/A</v>
      </c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</row>
    <row r="631" spans="1:39" ht="21" x14ac:dyDescent="0.3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21" t="str">
        <f t="shared" si="12"/>
        <v>..</v>
      </c>
      <c r="O631" s="14" t="e">
        <f>LOOKUP(N631,'Matrice AP'!A:A,'Matrice AP'!H:H)</f>
        <v>#N/A</v>
      </c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</row>
    <row r="632" spans="1:39" ht="21" x14ac:dyDescent="0.3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21" t="str">
        <f t="shared" si="12"/>
        <v>..</v>
      </c>
      <c r="O632" s="14" t="e">
        <f>LOOKUP(N632,'Matrice AP'!A:A,'Matrice AP'!H:H)</f>
        <v>#N/A</v>
      </c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</row>
    <row r="633" spans="1:39" ht="21" x14ac:dyDescent="0.3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21" t="str">
        <f t="shared" si="12"/>
        <v>..</v>
      </c>
      <c r="O633" s="14" t="e">
        <f>LOOKUP(N633,'Matrice AP'!A:A,'Matrice AP'!H:H)</f>
        <v>#N/A</v>
      </c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</row>
    <row r="634" spans="1:39" ht="21" x14ac:dyDescent="0.3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21" t="str">
        <f t="shared" si="12"/>
        <v>..</v>
      </c>
      <c r="O634" s="14" t="e">
        <f>LOOKUP(N634,'Matrice AP'!A:A,'Matrice AP'!H:H)</f>
        <v>#N/A</v>
      </c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</row>
    <row r="635" spans="1:39" ht="21" x14ac:dyDescent="0.3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21" t="str">
        <f t="shared" si="12"/>
        <v>..</v>
      </c>
      <c r="O635" s="14" t="e">
        <f>LOOKUP(N635,'Matrice AP'!A:A,'Matrice AP'!H:H)</f>
        <v>#N/A</v>
      </c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</row>
    <row r="636" spans="1:39" ht="21" x14ac:dyDescent="0.3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21" t="str">
        <f t="shared" si="12"/>
        <v>..</v>
      </c>
      <c r="O636" s="14" t="e">
        <f>LOOKUP(N636,'Matrice AP'!A:A,'Matrice AP'!H:H)</f>
        <v>#N/A</v>
      </c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</row>
    <row r="637" spans="1:39" ht="21" x14ac:dyDescent="0.3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21" t="str">
        <f t="shared" si="12"/>
        <v>..</v>
      </c>
      <c r="O637" s="14" t="e">
        <f>LOOKUP(N637,'Matrice AP'!A:A,'Matrice AP'!H:H)</f>
        <v>#N/A</v>
      </c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</row>
    <row r="638" spans="1:39" ht="21" x14ac:dyDescent="0.3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21" t="str">
        <f t="shared" si="12"/>
        <v>..</v>
      </c>
      <c r="O638" s="14" t="e">
        <f>LOOKUP(N638,'Matrice AP'!A:A,'Matrice AP'!H:H)</f>
        <v>#N/A</v>
      </c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</row>
    <row r="639" spans="1:39" ht="21" x14ac:dyDescent="0.3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21" t="str">
        <f t="shared" si="12"/>
        <v>..</v>
      </c>
      <c r="O639" s="14" t="e">
        <f>LOOKUP(N639,'Matrice AP'!A:A,'Matrice AP'!H:H)</f>
        <v>#N/A</v>
      </c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</row>
    <row r="640" spans="1:39" ht="21" x14ac:dyDescent="0.3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21" t="str">
        <f t="shared" si="12"/>
        <v>..</v>
      </c>
      <c r="O640" s="14" t="e">
        <f>LOOKUP(N640,'Matrice AP'!A:A,'Matrice AP'!H:H)</f>
        <v>#N/A</v>
      </c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</row>
    <row r="641" spans="1:39" ht="21" x14ac:dyDescent="0.3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21" t="str">
        <f t="shared" si="12"/>
        <v>..</v>
      </c>
      <c r="O641" s="14" t="e">
        <f>LOOKUP(N641,'Matrice AP'!A:A,'Matrice AP'!H:H)</f>
        <v>#N/A</v>
      </c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</row>
    <row r="642" spans="1:39" ht="21" x14ac:dyDescent="0.3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21" t="str">
        <f t="shared" si="12"/>
        <v>..</v>
      </c>
      <c r="O642" s="14" t="e">
        <f>LOOKUP(N642,'Matrice AP'!A:A,'Matrice AP'!H:H)</f>
        <v>#N/A</v>
      </c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</row>
    <row r="643" spans="1:39" ht="21" x14ac:dyDescent="0.3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21" t="str">
        <f t="shared" si="12"/>
        <v>..</v>
      </c>
      <c r="O643" s="14" t="e">
        <f>LOOKUP(N643,'Matrice AP'!A:A,'Matrice AP'!H:H)</f>
        <v>#N/A</v>
      </c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</row>
    <row r="644" spans="1:39" ht="21" x14ac:dyDescent="0.3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21" t="str">
        <f t="shared" si="12"/>
        <v>..</v>
      </c>
      <c r="O644" s="14" t="e">
        <f>LOOKUP(N644,'Matrice AP'!A:A,'Matrice AP'!H:H)</f>
        <v>#N/A</v>
      </c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</row>
    <row r="645" spans="1:39" ht="21" x14ac:dyDescent="0.3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21" t="str">
        <f t="shared" ref="N645:N708" si="13">CONCATENATE(G645,".",K645,".",M645)</f>
        <v>..</v>
      </c>
      <c r="O645" s="14" t="e">
        <f>LOOKUP(N645,'Matrice AP'!A:A,'Matrice AP'!H:H)</f>
        <v>#N/A</v>
      </c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</row>
    <row r="646" spans="1:39" ht="21" x14ac:dyDescent="0.3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21" t="str">
        <f t="shared" si="13"/>
        <v>..</v>
      </c>
      <c r="O646" s="14" t="e">
        <f>LOOKUP(N646,'Matrice AP'!A:A,'Matrice AP'!H:H)</f>
        <v>#N/A</v>
      </c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</row>
    <row r="647" spans="1:39" ht="21" x14ac:dyDescent="0.3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21" t="str">
        <f t="shared" si="13"/>
        <v>..</v>
      </c>
      <c r="O647" s="14" t="e">
        <f>LOOKUP(N647,'Matrice AP'!A:A,'Matrice AP'!H:H)</f>
        <v>#N/A</v>
      </c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</row>
    <row r="648" spans="1:39" ht="21" x14ac:dyDescent="0.3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21" t="str">
        <f t="shared" si="13"/>
        <v>..</v>
      </c>
      <c r="O648" s="14" t="e">
        <f>LOOKUP(N648,'Matrice AP'!A:A,'Matrice AP'!H:H)</f>
        <v>#N/A</v>
      </c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</row>
    <row r="649" spans="1:39" ht="21" x14ac:dyDescent="0.3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21" t="str">
        <f t="shared" si="13"/>
        <v>..</v>
      </c>
      <c r="O649" s="14" t="e">
        <f>LOOKUP(N649,'Matrice AP'!A:A,'Matrice AP'!H:H)</f>
        <v>#N/A</v>
      </c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</row>
    <row r="650" spans="1:39" ht="21" x14ac:dyDescent="0.3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21" t="str">
        <f t="shared" si="13"/>
        <v>..</v>
      </c>
      <c r="O650" s="14" t="e">
        <f>LOOKUP(N650,'Matrice AP'!A:A,'Matrice AP'!H:H)</f>
        <v>#N/A</v>
      </c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</row>
    <row r="651" spans="1:39" ht="21" x14ac:dyDescent="0.3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21" t="str">
        <f t="shared" si="13"/>
        <v>..</v>
      </c>
      <c r="O651" s="14" t="e">
        <f>LOOKUP(N651,'Matrice AP'!A:A,'Matrice AP'!H:H)</f>
        <v>#N/A</v>
      </c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</row>
    <row r="652" spans="1:39" ht="21" x14ac:dyDescent="0.3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21" t="str">
        <f t="shared" si="13"/>
        <v>..</v>
      </c>
      <c r="O652" s="14" t="e">
        <f>LOOKUP(N652,'Matrice AP'!A:A,'Matrice AP'!H:H)</f>
        <v>#N/A</v>
      </c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</row>
    <row r="653" spans="1:39" ht="21" x14ac:dyDescent="0.3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21" t="str">
        <f t="shared" si="13"/>
        <v>..</v>
      </c>
      <c r="O653" s="14" t="e">
        <f>LOOKUP(N653,'Matrice AP'!A:A,'Matrice AP'!H:H)</f>
        <v>#N/A</v>
      </c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</row>
    <row r="654" spans="1:39" ht="21" x14ac:dyDescent="0.3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21" t="str">
        <f t="shared" si="13"/>
        <v>..</v>
      </c>
      <c r="O654" s="14" t="e">
        <f>LOOKUP(N654,'Matrice AP'!A:A,'Matrice AP'!H:H)</f>
        <v>#N/A</v>
      </c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</row>
    <row r="655" spans="1:39" ht="21" x14ac:dyDescent="0.3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21" t="str">
        <f t="shared" si="13"/>
        <v>..</v>
      </c>
      <c r="O655" s="14" t="e">
        <f>LOOKUP(N655,'Matrice AP'!A:A,'Matrice AP'!H:H)</f>
        <v>#N/A</v>
      </c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</row>
    <row r="656" spans="1:39" ht="21" x14ac:dyDescent="0.3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21" t="str">
        <f t="shared" si="13"/>
        <v>..</v>
      </c>
      <c r="O656" s="14" t="e">
        <f>LOOKUP(N656,'Matrice AP'!A:A,'Matrice AP'!H:H)</f>
        <v>#N/A</v>
      </c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</row>
    <row r="657" spans="1:39" ht="21" x14ac:dyDescent="0.3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21" t="str">
        <f t="shared" si="13"/>
        <v>..</v>
      </c>
      <c r="O657" s="14" t="e">
        <f>LOOKUP(N657,'Matrice AP'!A:A,'Matrice AP'!H:H)</f>
        <v>#N/A</v>
      </c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</row>
    <row r="658" spans="1:39" ht="21" x14ac:dyDescent="0.3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21" t="str">
        <f t="shared" si="13"/>
        <v>..</v>
      </c>
      <c r="O658" s="14" t="e">
        <f>LOOKUP(N658,'Matrice AP'!A:A,'Matrice AP'!H:H)</f>
        <v>#N/A</v>
      </c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</row>
    <row r="659" spans="1:39" ht="21" x14ac:dyDescent="0.3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21" t="str">
        <f t="shared" si="13"/>
        <v>..</v>
      </c>
      <c r="O659" s="14" t="e">
        <f>LOOKUP(N659,'Matrice AP'!A:A,'Matrice AP'!H:H)</f>
        <v>#N/A</v>
      </c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</row>
    <row r="660" spans="1:39" ht="21" x14ac:dyDescent="0.3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21" t="str">
        <f t="shared" si="13"/>
        <v>..</v>
      </c>
      <c r="O660" s="14" t="e">
        <f>LOOKUP(N660,'Matrice AP'!A:A,'Matrice AP'!H:H)</f>
        <v>#N/A</v>
      </c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</row>
    <row r="661" spans="1:39" ht="21" x14ac:dyDescent="0.3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21" t="str">
        <f t="shared" si="13"/>
        <v>..</v>
      </c>
      <c r="O661" s="14" t="e">
        <f>LOOKUP(N661,'Matrice AP'!A:A,'Matrice AP'!H:H)</f>
        <v>#N/A</v>
      </c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</row>
    <row r="662" spans="1:39" ht="21" x14ac:dyDescent="0.3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21" t="str">
        <f t="shared" si="13"/>
        <v>..</v>
      </c>
      <c r="O662" s="14" t="e">
        <f>LOOKUP(N662,'Matrice AP'!A:A,'Matrice AP'!H:H)</f>
        <v>#N/A</v>
      </c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</row>
    <row r="663" spans="1:39" ht="21" x14ac:dyDescent="0.3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21" t="str">
        <f t="shared" si="13"/>
        <v>..</v>
      </c>
      <c r="O663" s="14" t="e">
        <f>LOOKUP(N663,'Matrice AP'!A:A,'Matrice AP'!H:H)</f>
        <v>#N/A</v>
      </c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</row>
    <row r="664" spans="1:39" ht="21" x14ac:dyDescent="0.3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21" t="str">
        <f t="shared" si="13"/>
        <v>..</v>
      </c>
      <c r="O664" s="14" t="e">
        <f>LOOKUP(N664,'Matrice AP'!A:A,'Matrice AP'!H:H)</f>
        <v>#N/A</v>
      </c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</row>
    <row r="665" spans="1:39" ht="21" x14ac:dyDescent="0.3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21" t="str">
        <f t="shared" si="13"/>
        <v>..</v>
      </c>
      <c r="O665" s="14" t="e">
        <f>LOOKUP(N665,'Matrice AP'!A:A,'Matrice AP'!H:H)</f>
        <v>#N/A</v>
      </c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</row>
    <row r="666" spans="1:39" ht="21" x14ac:dyDescent="0.3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21" t="str">
        <f t="shared" si="13"/>
        <v>..</v>
      </c>
      <c r="O666" s="14" t="e">
        <f>LOOKUP(N666,'Matrice AP'!A:A,'Matrice AP'!H:H)</f>
        <v>#N/A</v>
      </c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</row>
    <row r="667" spans="1:39" ht="21" x14ac:dyDescent="0.3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21" t="str">
        <f t="shared" si="13"/>
        <v>..</v>
      </c>
      <c r="O667" s="14" t="e">
        <f>LOOKUP(N667,'Matrice AP'!A:A,'Matrice AP'!H:H)</f>
        <v>#N/A</v>
      </c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</row>
    <row r="668" spans="1:39" ht="21" x14ac:dyDescent="0.3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21" t="str">
        <f t="shared" si="13"/>
        <v>..</v>
      </c>
      <c r="O668" s="14" t="e">
        <f>LOOKUP(N668,'Matrice AP'!A:A,'Matrice AP'!H:H)</f>
        <v>#N/A</v>
      </c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</row>
    <row r="669" spans="1:39" ht="21" x14ac:dyDescent="0.3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21" t="str">
        <f t="shared" si="13"/>
        <v>..</v>
      </c>
      <c r="O669" s="14" t="e">
        <f>LOOKUP(N669,'Matrice AP'!A:A,'Matrice AP'!H:H)</f>
        <v>#N/A</v>
      </c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</row>
    <row r="670" spans="1:39" ht="21" x14ac:dyDescent="0.3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21" t="str">
        <f t="shared" si="13"/>
        <v>..</v>
      </c>
      <c r="O670" s="14" t="e">
        <f>LOOKUP(N670,'Matrice AP'!A:A,'Matrice AP'!H:H)</f>
        <v>#N/A</v>
      </c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</row>
    <row r="671" spans="1:39" ht="21" x14ac:dyDescent="0.3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21" t="str">
        <f t="shared" si="13"/>
        <v>..</v>
      </c>
      <c r="O671" s="14" t="e">
        <f>LOOKUP(N671,'Matrice AP'!A:A,'Matrice AP'!H:H)</f>
        <v>#N/A</v>
      </c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</row>
    <row r="672" spans="1:39" ht="21" x14ac:dyDescent="0.3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21" t="str">
        <f t="shared" si="13"/>
        <v>..</v>
      </c>
      <c r="O672" s="14" t="e">
        <f>LOOKUP(N672,'Matrice AP'!A:A,'Matrice AP'!H:H)</f>
        <v>#N/A</v>
      </c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</row>
    <row r="673" spans="1:39" ht="21" x14ac:dyDescent="0.3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21" t="str">
        <f t="shared" si="13"/>
        <v>..</v>
      </c>
      <c r="O673" s="14" t="e">
        <f>LOOKUP(N673,'Matrice AP'!A:A,'Matrice AP'!H:H)</f>
        <v>#N/A</v>
      </c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</row>
    <row r="674" spans="1:39" ht="21" x14ac:dyDescent="0.3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21" t="str">
        <f t="shared" si="13"/>
        <v>..</v>
      </c>
      <c r="O674" s="14" t="e">
        <f>LOOKUP(N674,'Matrice AP'!A:A,'Matrice AP'!H:H)</f>
        <v>#N/A</v>
      </c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</row>
    <row r="675" spans="1:39" ht="21" x14ac:dyDescent="0.3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21" t="str">
        <f t="shared" si="13"/>
        <v>..</v>
      </c>
      <c r="O675" s="14" t="e">
        <f>LOOKUP(N675,'Matrice AP'!A:A,'Matrice AP'!H:H)</f>
        <v>#N/A</v>
      </c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</row>
    <row r="676" spans="1:39" ht="21" x14ac:dyDescent="0.3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21" t="str">
        <f t="shared" si="13"/>
        <v>..</v>
      </c>
      <c r="O676" s="14" t="e">
        <f>LOOKUP(N676,'Matrice AP'!A:A,'Matrice AP'!H:H)</f>
        <v>#N/A</v>
      </c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</row>
    <row r="677" spans="1:39" ht="21" x14ac:dyDescent="0.3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21" t="str">
        <f t="shared" si="13"/>
        <v>..</v>
      </c>
      <c r="O677" s="14" t="e">
        <f>LOOKUP(N677,'Matrice AP'!A:A,'Matrice AP'!H:H)</f>
        <v>#N/A</v>
      </c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</row>
    <row r="678" spans="1:39" ht="21" x14ac:dyDescent="0.3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21" t="str">
        <f t="shared" si="13"/>
        <v>..</v>
      </c>
      <c r="O678" s="14" t="e">
        <f>LOOKUP(N678,'Matrice AP'!A:A,'Matrice AP'!H:H)</f>
        <v>#N/A</v>
      </c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</row>
    <row r="679" spans="1:39" ht="21" x14ac:dyDescent="0.3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21" t="str">
        <f t="shared" si="13"/>
        <v>..</v>
      </c>
      <c r="O679" s="14" t="e">
        <f>LOOKUP(N679,'Matrice AP'!A:A,'Matrice AP'!H:H)</f>
        <v>#N/A</v>
      </c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</row>
    <row r="680" spans="1:39" ht="21" x14ac:dyDescent="0.3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21" t="str">
        <f t="shared" si="13"/>
        <v>..</v>
      </c>
      <c r="O680" s="14" t="e">
        <f>LOOKUP(N680,'Matrice AP'!A:A,'Matrice AP'!H:H)</f>
        <v>#N/A</v>
      </c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</row>
    <row r="681" spans="1:39" ht="21" x14ac:dyDescent="0.3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21" t="str">
        <f t="shared" si="13"/>
        <v>..</v>
      </c>
      <c r="O681" s="14" t="e">
        <f>LOOKUP(N681,'Matrice AP'!A:A,'Matrice AP'!H:H)</f>
        <v>#N/A</v>
      </c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</row>
    <row r="682" spans="1:39" ht="21" x14ac:dyDescent="0.3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21" t="str">
        <f t="shared" si="13"/>
        <v>..</v>
      </c>
      <c r="O682" s="14" t="e">
        <f>LOOKUP(N682,'Matrice AP'!A:A,'Matrice AP'!H:H)</f>
        <v>#N/A</v>
      </c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</row>
    <row r="683" spans="1:39" ht="21" x14ac:dyDescent="0.3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21" t="str">
        <f t="shared" si="13"/>
        <v>..</v>
      </c>
      <c r="O683" s="14" t="e">
        <f>LOOKUP(N683,'Matrice AP'!A:A,'Matrice AP'!H:H)</f>
        <v>#N/A</v>
      </c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</row>
    <row r="684" spans="1:39" ht="21" x14ac:dyDescent="0.3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21" t="str">
        <f t="shared" si="13"/>
        <v>..</v>
      </c>
      <c r="O684" s="14" t="e">
        <f>LOOKUP(N684,'Matrice AP'!A:A,'Matrice AP'!H:H)</f>
        <v>#N/A</v>
      </c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</row>
    <row r="685" spans="1:39" ht="21" x14ac:dyDescent="0.3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21" t="str">
        <f t="shared" si="13"/>
        <v>..</v>
      </c>
      <c r="O685" s="14" t="e">
        <f>LOOKUP(N685,'Matrice AP'!A:A,'Matrice AP'!H:H)</f>
        <v>#N/A</v>
      </c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</row>
    <row r="686" spans="1:39" ht="21" x14ac:dyDescent="0.3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21" t="str">
        <f t="shared" si="13"/>
        <v>..</v>
      </c>
      <c r="O686" s="14" t="e">
        <f>LOOKUP(N686,'Matrice AP'!A:A,'Matrice AP'!H:H)</f>
        <v>#N/A</v>
      </c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</row>
    <row r="687" spans="1:39" ht="21" x14ac:dyDescent="0.3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21" t="str">
        <f t="shared" si="13"/>
        <v>..</v>
      </c>
      <c r="O687" s="14" t="e">
        <f>LOOKUP(N687,'Matrice AP'!A:A,'Matrice AP'!H:H)</f>
        <v>#N/A</v>
      </c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</row>
    <row r="688" spans="1:39" ht="21" x14ac:dyDescent="0.3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21" t="str">
        <f t="shared" si="13"/>
        <v>..</v>
      </c>
      <c r="O688" s="14" t="e">
        <f>LOOKUP(N688,'Matrice AP'!A:A,'Matrice AP'!H:H)</f>
        <v>#N/A</v>
      </c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</row>
    <row r="689" spans="1:39" ht="21" x14ac:dyDescent="0.3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21" t="str">
        <f t="shared" si="13"/>
        <v>..</v>
      </c>
      <c r="O689" s="14" t="e">
        <f>LOOKUP(N689,'Matrice AP'!A:A,'Matrice AP'!H:H)</f>
        <v>#N/A</v>
      </c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</row>
    <row r="690" spans="1:39" ht="21" x14ac:dyDescent="0.3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21" t="str">
        <f t="shared" si="13"/>
        <v>..</v>
      </c>
      <c r="O690" s="14" t="e">
        <f>LOOKUP(N690,'Matrice AP'!A:A,'Matrice AP'!H:H)</f>
        <v>#N/A</v>
      </c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</row>
    <row r="691" spans="1:39" ht="21" x14ac:dyDescent="0.3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21" t="str">
        <f t="shared" si="13"/>
        <v>..</v>
      </c>
      <c r="O691" s="14" t="e">
        <f>LOOKUP(N691,'Matrice AP'!A:A,'Matrice AP'!H:H)</f>
        <v>#N/A</v>
      </c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</row>
    <row r="692" spans="1:39" ht="21" x14ac:dyDescent="0.3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21" t="str">
        <f t="shared" si="13"/>
        <v>..</v>
      </c>
      <c r="O692" s="14" t="e">
        <f>LOOKUP(N692,'Matrice AP'!A:A,'Matrice AP'!H:H)</f>
        <v>#N/A</v>
      </c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</row>
    <row r="693" spans="1:39" ht="21" x14ac:dyDescent="0.3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21" t="str">
        <f t="shared" si="13"/>
        <v>..</v>
      </c>
      <c r="O693" s="14" t="e">
        <f>LOOKUP(N693,'Matrice AP'!A:A,'Matrice AP'!H:H)</f>
        <v>#N/A</v>
      </c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</row>
    <row r="694" spans="1:39" ht="21" x14ac:dyDescent="0.3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21" t="str">
        <f t="shared" si="13"/>
        <v>..</v>
      </c>
      <c r="O694" s="14" t="e">
        <f>LOOKUP(N694,'Matrice AP'!A:A,'Matrice AP'!H:H)</f>
        <v>#N/A</v>
      </c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</row>
    <row r="695" spans="1:39" ht="21" x14ac:dyDescent="0.3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21" t="str">
        <f t="shared" si="13"/>
        <v>..</v>
      </c>
      <c r="O695" s="14" t="e">
        <f>LOOKUP(N695,'Matrice AP'!A:A,'Matrice AP'!H:H)</f>
        <v>#N/A</v>
      </c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</row>
    <row r="696" spans="1:39" ht="21" x14ac:dyDescent="0.3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21" t="str">
        <f t="shared" si="13"/>
        <v>..</v>
      </c>
      <c r="O696" s="14" t="e">
        <f>LOOKUP(N696,'Matrice AP'!A:A,'Matrice AP'!H:H)</f>
        <v>#N/A</v>
      </c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</row>
    <row r="697" spans="1:39" ht="21" x14ac:dyDescent="0.3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21" t="str">
        <f t="shared" si="13"/>
        <v>..</v>
      </c>
      <c r="O697" s="14" t="e">
        <f>LOOKUP(N697,'Matrice AP'!A:A,'Matrice AP'!H:H)</f>
        <v>#N/A</v>
      </c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</row>
    <row r="698" spans="1:39" ht="21" x14ac:dyDescent="0.3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21" t="str">
        <f t="shared" si="13"/>
        <v>..</v>
      </c>
      <c r="O698" s="14" t="e">
        <f>LOOKUP(N698,'Matrice AP'!A:A,'Matrice AP'!H:H)</f>
        <v>#N/A</v>
      </c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</row>
    <row r="699" spans="1:39" ht="21" x14ac:dyDescent="0.3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21" t="str">
        <f t="shared" si="13"/>
        <v>..</v>
      </c>
      <c r="O699" s="14" t="e">
        <f>LOOKUP(N699,'Matrice AP'!A:A,'Matrice AP'!H:H)</f>
        <v>#N/A</v>
      </c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</row>
    <row r="700" spans="1:39" ht="21" x14ac:dyDescent="0.3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21" t="str">
        <f t="shared" si="13"/>
        <v>..</v>
      </c>
      <c r="O700" s="14" t="e">
        <f>LOOKUP(N700,'Matrice AP'!A:A,'Matrice AP'!H:H)</f>
        <v>#N/A</v>
      </c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</row>
    <row r="701" spans="1:39" ht="21" x14ac:dyDescent="0.3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21" t="str">
        <f t="shared" si="13"/>
        <v>..</v>
      </c>
      <c r="O701" s="14" t="e">
        <f>LOOKUP(N701,'Matrice AP'!A:A,'Matrice AP'!H:H)</f>
        <v>#N/A</v>
      </c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</row>
    <row r="702" spans="1:39" ht="21" x14ac:dyDescent="0.3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21" t="str">
        <f t="shared" si="13"/>
        <v>..</v>
      </c>
      <c r="O702" s="14" t="e">
        <f>LOOKUP(N702,'Matrice AP'!A:A,'Matrice AP'!H:H)</f>
        <v>#N/A</v>
      </c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</row>
    <row r="703" spans="1:39" ht="21" x14ac:dyDescent="0.3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21" t="str">
        <f t="shared" si="13"/>
        <v>..</v>
      </c>
      <c r="O703" s="14" t="e">
        <f>LOOKUP(N703,'Matrice AP'!A:A,'Matrice AP'!H:H)</f>
        <v>#N/A</v>
      </c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</row>
    <row r="704" spans="1:39" ht="21" x14ac:dyDescent="0.3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21" t="str">
        <f t="shared" si="13"/>
        <v>..</v>
      </c>
      <c r="O704" s="14" t="e">
        <f>LOOKUP(N704,'Matrice AP'!A:A,'Matrice AP'!H:H)</f>
        <v>#N/A</v>
      </c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</row>
    <row r="705" spans="1:39" ht="21" x14ac:dyDescent="0.3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21" t="str">
        <f t="shared" si="13"/>
        <v>..</v>
      </c>
      <c r="O705" s="14" t="e">
        <f>LOOKUP(N705,'Matrice AP'!A:A,'Matrice AP'!H:H)</f>
        <v>#N/A</v>
      </c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</row>
    <row r="706" spans="1:39" ht="21" x14ac:dyDescent="0.3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21" t="str">
        <f t="shared" si="13"/>
        <v>..</v>
      </c>
      <c r="O706" s="14" t="e">
        <f>LOOKUP(N706,'Matrice AP'!A:A,'Matrice AP'!H:H)</f>
        <v>#N/A</v>
      </c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</row>
    <row r="707" spans="1:39" ht="21" x14ac:dyDescent="0.3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21" t="str">
        <f t="shared" si="13"/>
        <v>..</v>
      </c>
      <c r="O707" s="14" t="e">
        <f>LOOKUP(N707,'Matrice AP'!A:A,'Matrice AP'!H:H)</f>
        <v>#N/A</v>
      </c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</row>
    <row r="708" spans="1:39" ht="21" x14ac:dyDescent="0.3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21" t="str">
        <f t="shared" si="13"/>
        <v>..</v>
      </c>
      <c r="O708" s="14" t="e">
        <f>LOOKUP(N708,'Matrice AP'!A:A,'Matrice AP'!H:H)</f>
        <v>#N/A</v>
      </c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</row>
    <row r="709" spans="1:39" ht="21" x14ac:dyDescent="0.3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21" t="str">
        <f t="shared" ref="N709:N772" si="14">CONCATENATE(G709,".",K709,".",M709)</f>
        <v>..</v>
      </c>
      <c r="O709" s="14" t="e">
        <f>LOOKUP(N709,'Matrice AP'!A:A,'Matrice AP'!H:H)</f>
        <v>#N/A</v>
      </c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</row>
    <row r="710" spans="1:39" ht="21" x14ac:dyDescent="0.3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21" t="str">
        <f>CONCATENATE(G70,".",K70,".",M70)</f>
        <v>..</v>
      </c>
      <c r="O710" s="14" t="e">
        <f>LOOKUP(N70,'Matrice AP'!A:A,'Matrice AP'!H:H)</f>
        <v>#N/A</v>
      </c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</row>
    <row r="711" spans="1:39" ht="21" x14ac:dyDescent="0.3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21" t="str">
        <f t="shared" si="14"/>
        <v>..</v>
      </c>
      <c r="O711" s="14" t="e">
        <f>LOOKUP(N711,'Matrice AP'!A:A,'Matrice AP'!H:H)</f>
        <v>#N/A</v>
      </c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</row>
    <row r="712" spans="1:39" ht="21" x14ac:dyDescent="0.3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21" t="str">
        <f t="shared" si="14"/>
        <v>..</v>
      </c>
      <c r="O712" s="14" t="e">
        <f>LOOKUP(N712,'Matrice AP'!A:A,'Matrice AP'!H:H)</f>
        <v>#N/A</v>
      </c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</row>
    <row r="713" spans="1:39" ht="21" x14ac:dyDescent="0.3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21" t="str">
        <f t="shared" si="14"/>
        <v>..</v>
      </c>
      <c r="O713" s="14" t="e">
        <f>LOOKUP(N713,'Matrice AP'!A:A,'Matrice AP'!H:H)</f>
        <v>#N/A</v>
      </c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</row>
    <row r="714" spans="1:39" ht="21" x14ac:dyDescent="0.3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21" t="str">
        <f t="shared" si="14"/>
        <v>..</v>
      </c>
      <c r="O714" s="14" t="e">
        <f>LOOKUP(N714,'Matrice AP'!A:A,'Matrice AP'!H:H)</f>
        <v>#N/A</v>
      </c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</row>
    <row r="715" spans="1:39" ht="21" x14ac:dyDescent="0.3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21" t="str">
        <f t="shared" si="14"/>
        <v>..</v>
      </c>
      <c r="O715" s="14" t="e">
        <f>LOOKUP(N715,'Matrice AP'!A:A,'Matrice AP'!H:H)</f>
        <v>#N/A</v>
      </c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</row>
    <row r="716" spans="1:39" ht="21" x14ac:dyDescent="0.3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21" t="str">
        <f t="shared" si="14"/>
        <v>..</v>
      </c>
      <c r="O716" s="14" t="e">
        <f>LOOKUP(N716,'Matrice AP'!A:A,'Matrice AP'!H:H)</f>
        <v>#N/A</v>
      </c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</row>
    <row r="717" spans="1:39" ht="21" x14ac:dyDescent="0.3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21" t="str">
        <f t="shared" si="14"/>
        <v>..</v>
      </c>
      <c r="O717" s="14" t="e">
        <f>LOOKUP(N717,'Matrice AP'!A:A,'Matrice AP'!H:H)</f>
        <v>#N/A</v>
      </c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</row>
    <row r="718" spans="1:39" ht="21" x14ac:dyDescent="0.3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21" t="str">
        <f t="shared" si="14"/>
        <v>..</v>
      </c>
      <c r="O718" s="14" t="e">
        <f>LOOKUP(N718,'Matrice AP'!A:A,'Matrice AP'!H:H)</f>
        <v>#N/A</v>
      </c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</row>
    <row r="719" spans="1:39" ht="21" x14ac:dyDescent="0.3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21" t="str">
        <f t="shared" si="14"/>
        <v>..</v>
      </c>
      <c r="O719" s="14" t="e">
        <f>LOOKUP(N719,'Matrice AP'!A:A,'Matrice AP'!H:H)</f>
        <v>#N/A</v>
      </c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</row>
    <row r="720" spans="1:39" ht="21" x14ac:dyDescent="0.3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21" t="str">
        <f t="shared" si="14"/>
        <v>..</v>
      </c>
      <c r="O720" s="14" t="e">
        <f>LOOKUP(N720,'Matrice AP'!A:A,'Matrice AP'!H:H)</f>
        <v>#N/A</v>
      </c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</row>
    <row r="721" spans="1:39" ht="21" x14ac:dyDescent="0.3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21" t="str">
        <f t="shared" si="14"/>
        <v>..</v>
      </c>
      <c r="O721" s="14" t="e">
        <f>LOOKUP(N721,'Matrice AP'!A:A,'Matrice AP'!H:H)</f>
        <v>#N/A</v>
      </c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</row>
    <row r="722" spans="1:39" ht="21" x14ac:dyDescent="0.3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21" t="str">
        <f t="shared" si="14"/>
        <v>..</v>
      </c>
      <c r="O722" s="14" t="e">
        <f>LOOKUP(N722,'Matrice AP'!A:A,'Matrice AP'!H:H)</f>
        <v>#N/A</v>
      </c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</row>
    <row r="723" spans="1:39" ht="21" x14ac:dyDescent="0.3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21" t="str">
        <f t="shared" si="14"/>
        <v>..</v>
      </c>
      <c r="O723" s="14" t="e">
        <f>LOOKUP(N723,'Matrice AP'!A:A,'Matrice AP'!H:H)</f>
        <v>#N/A</v>
      </c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</row>
    <row r="724" spans="1:39" ht="21" x14ac:dyDescent="0.3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21" t="str">
        <f t="shared" si="14"/>
        <v>..</v>
      </c>
      <c r="O724" s="14" t="e">
        <f>LOOKUP(N724,'Matrice AP'!A:A,'Matrice AP'!H:H)</f>
        <v>#N/A</v>
      </c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</row>
    <row r="725" spans="1:39" ht="21" x14ac:dyDescent="0.3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21" t="str">
        <f t="shared" si="14"/>
        <v>..</v>
      </c>
      <c r="O725" s="14" t="e">
        <f>LOOKUP(N725,'Matrice AP'!A:A,'Matrice AP'!H:H)</f>
        <v>#N/A</v>
      </c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</row>
    <row r="726" spans="1:39" ht="21" x14ac:dyDescent="0.3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21" t="str">
        <f t="shared" si="14"/>
        <v>..</v>
      </c>
      <c r="O726" s="14" t="e">
        <f>LOOKUP(N726,'Matrice AP'!A:A,'Matrice AP'!H:H)</f>
        <v>#N/A</v>
      </c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</row>
    <row r="727" spans="1:39" ht="21" x14ac:dyDescent="0.3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21" t="str">
        <f t="shared" si="14"/>
        <v>..</v>
      </c>
      <c r="O727" s="14" t="e">
        <f>LOOKUP(N727,'Matrice AP'!A:A,'Matrice AP'!H:H)</f>
        <v>#N/A</v>
      </c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</row>
    <row r="728" spans="1:39" ht="21" x14ac:dyDescent="0.3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21" t="str">
        <f t="shared" si="14"/>
        <v>..</v>
      </c>
      <c r="O728" s="14" t="e">
        <f>LOOKUP(N728,'Matrice AP'!A:A,'Matrice AP'!H:H)</f>
        <v>#N/A</v>
      </c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</row>
    <row r="729" spans="1:39" ht="21" x14ac:dyDescent="0.3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21" t="str">
        <f t="shared" si="14"/>
        <v>..</v>
      </c>
      <c r="O729" s="14" t="e">
        <f>LOOKUP(N729,'Matrice AP'!A:A,'Matrice AP'!H:H)</f>
        <v>#N/A</v>
      </c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</row>
    <row r="730" spans="1:39" ht="21" x14ac:dyDescent="0.3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21" t="str">
        <f t="shared" si="14"/>
        <v>..</v>
      </c>
      <c r="O730" s="14" t="e">
        <f>LOOKUP(N730,'Matrice AP'!A:A,'Matrice AP'!H:H)</f>
        <v>#N/A</v>
      </c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</row>
    <row r="731" spans="1:39" ht="21" x14ac:dyDescent="0.3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21" t="str">
        <f t="shared" si="14"/>
        <v>..</v>
      </c>
      <c r="O731" s="14" t="e">
        <f>LOOKUP(N731,'Matrice AP'!A:A,'Matrice AP'!H:H)</f>
        <v>#N/A</v>
      </c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</row>
    <row r="732" spans="1:39" ht="21" x14ac:dyDescent="0.3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21" t="str">
        <f t="shared" si="14"/>
        <v>..</v>
      </c>
      <c r="O732" s="14" t="e">
        <f>LOOKUP(N732,'Matrice AP'!A:A,'Matrice AP'!H:H)</f>
        <v>#N/A</v>
      </c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</row>
    <row r="733" spans="1:39" ht="21" x14ac:dyDescent="0.3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21" t="str">
        <f t="shared" si="14"/>
        <v>..</v>
      </c>
      <c r="O733" s="14" t="e">
        <f>LOOKUP(N733,'Matrice AP'!A:A,'Matrice AP'!H:H)</f>
        <v>#N/A</v>
      </c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</row>
    <row r="734" spans="1:39" ht="21" x14ac:dyDescent="0.3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21" t="str">
        <f t="shared" si="14"/>
        <v>..</v>
      </c>
      <c r="O734" s="14" t="e">
        <f>LOOKUP(N734,'Matrice AP'!A:A,'Matrice AP'!H:H)</f>
        <v>#N/A</v>
      </c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</row>
    <row r="735" spans="1:39" ht="21" x14ac:dyDescent="0.3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21" t="str">
        <f t="shared" si="14"/>
        <v>..</v>
      </c>
      <c r="O735" s="14" t="e">
        <f>LOOKUP(N735,'Matrice AP'!A:A,'Matrice AP'!H:H)</f>
        <v>#N/A</v>
      </c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</row>
    <row r="736" spans="1:39" ht="21" x14ac:dyDescent="0.3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21" t="str">
        <f t="shared" si="14"/>
        <v>..</v>
      </c>
      <c r="O736" s="14" t="e">
        <f>LOOKUP(N736,'Matrice AP'!A:A,'Matrice AP'!H:H)</f>
        <v>#N/A</v>
      </c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</row>
    <row r="737" spans="1:39" ht="21" x14ac:dyDescent="0.3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21" t="str">
        <f t="shared" si="14"/>
        <v>..</v>
      </c>
      <c r="O737" s="14" t="e">
        <f>LOOKUP(N737,'Matrice AP'!A:A,'Matrice AP'!H:H)</f>
        <v>#N/A</v>
      </c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</row>
    <row r="738" spans="1:39" ht="21" x14ac:dyDescent="0.3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21" t="str">
        <f t="shared" si="14"/>
        <v>..</v>
      </c>
      <c r="O738" s="14" t="e">
        <f>LOOKUP(N738,'Matrice AP'!A:A,'Matrice AP'!H:H)</f>
        <v>#N/A</v>
      </c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</row>
    <row r="739" spans="1:39" ht="21" x14ac:dyDescent="0.3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21" t="str">
        <f t="shared" si="14"/>
        <v>..</v>
      </c>
      <c r="O739" s="14" t="e">
        <f>LOOKUP(N739,'Matrice AP'!A:A,'Matrice AP'!H:H)</f>
        <v>#N/A</v>
      </c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</row>
    <row r="740" spans="1:39" ht="21" x14ac:dyDescent="0.3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21" t="str">
        <f t="shared" si="14"/>
        <v>..</v>
      </c>
      <c r="O740" s="14" t="e">
        <f>LOOKUP(N740,'Matrice AP'!A:A,'Matrice AP'!H:H)</f>
        <v>#N/A</v>
      </c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</row>
    <row r="741" spans="1:39" ht="21" x14ac:dyDescent="0.3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21" t="str">
        <f t="shared" si="14"/>
        <v>..</v>
      </c>
      <c r="O741" s="14" t="e">
        <f>LOOKUP(N741,'Matrice AP'!A:A,'Matrice AP'!H:H)</f>
        <v>#N/A</v>
      </c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</row>
    <row r="742" spans="1:39" ht="21" x14ac:dyDescent="0.3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21" t="str">
        <f t="shared" si="14"/>
        <v>..</v>
      </c>
      <c r="O742" s="14" t="e">
        <f>LOOKUP(N742,'Matrice AP'!A:A,'Matrice AP'!H:H)</f>
        <v>#N/A</v>
      </c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</row>
    <row r="743" spans="1:39" ht="21" x14ac:dyDescent="0.3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21" t="str">
        <f t="shared" si="14"/>
        <v>..</v>
      </c>
      <c r="O743" s="14" t="e">
        <f>LOOKUP(N743,'Matrice AP'!A:A,'Matrice AP'!H:H)</f>
        <v>#N/A</v>
      </c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</row>
    <row r="744" spans="1:39" ht="21" x14ac:dyDescent="0.3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21" t="str">
        <f t="shared" si="14"/>
        <v>..</v>
      </c>
      <c r="O744" s="14" t="e">
        <f>LOOKUP(N744,'Matrice AP'!A:A,'Matrice AP'!H:H)</f>
        <v>#N/A</v>
      </c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</row>
    <row r="745" spans="1:39" ht="21" x14ac:dyDescent="0.3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21" t="str">
        <f t="shared" si="14"/>
        <v>..</v>
      </c>
      <c r="O745" s="14" t="e">
        <f>LOOKUP(N745,'Matrice AP'!A:A,'Matrice AP'!H:H)</f>
        <v>#N/A</v>
      </c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</row>
    <row r="746" spans="1:39" ht="21" x14ac:dyDescent="0.3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21" t="str">
        <f t="shared" si="14"/>
        <v>..</v>
      </c>
      <c r="O746" s="14" t="e">
        <f>LOOKUP(N746,'Matrice AP'!A:A,'Matrice AP'!H:H)</f>
        <v>#N/A</v>
      </c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</row>
    <row r="747" spans="1:39" ht="21" x14ac:dyDescent="0.3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21" t="str">
        <f t="shared" si="14"/>
        <v>..</v>
      </c>
      <c r="O747" s="14" t="e">
        <f>LOOKUP(N747,'Matrice AP'!A:A,'Matrice AP'!H:H)</f>
        <v>#N/A</v>
      </c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</row>
    <row r="748" spans="1:39" ht="21" x14ac:dyDescent="0.3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21" t="str">
        <f t="shared" si="14"/>
        <v>..</v>
      </c>
      <c r="O748" s="14" t="e">
        <f>LOOKUP(N748,'Matrice AP'!A:A,'Matrice AP'!H:H)</f>
        <v>#N/A</v>
      </c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</row>
    <row r="749" spans="1:39" ht="21" x14ac:dyDescent="0.3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21" t="str">
        <f t="shared" si="14"/>
        <v>..</v>
      </c>
      <c r="O749" s="14" t="e">
        <f>LOOKUP(N749,'Matrice AP'!A:A,'Matrice AP'!H:H)</f>
        <v>#N/A</v>
      </c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</row>
    <row r="750" spans="1:39" ht="21" x14ac:dyDescent="0.3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21" t="str">
        <f t="shared" si="14"/>
        <v>..</v>
      </c>
      <c r="O750" s="14" t="e">
        <f>LOOKUP(N750,'Matrice AP'!A:A,'Matrice AP'!H:H)</f>
        <v>#N/A</v>
      </c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</row>
    <row r="751" spans="1:39" ht="21" x14ac:dyDescent="0.3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21" t="str">
        <f t="shared" si="14"/>
        <v>..</v>
      </c>
      <c r="O751" s="14" t="e">
        <f>LOOKUP(N751,'Matrice AP'!A:A,'Matrice AP'!H:H)</f>
        <v>#N/A</v>
      </c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</row>
    <row r="752" spans="1:39" ht="21" x14ac:dyDescent="0.3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21" t="str">
        <f t="shared" si="14"/>
        <v>..</v>
      </c>
      <c r="O752" s="14" t="e">
        <f>LOOKUP(N752,'Matrice AP'!A:A,'Matrice AP'!H:H)</f>
        <v>#N/A</v>
      </c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</row>
    <row r="753" spans="1:39" ht="21" x14ac:dyDescent="0.3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21" t="str">
        <f t="shared" si="14"/>
        <v>..</v>
      </c>
      <c r="O753" s="14" t="e">
        <f>LOOKUP(N753,'Matrice AP'!A:A,'Matrice AP'!H:H)</f>
        <v>#N/A</v>
      </c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</row>
    <row r="754" spans="1:39" ht="21" x14ac:dyDescent="0.3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21" t="str">
        <f t="shared" si="14"/>
        <v>..</v>
      </c>
      <c r="O754" s="14" t="e">
        <f>LOOKUP(N754,'Matrice AP'!A:A,'Matrice AP'!H:H)</f>
        <v>#N/A</v>
      </c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</row>
    <row r="755" spans="1:39" ht="21" x14ac:dyDescent="0.3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21" t="str">
        <f t="shared" si="14"/>
        <v>..</v>
      </c>
      <c r="O755" s="14" t="e">
        <f>LOOKUP(N755,'Matrice AP'!A:A,'Matrice AP'!H:H)</f>
        <v>#N/A</v>
      </c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</row>
    <row r="756" spans="1:39" ht="21" x14ac:dyDescent="0.3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21" t="str">
        <f t="shared" si="14"/>
        <v>..</v>
      </c>
      <c r="O756" s="14" t="e">
        <f>LOOKUP(N756,'Matrice AP'!A:A,'Matrice AP'!H:H)</f>
        <v>#N/A</v>
      </c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</row>
    <row r="757" spans="1:39" ht="21" x14ac:dyDescent="0.3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21" t="str">
        <f t="shared" si="14"/>
        <v>..</v>
      </c>
      <c r="O757" s="14" t="e">
        <f>LOOKUP(N757,'Matrice AP'!A:A,'Matrice AP'!H:H)</f>
        <v>#N/A</v>
      </c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</row>
    <row r="758" spans="1:39" ht="21" x14ac:dyDescent="0.3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21" t="str">
        <f t="shared" si="14"/>
        <v>..</v>
      </c>
      <c r="O758" s="14" t="e">
        <f>LOOKUP(N758,'Matrice AP'!A:A,'Matrice AP'!H:H)</f>
        <v>#N/A</v>
      </c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</row>
    <row r="759" spans="1:39" ht="21" x14ac:dyDescent="0.3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21" t="str">
        <f t="shared" si="14"/>
        <v>..</v>
      </c>
      <c r="O759" s="14" t="e">
        <f>LOOKUP(N759,'Matrice AP'!A:A,'Matrice AP'!H:H)</f>
        <v>#N/A</v>
      </c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</row>
    <row r="760" spans="1:39" ht="21" x14ac:dyDescent="0.3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21" t="str">
        <f t="shared" si="14"/>
        <v>..</v>
      </c>
      <c r="O760" s="14" t="e">
        <f>LOOKUP(N760,'Matrice AP'!A:A,'Matrice AP'!H:H)</f>
        <v>#N/A</v>
      </c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</row>
    <row r="761" spans="1:39" ht="21" x14ac:dyDescent="0.3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21" t="str">
        <f t="shared" si="14"/>
        <v>..</v>
      </c>
      <c r="O761" s="14" t="e">
        <f>LOOKUP(N761,'Matrice AP'!A:A,'Matrice AP'!H:H)</f>
        <v>#N/A</v>
      </c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</row>
    <row r="762" spans="1:39" ht="21" x14ac:dyDescent="0.3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21" t="str">
        <f t="shared" si="14"/>
        <v>..</v>
      </c>
      <c r="O762" s="14" t="e">
        <f>LOOKUP(N762,'Matrice AP'!A:A,'Matrice AP'!H:H)</f>
        <v>#N/A</v>
      </c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</row>
    <row r="763" spans="1:39" ht="21" x14ac:dyDescent="0.3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21" t="str">
        <f t="shared" si="14"/>
        <v>..</v>
      </c>
      <c r="O763" s="14" t="e">
        <f>LOOKUP(N763,'Matrice AP'!A:A,'Matrice AP'!H:H)</f>
        <v>#N/A</v>
      </c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</row>
    <row r="764" spans="1:39" ht="21" x14ac:dyDescent="0.3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21" t="str">
        <f t="shared" si="14"/>
        <v>..</v>
      </c>
      <c r="O764" s="14" t="e">
        <f>LOOKUP(N764,'Matrice AP'!A:A,'Matrice AP'!H:H)</f>
        <v>#N/A</v>
      </c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</row>
    <row r="765" spans="1:39" ht="21" x14ac:dyDescent="0.3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21" t="str">
        <f t="shared" si="14"/>
        <v>..</v>
      </c>
      <c r="O765" s="14" t="e">
        <f>LOOKUP(N765,'Matrice AP'!A:A,'Matrice AP'!H:H)</f>
        <v>#N/A</v>
      </c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</row>
    <row r="766" spans="1:39" ht="21" x14ac:dyDescent="0.3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21" t="str">
        <f t="shared" si="14"/>
        <v>..</v>
      </c>
      <c r="O766" s="14" t="e">
        <f>LOOKUP(N766,'Matrice AP'!A:A,'Matrice AP'!H:H)</f>
        <v>#N/A</v>
      </c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</row>
    <row r="767" spans="1:39" ht="21" x14ac:dyDescent="0.3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21" t="str">
        <f t="shared" si="14"/>
        <v>..</v>
      </c>
      <c r="O767" s="14" t="e">
        <f>LOOKUP(N767,'Matrice AP'!A:A,'Matrice AP'!H:H)</f>
        <v>#N/A</v>
      </c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</row>
    <row r="768" spans="1:39" ht="21" x14ac:dyDescent="0.3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21" t="str">
        <f t="shared" si="14"/>
        <v>..</v>
      </c>
      <c r="O768" s="14" t="e">
        <f>LOOKUP(N768,'Matrice AP'!A:A,'Matrice AP'!H:H)</f>
        <v>#N/A</v>
      </c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</row>
    <row r="769" spans="1:39" ht="21" x14ac:dyDescent="0.3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21" t="str">
        <f t="shared" si="14"/>
        <v>..</v>
      </c>
      <c r="O769" s="14" t="e">
        <f>LOOKUP(N769,'Matrice AP'!A:A,'Matrice AP'!H:H)</f>
        <v>#N/A</v>
      </c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</row>
    <row r="770" spans="1:39" ht="21" x14ac:dyDescent="0.3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21" t="str">
        <f t="shared" si="14"/>
        <v>..</v>
      </c>
      <c r="O770" s="14" t="e">
        <f>LOOKUP(N770,'Matrice AP'!A:A,'Matrice AP'!H:H)</f>
        <v>#N/A</v>
      </c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</row>
    <row r="771" spans="1:39" ht="21" x14ac:dyDescent="0.3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21" t="str">
        <f t="shared" si="14"/>
        <v>..</v>
      </c>
      <c r="O771" s="14" t="e">
        <f>LOOKUP(N771,'Matrice AP'!A:A,'Matrice AP'!H:H)</f>
        <v>#N/A</v>
      </c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</row>
    <row r="772" spans="1:39" ht="21" x14ac:dyDescent="0.3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21" t="str">
        <f t="shared" si="14"/>
        <v>..</v>
      </c>
      <c r="O772" s="14" t="e">
        <f>LOOKUP(N772,'Matrice AP'!A:A,'Matrice AP'!H:H)</f>
        <v>#N/A</v>
      </c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</row>
    <row r="773" spans="1:39" ht="21" x14ac:dyDescent="0.3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21" t="str">
        <f t="shared" ref="N773:N836" si="15">CONCATENATE(G773,".",K773,".",M773)</f>
        <v>..</v>
      </c>
      <c r="O773" s="14" t="e">
        <f>LOOKUP(N773,'Matrice AP'!A:A,'Matrice AP'!H:H)</f>
        <v>#N/A</v>
      </c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</row>
    <row r="774" spans="1:39" ht="21" x14ac:dyDescent="0.3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21" t="str">
        <f t="shared" si="15"/>
        <v>..</v>
      </c>
      <c r="O774" s="14" t="e">
        <f>LOOKUP(N774,'Matrice AP'!A:A,'Matrice AP'!H:H)</f>
        <v>#N/A</v>
      </c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</row>
    <row r="775" spans="1:39" ht="21" x14ac:dyDescent="0.3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21" t="str">
        <f t="shared" si="15"/>
        <v>..</v>
      </c>
      <c r="O775" s="14" t="e">
        <f>LOOKUP(N775,'Matrice AP'!A:A,'Matrice AP'!H:H)</f>
        <v>#N/A</v>
      </c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</row>
    <row r="776" spans="1:39" ht="21" x14ac:dyDescent="0.3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21" t="str">
        <f t="shared" si="15"/>
        <v>..</v>
      </c>
      <c r="O776" s="14" t="e">
        <f>LOOKUP(N776,'Matrice AP'!A:A,'Matrice AP'!H:H)</f>
        <v>#N/A</v>
      </c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</row>
    <row r="777" spans="1:39" ht="21" x14ac:dyDescent="0.3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21" t="str">
        <f t="shared" si="15"/>
        <v>..</v>
      </c>
      <c r="O777" s="14" t="e">
        <f>LOOKUP(N777,'Matrice AP'!A:A,'Matrice AP'!H:H)</f>
        <v>#N/A</v>
      </c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</row>
    <row r="778" spans="1:39" ht="21" x14ac:dyDescent="0.3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21" t="str">
        <f t="shared" si="15"/>
        <v>..</v>
      </c>
      <c r="O778" s="14" t="e">
        <f>LOOKUP(N778,'Matrice AP'!A:A,'Matrice AP'!H:H)</f>
        <v>#N/A</v>
      </c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</row>
    <row r="779" spans="1:39" ht="21" x14ac:dyDescent="0.3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21" t="str">
        <f t="shared" si="15"/>
        <v>..</v>
      </c>
      <c r="O779" s="14" t="e">
        <f>LOOKUP(N779,'Matrice AP'!A:A,'Matrice AP'!H:H)</f>
        <v>#N/A</v>
      </c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</row>
    <row r="780" spans="1:39" ht="21" x14ac:dyDescent="0.3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21" t="str">
        <f t="shared" si="15"/>
        <v>..</v>
      </c>
      <c r="O780" s="14" t="e">
        <f>LOOKUP(N780,'Matrice AP'!A:A,'Matrice AP'!H:H)</f>
        <v>#N/A</v>
      </c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</row>
    <row r="781" spans="1:39" ht="21" x14ac:dyDescent="0.3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21" t="str">
        <f t="shared" si="15"/>
        <v>..</v>
      </c>
      <c r="O781" s="14" t="e">
        <f>LOOKUP(N781,'Matrice AP'!A:A,'Matrice AP'!H:H)</f>
        <v>#N/A</v>
      </c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</row>
    <row r="782" spans="1:39" ht="21" x14ac:dyDescent="0.3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21" t="str">
        <f t="shared" si="15"/>
        <v>..</v>
      </c>
      <c r="O782" s="14" t="e">
        <f>LOOKUP(N782,'Matrice AP'!A:A,'Matrice AP'!H:H)</f>
        <v>#N/A</v>
      </c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</row>
    <row r="783" spans="1:39" ht="21" x14ac:dyDescent="0.3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21" t="str">
        <f t="shared" si="15"/>
        <v>..</v>
      </c>
      <c r="O783" s="14" t="e">
        <f>LOOKUP(N783,'Matrice AP'!A:A,'Matrice AP'!H:H)</f>
        <v>#N/A</v>
      </c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</row>
    <row r="784" spans="1:39" ht="21" x14ac:dyDescent="0.3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21" t="str">
        <f t="shared" si="15"/>
        <v>..</v>
      </c>
      <c r="O784" s="14" t="e">
        <f>LOOKUP(N784,'Matrice AP'!A:A,'Matrice AP'!H:H)</f>
        <v>#N/A</v>
      </c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</row>
    <row r="785" spans="1:39" ht="21" x14ac:dyDescent="0.3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21" t="str">
        <f t="shared" si="15"/>
        <v>..</v>
      </c>
      <c r="O785" s="14" t="e">
        <f>LOOKUP(N785,'Matrice AP'!A:A,'Matrice AP'!H:H)</f>
        <v>#N/A</v>
      </c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</row>
    <row r="786" spans="1:39" ht="21" x14ac:dyDescent="0.3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21" t="str">
        <f t="shared" si="15"/>
        <v>..</v>
      </c>
      <c r="O786" s="14" t="e">
        <f>LOOKUP(N786,'Matrice AP'!A:A,'Matrice AP'!H:H)</f>
        <v>#N/A</v>
      </c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</row>
    <row r="787" spans="1:39" ht="21" x14ac:dyDescent="0.3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21" t="str">
        <f t="shared" si="15"/>
        <v>..</v>
      </c>
      <c r="O787" s="14" t="e">
        <f>LOOKUP(N787,'Matrice AP'!A:A,'Matrice AP'!H:H)</f>
        <v>#N/A</v>
      </c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</row>
    <row r="788" spans="1:39" ht="21" x14ac:dyDescent="0.3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21" t="str">
        <f t="shared" si="15"/>
        <v>..</v>
      </c>
      <c r="O788" s="14" t="e">
        <f>LOOKUP(N788,'Matrice AP'!A:A,'Matrice AP'!H:H)</f>
        <v>#N/A</v>
      </c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</row>
    <row r="789" spans="1:39" ht="21" x14ac:dyDescent="0.3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21" t="str">
        <f t="shared" si="15"/>
        <v>..</v>
      </c>
      <c r="O789" s="14" t="e">
        <f>LOOKUP(N789,'Matrice AP'!A:A,'Matrice AP'!H:H)</f>
        <v>#N/A</v>
      </c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</row>
    <row r="790" spans="1:39" ht="21" x14ac:dyDescent="0.3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21" t="str">
        <f t="shared" si="15"/>
        <v>..</v>
      </c>
      <c r="O790" s="14" t="e">
        <f>LOOKUP(N790,'Matrice AP'!A:A,'Matrice AP'!H:H)</f>
        <v>#N/A</v>
      </c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</row>
    <row r="791" spans="1:39" ht="21" x14ac:dyDescent="0.3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21" t="str">
        <f t="shared" si="15"/>
        <v>..</v>
      </c>
      <c r="O791" s="14" t="e">
        <f>LOOKUP(N791,'Matrice AP'!A:A,'Matrice AP'!H:H)</f>
        <v>#N/A</v>
      </c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</row>
    <row r="792" spans="1:39" ht="21" x14ac:dyDescent="0.3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21" t="str">
        <f t="shared" si="15"/>
        <v>..</v>
      </c>
      <c r="O792" s="14" t="e">
        <f>LOOKUP(N792,'Matrice AP'!A:A,'Matrice AP'!H:H)</f>
        <v>#N/A</v>
      </c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</row>
    <row r="793" spans="1:39" ht="21" x14ac:dyDescent="0.3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21" t="str">
        <f t="shared" si="15"/>
        <v>..</v>
      </c>
      <c r="O793" s="14" t="e">
        <f>LOOKUP(N793,'Matrice AP'!A:A,'Matrice AP'!H:H)</f>
        <v>#N/A</v>
      </c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</row>
    <row r="794" spans="1:39" ht="21" x14ac:dyDescent="0.3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21" t="str">
        <f t="shared" si="15"/>
        <v>..</v>
      </c>
      <c r="O794" s="14" t="e">
        <f>LOOKUP(N794,'Matrice AP'!A:A,'Matrice AP'!H:H)</f>
        <v>#N/A</v>
      </c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</row>
    <row r="795" spans="1:39" ht="21" x14ac:dyDescent="0.3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21" t="str">
        <f t="shared" si="15"/>
        <v>..</v>
      </c>
      <c r="O795" s="14" t="e">
        <f>LOOKUP(N795,'Matrice AP'!A:A,'Matrice AP'!H:H)</f>
        <v>#N/A</v>
      </c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</row>
    <row r="796" spans="1:39" ht="21" x14ac:dyDescent="0.3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21" t="str">
        <f t="shared" si="15"/>
        <v>..</v>
      </c>
      <c r="O796" s="14" t="e">
        <f>LOOKUP(N796,'Matrice AP'!A:A,'Matrice AP'!H:H)</f>
        <v>#N/A</v>
      </c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</row>
    <row r="797" spans="1:39" ht="21" x14ac:dyDescent="0.3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21" t="str">
        <f t="shared" si="15"/>
        <v>..</v>
      </c>
      <c r="O797" s="14" t="e">
        <f>LOOKUP(N797,'Matrice AP'!A:A,'Matrice AP'!H:H)</f>
        <v>#N/A</v>
      </c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</row>
    <row r="798" spans="1:39" ht="21" x14ac:dyDescent="0.3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21" t="str">
        <f t="shared" si="15"/>
        <v>..</v>
      </c>
      <c r="O798" s="14" t="e">
        <f>LOOKUP(N798,'Matrice AP'!A:A,'Matrice AP'!H:H)</f>
        <v>#N/A</v>
      </c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</row>
    <row r="799" spans="1:39" ht="21" x14ac:dyDescent="0.3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21" t="str">
        <f t="shared" si="15"/>
        <v>..</v>
      </c>
      <c r="O799" s="14" t="e">
        <f>LOOKUP(N799,'Matrice AP'!A:A,'Matrice AP'!H:H)</f>
        <v>#N/A</v>
      </c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</row>
    <row r="800" spans="1:39" ht="21" x14ac:dyDescent="0.3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21" t="str">
        <f t="shared" si="15"/>
        <v>..</v>
      </c>
      <c r="O800" s="14" t="e">
        <f>LOOKUP(N800,'Matrice AP'!A:A,'Matrice AP'!H:H)</f>
        <v>#N/A</v>
      </c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</row>
    <row r="801" spans="1:39" ht="21" x14ac:dyDescent="0.3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21" t="str">
        <f t="shared" si="15"/>
        <v>..</v>
      </c>
      <c r="O801" s="14" t="e">
        <f>LOOKUP(N801,'Matrice AP'!A:A,'Matrice AP'!H:H)</f>
        <v>#N/A</v>
      </c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</row>
    <row r="802" spans="1:39" ht="21" x14ac:dyDescent="0.3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21" t="str">
        <f t="shared" si="15"/>
        <v>..</v>
      </c>
      <c r="O802" s="14" t="e">
        <f>LOOKUP(N802,'Matrice AP'!A:A,'Matrice AP'!H:H)</f>
        <v>#N/A</v>
      </c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</row>
    <row r="803" spans="1:39" ht="21" x14ac:dyDescent="0.3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21" t="str">
        <f t="shared" si="15"/>
        <v>..</v>
      </c>
      <c r="O803" s="14" t="e">
        <f>LOOKUP(N803,'Matrice AP'!A:A,'Matrice AP'!H:H)</f>
        <v>#N/A</v>
      </c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</row>
    <row r="804" spans="1:39" ht="21" x14ac:dyDescent="0.3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21" t="str">
        <f t="shared" si="15"/>
        <v>..</v>
      </c>
      <c r="O804" s="14" t="e">
        <f>LOOKUP(N804,'Matrice AP'!A:A,'Matrice AP'!H:H)</f>
        <v>#N/A</v>
      </c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</row>
    <row r="805" spans="1:39" ht="21" x14ac:dyDescent="0.3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21" t="str">
        <f t="shared" si="15"/>
        <v>..</v>
      </c>
      <c r="O805" s="14" t="e">
        <f>LOOKUP(N805,'Matrice AP'!A:A,'Matrice AP'!H:H)</f>
        <v>#N/A</v>
      </c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</row>
    <row r="806" spans="1:39" ht="21" x14ac:dyDescent="0.3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21" t="str">
        <f t="shared" si="15"/>
        <v>..</v>
      </c>
      <c r="O806" s="14" t="e">
        <f>LOOKUP(N806,'Matrice AP'!A:A,'Matrice AP'!H:H)</f>
        <v>#N/A</v>
      </c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</row>
    <row r="807" spans="1:39" ht="21" x14ac:dyDescent="0.3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21" t="str">
        <f t="shared" si="15"/>
        <v>..</v>
      </c>
      <c r="O807" s="14" t="e">
        <f>LOOKUP(N807,'Matrice AP'!A:A,'Matrice AP'!H:H)</f>
        <v>#N/A</v>
      </c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</row>
    <row r="808" spans="1:39" ht="21" x14ac:dyDescent="0.3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21" t="str">
        <f t="shared" si="15"/>
        <v>..</v>
      </c>
      <c r="O808" s="14" t="e">
        <f>LOOKUP(N808,'Matrice AP'!A:A,'Matrice AP'!H:H)</f>
        <v>#N/A</v>
      </c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</row>
    <row r="809" spans="1:39" ht="21" x14ac:dyDescent="0.3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21" t="str">
        <f t="shared" si="15"/>
        <v>..</v>
      </c>
      <c r="O809" s="14" t="e">
        <f>LOOKUP(N809,'Matrice AP'!A:A,'Matrice AP'!H:H)</f>
        <v>#N/A</v>
      </c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</row>
    <row r="810" spans="1:39" ht="21" x14ac:dyDescent="0.3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21" t="str">
        <f>CONCATENATE(G80,".",K80,".",M80)</f>
        <v>..</v>
      </c>
      <c r="O810" s="14" t="e">
        <f>LOOKUP(N80,'Matrice AP'!A:A,'Matrice AP'!H:H)</f>
        <v>#N/A</v>
      </c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</row>
    <row r="811" spans="1:39" ht="21" x14ac:dyDescent="0.3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21" t="str">
        <f t="shared" si="15"/>
        <v>..</v>
      </c>
      <c r="O811" s="14" t="e">
        <f>LOOKUP(N811,'Matrice AP'!A:A,'Matrice AP'!H:H)</f>
        <v>#N/A</v>
      </c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</row>
    <row r="812" spans="1:39" ht="21" x14ac:dyDescent="0.3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21" t="str">
        <f t="shared" si="15"/>
        <v>..</v>
      </c>
      <c r="O812" s="14" t="e">
        <f>LOOKUP(N812,'Matrice AP'!A:A,'Matrice AP'!H:H)</f>
        <v>#N/A</v>
      </c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</row>
    <row r="813" spans="1:39" ht="21" x14ac:dyDescent="0.3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21" t="str">
        <f t="shared" si="15"/>
        <v>..</v>
      </c>
      <c r="O813" s="14" t="e">
        <f>LOOKUP(N813,'Matrice AP'!A:A,'Matrice AP'!H:H)</f>
        <v>#N/A</v>
      </c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</row>
    <row r="814" spans="1:39" ht="21" x14ac:dyDescent="0.3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21" t="str">
        <f t="shared" si="15"/>
        <v>..</v>
      </c>
      <c r="O814" s="14" t="e">
        <f>LOOKUP(N814,'Matrice AP'!A:A,'Matrice AP'!H:H)</f>
        <v>#N/A</v>
      </c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</row>
    <row r="815" spans="1:39" ht="21" x14ac:dyDescent="0.3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21" t="str">
        <f t="shared" si="15"/>
        <v>..</v>
      </c>
      <c r="O815" s="14" t="e">
        <f>LOOKUP(N815,'Matrice AP'!A:A,'Matrice AP'!H:H)</f>
        <v>#N/A</v>
      </c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</row>
    <row r="816" spans="1:39" ht="21" x14ac:dyDescent="0.3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21" t="str">
        <f t="shared" si="15"/>
        <v>..</v>
      </c>
      <c r="O816" s="14" t="e">
        <f>LOOKUP(N816,'Matrice AP'!A:A,'Matrice AP'!H:H)</f>
        <v>#N/A</v>
      </c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</row>
    <row r="817" spans="1:39" ht="21" x14ac:dyDescent="0.3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21" t="str">
        <f t="shared" si="15"/>
        <v>..</v>
      </c>
      <c r="O817" s="14" t="e">
        <f>LOOKUP(N817,'Matrice AP'!A:A,'Matrice AP'!H:H)</f>
        <v>#N/A</v>
      </c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</row>
    <row r="818" spans="1:39" ht="21" x14ac:dyDescent="0.3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21" t="str">
        <f t="shared" si="15"/>
        <v>..</v>
      </c>
      <c r="O818" s="14" t="e">
        <f>LOOKUP(N818,'Matrice AP'!A:A,'Matrice AP'!H:H)</f>
        <v>#N/A</v>
      </c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</row>
    <row r="819" spans="1:39" ht="21" x14ac:dyDescent="0.3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21" t="str">
        <f t="shared" si="15"/>
        <v>..</v>
      </c>
      <c r="O819" s="14" t="e">
        <f>LOOKUP(N819,'Matrice AP'!A:A,'Matrice AP'!H:H)</f>
        <v>#N/A</v>
      </c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</row>
    <row r="820" spans="1:39" ht="21" x14ac:dyDescent="0.3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21" t="str">
        <f t="shared" si="15"/>
        <v>..</v>
      </c>
      <c r="O820" s="14" t="e">
        <f>LOOKUP(N820,'Matrice AP'!A:A,'Matrice AP'!H:H)</f>
        <v>#N/A</v>
      </c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</row>
    <row r="821" spans="1:39" ht="21" x14ac:dyDescent="0.3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21" t="str">
        <f t="shared" si="15"/>
        <v>..</v>
      </c>
      <c r="O821" s="14" t="e">
        <f>LOOKUP(N821,'Matrice AP'!A:A,'Matrice AP'!H:H)</f>
        <v>#N/A</v>
      </c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</row>
    <row r="822" spans="1:39" ht="21" x14ac:dyDescent="0.3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21" t="str">
        <f t="shared" si="15"/>
        <v>..</v>
      </c>
      <c r="O822" s="14" t="e">
        <f>LOOKUP(N822,'Matrice AP'!A:A,'Matrice AP'!H:H)</f>
        <v>#N/A</v>
      </c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</row>
    <row r="823" spans="1:39" ht="21" x14ac:dyDescent="0.3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21" t="str">
        <f t="shared" si="15"/>
        <v>..</v>
      </c>
      <c r="O823" s="14" t="e">
        <f>LOOKUP(N823,'Matrice AP'!A:A,'Matrice AP'!H:H)</f>
        <v>#N/A</v>
      </c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</row>
    <row r="824" spans="1:39" ht="21" x14ac:dyDescent="0.3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21" t="str">
        <f t="shared" si="15"/>
        <v>..</v>
      </c>
      <c r="O824" s="14" t="e">
        <f>LOOKUP(N824,'Matrice AP'!A:A,'Matrice AP'!H:H)</f>
        <v>#N/A</v>
      </c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</row>
    <row r="825" spans="1:39" ht="21" x14ac:dyDescent="0.3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21" t="str">
        <f t="shared" si="15"/>
        <v>..</v>
      </c>
      <c r="O825" s="14" t="e">
        <f>LOOKUP(N825,'Matrice AP'!A:A,'Matrice AP'!H:H)</f>
        <v>#N/A</v>
      </c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</row>
    <row r="826" spans="1:39" ht="21" x14ac:dyDescent="0.3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21" t="str">
        <f t="shared" si="15"/>
        <v>..</v>
      </c>
      <c r="O826" s="14" t="e">
        <f>LOOKUP(N826,'Matrice AP'!A:A,'Matrice AP'!H:H)</f>
        <v>#N/A</v>
      </c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</row>
    <row r="827" spans="1:39" ht="21" x14ac:dyDescent="0.3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21" t="str">
        <f t="shared" si="15"/>
        <v>..</v>
      </c>
      <c r="O827" s="14" t="e">
        <f>LOOKUP(N827,'Matrice AP'!A:A,'Matrice AP'!H:H)</f>
        <v>#N/A</v>
      </c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</row>
    <row r="828" spans="1:39" ht="21" x14ac:dyDescent="0.3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21" t="str">
        <f t="shared" si="15"/>
        <v>..</v>
      </c>
      <c r="O828" s="14" t="e">
        <f>LOOKUP(N828,'Matrice AP'!A:A,'Matrice AP'!H:H)</f>
        <v>#N/A</v>
      </c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</row>
    <row r="829" spans="1:39" ht="21" x14ac:dyDescent="0.3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21" t="str">
        <f t="shared" si="15"/>
        <v>..</v>
      </c>
      <c r="O829" s="14" t="e">
        <f>LOOKUP(N829,'Matrice AP'!A:A,'Matrice AP'!H:H)</f>
        <v>#N/A</v>
      </c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</row>
    <row r="830" spans="1:39" ht="21" x14ac:dyDescent="0.3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21" t="str">
        <f t="shared" si="15"/>
        <v>..</v>
      </c>
      <c r="O830" s="14" t="e">
        <f>LOOKUP(N830,'Matrice AP'!A:A,'Matrice AP'!H:H)</f>
        <v>#N/A</v>
      </c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</row>
    <row r="831" spans="1:39" ht="21" x14ac:dyDescent="0.3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21" t="str">
        <f t="shared" si="15"/>
        <v>..</v>
      </c>
      <c r="O831" s="14" t="e">
        <f>LOOKUP(N831,'Matrice AP'!A:A,'Matrice AP'!H:H)</f>
        <v>#N/A</v>
      </c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</row>
    <row r="832" spans="1:39" ht="21" x14ac:dyDescent="0.3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21" t="str">
        <f t="shared" si="15"/>
        <v>..</v>
      </c>
      <c r="O832" s="14" t="e">
        <f>LOOKUP(N832,'Matrice AP'!A:A,'Matrice AP'!H:H)</f>
        <v>#N/A</v>
      </c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</row>
    <row r="833" spans="1:39" ht="21" x14ac:dyDescent="0.3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21" t="str">
        <f t="shared" si="15"/>
        <v>..</v>
      </c>
      <c r="O833" s="14" t="e">
        <f>LOOKUP(N833,'Matrice AP'!A:A,'Matrice AP'!H:H)</f>
        <v>#N/A</v>
      </c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</row>
    <row r="834" spans="1:39" ht="21" x14ac:dyDescent="0.3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21" t="str">
        <f t="shared" si="15"/>
        <v>..</v>
      </c>
      <c r="O834" s="14" t="e">
        <f>LOOKUP(N834,'Matrice AP'!A:A,'Matrice AP'!H:H)</f>
        <v>#N/A</v>
      </c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</row>
    <row r="835" spans="1:39" ht="21" x14ac:dyDescent="0.3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21" t="str">
        <f t="shared" si="15"/>
        <v>..</v>
      </c>
      <c r="O835" s="14" t="e">
        <f>LOOKUP(N835,'Matrice AP'!A:A,'Matrice AP'!H:H)</f>
        <v>#N/A</v>
      </c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</row>
    <row r="836" spans="1:39" ht="21" x14ac:dyDescent="0.3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21" t="str">
        <f t="shared" si="15"/>
        <v>..</v>
      </c>
      <c r="O836" s="14" t="e">
        <f>LOOKUP(N836,'Matrice AP'!A:A,'Matrice AP'!H:H)</f>
        <v>#N/A</v>
      </c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</row>
    <row r="837" spans="1:39" ht="21" x14ac:dyDescent="0.3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21" t="str">
        <f t="shared" ref="N837:N900" si="16">CONCATENATE(G837,".",K837,".",M837)</f>
        <v>..</v>
      </c>
      <c r="O837" s="14" t="e">
        <f>LOOKUP(N837,'Matrice AP'!A:A,'Matrice AP'!H:H)</f>
        <v>#N/A</v>
      </c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</row>
    <row r="838" spans="1:39" ht="21" x14ac:dyDescent="0.3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21" t="str">
        <f t="shared" si="16"/>
        <v>..</v>
      </c>
      <c r="O838" s="14" t="e">
        <f>LOOKUP(N838,'Matrice AP'!A:A,'Matrice AP'!H:H)</f>
        <v>#N/A</v>
      </c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</row>
    <row r="839" spans="1:39" ht="21" x14ac:dyDescent="0.3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21" t="str">
        <f t="shared" si="16"/>
        <v>..</v>
      </c>
      <c r="O839" s="14" t="e">
        <f>LOOKUP(N839,'Matrice AP'!A:A,'Matrice AP'!H:H)</f>
        <v>#N/A</v>
      </c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</row>
    <row r="840" spans="1:39" ht="21" x14ac:dyDescent="0.3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21" t="str">
        <f t="shared" si="16"/>
        <v>..</v>
      </c>
      <c r="O840" s="14" t="e">
        <f>LOOKUP(N840,'Matrice AP'!A:A,'Matrice AP'!H:H)</f>
        <v>#N/A</v>
      </c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</row>
    <row r="841" spans="1:39" ht="21" x14ac:dyDescent="0.3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21" t="str">
        <f t="shared" si="16"/>
        <v>..</v>
      </c>
      <c r="O841" s="14" t="e">
        <f>LOOKUP(N841,'Matrice AP'!A:A,'Matrice AP'!H:H)</f>
        <v>#N/A</v>
      </c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</row>
    <row r="842" spans="1:39" ht="21" x14ac:dyDescent="0.3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21" t="str">
        <f t="shared" si="16"/>
        <v>..</v>
      </c>
      <c r="O842" s="14" t="e">
        <f>LOOKUP(N842,'Matrice AP'!A:A,'Matrice AP'!H:H)</f>
        <v>#N/A</v>
      </c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</row>
    <row r="843" spans="1:39" ht="21" x14ac:dyDescent="0.3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21" t="str">
        <f t="shared" si="16"/>
        <v>..</v>
      </c>
      <c r="O843" s="14" t="e">
        <f>LOOKUP(N843,'Matrice AP'!A:A,'Matrice AP'!H:H)</f>
        <v>#N/A</v>
      </c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</row>
    <row r="844" spans="1:39" ht="21" x14ac:dyDescent="0.3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21" t="str">
        <f t="shared" si="16"/>
        <v>..</v>
      </c>
      <c r="O844" s="14" t="e">
        <f>LOOKUP(N844,'Matrice AP'!A:A,'Matrice AP'!H:H)</f>
        <v>#N/A</v>
      </c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</row>
    <row r="845" spans="1:39" ht="21" x14ac:dyDescent="0.3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21" t="str">
        <f t="shared" si="16"/>
        <v>..</v>
      </c>
      <c r="O845" s="14" t="e">
        <f>LOOKUP(N845,'Matrice AP'!A:A,'Matrice AP'!H:H)</f>
        <v>#N/A</v>
      </c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</row>
    <row r="846" spans="1:39" ht="21" x14ac:dyDescent="0.3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21" t="str">
        <f t="shared" si="16"/>
        <v>..</v>
      </c>
      <c r="O846" s="14" t="e">
        <f>LOOKUP(N846,'Matrice AP'!A:A,'Matrice AP'!H:H)</f>
        <v>#N/A</v>
      </c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</row>
    <row r="847" spans="1:39" ht="21" x14ac:dyDescent="0.3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21" t="str">
        <f t="shared" si="16"/>
        <v>..</v>
      </c>
      <c r="O847" s="14" t="e">
        <f>LOOKUP(N847,'Matrice AP'!A:A,'Matrice AP'!H:H)</f>
        <v>#N/A</v>
      </c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</row>
    <row r="848" spans="1:39" ht="21" x14ac:dyDescent="0.3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21" t="str">
        <f t="shared" si="16"/>
        <v>..</v>
      </c>
      <c r="O848" s="14" t="e">
        <f>LOOKUP(N848,'Matrice AP'!A:A,'Matrice AP'!H:H)</f>
        <v>#N/A</v>
      </c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</row>
    <row r="849" spans="1:39" ht="21" x14ac:dyDescent="0.3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21" t="str">
        <f t="shared" si="16"/>
        <v>..</v>
      </c>
      <c r="O849" s="14" t="e">
        <f>LOOKUP(N849,'Matrice AP'!A:A,'Matrice AP'!H:H)</f>
        <v>#N/A</v>
      </c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</row>
    <row r="850" spans="1:39" ht="21" x14ac:dyDescent="0.3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21" t="str">
        <f t="shared" si="16"/>
        <v>..</v>
      </c>
      <c r="O850" s="14" t="e">
        <f>LOOKUP(N850,'Matrice AP'!A:A,'Matrice AP'!H:H)</f>
        <v>#N/A</v>
      </c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</row>
    <row r="851" spans="1:39" ht="21" x14ac:dyDescent="0.3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21" t="str">
        <f t="shared" si="16"/>
        <v>..</v>
      </c>
      <c r="O851" s="14" t="e">
        <f>LOOKUP(N851,'Matrice AP'!A:A,'Matrice AP'!H:H)</f>
        <v>#N/A</v>
      </c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</row>
    <row r="852" spans="1:39" ht="21" x14ac:dyDescent="0.3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21" t="str">
        <f t="shared" si="16"/>
        <v>..</v>
      </c>
      <c r="O852" s="14" t="e">
        <f>LOOKUP(N852,'Matrice AP'!A:A,'Matrice AP'!H:H)</f>
        <v>#N/A</v>
      </c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</row>
    <row r="853" spans="1:39" ht="21" x14ac:dyDescent="0.3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21" t="str">
        <f t="shared" si="16"/>
        <v>..</v>
      </c>
      <c r="O853" s="14" t="e">
        <f>LOOKUP(N853,'Matrice AP'!A:A,'Matrice AP'!H:H)</f>
        <v>#N/A</v>
      </c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</row>
    <row r="854" spans="1:39" ht="21" x14ac:dyDescent="0.3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21" t="str">
        <f t="shared" si="16"/>
        <v>..</v>
      </c>
      <c r="O854" s="14" t="e">
        <f>LOOKUP(N854,'Matrice AP'!A:A,'Matrice AP'!H:H)</f>
        <v>#N/A</v>
      </c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</row>
    <row r="855" spans="1:39" ht="21" x14ac:dyDescent="0.3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21" t="str">
        <f t="shared" si="16"/>
        <v>..</v>
      </c>
      <c r="O855" s="14" t="e">
        <f>LOOKUP(N855,'Matrice AP'!A:A,'Matrice AP'!H:H)</f>
        <v>#N/A</v>
      </c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</row>
    <row r="856" spans="1:39" ht="21" x14ac:dyDescent="0.3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21" t="str">
        <f t="shared" si="16"/>
        <v>..</v>
      </c>
      <c r="O856" s="14" t="e">
        <f>LOOKUP(N856,'Matrice AP'!A:A,'Matrice AP'!H:H)</f>
        <v>#N/A</v>
      </c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</row>
    <row r="857" spans="1:39" ht="21" x14ac:dyDescent="0.3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21" t="str">
        <f t="shared" si="16"/>
        <v>..</v>
      </c>
      <c r="O857" s="14" t="e">
        <f>LOOKUP(N857,'Matrice AP'!A:A,'Matrice AP'!H:H)</f>
        <v>#N/A</v>
      </c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</row>
    <row r="858" spans="1:39" ht="21" x14ac:dyDescent="0.3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21" t="str">
        <f t="shared" si="16"/>
        <v>..</v>
      </c>
      <c r="O858" s="14" t="e">
        <f>LOOKUP(N858,'Matrice AP'!A:A,'Matrice AP'!H:H)</f>
        <v>#N/A</v>
      </c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</row>
    <row r="859" spans="1:39" ht="21" x14ac:dyDescent="0.3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21" t="str">
        <f t="shared" si="16"/>
        <v>..</v>
      </c>
      <c r="O859" s="14" t="e">
        <f>LOOKUP(N859,'Matrice AP'!A:A,'Matrice AP'!H:H)</f>
        <v>#N/A</v>
      </c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</row>
    <row r="860" spans="1:39" ht="21" x14ac:dyDescent="0.3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21" t="str">
        <f t="shared" si="16"/>
        <v>..</v>
      </c>
      <c r="O860" s="14" t="e">
        <f>LOOKUP(N860,'Matrice AP'!A:A,'Matrice AP'!H:H)</f>
        <v>#N/A</v>
      </c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</row>
    <row r="861" spans="1:39" ht="21" x14ac:dyDescent="0.3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21" t="str">
        <f t="shared" si="16"/>
        <v>..</v>
      </c>
      <c r="O861" s="14" t="e">
        <f>LOOKUP(N861,'Matrice AP'!A:A,'Matrice AP'!H:H)</f>
        <v>#N/A</v>
      </c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</row>
    <row r="862" spans="1:39" ht="21" x14ac:dyDescent="0.3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21" t="str">
        <f t="shared" si="16"/>
        <v>..</v>
      </c>
      <c r="O862" s="14" t="e">
        <f>LOOKUP(N862,'Matrice AP'!A:A,'Matrice AP'!H:H)</f>
        <v>#N/A</v>
      </c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</row>
    <row r="863" spans="1:39" ht="21" x14ac:dyDescent="0.3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21" t="str">
        <f t="shared" si="16"/>
        <v>..</v>
      </c>
      <c r="O863" s="14" t="e">
        <f>LOOKUP(N863,'Matrice AP'!A:A,'Matrice AP'!H:H)</f>
        <v>#N/A</v>
      </c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</row>
    <row r="864" spans="1:39" ht="21" x14ac:dyDescent="0.3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21" t="str">
        <f t="shared" si="16"/>
        <v>..</v>
      </c>
      <c r="O864" s="14" t="e">
        <f>LOOKUP(N864,'Matrice AP'!A:A,'Matrice AP'!H:H)</f>
        <v>#N/A</v>
      </c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</row>
    <row r="865" spans="1:39" ht="21" x14ac:dyDescent="0.3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21" t="str">
        <f t="shared" si="16"/>
        <v>..</v>
      </c>
      <c r="O865" s="14" t="e">
        <f>LOOKUP(N865,'Matrice AP'!A:A,'Matrice AP'!H:H)</f>
        <v>#N/A</v>
      </c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</row>
    <row r="866" spans="1:39" ht="21" x14ac:dyDescent="0.3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21" t="str">
        <f t="shared" si="16"/>
        <v>..</v>
      </c>
      <c r="O866" s="14" t="e">
        <f>LOOKUP(N866,'Matrice AP'!A:A,'Matrice AP'!H:H)</f>
        <v>#N/A</v>
      </c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</row>
    <row r="867" spans="1:39" ht="21" x14ac:dyDescent="0.3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21" t="str">
        <f t="shared" si="16"/>
        <v>..</v>
      </c>
      <c r="O867" s="14" t="e">
        <f>LOOKUP(N867,'Matrice AP'!A:A,'Matrice AP'!H:H)</f>
        <v>#N/A</v>
      </c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</row>
    <row r="868" spans="1:39" ht="21" x14ac:dyDescent="0.3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21" t="str">
        <f t="shared" si="16"/>
        <v>..</v>
      </c>
      <c r="O868" s="14" t="e">
        <f>LOOKUP(N868,'Matrice AP'!A:A,'Matrice AP'!H:H)</f>
        <v>#N/A</v>
      </c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</row>
    <row r="869" spans="1:39" ht="21" x14ac:dyDescent="0.3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21" t="str">
        <f t="shared" si="16"/>
        <v>..</v>
      </c>
      <c r="O869" s="14" t="e">
        <f>LOOKUP(N869,'Matrice AP'!A:A,'Matrice AP'!H:H)</f>
        <v>#N/A</v>
      </c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</row>
    <row r="870" spans="1:39" ht="21" x14ac:dyDescent="0.3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21" t="str">
        <f t="shared" si="16"/>
        <v>..</v>
      </c>
      <c r="O870" s="14" t="e">
        <f>LOOKUP(N870,'Matrice AP'!A:A,'Matrice AP'!H:H)</f>
        <v>#N/A</v>
      </c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</row>
    <row r="871" spans="1:39" ht="21" x14ac:dyDescent="0.3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21" t="str">
        <f t="shared" si="16"/>
        <v>..</v>
      </c>
      <c r="O871" s="14" t="e">
        <f>LOOKUP(N871,'Matrice AP'!A:A,'Matrice AP'!H:H)</f>
        <v>#N/A</v>
      </c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</row>
    <row r="872" spans="1:39" ht="21" x14ac:dyDescent="0.3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21" t="str">
        <f t="shared" si="16"/>
        <v>..</v>
      </c>
      <c r="O872" s="14" t="e">
        <f>LOOKUP(N872,'Matrice AP'!A:A,'Matrice AP'!H:H)</f>
        <v>#N/A</v>
      </c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</row>
    <row r="873" spans="1:39" ht="21" x14ac:dyDescent="0.3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21" t="str">
        <f t="shared" si="16"/>
        <v>..</v>
      </c>
      <c r="O873" s="14" t="e">
        <f>LOOKUP(N873,'Matrice AP'!A:A,'Matrice AP'!H:H)</f>
        <v>#N/A</v>
      </c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</row>
    <row r="874" spans="1:39" ht="21" x14ac:dyDescent="0.3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21" t="str">
        <f t="shared" si="16"/>
        <v>..</v>
      </c>
      <c r="O874" s="14" t="e">
        <f>LOOKUP(N874,'Matrice AP'!A:A,'Matrice AP'!H:H)</f>
        <v>#N/A</v>
      </c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</row>
    <row r="875" spans="1:39" ht="21" x14ac:dyDescent="0.3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21" t="str">
        <f t="shared" si="16"/>
        <v>..</v>
      </c>
      <c r="O875" s="14" t="e">
        <f>LOOKUP(N875,'Matrice AP'!A:A,'Matrice AP'!H:H)</f>
        <v>#N/A</v>
      </c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</row>
    <row r="876" spans="1:39" ht="21" x14ac:dyDescent="0.3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21" t="str">
        <f t="shared" si="16"/>
        <v>..</v>
      </c>
      <c r="O876" s="14" t="e">
        <f>LOOKUP(N876,'Matrice AP'!A:A,'Matrice AP'!H:H)</f>
        <v>#N/A</v>
      </c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</row>
    <row r="877" spans="1:39" ht="21" x14ac:dyDescent="0.3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21" t="str">
        <f t="shared" si="16"/>
        <v>..</v>
      </c>
      <c r="O877" s="14" t="e">
        <f>LOOKUP(N877,'Matrice AP'!A:A,'Matrice AP'!H:H)</f>
        <v>#N/A</v>
      </c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</row>
    <row r="878" spans="1:39" ht="21" x14ac:dyDescent="0.3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21" t="str">
        <f t="shared" si="16"/>
        <v>..</v>
      </c>
      <c r="O878" s="14" t="e">
        <f>LOOKUP(N878,'Matrice AP'!A:A,'Matrice AP'!H:H)</f>
        <v>#N/A</v>
      </c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</row>
    <row r="879" spans="1:39" ht="21" x14ac:dyDescent="0.3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21" t="str">
        <f t="shared" si="16"/>
        <v>..</v>
      </c>
      <c r="O879" s="14" t="e">
        <f>LOOKUP(N879,'Matrice AP'!A:A,'Matrice AP'!H:H)</f>
        <v>#N/A</v>
      </c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</row>
    <row r="880" spans="1:39" ht="21" x14ac:dyDescent="0.3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21" t="str">
        <f t="shared" si="16"/>
        <v>..</v>
      </c>
      <c r="O880" s="14" t="e">
        <f>LOOKUP(N880,'Matrice AP'!A:A,'Matrice AP'!H:H)</f>
        <v>#N/A</v>
      </c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</row>
    <row r="881" spans="1:39" ht="21" x14ac:dyDescent="0.3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21" t="str">
        <f t="shared" si="16"/>
        <v>..</v>
      </c>
      <c r="O881" s="14" t="e">
        <f>LOOKUP(N881,'Matrice AP'!A:A,'Matrice AP'!H:H)</f>
        <v>#N/A</v>
      </c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</row>
    <row r="882" spans="1:39" ht="21" x14ac:dyDescent="0.3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21" t="str">
        <f t="shared" si="16"/>
        <v>..</v>
      </c>
      <c r="O882" s="14" t="e">
        <f>LOOKUP(N882,'Matrice AP'!A:A,'Matrice AP'!H:H)</f>
        <v>#N/A</v>
      </c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</row>
    <row r="883" spans="1:39" ht="21" x14ac:dyDescent="0.3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21" t="str">
        <f t="shared" si="16"/>
        <v>..</v>
      </c>
      <c r="O883" s="14" t="e">
        <f>LOOKUP(N883,'Matrice AP'!A:A,'Matrice AP'!H:H)</f>
        <v>#N/A</v>
      </c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</row>
    <row r="884" spans="1:39" ht="21" x14ac:dyDescent="0.3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21" t="str">
        <f t="shared" si="16"/>
        <v>..</v>
      </c>
      <c r="O884" s="14" t="e">
        <f>LOOKUP(N884,'Matrice AP'!A:A,'Matrice AP'!H:H)</f>
        <v>#N/A</v>
      </c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</row>
    <row r="885" spans="1:39" ht="21" x14ac:dyDescent="0.3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21" t="str">
        <f t="shared" si="16"/>
        <v>..</v>
      </c>
      <c r="O885" s="14" t="e">
        <f>LOOKUP(N885,'Matrice AP'!A:A,'Matrice AP'!H:H)</f>
        <v>#N/A</v>
      </c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</row>
    <row r="886" spans="1:39" ht="21" x14ac:dyDescent="0.3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21" t="str">
        <f t="shared" si="16"/>
        <v>..</v>
      </c>
      <c r="O886" s="14" t="e">
        <f>LOOKUP(N886,'Matrice AP'!A:A,'Matrice AP'!H:H)</f>
        <v>#N/A</v>
      </c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</row>
    <row r="887" spans="1:39" ht="21" x14ac:dyDescent="0.3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21" t="str">
        <f t="shared" si="16"/>
        <v>..</v>
      </c>
      <c r="O887" s="14" t="e">
        <f>LOOKUP(N887,'Matrice AP'!A:A,'Matrice AP'!H:H)</f>
        <v>#N/A</v>
      </c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</row>
    <row r="888" spans="1:39" ht="21" x14ac:dyDescent="0.3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21" t="str">
        <f t="shared" si="16"/>
        <v>..</v>
      </c>
      <c r="O888" s="14" t="e">
        <f>LOOKUP(N888,'Matrice AP'!A:A,'Matrice AP'!H:H)</f>
        <v>#N/A</v>
      </c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</row>
    <row r="889" spans="1:39" ht="21" x14ac:dyDescent="0.3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21" t="str">
        <f t="shared" si="16"/>
        <v>..</v>
      </c>
      <c r="O889" s="14" t="e">
        <f>LOOKUP(N889,'Matrice AP'!A:A,'Matrice AP'!H:H)</f>
        <v>#N/A</v>
      </c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</row>
    <row r="890" spans="1:39" ht="21" x14ac:dyDescent="0.3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21" t="str">
        <f t="shared" si="16"/>
        <v>..</v>
      </c>
      <c r="O890" s="14" t="e">
        <f>LOOKUP(N890,'Matrice AP'!A:A,'Matrice AP'!H:H)</f>
        <v>#N/A</v>
      </c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</row>
    <row r="891" spans="1:39" ht="21" x14ac:dyDescent="0.3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21" t="str">
        <f t="shared" si="16"/>
        <v>..</v>
      </c>
      <c r="O891" s="14" t="e">
        <f>LOOKUP(N891,'Matrice AP'!A:A,'Matrice AP'!H:H)</f>
        <v>#N/A</v>
      </c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</row>
    <row r="892" spans="1:39" ht="21" x14ac:dyDescent="0.3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21" t="str">
        <f t="shared" si="16"/>
        <v>..</v>
      </c>
      <c r="O892" s="14" t="e">
        <f>LOOKUP(N892,'Matrice AP'!A:A,'Matrice AP'!H:H)</f>
        <v>#N/A</v>
      </c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</row>
    <row r="893" spans="1:39" ht="21" x14ac:dyDescent="0.3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21" t="str">
        <f t="shared" si="16"/>
        <v>..</v>
      </c>
      <c r="O893" s="14" t="e">
        <f>LOOKUP(N893,'Matrice AP'!A:A,'Matrice AP'!H:H)</f>
        <v>#N/A</v>
      </c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</row>
    <row r="894" spans="1:39" ht="21" x14ac:dyDescent="0.3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21" t="str">
        <f t="shared" si="16"/>
        <v>..</v>
      </c>
      <c r="O894" s="14" t="e">
        <f>LOOKUP(N894,'Matrice AP'!A:A,'Matrice AP'!H:H)</f>
        <v>#N/A</v>
      </c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</row>
    <row r="895" spans="1:39" ht="21" x14ac:dyDescent="0.3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21" t="str">
        <f t="shared" si="16"/>
        <v>..</v>
      </c>
      <c r="O895" s="14" t="e">
        <f>LOOKUP(N895,'Matrice AP'!A:A,'Matrice AP'!H:H)</f>
        <v>#N/A</v>
      </c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</row>
    <row r="896" spans="1:39" ht="21" x14ac:dyDescent="0.3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21" t="str">
        <f t="shared" si="16"/>
        <v>..</v>
      </c>
      <c r="O896" s="14" t="e">
        <f>LOOKUP(N896,'Matrice AP'!A:A,'Matrice AP'!H:H)</f>
        <v>#N/A</v>
      </c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</row>
    <row r="897" spans="1:39" ht="21" x14ac:dyDescent="0.3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21" t="str">
        <f t="shared" si="16"/>
        <v>..</v>
      </c>
      <c r="O897" s="14" t="e">
        <f>LOOKUP(N897,'Matrice AP'!A:A,'Matrice AP'!H:H)</f>
        <v>#N/A</v>
      </c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</row>
    <row r="898" spans="1:39" ht="21" x14ac:dyDescent="0.3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21" t="str">
        <f t="shared" si="16"/>
        <v>..</v>
      </c>
      <c r="O898" s="14" t="e">
        <f>LOOKUP(N898,'Matrice AP'!A:A,'Matrice AP'!H:H)</f>
        <v>#N/A</v>
      </c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</row>
    <row r="899" spans="1:39" ht="21" x14ac:dyDescent="0.3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21" t="str">
        <f t="shared" si="16"/>
        <v>..</v>
      </c>
      <c r="O899" s="14" t="e">
        <f>LOOKUP(N899,'Matrice AP'!A:A,'Matrice AP'!H:H)</f>
        <v>#N/A</v>
      </c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</row>
    <row r="900" spans="1:39" ht="21" x14ac:dyDescent="0.3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21" t="str">
        <f t="shared" si="16"/>
        <v>..</v>
      </c>
      <c r="O900" s="14" t="e">
        <f>LOOKUP(N900,'Matrice AP'!A:A,'Matrice AP'!H:H)</f>
        <v>#N/A</v>
      </c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</row>
    <row r="901" spans="1:39" ht="21" x14ac:dyDescent="0.3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21" t="str">
        <f t="shared" ref="N901:N964" si="17">CONCATENATE(G901,".",K901,".",M901)</f>
        <v>..</v>
      </c>
      <c r="O901" s="14" t="e">
        <f>LOOKUP(N901,'Matrice AP'!A:A,'Matrice AP'!H:H)</f>
        <v>#N/A</v>
      </c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</row>
    <row r="902" spans="1:39" ht="21" x14ac:dyDescent="0.3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21" t="str">
        <f t="shared" si="17"/>
        <v>..</v>
      </c>
      <c r="O902" s="14" t="e">
        <f>LOOKUP(N902,'Matrice AP'!A:A,'Matrice AP'!H:H)</f>
        <v>#N/A</v>
      </c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</row>
    <row r="903" spans="1:39" ht="21" x14ac:dyDescent="0.3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21" t="str">
        <f t="shared" si="17"/>
        <v>..</v>
      </c>
      <c r="O903" s="14" t="e">
        <f>LOOKUP(N903,'Matrice AP'!A:A,'Matrice AP'!H:H)</f>
        <v>#N/A</v>
      </c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</row>
    <row r="904" spans="1:39" ht="21" x14ac:dyDescent="0.3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21" t="str">
        <f t="shared" si="17"/>
        <v>..</v>
      </c>
      <c r="O904" s="14" t="e">
        <f>LOOKUP(N904,'Matrice AP'!A:A,'Matrice AP'!H:H)</f>
        <v>#N/A</v>
      </c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</row>
    <row r="905" spans="1:39" ht="21" x14ac:dyDescent="0.3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21" t="str">
        <f t="shared" si="17"/>
        <v>..</v>
      </c>
      <c r="O905" s="14" t="e">
        <f>LOOKUP(N905,'Matrice AP'!A:A,'Matrice AP'!H:H)</f>
        <v>#N/A</v>
      </c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</row>
    <row r="906" spans="1:39" ht="21" x14ac:dyDescent="0.3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21" t="str">
        <f t="shared" si="17"/>
        <v>..</v>
      </c>
      <c r="O906" s="14" t="e">
        <f>LOOKUP(N906,'Matrice AP'!A:A,'Matrice AP'!H:H)</f>
        <v>#N/A</v>
      </c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</row>
    <row r="907" spans="1:39" ht="21" x14ac:dyDescent="0.3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21" t="str">
        <f t="shared" si="17"/>
        <v>..</v>
      </c>
      <c r="O907" s="14" t="e">
        <f>LOOKUP(N907,'Matrice AP'!A:A,'Matrice AP'!H:H)</f>
        <v>#N/A</v>
      </c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</row>
    <row r="908" spans="1:39" ht="21" x14ac:dyDescent="0.3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21" t="str">
        <f t="shared" si="17"/>
        <v>..</v>
      </c>
      <c r="O908" s="14" t="e">
        <f>LOOKUP(N908,'Matrice AP'!A:A,'Matrice AP'!H:H)</f>
        <v>#N/A</v>
      </c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</row>
    <row r="909" spans="1:39" ht="21" x14ac:dyDescent="0.3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21" t="str">
        <f t="shared" si="17"/>
        <v>..</v>
      </c>
      <c r="O909" s="14" t="e">
        <f>LOOKUP(N909,'Matrice AP'!A:A,'Matrice AP'!H:H)</f>
        <v>#N/A</v>
      </c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</row>
    <row r="910" spans="1:39" ht="21" x14ac:dyDescent="0.3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21" t="str">
        <f>CONCATENATE(G90,".",K90,".",M90)</f>
        <v>..</v>
      </c>
      <c r="O910" s="14" t="e">
        <f>LOOKUP(N90,'Matrice AP'!A:A,'Matrice AP'!H:H)</f>
        <v>#N/A</v>
      </c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</row>
    <row r="911" spans="1:39" ht="21" x14ac:dyDescent="0.3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21" t="str">
        <f t="shared" si="17"/>
        <v>..</v>
      </c>
      <c r="O911" s="14" t="e">
        <f>LOOKUP(N911,'Matrice AP'!A:A,'Matrice AP'!H:H)</f>
        <v>#N/A</v>
      </c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</row>
    <row r="912" spans="1:39" ht="21" x14ac:dyDescent="0.3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21" t="str">
        <f t="shared" si="17"/>
        <v>..</v>
      </c>
      <c r="O912" s="14" t="e">
        <f>LOOKUP(N912,'Matrice AP'!A:A,'Matrice AP'!H:H)</f>
        <v>#N/A</v>
      </c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</row>
    <row r="913" spans="1:39" ht="21" x14ac:dyDescent="0.3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21" t="str">
        <f t="shared" si="17"/>
        <v>..</v>
      </c>
      <c r="O913" s="14" t="e">
        <f>LOOKUP(N913,'Matrice AP'!A:A,'Matrice AP'!H:H)</f>
        <v>#N/A</v>
      </c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</row>
    <row r="914" spans="1:39" ht="21" x14ac:dyDescent="0.3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21" t="str">
        <f t="shared" si="17"/>
        <v>..</v>
      </c>
      <c r="O914" s="14" t="e">
        <f>LOOKUP(N914,'Matrice AP'!A:A,'Matrice AP'!H:H)</f>
        <v>#N/A</v>
      </c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</row>
    <row r="915" spans="1:39" ht="21" x14ac:dyDescent="0.3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21" t="str">
        <f t="shared" si="17"/>
        <v>..</v>
      </c>
      <c r="O915" s="14" t="e">
        <f>LOOKUP(N915,'Matrice AP'!A:A,'Matrice AP'!H:H)</f>
        <v>#N/A</v>
      </c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</row>
    <row r="916" spans="1:39" ht="21" x14ac:dyDescent="0.3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21" t="str">
        <f t="shared" si="17"/>
        <v>..</v>
      </c>
      <c r="O916" s="14" t="e">
        <f>LOOKUP(N916,'Matrice AP'!A:A,'Matrice AP'!H:H)</f>
        <v>#N/A</v>
      </c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</row>
    <row r="917" spans="1:39" ht="21" x14ac:dyDescent="0.3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21" t="str">
        <f t="shared" si="17"/>
        <v>..</v>
      </c>
      <c r="O917" s="14" t="e">
        <f>LOOKUP(N917,'Matrice AP'!A:A,'Matrice AP'!H:H)</f>
        <v>#N/A</v>
      </c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</row>
    <row r="918" spans="1:39" ht="21" x14ac:dyDescent="0.3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21" t="str">
        <f t="shared" si="17"/>
        <v>..</v>
      </c>
      <c r="O918" s="14" t="e">
        <f>LOOKUP(N918,'Matrice AP'!A:A,'Matrice AP'!H:H)</f>
        <v>#N/A</v>
      </c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</row>
    <row r="919" spans="1:39" ht="21" x14ac:dyDescent="0.3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21" t="str">
        <f t="shared" si="17"/>
        <v>..</v>
      </c>
      <c r="O919" s="14" t="e">
        <f>LOOKUP(N919,'Matrice AP'!A:A,'Matrice AP'!H:H)</f>
        <v>#N/A</v>
      </c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</row>
    <row r="920" spans="1:39" ht="21" x14ac:dyDescent="0.3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21" t="str">
        <f t="shared" si="17"/>
        <v>..</v>
      </c>
      <c r="O920" s="14" t="e">
        <f>LOOKUP(N920,'Matrice AP'!A:A,'Matrice AP'!H:H)</f>
        <v>#N/A</v>
      </c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</row>
    <row r="921" spans="1:39" ht="21" x14ac:dyDescent="0.3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21" t="str">
        <f t="shared" si="17"/>
        <v>..</v>
      </c>
      <c r="O921" s="14" t="e">
        <f>LOOKUP(N921,'Matrice AP'!A:A,'Matrice AP'!H:H)</f>
        <v>#N/A</v>
      </c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</row>
    <row r="922" spans="1:39" ht="21" x14ac:dyDescent="0.3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21" t="str">
        <f t="shared" si="17"/>
        <v>..</v>
      </c>
      <c r="O922" s="14" t="e">
        <f>LOOKUP(N922,'Matrice AP'!A:A,'Matrice AP'!H:H)</f>
        <v>#N/A</v>
      </c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</row>
    <row r="923" spans="1:39" ht="21" x14ac:dyDescent="0.3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21" t="str">
        <f t="shared" si="17"/>
        <v>..</v>
      </c>
      <c r="O923" s="14" t="e">
        <f>LOOKUP(N923,'Matrice AP'!A:A,'Matrice AP'!H:H)</f>
        <v>#N/A</v>
      </c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</row>
    <row r="924" spans="1:39" ht="21" x14ac:dyDescent="0.3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21" t="str">
        <f t="shared" si="17"/>
        <v>..</v>
      </c>
      <c r="O924" s="14" t="e">
        <f>LOOKUP(N924,'Matrice AP'!A:A,'Matrice AP'!H:H)</f>
        <v>#N/A</v>
      </c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</row>
    <row r="925" spans="1:39" ht="21" x14ac:dyDescent="0.3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21" t="str">
        <f t="shared" si="17"/>
        <v>..</v>
      </c>
      <c r="O925" s="14" t="e">
        <f>LOOKUP(N925,'Matrice AP'!A:A,'Matrice AP'!H:H)</f>
        <v>#N/A</v>
      </c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</row>
    <row r="926" spans="1:39" ht="21" x14ac:dyDescent="0.3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21" t="str">
        <f t="shared" si="17"/>
        <v>..</v>
      </c>
      <c r="O926" s="14" t="e">
        <f>LOOKUP(N926,'Matrice AP'!A:A,'Matrice AP'!H:H)</f>
        <v>#N/A</v>
      </c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</row>
    <row r="927" spans="1:39" ht="21" x14ac:dyDescent="0.3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21" t="str">
        <f t="shared" si="17"/>
        <v>..</v>
      </c>
      <c r="O927" s="14" t="e">
        <f>LOOKUP(N927,'Matrice AP'!A:A,'Matrice AP'!H:H)</f>
        <v>#N/A</v>
      </c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</row>
    <row r="928" spans="1:39" ht="21" x14ac:dyDescent="0.3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21" t="str">
        <f t="shared" si="17"/>
        <v>..</v>
      </c>
      <c r="O928" s="14" t="e">
        <f>LOOKUP(N928,'Matrice AP'!A:A,'Matrice AP'!H:H)</f>
        <v>#N/A</v>
      </c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</row>
    <row r="929" spans="1:39" ht="21" x14ac:dyDescent="0.3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21" t="str">
        <f t="shared" si="17"/>
        <v>..</v>
      </c>
      <c r="O929" s="14" t="e">
        <f>LOOKUP(N929,'Matrice AP'!A:A,'Matrice AP'!H:H)</f>
        <v>#N/A</v>
      </c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</row>
    <row r="930" spans="1:39" ht="21" x14ac:dyDescent="0.3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21" t="str">
        <f t="shared" si="17"/>
        <v>..</v>
      </c>
      <c r="O930" s="14" t="e">
        <f>LOOKUP(N930,'Matrice AP'!A:A,'Matrice AP'!H:H)</f>
        <v>#N/A</v>
      </c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</row>
    <row r="931" spans="1:39" ht="21" x14ac:dyDescent="0.3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21" t="str">
        <f t="shared" si="17"/>
        <v>..</v>
      </c>
      <c r="O931" s="14" t="e">
        <f>LOOKUP(N931,'Matrice AP'!A:A,'Matrice AP'!H:H)</f>
        <v>#N/A</v>
      </c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</row>
    <row r="932" spans="1:39" ht="21" x14ac:dyDescent="0.3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21" t="str">
        <f t="shared" si="17"/>
        <v>..</v>
      </c>
      <c r="O932" s="14" t="e">
        <f>LOOKUP(N932,'Matrice AP'!A:A,'Matrice AP'!H:H)</f>
        <v>#N/A</v>
      </c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</row>
    <row r="933" spans="1:39" ht="21" x14ac:dyDescent="0.3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21" t="str">
        <f t="shared" si="17"/>
        <v>..</v>
      </c>
      <c r="O933" s="14" t="e">
        <f>LOOKUP(N933,'Matrice AP'!A:A,'Matrice AP'!H:H)</f>
        <v>#N/A</v>
      </c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</row>
    <row r="934" spans="1:39" ht="21" x14ac:dyDescent="0.3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21" t="str">
        <f t="shared" si="17"/>
        <v>..</v>
      </c>
      <c r="O934" s="14" t="e">
        <f>LOOKUP(N934,'Matrice AP'!A:A,'Matrice AP'!H:H)</f>
        <v>#N/A</v>
      </c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</row>
    <row r="935" spans="1:39" ht="21" x14ac:dyDescent="0.3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21" t="str">
        <f t="shared" si="17"/>
        <v>..</v>
      </c>
      <c r="O935" s="14" t="e">
        <f>LOOKUP(N935,'Matrice AP'!A:A,'Matrice AP'!H:H)</f>
        <v>#N/A</v>
      </c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</row>
    <row r="936" spans="1:39" ht="21" x14ac:dyDescent="0.3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21" t="str">
        <f t="shared" si="17"/>
        <v>..</v>
      </c>
      <c r="O936" s="14" t="e">
        <f>LOOKUP(N936,'Matrice AP'!A:A,'Matrice AP'!H:H)</f>
        <v>#N/A</v>
      </c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</row>
    <row r="937" spans="1:39" ht="21" x14ac:dyDescent="0.3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21" t="str">
        <f t="shared" si="17"/>
        <v>..</v>
      </c>
      <c r="O937" s="14" t="e">
        <f>LOOKUP(N937,'Matrice AP'!A:A,'Matrice AP'!H:H)</f>
        <v>#N/A</v>
      </c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</row>
    <row r="938" spans="1:39" ht="21" x14ac:dyDescent="0.3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21" t="str">
        <f t="shared" si="17"/>
        <v>..</v>
      </c>
      <c r="O938" s="14" t="e">
        <f>LOOKUP(N938,'Matrice AP'!A:A,'Matrice AP'!H:H)</f>
        <v>#N/A</v>
      </c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</row>
    <row r="939" spans="1:39" ht="21" x14ac:dyDescent="0.3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21" t="str">
        <f t="shared" si="17"/>
        <v>..</v>
      </c>
      <c r="O939" s="14" t="e">
        <f>LOOKUP(N939,'Matrice AP'!A:A,'Matrice AP'!H:H)</f>
        <v>#N/A</v>
      </c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</row>
    <row r="940" spans="1:39" ht="21" x14ac:dyDescent="0.3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21" t="str">
        <f t="shared" si="17"/>
        <v>..</v>
      </c>
      <c r="O940" s="14" t="e">
        <f>LOOKUP(N940,'Matrice AP'!A:A,'Matrice AP'!H:H)</f>
        <v>#N/A</v>
      </c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</row>
    <row r="941" spans="1:39" ht="21" x14ac:dyDescent="0.3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21" t="str">
        <f t="shared" si="17"/>
        <v>..</v>
      </c>
      <c r="O941" s="14" t="e">
        <f>LOOKUP(N941,'Matrice AP'!A:A,'Matrice AP'!H:H)</f>
        <v>#N/A</v>
      </c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</row>
    <row r="942" spans="1:39" ht="21" x14ac:dyDescent="0.3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21" t="str">
        <f t="shared" si="17"/>
        <v>..</v>
      </c>
      <c r="O942" s="14" t="e">
        <f>LOOKUP(N942,'Matrice AP'!A:A,'Matrice AP'!H:H)</f>
        <v>#N/A</v>
      </c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</row>
    <row r="943" spans="1:39" ht="21" x14ac:dyDescent="0.3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21" t="str">
        <f t="shared" si="17"/>
        <v>..</v>
      </c>
      <c r="O943" s="14" t="e">
        <f>LOOKUP(N943,'Matrice AP'!A:A,'Matrice AP'!H:H)</f>
        <v>#N/A</v>
      </c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</row>
    <row r="944" spans="1:39" ht="21" x14ac:dyDescent="0.3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21" t="str">
        <f t="shared" si="17"/>
        <v>..</v>
      </c>
      <c r="O944" s="14" t="e">
        <f>LOOKUP(N944,'Matrice AP'!A:A,'Matrice AP'!H:H)</f>
        <v>#N/A</v>
      </c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</row>
    <row r="945" spans="1:39" ht="21" x14ac:dyDescent="0.3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21" t="str">
        <f t="shared" si="17"/>
        <v>..</v>
      </c>
      <c r="O945" s="14" t="e">
        <f>LOOKUP(N945,'Matrice AP'!A:A,'Matrice AP'!H:H)</f>
        <v>#N/A</v>
      </c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</row>
    <row r="946" spans="1:39" ht="21" x14ac:dyDescent="0.3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21" t="str">
        <f t="shared" si="17"/>
        <v>..</v>
      </c>
      <c r="O946" s="14" t="e">
        <f>LOOKUP(N946,'Matrice AP'!A:A,'Matrice AP'!H:H)</f>
        <v>#N/A</v>
      </c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</row>
    <row r="947" spans="1:39" ht="21" x14ac:dyDescent="0.3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21" t="str">
        <f t="shared" si="17"/>
        <v>..</v>
      </c>
      <c r="O947" s="14" t="e">
        <f>LOOKUP(N947,'Matrice AP'!A:A,'Matrice AP'!H:H)</f>
        <v>#N/A</v>
      </c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</row>
    <row r="948" spans="1:39" ht="21" x14ac:dyDescent="0.3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21" t="str">
        <f t="shared" si="17"/>
        <v>..</v>
      </c>
      <c r="O948" s="14" t="e">
        <f>LOOKUP(N948,'Matrice AP'!A:A,'Matrice AP'!H:H)</f>
        <v>#N/A</v>
      </c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</row>
    <row r="949" spans="1:39" ht="21" x14ac:dyDescent="0.3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21" t="str">
        <f t="shared" si="17"/>
        <v>..</v>
      </c>
      <c r="O949" s="14" t="e">
        <f>LOOKUP(N949,'Matrice AP'!A:A,'Matrice AP'!H:H)</f>
        <v>#N/A</v>
      </c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</row>
    <row r="950" spans="1:39" ht="21" x14ac:dyDescent="0.3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21" t="str">
        <f t="shared" si="17"/>
        <v>..</v>
      </c>
      <c r="O950" s="14" t="e">
        <f>LOOKUP(N950,'Matrice AP'!A:A,'Matrice AP'!H:H)</f>
        <v>#N/A</v>
      </c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</row>
    <row r="951" spans="1:39" ht="21" x14ac:dyDescent="0.3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21" t="str">
        <f t="shared" si="17"/>
        <v>..</v>
      </c>
      <c r="O951" s="14" t="e">
        <f>LOOKUP(N951,'Matrice AP'!A:A,'Matrice AP'!H:H)</f>
        <v>#N/A</v>
      </c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</row>
    <row r="952" spans="1:39" ht="21" x14ac:dyDescent="0.3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21" t="str">
        <f t="shared" si="17"/>
        <v>..</v>
      </c>
      <c r="O952" s="14" t="e">
        <f>LOOKUP(N952,'Matrice AP'!A:A,'Matrice AP'!H:H)</f>
        <v>#N/A</v>
      </c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</row>
    <row r="953" spans="1:39" ht="21" x14ac:dyDescent="0.3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21" t="str">
        <f t="shared" si="17"/>
        <v>..</v>
      </c>
      <c r="O953" s="14" t="e">
        <f>LOOKUP(N953,'Matrice AP'!A:A,'Matrice AP'!H:H)</f>
        <v>#N/A</v>
      </c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</row>
    <row r="954" spans="1:39" ht="21" x14ac:dyDescent="0.3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21" t="str">
        <f t="shared" si="17"/>
        <v>..</v>
      </c>
      <c r="O954" s="14" t="e">
        <f>LOOKUP(N954,'Matrice AP'!A:A,'Matrice AP'!H:H)</f>
        <v>#N/A</v>
      </c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</row>
    <row r="955" spans="1:39" ht="21" x14ac:dyDescent="0.3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21" t="str">
        <f t="shared" si="17"/>
        <v>..</v>
      </c>
      <c r="O955" s="14" t="e">
        <f>LOOKUP(N955,'Matrice AP'!A:A,'Matrice AP'!H:H)</f>
        <v>#N/A</v>
      </c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</row>
    <row r="956" spans="1:39" ht="21" x14ac:dyDescent="0.3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21" t="str">
        <f t="shared" si="17"/>
        <v>..</v>
      </c>
      <c r="O956" s="14" t="e">
        <f>LOOKUP(N956,'Matrice AP'!A:A,'Matrice AP'!H:H)</f>
        <v>#N/A</v>
      </c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</row>
    <row r="957" spans="1:39" ht="21" x14ac:dyDescent="0.3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21" t="str">
        <f t="shared" si="17"/>
        <v>..</v>
      </c>
      <c r="O957" s="14" t="e">
        <f>LOOKUP(N957,'Matrice AP'!A:A,'Matrice AP'!H:H)</f>
        <v>#N/A</v>
      </c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</row>
    <row r="958" spans="1:39" ht="21" x14ac:dyDescent="0.3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21" t="str">
        <f t="shared" si="17"/>
        <v>..</v>
      </c>
      <c r="O958" s="14" t="e">
        <f>LOOKUP(N958,'Matrice AP'!A:A,'Matrice AP'!H:H)</f>
        <v>#N/A</v>
      </c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</row>
    <row r="959" spans="1:39" ht="21" x14ac:dyDescent="0.3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21" t="str">
        <f t="shared" si="17"/>
        <v>..</v>
      </c>
      <c r="O959" s="14" t="e">
        <f>LOOKUP(N959,'Matrice AP'!A:A,'Matrice AP'!H:H)</f>
        <v>#N/A</v>
      </c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</row>
    <row r="960" spans="1:39" ht="21" x14ac:dyDescent="0.3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21" t="str">
        <f t="shared" si="17"/>
        <v>..</v>
      </c>
      <c r="O960" s="14" t="e">
        <f>LOOKUP(N960,'Matrice AP'!A:A,'Matrice AP'!H:H)</f>
        <v>#N/A</v>
      </c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</row>
    <row r="961" spans="1:39" ht="21" x14ac:dyDescent="0.3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21" t="str">
        <f t="shared" si="17"/>
        <v>..</v>
      </c>
      <c r="O961" s="14" t="e">
        <f>LOOKUP(N961,'Matrice AP'!A:A,'Matrice AP'!H:H)</f>
        <v>#N/A</v>
      </c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</row>
    <row r="962" spans="1:39" ht="21" x14ac:dyDescent="0.3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21" t="str">
        <f t="shared" si="17"/>
        <v>..</v>
      </c>
      <c r="O962" s="14" t="e">
        <f>LOOKUP(N962,'Matrice AP'!A:A,'Matrice AP'!H:H)</f>
        <v>#N/A</v>
      </c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</row>
    <row r="963" spans="1:39" ht="21" x14ac:dyDescent="0.3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21" t="str">
        <f t="shared" si="17"/>
        <v>..</v>
      </c>
      <c r="O963" s="14" t="e">
        <f>LOOKUP(N963,'Matrice AP'!A:A,'Matrice AP'!H:H)</f>
        <v>#N/A</v>
      </c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</row>
    <row r="964" spans="1:39" ht="21" x14ac:dyDescent="0.3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21" t="str">
        <f t="shared" si="17"/>
        <v>..</v>
      </c>
      <c r="O964" s="14" t="e">
        <f>LOOKUP(N964,'Matrice AP'!A:A,'Matrice AP'!H:H)</f>
        <v>#N/A</v>
      </c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</row>
    <row r="965" spans="1:39" ht="21" x14ac:dyDescent="0.3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21" t="str">
        <f t="shared" ref="N965:N999" si="18">CONCATENATE(G965,".",K965,".",M965)</f>
        <v>..</v>
      </c>
      <c r="O965" s="14" t="e">
        <f>LOOKUP(N965,'Matrice AP'!A:A,'Matrice AP'!H:H)</f>
        <v>#N/A</v>
      </c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</row>
    <row r="966" spans="1:39" ht="21" x14ac:dyDescent="0.3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21" t="str">
        <f t="shared" si="18"/>
        <v>..</v>
      </c>
      <c r="O966" s="14" t="e">
        <f>LOOKUP(N966,'Matrice AP'!A:A,'Matrice AP'!H:H)</f>
        <v>#N/A</v>
      </c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</row>
    <row r="967" spans="1:39" ht="21" x14ac:dyDescent="0.3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21" t="str">
        <f t="shared" si="18"/>
        <v>..</v>
      </c>
      <c r="O967" s="14" t="e">
        <f>LOOKUP(N967,'Matrice AP'!A:A,'Matrice AP'!H:H)</f>
        <v>#N/A</v>
      </c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</row>
    <row r="968" spans="1:39" ht="21" x14ac:dyDescent="0.3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21" t="str">
        <f t="shared" si="18"/>
        <v>..</v>
      </c>
      <c r="O968" s="14" t="e">
        <f>LOOKUP(N968,'Matrice AP'!A:A,'Matrice AP'!H:H)</f>
        <v>#N/A</v>
      </c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</row>
    <row r="969" spans="1:39" ht="21" x14ac:dyDescent="0.3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21" t="str">
        <f t="shared" si="18"/>
        <v>..</v>
      </c>
      <c r="O969" s="14" t="e">
        <f>LOOKUP(N969,'Matrice AP'!A:A,'Matrice AP'!H:H)</f>
        <v>#N/A</v>
      </c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</row>
    <row r="970" spans="1:39" ht="21" x14ac:dyDescent="0.3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21" t="str">
        <f t="shared" si="18"/>
        <v>..</v>
      </c>
      <c r="O970" s="14" t="e">
        <f>LOOKUP(N970,'Matrice AP'!A:A,'Matrice AP'!H:H)</f>
        <v>#N/A</v>
      </c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</row>
    <row r="971" spans="1:39" ht="21" x14ac:dyDescent="0.3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21" t="str">
        <f t="shared" si="18"/>
        <v>..</v>
      </c>
      <c r="O971" s="14" t="e">
        <f>LOOKUP(N971,'Matrice AP'!A:A,'Matrice AP'!H:H)</f>
        <v>#N/A</v>
      </c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</row>
    <row r="972" spans="1:39" ht="21" x14ac:dyDescent="0.3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21" t="str">
        <f t="shared" si="18"/>
        <v>..</v>
      </c>
      <c r="O972" s="14" t="e">
        <f>LOOKUP(N972,'Matrice AP'!A:A,'Matrice AP'!H:H)</f>
        <v>#N/A</v>
      </c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</row>
    <row r="973" spans="1:39" ht="21" x14ac:dyDescent="0.3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21" t="str">
        <f t="shared" si="18"/>
        <v>..</v>
      </c>
      <c r="O973" s="14" t="e">
        <f>LOOKUP(N973,'Matrice AP'!A:A,'Matrice AP'!H:H)</f>
        <v>#N/A</v>
      </c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</row>
    <row r="974" spans="1:39" ht="21" x14ac:dyDescent="0.3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21" t="str">
        <f t="shared" si="18"/>
        <v>..</v>
      </c>
      <c r="O974" s="14" t="e">
        <f>LOOKUP(N974,'Matrice AP'!A:A,'Matrice AP'!H:H)</f>
        <v>#N/A</v>
      </c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</row>
    <row r="975" spans="1:39" ht="21" x14ac:dyDescent="0.3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21" t="str">
        <f t="shared" si="18"/>
        <v>..</v>
      </c>
      <c r="O975" s="14" t="e">
        <f>LOOKUP(N975,'Matrice AP'!A:A,'Matrice AP'!H:H)</f>
        <v>#N/A</v>
      </c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</row>
    <row r="976" spans="1:39" ht="21" x14ac:dyDescent="0.3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21" t="str">
        <f t="shared" si="18"/>
        <v>..</v>
      </c>
      <c r="O976" s="14" t="e">
        <f>LOOKUP(N976,'Matrice AP'!A:A,'Matrice AP'!H:H)</f>
        <v>#N/A</v>
      </c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</row>
    <row r="977" spans="1:39" ht="21" x14ac:dyDescent="0.3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21" t="str">
        <f t="shared" si="18"/>
        <v>..</v>
      </c>
      <c r="O977" s="14" t="e">
        <f>LOOKUP(N977,'Matrice AP'!A:A,'Matrice AP'!H:H)</f>
        <v>#N/A</v>
      </c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</row>
    <row r="978" spans="1:39" ht="21" x14ac:dyDescent="0.3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21" t="str">
        <f t="shared" si="18"/>
        <v>..</v>
      </c>
      <c r="O978" s="14" t="e">
        <f>LOOKUP(N978,'Matrice AP'!A:A,'Matrice AP'!H:H)</f>
        <v>#N/A</v>
      </c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</row>
    <row r="979" spans="1:39" ht="21" x14ac:dyDescent="0.3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21" t="str">
        <f t="shared" si="18"/>
        <v>..</v>
      </c>
      <c r="O979" s="14" t="e">
        <f>LOOKUP(N979,'Matrice AP'!A:A,'Matrice AP'!H:H)</f>
        <v>#N/A</v>
      </c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</row>
    <row r="980" spans="1:39" ht="21" x14ac:dyDescent="0.3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21" t="str">
        <f t="shared" si="18"/>
        <v>..</v>
      </c>
      <c r="O980" s="14" t="e">
        <f>LOOKUP(N980,'Matrice AP'!A:A,'Matrice AP'!H:H)</f>
        <v>#N/A</v>
      </c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</row>
    <row r="981" spans="1:39" ht="21" x14ac:dyDescent="0.3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21" t="str">
        <f t="shared" si="18"/>
        <v>..</v>
      </c>
      <c r="O981" s="14" t="e">
        <f>LOOKUP(N981,'Matrice AP'!A:A,'Matrice AP'!H:H)</f>
        <v>#N/A</v>
      </c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</row>
    <row r="982" spans="1:39" ht="21" x14ac:dyDescent="0.3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21" t="str">
        <f t="shared" si="18"/>
        <v>..</v>
      </c>
      <c r="O982" s="14" t="e">
        <f>LOOKUP(N982,'Matrice AP'!A:A,'Matrice AP'!H:H)</f>
        <v>#N/A</v>
      </c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</row>
    <row r="983" spans="1:39" ht="21" x14ac:dyDescent="0.3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21" t="str">
        <f t="shared" si="18"/>
        <v>..</v>
      </c>
      <c r="O983" s="14" t="e">
        <f>LOOKUP(N983,'Matrice AP'!A:A,'Matrice AP'!H:H)</f>
        <v>#N/A</v>
      </c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</row>
    <row r="984" spans="1:39" ht="21" x14ac:dyDescent="0.3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21" t="str">
        <f t="shared" si="18"/>
        <v>..</v>
      </c>
      <c r="O984" s="14" t="e">
        <f>LOOKUP(N984,'Matrice AP'!A:A,'Matrice AP'!H:H)</f>
        <v>#N/A</v>
      </c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</row>
    <row r="985" spans="1:39" ht="21" x14ac:dyDescent="0.3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21" t="str">
        <f t="shared" si="18"/>
        <v>..</v>
      </c>
      <c r="O985" s="14" t="e">
        <f>LOOKUP(N985,'Matrice AP'!A:A,'Matrice AP'!H:H)</f>
        <v>#N/A</v>
      </c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</row>
    <row r="986" spans="1:39" ht="21" x14ac:dyDescent="0.3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21" t="str">
        <f t="shared" si="18"/>
        <v>..</v>
      </c>
      <c r="O986" s="14" t="e">
        <f>LOOKUP(N986,'Matrice AP'!A:A,'Matrice AP'!H:H)</f>
        <v>#N/A</v>
      </c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</row>
    <row r="987" spans="1:39" ht="21" x14ac:dyDescent="0.3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21" t="str">
        <f t="shared" si="18"/>
        <v>..</v>
      </c>
      <c r="O987" s="14" t="e">
        <f>LOOKUP(N987,'Matrice AP'!A:A,'Matrice AP'!H:H)</f>
        <v>#N/A</v>
      </c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</row>
    <row r="988" spans="1:39" ht="21" x14ac:dyDescent="0.3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21" t="str">
        <f t="shared" si="18"/>
        <v>..</v>
      </c>
      <c r="O988" s="14" t="e">
        <f>LOOKUP(N988,'Matrice AP'!A:A,'Matrice AP'!H:H)</f>
        <v>#N/A</v>
      </c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</row>
    <row r="989" spans="1:39" ht="21" x14ac:dyDescent="0.3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21" t="str">
        <f t="shared" si="18"/>
        <v>..</v>
      </c>
      <c r="O989" s="14" t="e">
        <f>LOOKUP(N989,'Matrice AP'!A:A,'Matrice AP'!H:H)</f>
        <v>#N/A</v>
      </c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</row>
    <row r="990" spans="1:39" ht="21" x14ac:dyDescent="0.3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21" t="str">
        <f t="shared" si="18"/>
        <v>..</v>
      </c>
      <c r="O990" s="14" t="e">
        <f>LOOKUP(N990,'Matrice AP'!A:A,'Matrice AP'!H:H)</f>
        <v>#N/A</v>
      </c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</row>
    <row r="991" spans="1:39" ht="21" x14ac:dyDescent="0.3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21" t="str">
        <f t="shared" si="18"/>
        <v>..</v>
      </c>
      <c r="O991" s="14" t="e">
        <f>LOOKUP(N991,'Matrice AP'!A:A,'Matrice AP'!H:H)</f>
        <v>#N/A</v>
      </c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</row>
    <row r="992" spans="1:39" ht="21" x14ac:dyDescent="0.3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21" t="str">
        <f t="shared" si="18"/>
        <v>..</v>
      </c>
      <c r="O992" s="14" t="e">
        <f>LOOKUP(N992,'Matrice AP'!A:A,'Matrice AP'!H:H)</f>
        <v>#N/A</v>
      </c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</row>
    <row r="993" spans="1:39" ht="21" x14ac:dyDescent="0.3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21" t="str">
        <f t="shared" si="18"/>
        <v>..</v>
      </c>
      <c r="O993" s="14" t="e">
        <f>LOOKUP(N993,'Matrice AP'!A:A,'Matrice AP'!H:H)</f>
        <v>#N/A</v>
      </c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</row>
    <row r="994" spans="1:39" ht="21" x14ac:dyDescent="0.3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21" t="str">
        <f t="shared" si="18"/>
        <v>..</v>
      </c>
      <c r="O994" s="14" t="e">
        <f>LOOKUP(N994,'Matrice AP'!A:A,'Matrice AP'!H:H)</f>
        <v>#N/A</v>
      </c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</row>
    <row r="995" spans="1:39" ht="21" x14ac:dyDescent="0.3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21" t="str">
        <f t="shared" si="18"/>
        <v>..</v>
      </c>
      <c r="O995" s="14" t="e">
        <f>LOOKUP(N995,'Matrice AP'!A:A,'Matrice AP'!H:H)</f>
        <v>#N/A</v>
      </c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</row>
    <row r="996" spans="1:39" ht="21" x14ac:dyDescent="0.3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21" t="str">
        <f t="shared" si="18"/>
        <v>..</v>
      </c>
      <c r="O996" s="14" t="e">
        <f>LOOKUP(N996,'Matrice AP'!A:A,'Matrice AP'!H:H)</f>
        <v>#N/A</v>
      </c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</row>
    <row r="997" spans="1:39" ht="21" x14ac:dyDescent="0.3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21" t="str">
        <f t="shared" si="18"/>
        <v>..</v>
      </c>
      <c r="O997" s="14" t="e">
        <f>LOOKUP(N997,'Matrice AP'!A:A,'Matrice AP'!H:H)</f>
        <v>#N/A</v>
      </c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</row>
    <row r="998" spans="1:39" ht="21" x14ac:dyDescent="0.3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21" t="str">
        <f t="shared" si="18"/>
        <v>..</v>
      </c>
      <c r="O998" s="14" t="e">
        <f>LOOKUP(N998,'Matrice AP'!A:A,'Matrice AP'!H:H)</f>
        <v>#N/A</v>
      </c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</row>
    <row r="999" spans="1:39" ht="21" x14ac:dyDescent="0.3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21" t="str">
        <f t="shared" si="18"/>
        <v>..</v>
      </c>
      <c r="O999" s="14" t="e">
        <f>LOOKUP(N999,'Matrice AP'!A:A,'Matrice AP'!H:H)</f>
        <v>#N/A</v>
      </c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</row>
    <row r="1000" spans="1:39" ht="21" x14ac:dyDescent="0.3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21" t="e">
        <f>CONCATENATE(G000,".",K000,".",M000)</f>
        <v>#NAME?</v>
      </c>
      <c r="O1000" s="14" t="e">
        <f>LOOKUP(N000,'Matrice AP'!A:A,'Matrice AP'!H:H)</f>
        <v>#NAME?</v>
      </c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</row>
    <row r="1001" spans="1:39" ht="21" x14ac:dyDescent="0.3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21" t="str">
        <f t="shared" ref="N1001:N1009" si="19">CONCATENATE(G1,".",K1,".",M1)</f>
        <v>..</v>
      </c>
      <c r="O1001" s="14" t="e">
        <f>LOOKUP(N1,'Matrice AP'!A:A,'Matrice AP'!H:H)</f>
        <v>#N/A</v>
      </c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</row>
    <row r="1002" spans="1:39" ht="42" x14ac:dyDescent="0.3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21" t="str">
        <f t="shared" si="19"/>
        <v>Sévérité.Occurrence.Détection</v>
      </c>
      <c r="O1002" s="14" t="e">
        <f>LOOKUP(N2,'Matrice AP'!A:A,'Matrice AP'!H:H)</f>
        <v>#N/A</v>
      </c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</row>
    <row r="1003" spans="1:39" ht="21" x14ac:dyDescent="0.3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21" t="str">
        <f t="shared" si="19"/>
        <v>..</v>
      </c>
      <c r="O1003" s="14" t="e">
        <f>LOOKUP(N3,'Matrice AP'!A:A,'Matrice AP'!H:H)</f>
        <v>#N/A</v>
      </c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</row>
    <row r="1004" spans="1:39" ht="21" x14ac:dyDescent="0.3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21" t="str">
        <f t="shared" si="19"/>
        <v>3.9.1</v>
      </c>
      <c r="O1004" s="14" t="e">
        <f>LOOKUP(N4,'Matrice AP'!A:A,'Matrice AP'!H:H)</f>
        <v>#N/A</v>
      </c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</row>
    <row r="1005" spans="1:39" ht="21" x14ac:dyDescent="0.3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21" t="str">
        <f t="shared" si="19"/>
        <v>5.3.2</v>
      </c>
      <c r="O1005" s="14" t="e">
        <f>LOOKUP(N5,'Matrice AP'!A:A,'Matrice AP'!H:H)</f>
        <v>#N/A</v>
      </c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</row>
    <row r="1006" spans="1:39" ht="21" x14ac:dyDescent="0.3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21" t="str">
        <f t="shared" si="19"/>
        <v>5.8.1</v>
      </c>
      <c r="O1006" s="14" t="e">
        <f>LOOKUP(N6,'Matrice AP'!A:A,'Matrice AP'!H:H)</f>
        <v>#N/A</v>
      </c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</row>
    <row r="1007" spans="1:39" ht="21" x14ac:dyDescent="0.3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21" t="str">
        <f t="shared" si="19"/>
        <v>4.2.1</v>
      </c>
      <c r="O1007" s="14" t="e">
        <f>LOOKUP(N7,'Matrice AP'!A:A,'Matrice AP'!H:H)</f>
        <v>#N/A</v>
      </c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</row>
    <row r="1008" spans="1:39" ht="21" x14ac:dyDescent="0.3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21" t="str">
        <f t="shared" si="19"/>
        <v>6.3.2</v>
      </c>
      <c r="O1008" s="14" t="e">
        <f>LOOKUP(N8,'Matrice AP'!A:A,'Matrice AP'!H:H)</f>
        <v>#N/A</v>
      </c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</row>
    <row r="1009" spans="1:39" ht="21" x14ac:dyDescent="0.3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21" t="str">
        <f t="shared" si="19"/>
        <v>3.3.10</v>
      </c>
      <c r="O1009" s="14" t="e">
        <f>LOOKUP(N9,'Matrice AP'!A:A,'Matrice AP'!H:H)</f>
        <v>#N/A</v>
      </c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</row>
    <row r="1010" spans="1:39" ht="21" x14ac:dyDescent="0.3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21" t="e">
        <f>CONCATENATE(G00,".",K00,".",M00)</f>
        <v>#NAME?</v>
      </c>
      <c r="O1010" s="14" t="e">
        <f>LOOKUP(N00,'Matrice AP'!A:A,'Matrice AP'!H:H)</f>
        <v>#NAME?</v>
      </c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</row>
    <row r="1011" spans="1:39" ht="21" x14ac:dyDescent="0.3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21" t="str">
        <f t="shared" ref="N1011:N1042" si="20">CONCATENATE(G11,".",K11,".",M11)</f>
        <v>1.8.6</v>
      </c>
      <c r="O1011" s="14" t="e">
        <f>LOOKUP(N11,'Matrice AP'!A:A,'Matrice AP'!H:H)</f>
        <v>#N/A</v>
      </c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</row>
    <row r="1012" spans="1:39" ht="21" x14ac:dyDescent="0.3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21" t="str">
        <f t="shared" si="20"/>
        <v>9.2.1</v>
      </c>
      <c r="O1012" s="14" t="e">
        <f>LOOKUP(N12,'Matrice AP'!A:A,'Matrice AP'!H:H)</f>
        <v>#N/A</v>
      </c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</row>
    <row r="1013" spans="1:39" ht="21" x14ac:dyDescent="0.3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21" t="str">
        <f t="shared" si="20"/>
        <v>3.3.1</v>
      </c>
      <c r="O1013" s="14" t="e">
        <f>LOOKUP(N13,'Matrice AP'!A:A,'Matrice AP'!H:H)</f>
        <v>#N/A</v>
      </c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</row>
    <row r="1014" spans="1:39" ht="21" x14ac:dyDescent="0.3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21" t="str">
        <f t="shared" si="20"/>
        <v>5.8.2</v>
      </c>
      <c r="O1014" s="14" t="e">
        <f>LOOKUP(N14,'Matrice AP'!A:A,'Matrice AP'!H:H)</f>
        <v>#N/A</v>
      </c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</row>
    <row r="1015" spans="1:39" ht="21" x14ac:dyDescent="0.3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21" t="str">
        <f t="shared" si="20"/>
        <v>2.9.5</v>
      </c>
      <c r="O1015" s="14" t="e">
        <f>LOOKUP(N15,'Matrice AP'!A:A,'Matrice AP'!H:H)</f>
        <v>#N/A</v>
      </c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</row>
    <row r="1016" spans="1:39" ht="21" x14ac:dyDescent="0.3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21" t="str">
        <f t="shared" si="20"/>
        <v>2.3.2</v>
      </c>
      <c r="O1016" s="14" t="e">
        <f>LOOKUP(N16,'Matrice AP'!A:A,'Matrice AP'!H:H)</f>
        <v>#N/A</v>
      </c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</row>
    <row r="1017" spans="1:39" ht="21" x14ac:dyDescent="0.3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21" t="str">
        <f t="shared" si="20"/>
        <v>8.8.1</v>
      </c>
      <c r="O1017" s="14" t="e">
        <f>LOOKUP(N17,'Matrice AP'!A:A,'Matrice AP'!H:H)</f>
        <v>#N/A</v>
      </c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</row>
    <row r="1018" spans="1:39" ht="21" x14ac:dyDescent="0.3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21" t="str">
        <f t="shared" si="20"/>
        <v>10.10.1</v>
      </c>
      <c r="O1018" s="14" t="e">
        <f>LOOKUP(N18,'Matrice AP'!A:A,'Matrice AP'!H:H)</f>
        <v>#N/A</v>
      </c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</row>
    <row r="1019" spans="1:39" ht="21" x14ac:dyDescent="0.3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21" t="str">
        <f t="shared" si="20"/>
        <v>..</v>
      </c>
      <c r="O1019" s="14" t="e">
        <f>LOOKUP(N19,'Matrice AP'!A:A,'Matrice AP'!H:H)</f>
        <v>#N/A</v>
      </c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</row>
    <row r="1020" spans="1:39" ht="21" x14ac:dyDescent="0.3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21" t="str">
        <f t="shared" si="20"/>
        <v>..</v>
      </c>
      <c r="O1020" s="14" t="e">
        <f>LOOKUP(N20,'Matrice AP'!A:A,'Matrice AP'!H:H)</f>
        <v>#N/A</v>
      </c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</row>
    <row r="1021" spans="1:39" ht="21" x14ac:dyDescent="0.3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21" t="str">
        <f t="shared" si="20"/>
        <v>..</v>
      </c>
      <c r="O1021" s="14" t="e">
        <f>LOOKUP(N21,'Matrice AP'!A:A,'Matrice AP'!H:H)</f>
        <v>#N/A</v>
      </c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</row>
    <row r="1022" spans="1:39" ht="21" x14ac:dyDescent="0.3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21" t="str">
        <f t="shared" si="20"/>
        <v>..</v>
      </c>
      <c r="O1022" s="14" t="e">
        <f>LOOKUP(N22,'Matrice AP'!A:A,'Matrice AP'!H:H)</f>
        <v>#N/A</v>
      </c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</row>
    <row r="1023" spans="1:39" ht="21" x14ac:dyDescent="0.3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21" t="str">
        <f t="shared" si="20"/>
        <v>..</v>
      </c>
      <c r="O1023" s="14" t="e">
        <f>LOOKUP(N23,'Matrice AP'!A:A,'Matrice AP'!H:H)</f>
        <v>#N/A</v>
      </c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</row>
    <row r="1024" spans="1:39" ht="21" x14ac:dyDescent="0.3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21" t="str">
        <f t="shared" si="20"/>
        <v>..</v>
      </c>
      <c r="O1024" s="14" t="e">
        <f>LOOKUP(N24,'Matrice AP'!A:A,'Matrice AP'!H:H)</f>
        <v>#N/A</v>
      </c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</row>
    <row r="1025" spans="1:39" ht="21" x14ac:dyDescent="0.3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21" t="str">
        <f t="shared" si="20"/>
        <v>..</v>
      </c>
      <c r="O1025" s="14" t="e">
        <f>LOOKUP(N25,'Matrice AP'!A:A,'Matrice AP'!H:H)</f>
        <v>#N/A</v>
      </c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</row>
    <row r="1026" spans="1:39" ht="21" x14ac:dyDescent="0.3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21" t="str">
        <f t="shared" si="20"/>
        <v>..</v>
      </c>
      <c r="O1026" s="14" t="e">
        <f>LOOKUP(N26,'Matrice AP'!A:A,'Matrice AP'!H:H)</f>
        <v>#N/A</v>
      </c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</row>
    <row r="1027" spans="1:39" ht="21" x14ac:dyDescent="0.3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21" t="str">
        <f t="shared" si="20"/>
        <v>..</v>
      </c>
      <c r="O1027" s="14" t="e">
        <f>LOOKUP(N27,'Matrice AP'!A:A,'Matrice AP'!H:H)</f>
        <v>#N/A</v>
      </c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</row>
    <row r="1028" spans="1:39" ht="21" x14ac:dyDescent="0.3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21" t="str">
        <f t="shared" si="20"/>
        <v>..</v>
      </c>
      <c r="O1028" s="14" t="e">
        <f>LOOKUP(N28,'Matrice AP'!A:A,'Matrice AP'!H:H)</f>
        <v>#N/A</v>
      </c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</row>
    <row r="1029" spans="1:39" ht="21" x14ac:dyDescent="0.3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21" t="str">
        <f t="shared" si="20"/>
        <v>..</v>
      </c>
      <c r="O1029" s="14" t="e">
        <f>LOOKUP(N29,'Matrice AP'!A:A,'Matrice AP'!H:H)</f>
        <v>#N/A</v>
      </c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</row>
    <row r="1030" spans="1:39" ht="21" x14ac:dyDescent="0.3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21" t="str">
        <f t="shared" si="20"/>
        <v>..</v>
      </c>
      <c r="O1030" s="14" t="e">
        <f>LOOKUP(N30,'Matrice AP'!A:A,'Matrice AP'!H:H)</f>
        <v>#N/A</v>
      </c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</row>
    <row r="1031" spans="1:39" ht="21" x14ac:dyDescent="0.3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21" t="str">
        <f t="shared" si="20"/>
        <v>..</v>
      </c>
      <c r="O1031" s="14" t="e">
        <f>LOOKUP(N31,'Matrice AP'!A:A,'Matrice AP'!H:H)</f>
        <v>#N/A</v>
      </c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</row>
    <row r="1032" spans="1:39" ht="21" x14ac:dyDescent="0.3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21" t="str">
        <f t="shared" si="20"/>
        <v>..</v>
      </c>
      <c r="O1032" s="14" t="e">
        <f>LOOKUP(N32,'Matrice AP'!A:A,'Matrice AP'!H:H)</f>
        <v>#N/A</v>
      </c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</row>
    <row r="1033" spans="1:39" ht="21" x14ac:dyDescent="0.3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21" t="str">
        <f t="shared" si="20"/>
        <v>..</v>
      </c>
      <c r="O1033" s="14" t="e">
        <f>LOOKUP(N33,'Matrice AP'!A:A,'Matrice AP'!H:H)</f>
        <v>#N/A</v>
      </c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</row>
    <row r="1034" spans="1:39" ht="21" x14ac:dyDescent="0.3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21" t="str">
        <f t="shared" si="20"/>
        <v>..</v>
      </c>
      <c r="O1034" s="14" t="e">
        <f>LOOKUP(N34,'Matrice AP'!A:A,'Matrice AP'!H:H)</f>
        <v>#N/A</v>
      </c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</row>
    <row r="1035" spans="1:39" ht="21" x14ac:dyDescent="0.3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21" t="str">
        <f t="shared" si="20"/>
        <v>..</v>
      </c>
      <c r="O1035" s="14" t="e">
        <f>LOOKUP(N35,'Matrice AP'!A:A,'Matrice AP'!H:H)</f>
        <v>#N/A</v>
      </c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</row>
    <row r="1036" spans="1:39" ht="21" x14ac:dyDescent="0.3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21" t="str">
        <f t="shared" si="20"/>
        <v>..</v>
      </c>
      <c r="O1036" s="14" t="e">
        <f>LOOKUP(N36,'Matrice AP'!A:A,'Matrice AP'!H:H)</f>
        <v>#N/A</v>
      </c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</row>
    <row r="1037" spans="1:39" ht="21" x14ac:dyDescent="0.3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21" t="str">
        <f t="shared" si="20"/>
        <v>..</v>
      </c>
      <c r="O1037" s="14" t="e">
        <f>LOOKUP(N37,'Matrice AP'!A:A,'Matrice AP'!H:H)</f>
        <v>#N/A</v>
      </c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</row>
    <row r="1038" spans="1:39" ht="21" x14ac:dyDescent="0.3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21" t="str">
        <f t="shared" si="20"/>
        <v>..</v>
      </c>
      <c r="O1038" s="14" t="e">
        <f>LOOKUP(N38,'Matrice AP'!A:A,'Matrice AP'!H:H)</f>
        <v>#N/A</v>
      </c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</row>
    <row r="1039" spans="1:39" ht="21" x14ac:dyDescent="0.3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21" t="str">
        <f t="shared" si="20"/>
        <v>..</v>
      </c>
      <c r="O1039" s="14" t="e">
        <f>LOOKUP(N39,'Matrice AP'!A:A,'Matrice AP'!H:H)</f>
        <v>#N/A</v>
      </c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</row>
    <row r="1040" spans="1:39" ht="21" x14ac:dyDescent="0.3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21" t="str">
        <f t="shared" si="20"/>
        <v>..</v>
      </c>
      <c r="O1040" s="14" t="e">
        <f>LOOKUP(N40,'Matrice AP'!A:A,'Matrice AP'!H:H)</f>
        <v>#N/A</v>
      </c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</row>
    <row r="1041" spans="1:39" ht="21" x14ac:dyDescent="0.3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21" t="str">
        <f t="shared" si="20"/>
        <v>..</v>
      </c>
      <c r="O1041" s="14" t="e">
        <f>LOOKUP(N41,'Matrice AP'!A:A,'Matrice AP'!H:H)</f>
        <v>#N/A</v>
      </c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</row>
    <row r="1042" spans="1:39" ht="21" x14ac:dyDescent="0.3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21" t="str">
        <f t="shared" si="20"/>
        <v>..</v>
      </c>
      <c r="O1042" s="14" t="e">
        <f>LOOKUP(N42,'Matrice AP'!A:A,'Matrice AP'!H:H)</f>
        <v>#N/A</v>
      </c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</row>
    <row r="1043" spans="1:39" ht="21" x14ac:dyDescent="0.3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21" t="str">
        <f t="shared" ref="N1043:N1074" si="21">CONCATENATE(G43,".",K43,".",M43)</f>
        <v>..</v>
      </c>
      <c r="O1043" s="14" t="e">
        <f>LOOKUP(N43,'Matrice AP'!A:A,'Matrice AP'!H:H)</f>
        <v>#N/A</v>
      </c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</row>
    <row r="1044" spans="1:39" ht="21" x14ac:dyDescent="0.3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21" t="str">
        <f t="shared" si="21"/>
        <v>..</v>
      </c>
      <c r="O1044" s="14" t="e">
        <f>LOOKUP(N44,'Matrice AP'!A:A,'Matrice AP'!H:H)</f>
        <v>#N/A</v>
      </c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</row>
    <row r="1045" spans="1:39" ht="21" x14ac:dyDescent="0.3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21" t="str">
        <f t="shared" si="21"/>
        <v>..</v>
      </c>
      <c r="O1045" s="14" t="e">
        <f>LOOKUP(N45,'Matrice AP'!A:A,'Matrice AP'!H:H)</f>
        <v>#N/A</v>
      </c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</row>
    <row r="1046" spans="1:39" ht="21" x14ac:dyDescent="0.3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21" t="str">
        <f t="shared" si="21"/>
        <v>..</v>
      </c>
      <c r="O1046" s="14" t="e">
        <f>LOOKUP(N46,'Matrice AP'!A:A,'Matrice AP'!H:H)</f>
        <v>#N/A</v>
      </c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</row>
    <row r="1047" spans="1:39" ht="21" x14ac:dyDescent="0.3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21" t="str">
        <f t="shared" si="21"/>
        <v>..</v>
      </c>
      <c r="O1047" s="14" t="e">
        <f>LOOKUP(N47,'Matrice AP'!A:A,'Matrice AP'!H:H)</f>
        <v>#N/A</v>
      </c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</row>
    <row r="1048" spans="1:39" ht="21" x14ac:dyDescent="0.3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21" t="str">
        <f t="shared" si="21"/>
        <v>..</v>
      </c>
      <c r="O1048" s="14" t="e">
        <f>LOOKUP(N48,'Matrice AP'!A:A,'Matrice AP'!H:H)</f>
        <v>#N/A</v>
      </c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</row>
    <row r="1049" spans="1:39" ht="21" x14ac:dyDescent="0.3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21" t="str">
        <f t="shared" si="21"/>
        <v>..</v>
      </c>
      <c r="O1049" s="14" t="e">
        <f>LOOKUP(N49,'Matrice AP'!A:A,'Matrice AP'!H:H)</f>
        <v>#N/A</v>
      </c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</row>
    <row r="1050" spans="1:39" ht="21" x14ac:dyDescent="0.3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21" t="str">
        <f t="shared" si="21"/>
        <v>..</v>
      </c>
      <c r="O1050" s="14" t="e">
        <f>LOOKUP(N50,'Matrice AP'!A:A,'Matrice AP'!H:H)</f>
        <v>#N/A</v>
      </c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</row>
    <row r="1051" spans="1:39" ht="21" x14ac:dyDescent="0.3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21" t="str">
        <f t="shared" si="21"/>
        <v>..</v>
      </c>
      <c r="O1051" s="14" t="e">
        <f>LOOKUP(N51,'Matrice AP'!A:A,'Matrice AP'!H:H)</f>
        <v>#N/A</v>
      </c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</row>
    <row r="1052" spans="1:39" ht="21" x14ac:dyDescent="0.3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21" t="str">
        <f t="shared" si="21"/>
        <v>..</v>
      </c>
      <c r="O1052" s="14" t="e">
        <f>LOOKUP(N52,'Matrice AP'!A:A,'Matrice AP'!H:H)</f>
        <v>#N/A</v>
      </c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</row>
    <row r="1053" spans="1:39" ht="21" x14ac:dyDescent="0.3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21" t="str">
        <f t="shared" si="21"/>
        <v>..</v>
      </c>
      <c r="O1053" s="14" t="e">
        <f>LOOKUP(N53,'Matrice AP'!A:A,'Matrice AP'!H:H)</f>
        <v>#N/A</v>
      </c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</row>
    <row r="1054" spans="1:39" ht="21" x14ac:dyDescent="0.3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21" t="str">
        <f t="shared" si="21"/>
        <v>..</v>
      </c>
      <c r="O1054" s="14" t="e">
        <f>LOOKUP(N54,'Matrice AP'!A:A,'Matrice AP'!H:H)</f>
        <v>#N/A</v>
      </c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</row>
    <row r="1055" spans="1:39" ht="21" x14ac:dyDescent="0.3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21" t="str">
        <f t="shared" si="21"/>
        <v>..</v>
      </c>
      <c r="O1055" s="14" t="e">
        <f>LOOKUP(N55,'Matrice AP'!A:A,'Matrice AP'!H:H)</f>
        <v>#N/A</v>
      </c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</row>
    <row r="1056" spans="1:39" ht="21" x14ac:dyDescent="0.3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21" t="str">
        <f t="shared" si="21"/>
        <v>..</v>
      </c>
      <c r="O1056" s="14" t="e">
        <f>LOOKUP(N56,'Matrice AP'!A:A,'Matrice AP'!H:H)</f>
        <v>#N/A</v>
      </c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</row>
    <row r="1057" spans="1:39" ht="21" x14ac:dyDescent="0.3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21" t="str">
        <f t="shared" si="21"/>
        <v>..</v>
      </c>
      <c r="O1057" s="14" t="e">
        <f>LOOKUP(N57,'Matrice AP'!A:A,'Matrice AP'!H:H)</f>
        <v>#N/A</v>
      </c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</row>
    <row r="1058" spans="1:39" ht="21" x14ac:dyDescent="0.3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21" t="str">
        <f t="shared" si="21"/>
        <v>..</v>
      </c>
      <c r="O1058" s="14" t="e">
        <f>LOOKUP(N58,'Matrice AP'!A:A,'Matrice AP'!H:H)</f>
        <v>#N/A</v>
      </c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</row>
    <row r="1059" spans="1:39" ht="21" x14ac:dyDescent="0.3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21" t="str">
        <f t="shared" si="21"/>
        <v>..</v>
      </c>
      <c r="O1059" s="14" t="e">
        <f>LOOKUP(N59,'Matrice AP'!A:A,'Matrice AP'!H:H)</f>
        <v>#N/A</v>
      </c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</row>
    <row r="1060" spans="1:39" ht="21" x14ac:dyDescent="0.3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21" t="str">
        <f t="shared" si="21"/>
        <v>..</v>
      </c>
      <c r="O1060" s="14" t="e">
        <f>LOOKUP(N60,'Matrice AP'!A:A,'Matrice AP'!H:H)</f>
        <v>#N/A</v>
      </c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</row>
    <row r="1061" spans="1:39" ht="21" x14ac:dyDescent="0.3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21" t="str">
        <f t="shared" si="21"/>
        <v>..</v>
      </c>
      <c r="O1061" s="14" t="e">
        <f>LOOKUP(N61,'Matrice AP'!A:A,'Matrice AP'!H:H)</f>
        <v>#N/A</v>
      </c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</row>
    <row r="1062" spans="1:39" ht="21" x14ac:dyDescent="0.3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21" t="str">
        <f t="shared" si="21"/>
        <v>..</v>
      </c>
      <c r="O1062" s="14" t="e">
        <f>LOOKUP(N62,'Matrice AP'!A:A,'Matrice AP'!H:H)</f>
        <v>#N/A</v>
      </c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</row>
    <row r="1063" spans="1:39" ht="21" x14ac:dyDescent="0.3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21" t="str">
        <f t="shared" si="21"/>
        <v>..</v>
      </c>
      <c r="O1063" s="14" t="e">
        <f>LOOKUP(N63,'Matrice AP'!A:A,'Matrice AP'!H:H)</f>
        <v>#N/A</v>
      </c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</row>
    <row r="1064" spans="1:39" ht="21" x14ac:dyDescent="0.3">
      <c r="A1064" s="12"/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  <c r="L1064" s="12"/>
      <c r="M1064" s="12"/>
      <c r="N1064" s="21" t="str">
        <f t="shared" si="21"/>
        <v>..</v>
      </c>
      <c r="O1064" s="14" t="e">
        <f>LOOKUP(N64,'Matrice AP'!A:A,'Matrice AP'!H:H)</f>
        <v>#N/A</v>
      </c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</row>
    <row r="1065" spans="1:39" ht="21" x14ac:dyDescent="0.3">
      <c r="A1065" s="12"/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  <c r="N1065" s="21" t="str">
        <f t="shared" si="21"/>
        <v>..</v>
      </c>
      <c r="O1065" s="14" t="e">
        <f>LOOKUP(N65,'Matrice AP'!A:A,'Matrice AP'!H:H)</f>
        <v>#N/A</v>
      </c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</row>
    <row r="1066" spans="1:39" ht="21" x14ac:dyDescent="0.3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21" t="str">
        <f t="shared" si="21"/>
        <v>..</v>
      </c>
      <c r="O1066" s="14" t="e">
        <f>LOOKUP(N66,'Matrice AP'!A:A,'Matrice AP'!H:H)</f>
        <v>#N/A</v>
      </c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</row>
    <row r="1067" spans="1:39" ht="21" x14ac:dyDescent="0.3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21" t="str">
        <f t="shared" si="21"/>
        <v>..</v>
      </c>
      <c r="O1067" s="14" t="e">
        <f>LOOKUP(N67,'Matrice AP'!A:A,'Matrice AP'!H:H)</f>
        <v>#N/A</v>
      </c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</row>
    <row r="1068" spans="1:39" ht="21" x14ac:dyDescent="0.3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21" t="str">
        <f t="shared" si="21"/>
        <v>..</v>
      </c>
      <c r="O1068" s="14" t="e">
        <f>LOOKUP(N68,'Matrice AP'!A:A,'Matrice AP'!H:H)</f>
        <v>#N/A</v>
      </c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</row>
    <row r="1069" spans="1:39" ht="21" x14ac:dyDescent="0.3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21" t="str">
        <f t="shared" si="21"/>
        <v>..</v>
      </c>
      <c r="O1069" s="14" t="e">
        <f>LOOKUP(N69,'Matrice AP'!A:A,'Matrice AP'!H:H)</f>
        <v>#N/A</v>
      </c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</row>
    <row r="1070" spans="1:39" ht="21" x14ac:dyDescent="0.3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  <c r="N1070" s="21" t="str">
        <f t="shared" si="21"/>
        <v>..</v>
      </c>
      <c r="O1070" s="14" t="e">
        <f>LOOKUP(N70,'Matrice AP'!A:A,'Matrice AP'!H:H)</f>
        <v>#N/A</v>
      </c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</row>
    <row r="1071" spans="1:39" ht="21" x14ac:dyDescent="0.3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  <c r="N1071" s="21" t="str">
        <f t="shared" si="21"/>
        <v>..</v>
      </c>
      <c r="O1071" s="14" t="e">
        <f>LOOKUP(N71,'Matrice AP'!A:A,'Matrice AP'!H:H)</f>
        <v>#N/A</v>
      </c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</row>
    <row r="1072" spans="1:39" ht="21" x14ac:dyDescent="0.3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  <c r="N1072" s="21" t="str">
        <f t="shared" si="21"/>
        <v>..</v>
      </c>
      <c r="O1072" s="14" t="e">
        <f>LOOKUP(N72,'Matrice AP'!A:A,'Matrice AP'!H:H)</f>
        <v>#N/A</v>
      </c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</row>
    <row r="1073" spans="1:39" ht="21" x14ac:dyDescent="0.3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21" t="str">
        <f t="shared" si="21"/>
        <v>..</v>
      </c>
      <c r="O1073" s="14" t="e">
        <f>LOOKUP(N73,'Matrice AP'!A:A,'Matrice AP'!H:H)</f>
        <v>#N/A</v>
      </c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</row>
    <row r="1074" spans="1:39" ht="21" x14ac:dyDescent="0.3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21" t="str">
        <f t="shared" si="21"/>
        <v>..</v>
      </c>
      <c r="O1074" s="14" t="e">
        <f>LOOKUP(N74,'Matrice AP'!A:A,'Matrice AP'!H:H)</f>
        <v>#N/A</v>
      </c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</row>
    <row r="1075" spans="1:39" ht="21" x14ac:dyDescent="0.3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21" t="str">
        <f t="shared" ref="N1075:N1106" si="22">CONCATENATE(G75,".",K75,".",M75)</f>
        <v>..</v>
      </c>
      <c r="O1075" s="14" t="e">
        <f>LOOKUP(N75,'Matrice AP'!A:A,'Matrice AP'!H:H)</f>
        <v>#N/A</v>
      </c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</row>
    <row r="1076" spans="1:39" ht="21" x14ac:dyDescent="0.3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21" t="str">
        <f t="shared" si="22"/>
        <v>..</v>
      </c>
      <c r="O1076" s="14" t="e">
        <f>LOOKUP(N76,'Matrice AP'!A:A,'Matrice AP'!H:H)</f>
        <v>#N/A</v>
      </c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</row>
    <row r="1077" spans="1:39" ht="21" x14ac:dyDescent="0.3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  <c r="N1077" s="21" t="str">
        <f t="shared" si="22"/>
        <v>..</v>
      </c>
      <c r="O1077" s="14" t="e">
        <f>LOOKUP(N77,'Matrice AP'!A:A,'Matrice AP'!H:H)</f>
        <v>#N/A</v>
      </c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</row>
    <row r="1078" spans="1:39" ht="21" x14ac:dyDescent="0.3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21" t="str">
        <f t="shared" si="22"/>
        <v>..</v>
      </c>
      <c r="O1078" s="14" t="e">
        <f>LOOKUP(N78,'Matrice AP'!A:A,'Matrice AP'!H:H)</f>
        <v>#N/A</v>
      </c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</row>
    <row r="1079" spans="1:39" ht="21" x14ac:dyDescent="0.3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21" t="str">
        <f t="shared" si="22"/>
        <v>..</v>
      </c>
      <c r="O1079" s="14" t="e">
        <f>LOOKUP(N79,'Matrice AP'!A:A,'Matrice AP'!H:H)</f>
        <v>#N/A</v>
      </c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</row>
    <row r="1080" spans="1:39" ht="21" x14ac:dyDescent="0.3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21" t="str">
        <f t="shared" si="22"/>
        <v>..</v>
      </c>
      <c r="O1080" s="14" t="e">
        <f>LOOKUP(N80,'Matrice AP'!A:A,'Matrice AP'!H:H)</f>
        <v>#N/A</v>
      </c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</row>
    <row r="1081" spans="1:39" ht="21" x14ac:dyDescent="0.3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21" t="str">
        <f t="shared" si="22"/>
        <v>..</v>
      </c>
      <c r="O1081" s="14" t="e">
        <f>LOOKUP(N81,'Matrice AP'!A:A,'Matrice AP'!H:H)</f>
        <v>#N/A</v>
      </c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</row>
    <row r="1082" spans="1:39" ht="21" x14ac:dyDescent="0.3">
      <c r="A1082" s="12"/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  <c r="N1082" s="21" t="str">
        <f t="shared" si="22"/>
        <v>..</v>
      </c>
      <c r="O1082" s="14" t="e">
        <f>LOOKUP(N82,'Matrice AP'!A:A,'Matrice AP'!H:H)</f>
        <v>#N/A</v>
      </c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</row>
    <row r="1083" spans="1:39" ht="21" x14ac:dyDescent="0.3">
      <c r="A1083" s="12"/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  <c r="N1083" s="21" t="str">
        <f t="shared" si="22"/>
        <v>..</v>
      </c>
      <c r="O1083" s="14" t="e">
        <f>LOOKUP(N83,'Matrice AP'!A:A,'Matrice AP'!H:H)</f>
        <v>#N/A</v>
      </c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</row>
    <row r="1084" spans="1:39" ht="21" x14ac:dyDescent="0.3">
      <c r="A1084" s="12"/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  <c r="N1084" s="21" t="str">
        <f t="shared" si="22"/>
        <v>..</v>
      </c>
      <c r="O1084" s="14" t="e">
        <f>LOOKUP(N84,'Matrice AP'!A:A,'Matrice AP'!H:H)</f>
        <v>#N/A</v>
      </c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</row>
    <row r="1085" spans="1:39" ht="21" x14ac:dyDescent="0.3">
      <c r="A1085" s="12"/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  <c r="L1085" s="12"/>
      <c r="M1085" s="12"/>
      <c r="N1085" s="21" t="str">
        <f t="shared" si="22"/>
        <v>..</v>
      </c>
      <c r="O1085" s="14" t="e">
        <f>LOOKUP(N85,'Matrice AP'!A:A,'Matrice AP'!H:H)</f>
        <v>#N/A</v>
      </c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</row>
    <row r="1086" spans="1:39" ht="21" x14ac:dyDescent="0.3">
      <c r="A1086" s="12"/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  <c r="L1086" s="12"/>
      <c r="M1086" s="12"/>
      <c r="N1086" s="21" t="str">
        <f t="shared" si="22"/>
        <v>..</v>
      </c>
      <c r="O1086" s="14" t="e">
        <f>LOOKUP(N86,'Matrice AP'!A:A,'Matrice AP'!H:H)</f>
        <v>#N/A</v>
      </c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</row>
    <row r="1087" spans="1:39" ht="21" x14ac:dyDescent="0.3">
      <c r="A1087" s="12"/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  <c r="L1087" s="12"/>
      <c r="M1087" s="12"/>
      <c r="N1087" s="21" t="str">
        <f t="shared" si="22"/>
        <v>..</v>
      </c>
      <c r="O1087" s="14" t="e">
        <f>LOOKUP(N87,'Matrice AP'!A:A,'Matrice AP'!H:H)</f>
        <v>#N/A</v>
      </c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</row>
    <row r="1088" spans="1:39" ht="21" x14ac:dyDescent="0.3">
      <c r="A1088" s="12"/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  <c r="N1088" s="21" t="str">
        <f t="shared" si="22"/>
        <v>..</v>
      </c>
      <c r="O1088" s="14" t="e">
        <f>LOOKUP(N88,'Matrice AP'!A:A,'Matrice AP'!H:H)</f>
        <v>#N/A</v>
      </c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</row>
    <row r="1089" spans="1:39" ht="21" x14ac:dyDescent="0.3">
      <c r="A1089" s="12"/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  <c r="N1089" s="21" t="str">
        <f t="shared" si="22"/>
        <v>..</v>
      </c>
      <c r="O1089" s="14" t="e">
        <f>LOOKUP(N89,'Matrice AP'!A:A,'Matrice AP'!H:H)</f>
        <v>#N/A</v>
      </c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</row>
    <row r="1090" spans="1:39" ht="21" x14ac:dyDescent="0.3">
      <c r="A1090" s="12"/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  <c r="N1090" s="21" t="str">
        <f t="shared" si="22"/>
        <v>..</v>
      </c>
      <c r="O1090" s="14" t="e">
        <f>LOOKUP(N90,'Matrice AP'!A:A,'Matrice AP'!H:H)</f>
        <v>#N/A</v>
      </c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</row>
    <row r="1091" spans="1:39" ht="21" x14ac:dyDescent="0.3">
      <c r="A1091" s="12"/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  <c r="L1091" s="12"/>
      <c r="M1091" s="12"/>
      <c r="N1091" s="21" t="str">
        <f t="shared" si="22"/>
        <v>..</v>
      </c>
      <c r="O1091" s="14" t="e">
        <f>LOOKUP(N91,'Matrice AP'!A:A,'Matrice AP'!H:H)</f>
        <v>#N/A</v>
      </c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</row>
    <row r="1092" spans="1:39" ht="21" x14ac:dyDescent="0.3">
      <c r="A1092" s="12"/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  <c r="L1092" s="12"/>
      <c r="M1092" s="12"/>
      <c r="N1092" s="21" t="str">
        <f t="shared" si="22"/>
        <v>..</v>
      </c>
      <c r="O1092" s="14" t="e">
        <f>LOOKUP(N92,'Matrice AP'!A:A,'Matrice AP'!H:H)</f>
        <v>#N/A</v>
      </c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</row>
    <row r="1093" spans="1:39" ht="21" x14ac:dyDescent="0.3">
      <c r="A1093" s="12"/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21" t="str">
        <f t="shared" si="22"/>
        <v>..</v>
      </c>
      <c r="O1093" s="14" t="e">
        <f>LOOKUP(N93,'Matrice AP'!A:A,'Matrice AP'!H:H)</f>
        <v>#N/A</v>
      </c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</row>
    <row r="1094" spans="1:39" ht="21" x14ac:dyDescent="0.3">
      <c r="A1094" s="12"/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21" t="str">
        <f t="shared" si="22"/>
        <v>..</v>
      </c>
      <c r="O1094" s="14" t="e">
        <f>LOOKUP(N94,'Matrice AP'!A:A,'Matrice AP'!H:H)</f>
        <v>#N/A</v>
      </c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</row>
    <row r="1095" spans="1:39" ht="21" x14ac:dyDescent="0.3">
      <c r="A1095" s="12"/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21" t="str">
        <f t="shared" si="22"/>
        <v>..</v>
      </c>
      <c r="O1095" s="14" t="e">
        <f>LOOKUP(N95,'Matrice AP'!A:A,'Matrice AP'!H:H)</f>
        <v>#N/A</v>
      </c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</row>
    <row r="1096" spans="1:39" ht="21" x14ac:dyDescent="0.3">
      <c r="A1096" s="12"/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  <c r="L1096" s="12"/>
      <c r="M1096" s="12"/>
      <c r="N1096" s="21" t="str">
        <f t="shared" si="22"/>
        <v>..</v>
      </c>
      <c r="O1096" s="14" t="e">
        <f>LOOKUP(N96,'Matrice AP'!A:A,'Matrice AP'!H:H)</f>
        <v>#N/A</v>
      </c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</row>
    <row r="1097" spans="1:39" ht="21" x14ac:dyDescent="0.3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21" t="str">
        <f t="shared" si="22"/>
        <v>..</v>
      </c>
      <c r="O1097" s="14" t="e">
        <f>LOOKUP(N97,'Matrice AP'!A:A,'Matrice AP'!H:H)</f>
        <v>#N/A</v>
      </c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</row>
    <row r="1098" spans="1:39" ht="21" x14ac:dyDescent="0.3">
      <c r="A1098" s="12"/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  <c r="N1098" s="21" t="str">
        <f t="shared" si="22"/>
        <v>..</v>
      </c>
      <c r="O1098" s="14" t="e">
        <f>LOOKUP(N98,'Matrice AP'!A:A,'Matrice AP'!H:H)</f>
        <v>#N/A</v>
      </c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</row>
    <row r="1099" spans="1:39" ht="21" x14ac:dyDescent="0.3">
      <c r="A1099" s="12"/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21" t="str">
        <f t="shared" si="22"/>
        <v>..</v>
      </c>
      <c r="O1099" s="14" t="e">
        <f>LOOKUP(N99,'Matrice AP'!A:A,'Matrice AP'!H:H)</f>
        <v>#N/A</v>
      </c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</row>
    <row r="1100" spans="1:39" ht="21" x14ac:dyDescent="0.3">
      <c r="A1100" s="12"/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21" t="e">
        <f>CONCATENATE(G00,".",K00,".",M00)</f>
        <v>#NAME?</v>
      </c>
      <c r="O1100" s="14" t="e">
        <f>LOOKUP(N00,'Matrice AP'!A:A,'Matrice AP'!H:H)</f>
        <v>#NAME?</v>
      </c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</row>
    <row r="1101" spans="1:39" ht="21" x14ac:dyDescent="0.3">
      <c r="A1101" s="12"/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  <c r="L1101" s="12"/>
      <c r="M1101" s="12"/>
      <c r="N1101" s="21" t="str">
        <f t="shared" ref="N1101:N1109" si="23">CONCATENATE(G1,".",K1,".",M1)</f>
        <v>..</v>
      </c>
      <c r="O1101" s="14" t="e">
        <f>LOOKUP(N1,'Matrice AP'!A:A,'Matrice AP'!H:H)</f>
        <v>#N/A</v>
      </c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</row>
    <row r="1102" spans="1:39" ht="42" x14ac:dyDescent="0.3">
      <c r="A1102" s="1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  <c r="N1102" s="21" t="str">
        <f t="shared" si="23"/>
        <v>Sévérité.Occurrence.Détection</v>
      </c>
      <c r="O1102" s="14" t="e">
        <f>LOOKUP(N2,'Matrice AP'!A:A,'Matrice AP'!H:H)</f>
        <v>#N/A</v>
      </c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</row>
    <row r="1103" spans="1:39" ht="21" x14ac:dyDescent="0.3">
      <c r="A1103" s="12"/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  <c r="L1103" s="12"/>
      <c r="M1103" s="12"/>
      <c r="N1103" s="21" t="str">
        <f t="shared" si="23"/>
        <v>..</v>
      </c>
      <c r="O1103" s="14" t="e">
        <f>LOOKUP(N3,'Matrice AP'!A:A,'Matrice AP'!H:H)</f>
        <v>#N/A</v>
      </c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</row>
    <row r="1104" spans="1:39" ht="21" x14ac:dyDescent="0.3">
      <c r="A1104" s="12"/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  <c r="N1104" s="21" t="str">
        <f t="shared" si="23"/>
        <v>3.9.1</v>
      </c>
      <c r="O1104" s="14" t="e">
        <f>LOOKUP(N4,'Matrice AP'!A:A,'Matrice AP'!H:H)</f>
        <v>#N/A</v>
      </c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</row>
    <row r="1105" spans="1:39" ht="21" x14ac:dyDescent="0.3">
      <c r="A1105" s="12"/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  <c r="N1105" s="21" t="str">
        <f t="shared" si="23"/>
        <v>5.3.2</v>
      </c>
      <c r="O1105" s="14" t="e">
        <f>LOOKUP(N5,'Matrice AP'!A:A,'Matrice AP'!H:H)</f>
        <v>#N/A</v>
      </c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</row>
    <row r="1106" spans="1:39" ht="21" x14ac:dyDescent="0.3">
      <c r="A1106" s="12"/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21" t="str">
        <f t="shared" si="23"/>
        <v>5.8.1</v>
      </c>
      <c r="O1106" s="14" t="e">
        <f>LOOKUP(N6,'Matrice AP'!A:A,'Matrice AP'!H:H)</f>
        <v>#N/A</v>
      </c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</row>
    <row r="1107" spans="1:39" ht="21" x14ac:dyDescent="0.3">
      <c r="A1107" s="12"/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  <c r="L1107" s="12"/>
      <c r="M1107" s="12"/>
      <c r="N1107" s="21" t="str">
        <f t="shared" si="23"/>
        <v>4.2.1</v>
      </c>
      <c r="O1107" s="14" t="e">
        <f>LOOKUP(N7,'Matrice AP'!A:A,'Matrice AP'!H:H)</f>
        <v>#N/A</v>
      </c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</row>
    <row r="1108" spans="1:39" ht="21" x14ac:dyDescent="0.3">
      <c r="A1108" s="12"/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  <c r="L1108" s="12"/>
      <c r="M1108" s="12"/>
      <c r="N1108" s="21" t="str">
        <f t="shared" si="23"/>
        <v>6.3.2</v>
      </c>
      <c r="O1108" s="14" t="e">
        <f>LOOKUP(N8,'Matrice AP'!A:A,'Matrice AP'!H:H)</f>
        <v>#N/A</v>
      </c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</row>
    <row r="1109" spans="1:39" ht="21" x14ac:dyDescent="0.3">
      <c r="A1109" s="12"/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  <c r="L1109" s="12"/>
      <c r="M1109" s="12"/>
      <c r="N1109" s="21" t="str">
        <f t="shared" si="23"/>
        <v>3.3.10</v>
      </c>
      <c r="O1109" s="14" t="e">
        <f>LOOKUP(N9,'Matrice AP'!A:A,'Matrice AP'!H:H)</f>
        <v>#N/A</v>
      </c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</row>
    <row r="1110" spans="1:39" ht="21" x14ac:dyDescent="0.3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  <c r="N1110" s="21" t="e">
        <f>CONCATENATE(GA,".",KA,".",MA)</f>
        <v>#NAME?</v>
      </c>
      <c r="O1110" s="14" t="e">
        <f>LOOKUP(NA,'Matrice AP'!A:A,'Matrice AP'!H:H)</f>
        <v>#NAME?</v>
      </c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</row>
    <row r="1111" spans="1:39" ht="21" x14ac:dyDescent="0.3">
      <c r="A1111" s="12"/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  <c r="N1111" s="21" t="str">
        <f t="shared" ref="N1111:N1130" si="24">CONCATENATE(G1111,".",K1111,".",M1111)</f>
        <v>..</v>
      </c>
      <c r="O1111" s="14" t="e">
        <f>LOOKUP(N1111,'Matrice AP'!A:A,'Matrice AP'!H:H)</f>
        <v>#N/A</v>
      </c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</row>
    <row r="1112" spans="1:39" ht="21" x14ac:dyDescent="0.3">
      <c r="A1112" s="12"/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  <c r="N1112" s="21" t="str">
        <f t="shared" si="24"/>
        <v>..</v>
      </c>
      <c r="O1112" s="14" t="e">
        <f>LOOKUP(N1112,'Matrice AP'!A:A,'Matrice AP'!H:H)</f>
        <v>#N/A</v>
      </c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</row>
    <row r="1113" spans="1:39" ht="21" x14ac:dyDescent="0.3">
      <c r="A1113" s="12"/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  <c r="N1113" s="21" t="str">
        <f t="shared" si="24"/>
        <v>..</v>
      </c>
      <c r="O1113" s="14" t="e">
        <f>LOOKUP(N1113,'Matrice AP'!A:A,'Matrice AP'!H:H)</f>
        <v>#N/A</v>
      </c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</row>
    <row r="1114" spans="1:39" ht="21" x14ac:dyDescent="0.3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21" t="str">
        <f t="shared" si="24"/>
        <v>..</v>
      </c>
      <c r="O1114" s="14" t="e">
        <f>LOOKUP(N1114,'Matrice AP'!A:A,'Matrice AP'!H:H)</f>
        <v>#N/A</v>
      </c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</row>
    <row r="1115" spans="1:39" ht="21" x14ac:dyDescent="0.3">
      <c r="A1115" s="12"/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  <c r="N1115" s="21" t="str">
        <f t="shared" si="24"/>
        <v>..</v>
      </c>
      <c r="O1115" s="14" t="e">
        <f>LOOKUP(N1115,'Matrice AP'!A:A,'Matrice AP'!H:H)</f>
        <v>#N/A</v>
      </c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</row>
    <row r="1116" spans="1:39" ht="21" x14ac:dyDescent="0.3">
      <c r="A1116" s="12"/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  <c r="L1116" s="12"/>
      <c r="M1116" s="12"/>
      <c r="N1116" s="21" t="str">
        <f t="shared" si="24"/>
        <v>..</v>
      </c>
      <c r="O1116" s="14" t="e">
        <f>LOOKUP(N1116,'Matrice AP'!A:A,'Matrice AP'!H:H)</f>
        <v>#N/A</v>
      </c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</row>
    <row r="1117" spans="1:39" ht="21" x14ac:dyDescent="0.3">
      <c r="A1117" s="12"/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  <c r="L1117" s="12"/>
      <c r="M1117" s="12"/>
      <c r="N1117" s="21" t="str">
        <f t="shared" si="24"/>
        <v>..</v>
      </c>
      <c r="O1117" s="14" t="e">
        <f>LOOKUP(N1117,'Matrice AP'!A:A,'Matrice AP'!H:H)</f>
        <v>#N/A</v>
      </c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</row>
    <row r="1118" spans="1:39" ht="21" x14ac:dyDescent="0.3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21" t="str">
        <f t="shared" si="24"/>
        <v>..</v>
      </c>
      <c r="O1118" s="14" t="e">
        <f>LOOKUP(N1118,'Matrice AP'!A:A,'Matrice AP'!H:H)</f>
        <v>#N/A</v>
      </c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</row>
    <row r="1119" spans="1:39" ht="21" x14ac:dyDescent="0.3">
      <c r="A1119" s="12"/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21" t="str">
        <f t="shared" si="24"/>
        <v>..</v>
      </c>
      <c r="O1119" s="14" t="e">
        <f>LOOKUP(N1119,'Matrice AP'!A:A,'Matrice AP'!H:H)</f>
        <v>#N/A</v>
      </c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</row>
    <row r="1120" spans="1:39" ht="21" x14ac:dyDescent="0.3">
      <c r="A1120" s="12"/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  <c r="N1120" s="21" t="str">
        <f t="shared" si="24"/>
        <v>..</v>
      </c>
      <c r="O1120" s="14" t="e">
        <f>LOOKUP(N1120,'Matrice AP'!A:A,'Matrice AP'!H:H)</f>
        <v>#N/A</v>
      </c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</row>
    <row r="1121" spans="1:39" ht="21" x14ac:dyDescent="0.3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21" t="str">
        <f t="shared" si="24"/>
        <v>..</v>
      </c>
      <c r="O1121" s="14" t="e">
        <f>LOOKUP(N1121,'Matrice AP'!A:A,'Matrice AP'!H:H)</f>
        <v>#N/A</v>
      </c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</row>
    <row r="1122" spans="1:39" ht="21" x14ac:dyDescent="0.3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  <c r="N1122" s="21" t="str">
        <f t="shared" si="24"/>
        <v>..</v>
      </c>
      <c r="O1122" s="14" t="e">
        <f>LOOKUP(N1122,'Matrice AP'!A:A,'Matrice AP'!H:H)</f>
        <v>#N/A</v>
      </c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</row>
    <row r="1123" spans="1:39" ht="21" x14ac:dyDescent="0.3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21" t="str">
        <f t="shared" si="24"/>
        <v>..</v>
      </c>
      <c r="O1123" s="14" t="e">
        <f>LOOKUP(N1123,'Matrice AP'!A:A,'Matrice AP'!H:H)</f>
        <v>#N/A</v>
      </c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</row>
    <row r="1124" spans="1:39" ht="21" x14ac:dyDescent="0.3">
      <c r="A1124" s="12"/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  <c r="L1124" s="12"/>
      <c r="M1124" s="12"/>
      <c r="N1124" s="21" t="str">
        <f t="shared" si="24"/>
        <v>..</v>
      </c>
      <c r="O1124" s="14" t="e">
        <f>LOOKUP(N1124,'Matrice AP'!A:A,'Matrice AP'!H:H)</f>
        <v>#N/A</v>
      </c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</row>
    <row r="1125" spans="1:39" ht="21" x14ac:dyDescent="0.3">
      <c r="A1125" s="12"/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  <c r="N1125" s="21" t="str">
        <f t="shared" si="24"/>
        <v>..</v>
      </c>
      <c r="O1125" s="14" t="e">
        <f>LOOKUP(N1125,'Matrice AP'!A:A,'Matrice AP'!H:H)</f>
        <v>#N/A</v>
      </c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</row>
    <row r="1126" spans="1:39" ht="21" x14ac:dyDescent="0.3">
      <c r="A1126" s="12"/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  <c r="N1126" s="21" t="str">
        <f t="shared" si="24"/>
        <v>..</v>
      </c>
      <c r="O1126" s="14" t="e">
        <f>LOOKUP(N1126,'Matrice AP'!A:A,'Matrice AP'!H:H)</f>
        <v>#N/A</v>
      </c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</row>
    <row r="1127" spans="1:39" ht="21" x14ac:dyDescent="0.3">
      <c r="A1127" s="12"/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  <c r="N1127" s="21" t="str">
        <f t="shared" si="24"/>
        <v>..</v>
      </c>
      <c r="O1127" s="14" t="e">
        <f>LOOKUP(N1127,'Matrice AP'!A:A,'Matrice AP'!H:H)</f>
        <v>#N/A</v>
      </c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</row>
    <row r="1128" spans="1:39" ht="21" x14ac:dyDescent="0.3">
      <c r="A1128" s="1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21" t="str">
        <f t="shared" si="24"/>
        <v>..</v>
      </c>
      <c r="O1128" s="14" t="e">
        <f>LOOKUP(N1128,'Matrice AP'!A:A,'Matrice AP'!H:H)</f>
        <v>#N/A</v>
      </c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</row>
    <row r="1129" spans="1:39" ht="21" x14ac:dyDescent="0.3">
      <c r="A1129" s="12"/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  <c r="L1129" s="12"/>
      <c r="M1129" s="12"/>
      <c r="N1129" s="21" t="str">
        <f t="shared" si="24"/>
        <v>..</v>
      </c>
      <c r="O1129" s="14" t="e">
        <f>LOOKUP(N1129,'Matrice AP'!A:A,'Matrice AP'!H:H)</f>
        <v>#N/A</v>
      </c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</row>
    <row r="1130" spans="1:39" ht="21" x14ac:dyDescent="0.3">
      <c r="A1130" s="12"/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  <c r="L1130" s="12"/>
      <c r="M1130" s="12"/>
      <c r="N1130" s="21" t="str">
        <f t="shared" si="24"/>
        <v>..</v>
      </c>
      <c r="O1130" s="14" t="e">
        <f>LOOKUP(N1130,'Matrice AP'!A:A,'Matrice AP'!H:H)</f>
        <v>#N/A</v>
      </c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</row>
    <row r="1131" spans="1:39" ht="21" x14ac:dyDescent="0.3">
      <c r="A1131" s="12"/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  <c r="L1131" s="12"/>
      <c r="M1131" s="12"/>
      <c r="N1131" s="21"/>
      <c r="O1131" s="12"/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</row>
    <row r="1132" spans="1:39" ht="21" x14ac:dyDescent="0.3">
      <c r="A1132" s="12"/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21"/>
      <c r="O1132" s="12"/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</row>
    <row r="1133" spans="1:39" ht="21" x14ac:dyDescent="0.3">
      <c r="A1133" s="12"/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21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</row>
    <row r="1134" spans="1:39" ht="21" x14ac:dyDescent="0.3">
      <c r="A1134" s="12"/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  <c r="N1134" s="21"/>
      <c r="O1134" s="12"/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</row>
    <row r="1135" spans="1:39" ht="21" x14ac:dyDescent="0.3">
      <c r="A1135" s="12"/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  <c r="N1135" s="21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</row>
    <row r="1136" spans="1:39" ht="21" x14ac:dyDescent="0.3">
      <c r="A1136" s="12"/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  <c r="N1136" s="21"/>
      <c r="O1136" s="12"/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</row>
    <row r="1137" spans="1:39" ht="21" x14ac:dyDescent="0.3">
      <c r="A1137" s="12"/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  <c r="L1137" s="12"/>
      <c r="M1137" s="12"/>
      <c r="N1137" s="21"/>
      <c r="O1137" s="12"/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</row>
    <row r="1138" spans="1:39" ht="21" x14ac:dyDescent="0.3">
      <c r="A1138" s="12"/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21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</row>
    <row r="1139" spans="1:39" ht="21" x14ac:dyDescent="0.3">
      <c r="A1139" s="12"/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  <c r="L1139" s="12"/>
      <c r="M1139" s="12"/>
      <c r="N1139" s="21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</row>
    <row r="1140" spans="1:39" ht="21" x14ac:dyDescent="0.3">
      <c r="A1140" s="12"/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  <c r="N1140" s="21"/>
      <c r="O1140" s="12"/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</row>
    <row r="1141" spans="1:39" ht="21" x14ac:dyDescent="0.3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21"/>
      <c r="O1141" s="12"/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</row>
    <row r="1142" spans="1:39" ht="21" x14ac:dyDescent="0.3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21"/>
      <c r="O1142" s="12"/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</row>
    <row r="1143" spans="1:39" ht="21" x14ac:dyDescent="0.3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21"/>
      <c r="O1143" s="12"/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</row>
    <row r="1144" spans="1:39" ht="21" x14ac:dyDescent="0.3">
      <c r="A1144" s="12"/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  <c r="L1144" s="12"/>
      <c r="M1144" s="12"/>
      <c r="N1144" s="21"/>
      <c r="O1144" s="12"/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</row>
    <row r="1145" spans="1:39" ht="21" x14ac:dyDescent="0.3">
      <c r="A1145" s="12"/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  <c r="L1145" s="12"/>
      <c r="M1145" s="12"/>
      <c r="N1145" s="21"/>
      <c r="O1145" s="12"/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</row>
    <row r="1146" spans="1:39" ht="21" x14ac:dyDescent="0.3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21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</row>
    <row r="1147" spans="1:39" ht="21" x14ac:dyDescent="0.3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21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</row>
    <row r="1148" spans="1:39" ht="21" x14ac:dyDescent="0.3">
      <c r="A1148" s="12"/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21"/>
      <c r="O1148" s="12"/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</row>
    <row r="1149" spans="1:39" ht="21" x14ac:dyDescent="0.3">
      <c r="A1149" s="12"/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  <c r="N1149" s="21"/>
      <c r="O1149" s="12"/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</row>
    <row r="1150" spans="1:39" ht="21" x14ac:dyDescent="0.3">
      <c r="A1150" s="12"/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  <c r="N1150" s="21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</row>
    <row r="1151" spans="1:39" ht="21" x14ac:dyDescent="0.3">
      <c r="A1151" s="12"/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  <c r="N1151" s="21"/>
      <c r="O1151" s="12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</row>
    <row r="1152" spans="1:39" ht="21" x14ac:dyDescent="0.3">
      <c r="A1152" s="12"/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  <c r="L1152" s="12"/>
      <c r="M1152" s="12"/>
      <c r="N1152" s="21"/>
      <c r="O1152" s="12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</row>
    <row r="1153" spans="1:39" ht="21" x14ac:dyDescent="0.3">
      <c r="A1153" s="12"/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  <c r="L1153" s="12"/>
      <c r="M1153" s="12"/>
      <c r="N1153" s="21"/>
      <c r="O1153" s="12"/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</row>
    <row r="1154" spans="1:39" ht="21" x14ac:dyDescent="0.3">
      <c r="A1154" s="12"/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  <c r="L1154" s="12"/>
      <c r="M1154" s="12"/>
      <c r="N1154" s="21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</row>
    <row r="1155" spans="1:39" ht="21" x14ac:dyDescent="0.3">
      <c r="A1155" s="12"/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  <c r="L1155" s="12"/>
      <c r="M1155" s="12"/>
      <c r="N1155" s="21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</row>
    <row r="1156" spans="1:39" ht="21" x14ac:dyDescent="0.3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21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</row>
    <row r="1157" spans="1:39" ht="21" x14ac:dyDescent="0.3">
      <c r="A1157" s="12"/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21"/>
      <c r="O1157" s="12"/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</row>
    <row r="1158" spans="1:39" ht="21" x14ac:dyDescent="0.3">
      <c r="A1158" s="12"/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  <c r="N1158" s="21"/>
      <c r="O1158" s="12"/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</row>
    <row r="1159" spans="1:39" ht="21" x14ac:dyDescent="0.3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  <c r="N1159" s="21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</row>
    <row r="1160" spans="1:39" ht="21" x14ac:dyDescent="0.3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  <c r="N1160" s="21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</row>
    <row r="1161" spans="1:39" ht="21" x14ac:dyDescent="0.3">
      <c r="A1161" s="12"/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  <c r="L1161" s="12"/>
      <c r="M1161" s="12"/>
      <c r="N1161" s="21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</row>
    <row r="1162" spans="1:39" ht="21" x14ac:dyDescent="0.3">
      <c r="A1162" s="12"/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21"/>
      <c r="O1162" s="12"/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</row>
    <row r="1163" spans="1:39" ht="21" x14ac:dyDescent="0.3">
      <c r="A1163" s="12"/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21"/>
      <c r="O1163" s="12"/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</row>
    <row r="1164" spans="1:39" ht="21" x14ac:dyDescent="0.3">
      <c r="A1164" s="12"/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21"/>
      <c r="O1164" s="12"/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</row>
    <row r="1165" spans="1:39" ht="21" x14ac:dyDescent="0.3">
      <c r="A1165" s="12"/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  <c r="N1165" s="21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</row>
    <row r="1166" spans="1:39" ht="21" x14ac:dyDescent="0.3">
      <c r="A1166" s="12"/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  <c r="L1166" s="12"/>
      <c r="M1166" s="12"/>
      <c r="N1166" s="21"/>
      <c r="O1166" s="12"/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</row>
    <row r="1167" spans="1:39" ht="21" x14ac:dyDescent="0.3">
      <c r="A1167" s="12"/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  <c r="L1167" s="12"/>
      <c r="M1167" s="12"/>
      <c r="N1167" s="21"/>
      <c r="O1167" s="12"/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</row>
    <row r="1168" spans="1:39" ht="21" x14ac:dyDescent="0.3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21"/>
      <c r="O1168" s="12"/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</row>
    <row r="1169" spans="1:39" ht="21" x14ac:dyDescent="0.3">
      <c r="A1169" s="12"/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  <c r="L1169" s="12"/>
      <c r="M1169" s="12"/>
      <c r="N1169" s="21"/>
      <c r="O1169" s="12"/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</row>
    <row r="1170" spans="1:39" ht="21" x14ac:dyDescent="0.3">
      <c r="A1170" s="12"/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  <c r="N1170" s="21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</row>
    <row r="1171" spans="1:39" ht="21" x14ac:dyDescent="0.3">
      <c r="A1171" s="12"/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  <c r="N1171" s="21"/>
      <c r="O1171" s="12"/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</row>
    <row r="1172" spans="1:39" ht="21" x14ac:dyDescent="0.3">
      <c r="A1172" s="12"/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  <c r="N1172" s="21"/>
      <c r="O1172" s="12"/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</row>
    <row r="1173" spans="1:39" ht="21" x14ac:dyDescent="0.3">
      <c r="A1173" s="1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12"/>
      <c r="M1173" s="12"/>
      <c r="N1173" s="21"/>
      <c r="O1173" s="12"/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</row>
    <row r="1174" spans="1:39" ht="21" x14ac:dyDescent="0.3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21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</row>
    <row r="1175" spans="1:39" ht="21" x14ac:dyDescent="0.3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21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</row>
    <row r="1176" spans="1:39" ht="21" x14ac:dyDescent="0.3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21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</row>
    <row r="1177" spans="1:39" ht="21" x14ac:dyDescent="0.3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21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</row>
    <row r="1178" spans="1:39" ht="21" x14ac:dyDescent="0.3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21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</row>
    <row r="1179" spans="1:39" ht="21" x14ac:dyDescent="0.3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21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</row>
    <row r="1180" spans="1:39" ht="21" x14ac:dyDescent="0.3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21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</row>
    <row r="1181" spans="1:39" ht="21" x14ac:dyDescent="0.3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21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</row>
    <row r="1182" spans="1:39" ht="21" x14ac:dyDescent="0.3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21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</row>
    <row r="1183" spans="1:39" ht="21" x14ac:dyDescent="0.3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21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</row>
    <row r="1184" spans="1:39" ht="21" x14ac:dyDescent="0.3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21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</row>
    <row r="1185" spans="1:39" ht="21" x14ac:dyDescent="0.3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21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</row>
    <row r="1186" spans="1:39" ht="21" x14ac:dyDescent="0.3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21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</row>
    <row r="1187" spans="1:39" ht="21" x14ac:dyDescent="0.3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21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</row>
    <row r="1188" spans="1:39" ht="21" x14ac:dyDescent="0.3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21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</row>
    <row r="1189" spans="1:39" ht="21" x14ac:dyDescent="0.3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21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</row>
    <row r="1190" spans="1:39" ht="21" x14ac:dyDescent="0.3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21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</row>
    <row r="1191" spans="1:39" ht="21" x14ac:dyDescent="0.3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21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</row>
    <row r="1192" spans="1:39" ht="21" x14ac:dyDescent="0.3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21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</row>
    <row r="1193" spans="1:39" ht="21" x14ac:dyDescent="0.3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21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</row>
    <row r="1194" spans="1:39" ht="21" x14ac:dyDescent="0.3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21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</row>
    <row r="1195" spans="1:39" ht="21" x14ac:dyDescent="0.3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21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</row>
    <row r="1196" spans="1:39" ht="21" x14ac:dyDescent="0.3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21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</row>
    <row r="1197" spans="1:39" ht="21" x14ac:dyDescent="0.3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21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</row>
    <row r="1198" spans="1:39" ht="21" x14ac:dyDescent="0.3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21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</row>
    <row r="1199" spans="1:39" ht="21" x14ac:dyDescent="0.3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21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</row>
    <row r="1200" spans="1:39" ht="21" x14ac:dyDescent="0.3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21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</row>
    <row r="1201" spans="1:39" ht="21" x14ac:dyDescent="0.3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21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</row>
    <row r="1202" spans="1:39" ht="21" x14ac:dyDescent="0.3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21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</row>
    <row r="1203" spans="1:39" ht="21" x14ac:dyDescent="0.3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21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M1203" s="1"/>
    </row>
    <row r="1204" spans="1:39" ht="21" x14ac:dyDescent="0.3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21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</row>
    <row r="1205" spans="1:39" ht="21" x14ac:dyDescent="0.3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21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</row>
    <row r="1206" spans="1:39" ht="21" x14ac:dyDescent="0.3">
      <c r="A1206" s="12"/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  <c r="L1206" s="12"/>
      <c r="M1206" s="12"/>
      <c r="N1206" s="21"/>
      <c r="O1206" s="12"/>
      <c r="P1206" s="12"/>
      <c r="Q1206" s="12"/>
      <c r="R1206" s="12"/>
      <c r="S1206" s="12"/>
      <c r="T1206" s="12"/>
      <c r="U1206" s="12"/>
      <c r="V1206" s="12"/>
      <c r="W1206" s="12"/>
      <c r="X1206" s="12"/>
      <c r="Y1206" s="12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</row>
    <row r="1207" spans="1:39" ht="21" x14ac:dyDescent="0.3">
      <c r="A1207" s="12"/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  <c r="L1207" s="12"/>
      <c r="M1207" s="12"/>
      <c r="N1207" s="21"/>
      <c r="O1207" s="12"/>
      <c r="P1207" s="12"/>
      <c r="Q1207" s="12"/>
      <c r="R1207" s="12"/>
      <c r="S1207" s="12"/>
      <c r="T1207" s="12"/>
      <c r="U1207" s="12"/>
      <c r="V1207" s="12"/>
      <c r="W1207" s="12"/>
      <c r="X1207" s="12"/>
      <c r="Y1207" s="12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</row>
    <row r="1208" spans="1:39" ht="21" x14ac:dyDescent="0.3">
      <c r="A1208" s="12"/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21"/>
      <c r="O1208" s="12"/>
      <c r="P1208" s="12"/>
      <c r="Q1208" s="12"/>
      <c r="R1208" s="12"/>
      <c r="S1208" s="12"/>
      <c r="T1208" s="12"/>
      <c r="U1208" s="12"/>
      <c r="V1208" s="12"/>
      <c r="W1208" s="12"/>
      <c r="X1208" s="12"/>
      <c r="Y1208" s="12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</row>
    <row r="1209" spans="1:39" ht="21" x14ac:dyDescent="0.3">
      <c r="A1209" s="12"/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  <c r="N1209" s="21"/>
      <c r="O1209" s="12"/>
      <c r="P1209" s="12"/>
      <c r="Q1209" s="12"/>
      <c r="R1209" s="12"/>
      <c r="S1209" s="12"/>
      <c r="T1209" s="12"/>
      <c r="U1209" s="12"/>
      <c r="V1209" s="12"/>
      <c r="W1209" s="12"/>
      <c r="X1209" s="12"/>
      <c r="Y1209" s="12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</row>
    <row r="1210" spans="1:39" ht="21" x14ac:dyDescent="0.3">
      <c r="A1210" s="12"/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  <c r="N1210" s="21"/>
      <c r="O1210" s="12"/>
      <c r="P1210" s="12"/>
      <c r="Q1210" s="12"/>
      <c r="R1210" s="12"/>
      <c r="S1210" s="12"/>
      <c r="T1210" s="12"/>
      <c r="U1210" s="12"/>
      <c r="V1210" s="12"/>
      <c r="W1210" s="12"/>
      <c r="X1210" s="12"/>
      <c r="Y1210" s="12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</row>
    <row r="1211" spans="1:39" ht="21" x14ac:dyDescent="0.3">
      <c r="A1211" s="12"/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  <c r="L1211" s="12"/>
      <c r="M1211" s="12"/>
      <c r="N1211" s="21"/>
      <c r="O1211" s="12"/>
      <c r="P1211" s="12"/>
      <c r="Q1211" s="12"/>
      <c r="R1211" s="12"/>
      <c r="S1211" s="12"/>
      <c r="T1211" s="12"/>
      <c r="U1211" s="12"/>
      <c r="V1211" s="12"/>
      <c r="W1211" s="12"/>
      <c r="X1211" s="12"/>
      <c r="Y1211" s="12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</row>
    <row r="1212" spans="1:39" ht="21" x14ac:dyDescent="0.3">
      <c r="A1212" s="12"/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  <c r="L1212" s="12"/>
      <c r="M1212" s="12"/>
      <c r="N1212" s="21"/>
      <c r="O1212" s="12"/>
      <c r="P1212" s="12"/>
      <c r="Q1212" s="12"/>
      <c r="R1212" s="12"/>
      <c r="S1212" s="12"/>
      <c r="T1212" s="12"/>
      <c r="U1212" s="12"/>
      <c r="V1212" s="12"/>
      <c r="W1212" s="12"/>
      <c r="X1212" s="12"/>
      <c r="Y1212" s="12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</row>
    <row r="1213" spans="1:39" ht="21" x14ac:dyDescent="0.3">
      <c r="A1213" s="12"/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  <c r="L1213" s="12"/>
      <c r="M1213" s="12"/>
      <c r="N1213" s="21"/>
      <c r="O1213" s="12"/>
      <c r="P1213" s="12"/>
      <c r="Q1213" s="12"/>
      <c r="R1213" s="12"/>
      <c r="S1213" s="12"/>
      <c r="T1213" s="12"/>
      <c r="U1213" s="12"/>
      <c r="V1213" s="12"/>
      <c r="W1213" s="12"/>
      <c r="X1213" s="12"/>
      <c r="Y1213" s="12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</row>
    <row r="1214" spans="1:39" ht="21" x14ac:dyDescent="0.3">
      <c r="A1214" s="12"/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  <c r="N1214" s="21"/>
      <c r="O1214" s="12"/>
      <c r="P1214" s="12"/>
      <c r="Q1214" s="12"/>
      <c r="R1214" s="12"/>
      <c r="S1214" s="12"/>
      <c r="T1214" s="12"/>
      <c r="U1214" s="12"/>
      <c r="V1214" s="12"/>
      <c r="W1214" s="12"/>
      <c r="X1214" s="12"/>
      <c r="Y1214" s="12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</row>
    <row r="1215" spans="1:39" ht="21" x14ac:dyDescent="0.3">
      <c r="A1215" s="12"/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  <c r="N1215" s="21"/>
      <c r="O1215" s="12"/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</row>
    <row r="1216" spans="1:39" ht="21" x14ac:dyDescent="0.3">
      <c r="A1216" s="12"/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  <c r="N1216" s="21"/>
      <c r="O1216" s="12"/>
      <c r="P1216" s="12"/>
      <c r="Q1216" s="12"/>
      <c r="R1216" s="12"/>
      <c r="S1216" s="12"/>
      <c r="T1216" s="12"/>
      <c r="U1216" s="12"/>
      <c r="V1216" s="12"/>
      <c r="W1216" s="12"/>
      <c r="X1216" s="12"/>
      <c r="Y1216" s="12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</row>
    <row r="1217" spans="1:39" ht="21" x14ac:dyDescent="0.3">
      <c r="A1217" s="12"/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  <c r="N1217" s="21"/>
      <c r="O1217" s="12"/>
      <c r="P1217" s="12"/>
      <c r="Q1217" s="12"/>
      <c r="R1217" s="12"/>
      <c r="S1217" s="12"/>
      <c r="T1217" s="12"/>
      <c r="U1217" s="12"/>
      <c r="V1217" s="12"/>
      <c r="W1217" s="12"/>
      <c r="X1217" s="12"/>
      <c r="Y1217" s="12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</row>
    <row r="1218" spans="1:39" ht="21" x14ac:dyDescent="0.3">
      <c r="A1218" s="12"/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  <c r="L1218" s="12"/>
      <c r="M1218" s="12"/>
      <c r="N1218" s="21"/>
      <c r="O1218" s="12"/>
      <c r="P1218" s="12"/>
      <c r="Q1218" s="12"/>
      <c r="R1218" s="12"/>
      <c r="S1218" s="12"/>
      <c r="T1218" s="12"/>
      <c r="U1218" s="12"/>
      <c r="V1218" s="12"/>
      <c r="W1218" s="12"/>
      <c r="X1218" s="12"/>
      <c r="Y1218" s="12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</row>
    <row r="1219" spans="1:39" ht="21" x14ac:dyDescent="0.3">
      <c r="A1219" s="12"/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  <c r="L1219" s="12"/>
      <c r="M1219" s="12"/>
      <c r="N1219" s="21"/>
      <c r="O1219" s="12"/>
      <c r="P1219" s="12"/>
      <c r="Q1219" s="12"/>
      <c r="R1219" s="12"/>
      <c r="S1219" s="12"/>
      <c r="T1219" s="12"/>
      <c r="U1219" s="12"/>
      <c r="V1219" s="12"/>
      <c r="W1219" s="12"/>
      <c r="X1219" s="12"/>
      <c r="Y1219" s="12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</row>
    <row r="1220" spans="1:39" ht="21" x14ac:dyDescent="0.3">
      <c r="A1220" s="12"/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  <c r="N1220" s="21"/>
      <c r="O1220" s="12"/>
      <c r="P1220" s="12"/>
      <c r="Q1220" s="12"/>
      <c r="R1220" s="12"/>
      <c r="S1220" s="12"/>
      <c r="T1220" s="12"/>
      <c r="U1220" s="12"/>
      <c r="V1220" s="12"/>
      <c r="W1220" s="12"/>
      <c r="X1220" s="12"/>
      <c r="Y1220" s="12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</row>
    <row r="1221" spans="1:39" ht="21" x14ac:dyDescent="0.3">
      <c r="A1221" s="12"/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  <c r="L1221" s="12"/>
      <c r="M1221" s="12"/>
      <c r="N1221" s="21"/>
      <c r="O1221" s="12"/>
      <c r="P1221" s="12"/>
      <c r="Q1221" s="12"/>
      <c r="R1221" s="12"/>
      <c r="S1221" s="12"/>
      <c r="T1221" s="12"/>
      <c r="U1221" s="12"/>
      <c r="V1221" s="12"/>
      <c r="W1221" s="12"/>
      <c r="X1221" s="12"/>
      <c r="Y1221" s="12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</row>
    <row r="1222" spans="1:39" ht="21" x14ac:dyDescent="0.3">
      <c r="A1222" s="12"/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21"/>
      <c r="O1222" s="12"/>
      <c r="P1222" s="12"/>
      <c r="Q1222" s="12"/>
      <c r="R1222" s="12"/>
      <c r="S1222" s="12"/>
      <c r="T1222" s="12"/>
      <c r="U1222" s="12"/>
      <c r="V1222" s="12"/>
      <c r="W1222" s="12"/>
      <c r="X1222" s="12"/>
      <c r="Y1222" s="12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</row>
    <row r="1223" spans="1:39" ht="21" x14ac:dyDescent="0.3">
      <c r="A1223" s="12"/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21"/>
      <c r="O1223" s="12"/>
      <c r="P1223" s="12"/>
      <c r="Q1223" s="12"/>
      <c r="R1223" s="12"/>
      <c r="S1223" s="12"/>
      <c r="T1223" s="12"/>
      <c r="U1223" s="12"/>
      <c r="V1223" s="12"/>
      <c r="W1223" s="12"/>
      <c r="X1223" s="12"/>
      <c r="Y1223" s="12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</row>
    <row r="1224" spans="1:39" ht="21" x14ac:dyDescent="0.3">
      <c r="A1224" s="12"/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21"/>
      <c r="O1224" s="12"/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</row>
    <row r="1225" spans="1:39" ht="21" x14ac:dyDescent="0.3">
      <c r="A1225" s="12"/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  <c r="L1225" s="12"/>
      <c r="M1225" s="12"/>
      <c r="N1225" s="21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</row>
    <row r="1226" spans="1:39" ht="21" x14ac:dyDescent="0.3">
      <c r="A1226" s="12"/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  <c r="N1226" s="21"/>
      <c r="O1226" s="12"/>
      <c r="P1226" s="12"/>
      <c r="Q1226" s="12"/>
      <c r="R1226" s="12"/>
      <c r="S1226" s="12"/>
      <c r="T1226" s="12"/>
      <c r="U1226" s="12"/>
      <c r="V1226" s="12"/>
      <c r="W1226" s="12"/>
      <c r="X1226" s="12"/>
      <c r="Y1226" s="12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</row>
    <row r="1227" spans="1:39" ht="21" x14ac:dyDescent="0.3">
      <c r="A1227" s="12"/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  <c r="L1227" s="12"/>
      <c r="M1227" s="12"/>
      <c r="N1227" s="21"/>
      <c r="O1227" s="12"/>
      <c r="P1227" s="12"/>
      <c r="Q1227" s="12"/>
      <c r="R1227" s="12"/>
      <c r="S1227" s="12"/>
      <c r="T1227" s="12"/>
      <c r="U1227" s="12"/>
      <c r="V1227" s="12"/>
      <c r="W1227" s="12"/>
      <c r="X1227" s="12"/>
      <c r="Y1227" s="12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</row>
    <row r="1228" spans="1:39" ht="21" x14ac:dyDescent="0.3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  <c r="N1228" s="21"/>
      <c r="O1228" s="12"/>
      <c r="P1228" s="12"/>
      <c r="Q1228" s="12"/>
      <c r="R1228" s="12"/>
      <c r="S1228" s="12"/>
      <c r="T1228" s="12"/>
      <c r="U1228" s="12"/>
      <c r="V1228" s="12"/>
      <c r="W1228" s="12"/>
      <c r="X1228" s="12"/>
      <c r="Y1228" s="12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</row>
    <row r="1229" spans="1:39" ht="21" x14ac:dyDescent="0.3">
      <c r="A1229" s="12"/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  <c r="N1229" s="21"/>
      <c r="O1229" s="12"/>
      <c r="P1229" s="12"/>
      <c r="Q1229" s="12"/>
      <c r="R1229" s="12"/>
      <c r="S1229" s="12"/>
      <c r="T1229" s="12"/>
      <c r="U1229" s="12"/>
      <c r="V1229" s="12"/>
      <c r="W1229" s="12"/>
      <c r="X1229" s="12"/>
      <c r="Y1229" s="12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</row>
    <row r="1230" spans="1:39" ht="21" x14ac:dyDescent="0.3">
      <c r="A1230" s="12"/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  <c r="N1230" s="21"/>
      <c r="O1230" s="12"/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</row>
    <row r="1231" spans="1:39" ht="21" x14ac:dyDescent="0.3">
      <c r="A1231" s="12"/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21"/>
      <c r="O1231" s="12"/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</row>
    <row r="1232" spans="1:39" ht="21" x14ac:dyDescent="0.3">
      <c r="A1232" s="12"/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  <c r="N1232" s="21"/>
      <c r="O1232" s="12"/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</row>
    <row r="1233" spans="1:39" ht="21" x14ac:dyDescent="0.3">
      <c r="A1233" s="12"/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  <c r="L1233" s="12"/>
      <c r="M1233" s="12"/>
      <c r="N1233" s="21"/>
      <c r="O1233" s="12"/>
      <c r="P1233" s="12"/>
      <c r="Q1233" s="12"/>
      <c r="R1233" s="12"/>
      <c r="S1233" s="12"/>
      <c r="T1233" s="12"/>
      <c r="U1233" s="12"/>
      <c r="V1233" s="12"/>
      <c r="W1233" s="12"/>
      <c r="X1233" s="12"/>
      <c r="Y1233" s="12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</row>
    <row r="1234" spans="1:39" ht="21" x14ac:dyDescent="0.3">
      <c r="A1234" s="12"/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  <c r="L1234" s="12"/>
      <c r="M1234" s="12"/>
      <c r="N1234" s="21"/>
      <c r="O1234" s="12"/>
      <c r="P1234" s="12"/>
      <c r="Q1234" s="12"/>
      <c r="R1234" s="12"/>
      <c r="S1234" s="12"/>
      <c r="T1234" s="12"/>
      <c r="U1234" s="12"/>
      <c r="V1234" s="12"/>
      <c r="W1234" s="12"/>
      <c r="X1234" s="12"/>
      <c r="Y1234" s="12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</row>
    <row r="1235" spans="1:39" ht="21" x14ac:dyDescent="0.3">
      <c r="A1235" s="12"/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  <c r="L1235" s="12"/>
      <c r="M1235" s="12"/>
      <c r="N1235" s="21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</row>
    <row r="1236" spans="1:39" ht="21" x14ac:dyDescent="0.3">
      <c r="A1236" s="12"/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  <c r="L1236" s="12"/>
      <c r="M1236" s="12"/>
      <c r="N1236" s="21"/>
      <c r="O1236" s="12"/>
      <c r="P1236" s="12"/>
      <c r="Q1236" s="12"/>
      <c r="R1236" s="12"/>
      <c r="S1236" s="12"/>
      <c r="T1236" s="12"/>
      <c r="U1236" s="12"/>
      <c r="V1236" s="12"/>
      <c r="W1236" s="12"/>
      <c r="X1236" s="12"/>
      <c r="Y1236" s="12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</row>
    <row r="1237" spans="1:39" ht="21" x14ac:dyDescent="0.3">
      <c r="A1237" s="12"/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  <c r="N1237" s="21"/>
      <c r="O1237" s="12"/>
      <c r="P1237" s="12"/>
      <c r="Q1237" s="12"/>
      <c r="R1237" s="12"/>
      <c r="S1237" s="12"/>
      <c r="T1237" s="12"/>
      <c r="U1237" s="12"/>
      <c r="V1237" s="12"/>
      <c r="W1237" s="12"/>
      <c r="X1237" s="12"/>
      <c r="Y1237" s="12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</row>
    <row r="1238" spans="1:39" ht="21" x14ac:dyDescent="0.3">
      <c r="A1238" s="12"/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  <c r="N1238" s="21"/>
      <c r="O1238" s="12"/>
      <c r="P1238" s="12"/>
      <c r="Q1238" s="12"/>
      <c r="R1238" s="12"/>
      <c r="S1238" s="12"/>
      <c r="T1238" s="12"/>
      <c r="U1238" s="12"/>
      <c r="V1238" s="12"/>
      <c r="W1238" s="12"/>
      <c r="X1238" s="12"/>
      <c r="Y1238" s="12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</row>
    <row r="1239" spans="1:39" ht="21" x14ac:dyDescent="0.3">
      <c r="A1239" s="12"/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  <c r="N1239" s="21"/>
      <c r="O1239" s="12"/>
      <c r="P1239" s="12"/>
      <c r="Q1239" s="12"/>
      <c r="R1239" s="12"/>
      <c r="S1239" s="12"/>
      <c r="T1239" s="12"/>
      <c r="U1239" s="12"/>
      <c r="V1239" s="12"/>
      <c r="W1239" s="12"/>
      <c r="X1239" s="12"/>
      <c r="Y1239" s="12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</row>
    <row r="1240" spans="1:39" ht="21" x14ac:dyDescent="0.3">
      <c r="A1240" s="12"/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  <c r="N1240" s="21"/>
      <c r="O1240" s="12"/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</row>
    <row r="1241" spans="1:39" ht="21" x14ac:dyDescent="0.3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  <c r="N1241" s="21"/>
      <c r="O1241" s="12"/>
      <c r="P1241" s="12"/>
      <c r="Q1241" s="12"/>
      <c r="R1241" s="12"/>
      <c r="S1241" s="12"/>
      <c r="T1241" s="12"/>
      <c r="U1241" s="12"/>
      <c r="V1241" s="12"/>
      <c r="W1241" s="12"/>
      <c r="X1241" s="12"/>
      <c r="Y1241" s="12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</row>
    <row r="1242" spans="1:39" ht="21" x14ac:dyDescent="0.3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  <c r="N1242" s="21"/>
      <c r="O1242" s="12"/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</row>
    <row r="1243" spans="1:39" ht="21" x14ac:dyDescent="0.3">
      <c r="A1243" s="12"/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  <c r="L1243" s="12"/>
      <c r="M1243" s="12"/>
      <c r="N1243" s="21"/>
      <c r="O1243" s="12"/>
      <c r="P1243" s="12"/>
      <c r="Q1243" s="12"/>
      <c r="R1243" s="12"/>
      <c r="S1243" s="12"/>
      <c r="T1243" s="12"/>
      <c r="U1243" s="12"/>
      <c r="V1243" s="12"/>
      <c r="W1243" s="12"/>
      <c r="X1243" s="12"/>
      <c r="Y1243" s="12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</row>
    <row r="1244" spans="1:39" ht="21" x14ac:dyDescent="0.3">
      <c r="A1244" s="12"/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21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/>
      <c r="Y1244" s="12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</row>
    <row r="1245" spans="1:39" ht="21" x14ac:dyDescent="0.3">
      <c r="A1245" s="12"/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21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</row>
    <row r="1246" spans="1:39" ht="21" x14ac:dyDescent="0.3">
      <c r="A1246" s="12"/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21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</row>
    <row r="1247" spans="1:39" ht="21" x14ac:dyDescent="0.3">
      <c r="A1247" s="12"/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21"/>
      <c r="O1247" s="12"/>
      <c r="P1247" s="12"/>
      <c r="Q1247" s="12"/>
      <c r="R1247" s="12"/>
      <c r="S1247" s="12"/>
      <c r="T1247" s="12"/>
      <c r="U1247" s="12"/>
      <c r="V1247" s="12"/>
      <c r="W1247" s="12"/>
      <c r="X1247" s="12"/>
      <c r="Y1247" s="12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</row>
    <row r="1248" spans="1:39" ht="21" x14ac:dyDescent="0.3">
      <c r="A1248" s="12"/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21"/>
      <c r="O1248" s="12"/>
      <c r="P1248" s="12"/>
      <c r="Q1248" s="12"/>
      <c r="R1248" s="12"/>
      <c r="S1248" s="12"/>
      <c r="T1248" s="12"/>
      <c r="U1248" s="12"/>
      <c r="V1248" s="12"/>
      <c r="W1248" s="12"/>
      <c r="X1248" s="12"/>
      <c r="Y1248" s="12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</row>
    <row r="1249" spans="1:39" ht="21" x14ac:dyDescent="0.3">
      <c r="A1249" s="12"/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21"/>
      <c r="O1249" s="12"/>
      <c r="P1249" s="12"/>
      <c r="Q1249" s="12"/>
      <c r="R1249" s="12"/>
      <c r="S1249" s="12"/>
      <c r="T1249" s="12"/>
      <c r="U1249" s="12"/>
      <c r="V1249" s="12"/>
      <c r="W1249" s="12"/>
      <c r="X1249" s="12"/>
      <c r="Y1249" s="12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</row>
    <row r="1250" spans="1:39" ht="21" x14ac:dyDescent="0.3">
      <c r="A1250" s="12"/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21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</row>
    <row r="1251" spans="1:39" ht="21" x14ac:dyDescent="0.3">
      <c r="A1251" s="12"/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21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/>
      <c r="Y1251" s="12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</row>
    <row r="1252" spans="1:39" ht="21" x14ac:dyDescent="0.3">
      <c r="A1252" s="12"/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  <c r="L1252" s="12"/>
      <c r="M1252" s="12"/>
      <c r="N1252" s="21"/>
      <c r="O1252" s="12"/>
      <c r="P1252" s="12"/>
      <c r="Q1252" s="12"/>
      <c r="R1252" s="12"/>
      <c r="S1252" s="12"/>
      <c r="T1252" s="12"/>
      <c r="U1252" s="12"/>
      <c r="V1252" s="12"/>
      <c r="W1252" s="12"/>
      <c r="X1252" s="12"/>
      <c r="Y1252" s="12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</row>
    <row r="1253" spans="1:39" ht="21" x14ac:dyDescent="0.3">
      <c r="A1253" s="12"/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  <c r="N1253" s="21"/>
      <c r="O1253" s="12"/>
      <c r="P1253" s="12"/>
      <c r="Q1253" s="12"/>
      <c r="R1253" s="12"/>
      <c r="S1253" s="12"/>
      <c r="T1253" s="12"/>
      <c r="U1253" s="12"/>
      <c r="V1253" s="12"/>
      <c r="W1253" s="12"/>
      <c r="X1253" s="12"/>
      <c r="Y1253" s="12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</row>
    <row r="1254" spans="1:39" ht="21" x14ac:dyDescent="0.3">
      <c r="A1254" s="12"/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  <c r="N1254" s="21"/>
      <c r="O1254" s="12"/>
      <c r="P1254" s="12"/>
      <c r="Q1254" s="12"/>
      <c r="R1254" s="12"/>
      <c r="S1254" s="12"/>
      <c r="T1254" s="12"/>
      <c r="U1254" s="12"/>
      <c r="V1254" s="12"/>
      <c r="W1254" s="12"/>
      <c r="X1254" s="12"/>
      <c r="Y1254" s="12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M1254" s="1"/>
    </row>
    <row r="1255" spans="1:39" ht="21" x14ac:dyDescent="0.3">
      <c r="A1255" s="12"/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  <c r="N1255" s="21"/>
      <c r="O1255" s="12"/>
      <c r="P1255" s="12"/>
      <c r="Q1255" s="12"/>
      <c r="R1255" s="12"/>
      <c r="S1255" s="12"/>
      <c r="T1255" s="12"/>
      <c r="U1255" s="12"/>
      <c r="V1255" s="12"/>
      <c r="W1255" s="12"/>
      <c r="X1255" s="12"/>
      <c r="Y1255" s="12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</row>
    <row r="1256" spans="1:39" ht="21" x14ac:dyDescent="0.3">
      <c r="A1256" s="12"/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  <c r="L1256" s="12"/>
      <c r="M1256" s="12"/>
      <c r="N1256" s="21"/>
      <c r="O1256" s="12"/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</row>
    <row r="1257" spans="1:39" ht="21" x14ac:dyDescent="0.3">
      <c r="A1257" s="12"/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  <c r="L1257" s="12"/>
      <c r="M1257" s="12"/>
      <c r="N1257" s="21"/>
      <c r="O1257" s="12"/>
      <c r="P1257" s="12"/>
      <c r="Q1257" s="12"/>
      <c r="R1257" s="12"/>
      <c r="S1257" s="12"/>
      <c r="T1257" s="12"/>
      <c r="U1257" s="12"/>
      <c r="V1257" s="12"/>
      <c r="W1257" s="12"/>
      <c r="X1257" s="12"/>
      <c r="Y1257" s="12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</row>
    <row r="1258" spans="1:39" ht="21" x14ac:dyDescent="0.3">
      <c r="A1258" s="12"/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  <c r="L1258" s="12"/>
      <c r="M1258" s="12"/>
      <c r="N1258" s="21"/>
      <c r="O1258" s="12"/>
      <c r="P1258" s="12"/>
      <c r="Q1258" s="12"/>
      <c r="R1258" s="12"/>
      <c r="S1258" s="12"/>
      <c r="T1258" s="12"/>
      <c r="U1258" s="12"/>
      <c r="V1258" s="12"/>
      <c r="W1258" s="12"/>
      <c r="X1258" s="12"/>
      <c r="Y1258" s="12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</row>
    <row r="1259" spans="1:39" ht="21" x14ac:dyDescent="0.3">
      <c r="A1259" s="12"/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  <c r="L1259" s="12"/>
      <c r="M1259" s="12"/>
      <c r="N1259" s="21"/>
      <c r="O1259" s="12"/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</row>
    <row r="1260" spans="1:39" ht="21" x14ac:dyDescent="0.3">
      <c r="A1260" s="12"/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  <c r="N1260" s="21"/>
      <c r="O1260" s="12"/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</row>
    <row r="1261" spans="1:39" ht="21" x14ac:dyDescent="0.3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21"/>
      <c r="O1261" s="12"/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</row>
    <row r="1262" spans="1:39" ht="21" x14ac:dyDescent="0.3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21"/>
      <c r="O1262" s="12"/>
      <c r="P1262" s="12"/>
      <c r="Q1262" s="12"/>
      <c r="R1262" s="12"/>
      <c r="S1262" s="12"/>
      <c r="T1262" s="12"/>
      <c r="U1262" s="12"/>
      <c r="V1262" s="12"/>
      <c r="W1262" s="12"/>
      <c r="X1262" s="12"/>
      <c r="Y1262" s="12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</row>
    <row r="1263" spans="1:39" ht="21" x14ac:dyDescent="0.3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  <c r="N1263" s="21"/>
      <c r="O1263" s="12"/>
      <c r="P1263" s="12"/>
      <c r="Q1263" s="12"/>
      <c r="R1263" s="12"/>
      <c r="S1263" s="12"/>
      <c r="T1263" s="12"/>
      <c r="U1263" s="12"/>
      <c r="V1263" s="12"/>
      <c r="W1263" s="12"/>
      <c r="X1263" s="12"/>
      <c r="Y1263" s="12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</row>
    <row r="1264" spans="1:39" ht="21" x14ac:dyDescent="0.3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  <c r="N1264" s="21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M1264" s="1"/>
    </row>
    <row r="1265" spans="1:39" ht="21" x14ac:dyDescent="0.3">
      <c r="A1265" s="12"/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  <c r="L1265" s="12"/>
      <c r="M1265" s="12"/>
      <c r="N1265" s="21"/>
      <c r="O1265" s="12"/>
      <c r="P1265" s="12"/>
      <c r="Q1265" s="12"/>
      <c r="R1265" s="12"/>
      <c r="S1265" s="12"/>
      <c r="T1265" s="12"/>
      <c r="U1265" s="12"/>
      <c r="V1265" s="12"/>
      <c r="W1265" s="12"/>
      <c r="X1265" s="12"/>
      <c r="Y1265" s="12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M1265" s="1"/>
    </row>
    <row r="1266" spans="1:39" ht="21" x14ac:dyDescent="0.3">
      <c r="A1266" s="12"/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  <c r="L1266" s="12"/>
      <c r="M1266" s="12"/>
      <c r="N1266" s="21"/>
      <c r="O1266" s="12"/>
      <c r="P1266" s="12"/>
      <c r="Q1266" s="12"/>
      <c r="R1266" s="12"/>
      <c r="S1266" s="12"/>
      <c r="T1266" s="12"/>
      <c r="U1266" s="12"/>
      <c r="V1266" s="12"/>
      <c r="W1266" s="12"/>
      <c r="X1266" s="12"/>
      <c r="Y1266" s="12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</row>
    <row r="1267" spans="1:39" ht="21" x14ac:dyDescent="0.3">
      <c r="A1267" s="12"/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  <c r="N1267" s="21"/>
      <c r="O1267" s="12"/>
      <c r="P1267" s="12"/>
      <c r="Q1267" s="12"/>
      <c r="R1267" s="12"/>
      <c r="S1267" s="12"/>
      <c r="T1267" s="12"/>
      <c r="U1267" s="12"/>
      <c r="V1267" s="12"/>
      <c r="W1267" s="12"/>
      <c r="X1267" s="12"/>
      <c r="Y1267" s="12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</row>
    <row r="1268" spans="1:39" ht="21" x14ac:dyDescent="0.3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21"/>
      <c r="O1268" s="12"/>
      <c r="P1268" s="12"/>
      <c r="Q1268" s="12"/>
      <c r="R1268" s="12"/>
      <c r="S1268" s="12"/>
      <c r="T1268" s="12"/>
      <c r="U1268" s="12"/>
      <c r="V1268" s="12"/>
      <c r="W1268" s="12"/>
      <c r="X1268" s="12"/>
      <c r="Y1268" s="12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</row>
    <row r="1269" spans="1:39" ht="21" x14ac:dyDescent="0.3">
      <c r="A1269" s="12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21"/>
      <c r="O1269" s="12"/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</row>
    <row r="1270" spans="1:39" ht="21" x14ac:dyDescent="0.3">
      <c r="A1270" s="12"/>
      <c r="B1270" s="12"/>
      <c r="C1270" s="12"/>
      <c r="D1270" s="12"/>
      <c r="E1270" s="12"/>
      <c r="F1270" s="12"/>
      <c r="G1270" s="12"/>
      <c r="H1270" s="12"/>
      <c r="I1270" s="12"/>
      <c r="J1270" s="12"/>
      <c r="K1270" s="12"/>
      <c r="L1270" s="12"/>
      <c r="M1270" s="12"/>
      <c r="N1270" s="21"/>
      <c r="O1270" s="12"/>
      <c r="P1270" s="12"/>
      <c r="Q1270" s="12"/>
      <c r="R1270" s="12"/>
      <c r="S1270" s="12"/>
      <c r="T1270" s="12"/>
      <c r="U1270" s="12"/>
      <c r="V1270" s="12"/>
      <c r="W1270" s="12"/>
      <c r="X1270" s="12"/>
      <c r="Y1270" s="12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</row>
    <row r="1271" spans="1:39" ht="21" x14ac:dyDescent="0.3">
      <c r="A1271" s="12"/>
      <c r="B1271" s="12"/>
      <c r="C1271" s="12"/>
      <c r="D1271" s="12"/>
      <c r="E1271" s="12"/>
      <c r="F1271" s="12"/>
      <c r="G1271" s="12"/>
      <c r="H1271" s="12"/>
      <c r="I1271" s="12"/>
      <c r="J1271" s="12"/>
      <c r="K1271" s="12"/>
      <c r="L1271" s="12"/>
      <c r="M1271" s="12"/>
      <c r="N1271" s="21"/>
      <c r="O1271" s="12"/>
      <c r="P1271" s="12"/>
      <c r="Q1271" s="12"/>
      <c r="R1271" s="12"/>
      <c r="S1271" s="12"/>
      <c r="T1271" s="12"/>
      <c r="U1271" s="12"/>
      <c r="V1271" s="12"/>
      <c r="W1271" s="12"/>
      <c r="X1271" s="12"/>
      <c r="Y1271" s="12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</row>
    <row r="1272" spans="1:39" ht="21" x14ac:dyDescent="0.3">
      <c r="A1272" s="12"/>
      <c r="B1272" s="12"/>
      <c r="C1272" s="12"/>
      <c r="D1272" s="12"/>
      <c r="E1272" s="12"/>
      <c r="F1272" s="12"/>
      <c r="G1272" s="12"/>
      <c r="H1272" s="12"/>
      <c r="I1272" s="12"/>
      <c r="J1272" s="12"/>
      <c r="K1272" s="12"/>
      <c r="L1272" s="12"/>
      <c r="M1272" s="12"/>
      <c r="N1272" s="21"/>
      <c r="O1272" s="12"/>
      <c r="P1272" s="12"/>
      <c r="Q1272" s="12"/>
      <c r="R1272" s="12"/>
      <c r="S1272" s="12"/>
      <c r="T1272" s="12"/>
      <c r="U1272" s="12"/>
      <c r="V1272" s="12"/>
      <c r="W1272" s="12"/>
      <c r="X1272" s="12"/>
      <c r="Y1272" s="12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M1272" s="1"/>
    </row>
    <row r="1273" spans="1:39" ht="21" x14ac:dyDescent="0.3">
      <c r="A1273" s="12"/>
      <c r="B1273" s="12"/>
      <c r="C1273" s="12"/>
      <c r="D1273" s="12"/>
      <c r="E1273" s="12"/>
      <c r="F1273" s="12"/>
      <c r="G1273" s="12"/>
      <c r="H1273" s="12"/>
      <c r="I1273" s="12"/>
      <c r="J1273" s="12"/>
      <c r="K1273" s="12"/>
      <c r="L1273" s="12"/>
      <c r="M1273" s="12"/>
      <c r="N1273" s="21"/>
      <c r="O1273" s="12"/>
      <c r="P1273" s="12"/>
      <c r="Q1273" s="12"/>
      <c r="R1273" s="12"/>
      <c r="S1273" s="12"/>
      <c r="T1273" s="12"/>
      <c r="U1273" s="12"/>
      <c r="V1273" s="12"/>
      <c r="W1273" s="12"/>
      <c r="X1273" s="12"/>
      <c r="Y1273" s="12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</row>
    <row r="1274" spans="1:39" ht="21" x14ac:dyDescent="0.3">
      <c r="A1274" s="12"/>
      <c r="B1274" s="12"/>
      <c r="C1274" s="12"/>
      <c r="D1274" s="12"/>
      <c r="E1274" s="12"/>
      <c r="F1274" s="12"/>
      <c r="G1274" s="12"/>
      <c r="H1274" s="12"/>
      <c r="I1274" s="12"/>
      <c r="J1274" s="12"/>
      <c r="K1274" s="12"/>
      <c r="L1274" s="12"/>
      <c r="M1274" s="12"/>
      <c r="N1274" s="21"/>
      <c r="O1274" s="12"/>
      <c r="P1274" s="12"/>
      <c r="Q1274" s="12"/>
      <c r="R1274" s="12"/>
      <c r="S1274" s="12"/>
      <c r="T1274" s="12"/>
      <c r="U1274" s="12"/>
      <c r="V1274" s="12"/>
      <c r="W1274" s="12"/>
      <c r="X1274" s="12"/>
      <c r="Y1274" s="12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</row>
    <row r="1275" spans="1:39" ht="21" x14ac:dyDescent="0.3">
      <c r="A1275" s="12"/>
      <c r="B1275" s="12"/>
      <c r="C1275" s="12"/>
      <c r="D1275" s="12"/>
      <c r="E1275" s="12"/>
      <c r="F1275" s="12"/>
      <c r="G1275" s="12"/>
      <c r="H1275" s="12"/>
      <c r="I1275" s="12"/>
      <c r="J1275" s="12"/>
      <c r="K1275" s="12"/>
      <c r="L1275" s="12"/>
      <c r="M1275" s="12"/>
      <c r="N1275" s="21"/>
      <c r="O1275" s="12"/>
      <c r="P1275" s="12"/>
      <c r="Q1275" s="12"/>
      <c r="R1275" s="12"/>
      <c r="S1275" s="12"/>
      <c r="T1275" s="12"/>
      <c r="U1275" s="12"/>
      <c r="V1275" s="12"/>
      <c r="W1275" s="12"/>
      <c r="X1275" s="12"/>
      <c r="Y1275" s="12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  <c r="AM1275" s="1"/>
    </row>
    <row r="1276" spans="1:39" ht="21" x14ac:dyDescent="0.3">
      <c r="A1276" s="12"/>
      <c r="B1276" s="12"/>
      <c r="C1276" s="12"/>
      <c r="D1276" s="12"/>
      <c r="E1276" s="12"/>
      <c r="F1276" s="12"/>
      <c r="G1276" s="12"/>
      <c r="H1276" s="12"/>
      <c r="I1276" s="12"/>
      <c r="J1276" s="12"/>
      <c r="K1276" s="12"/>
      <c r="L1276" s="12"/>
      <c r="M1276" s="12"/>
      <c r="N1276" s="21"/>
      <c r="O1276" s="12"/>
      <c r="P1276" s="12"/>
      <c r="Q1276" s="12"/>
      <c r="R1276" s="12"/>
      <c r="S1276" s="12"/>
      <c r="T1276" s="12"/>
      <c r="U1276" s="12"/>
      <c r="V1276" s="12"/>
      <c r="W1276" s="12"/>
      <c r="X1276" s="12"/>
      <c r="Y1276" s="12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  <c r="AM1276" s="1"/>
    </row>
    <row r="1277" spans="1:39" ht="21" x14ac:dyDescent="0.3">
      <c r="A1277" s="12"/>
      <c r="B1277" s="12"/>
      <c r="C1277" s="12"/>
      <c r="D1277" s="12"/>
      <c r="E1277" s="12"/>
      <c r="F1277" s="12"/>
      <c r="G1277" s="12"/>
      <c r="H1277" s="12"/>
      <c r="I1277" s="12"/>
      <c r="J1277" s="12"/>
      <c r="K1277" s="12"/>
      <c r="L1277" s="12"/>
      <c r="M1277" s="12"/>
      <c r="N1277" s="21"/>
      <c r="O1277" s="12"/>
      <c r="P1277" s="12"/>
      <c r="Q1277" s="12"/>
      <c r="R1277" s="12"/>
      <c r="S1277" s="12"/>
      <c r="T1277" s="12"/>
      <c r="U1277" s="12"/>
      <c r="V1277" s="12"/>
      <c r="W1277" s="12"/>
      <c r="X1277" s="12"/>
      <c r="Y1277" s="12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</row>
    <row r="1278" spans="1:39" ht="21" x14ac:dyDescent="0.3">
      <c r="A1278" s="12"/>
      <c r="B1278" s="12"/>
      <c r="C1278" s="12"/>
      <c r="D1278" s="12"/>
      <c r="E1278" s="12"/>
      <c r="F1278" s="12"/>
      <c r="G1278" s="12"/>
      <c r="H1278" s="12"/>
      <c r="I1278" s="12"/>
      <c r="J1278" s="12"/>
      <c r="K1278" s="12"/>
      <c r="L1278" s="12"/>
      <c r="M1278" s="12"/>
      <c r="N1278" s="21"/>
      <c r="O1278" s="12"/>
      <c r="P1278" s="12"/>
      <c r="Q1278" s="12"/>
      <c r="R1278" s="12"/>
      <c r="S1278" s="12"/>
      <c r="T1278" s="12"/>
      <c r="U1278" s="12"/>
      <c r="V1278" s="12"/>
      <c r="W1278" s="12"/>
      <c r="X1278" s="12"/>
      <c r="Y1278" s="12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</row>
    <row r="1279" spans="1:39" ht="21" x14ac:dyDescent="0.3">
      <c r="A1279" s="12"/>
      <c r="B1279" s="12"/>
      <c r="C1279" s="12"/>
      <c r="D1279" s="12"/>
      <c r="E1279" s="12"/>
      <c r="F1279" s="12"/>
      <c r="G1279" s="12"/>
      <c r="H1279" s="12"/>
      <c r="I1279" s="12"/>
      <c r="J1279" s="12"/>
      <c r="K1279" s="12"/>
      <c r="L1279" s="12"/>
      <c r="M1279" s="12"/>
      <c r="N1279" s="21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  <c r="Y1279" s="12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</row>
    <row r="1280" spans="1:39" ht="21" x14ac:dyDescent="0.3">
      <c r="A1280" s="12"/>
      <c r="B1280" s="12"/>
      <c r="C1280" s="12"/>
      <c r="D1280" s="12"/>
      <c r="E1280" s="12"/>
      <c r="F1280" s="12"/>
      <c r="G1280" s="12"/>
      <c r="H1280" s="12"/>
      <c r="I1280" s="12"/>
      <c r="J1280" s="12"/>
      <c r="K1280" s="12"/>
      <c r="L1280" s="12"/>
      <c r="M1280" s="12"/>
      <c r="N1280" s="21"/>
      <c r="O1280" s="12"/>
      <c r="P1280" s="12"/>
      <c r="Q1280" s="12"/>
      <c r="R1280" s="12"/>
      <c r="S1280" s="12"/>
      <c r="T1280" s="12"/>
      <c r="U1280" s="12"/>
      <c r="V1280" s="12"/>
      <c r="W1280" s="12"/>
      <c r="X1280" s="12"/>
      <c r="Y1280" s="12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</row>
    <row r="1281" spans="1:39" ht="21" x14ac:dyDescent="0.3">
      <c r="A1281" s="12"/>
      <c r="B1281" s="12"/>
      <c r="C1281" s="12"/>
      <c r="D1281" s="12"/>
      <c r="E1281" s="12"/>
      <c r="F1281" s="12"/>
      <c r="G1281" s="12"/>
      <c r="H1281" s="12"/>
      <c r="I1281" s="12"/>
      <c r="J1281" s="12"/>
      <c r="K1281" s="12"/>
      <c r="L1281" s="12"/>
      <c r="M1281" s="12"/>
      <c r="N1281" s="21"/>
      <c r="O1281" s="12"/>
      <c r="P1281" s="12"/>
      <c r="Q1281" s="12"/>
      <c r="R1281" s="12"/>
      <c r="S1281" s="12"/>
      <c r="T1281" s="12"/>
      <c r="U1281" s="12"/>
      <c r="V1281" s="12"/>
      <c r="W1281" s="12"/>
      <c r="X1281" s="12"/>
      <c r="Y1281" s="12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M1281" s="1"/>
    </row>
    <row r="1282" spans="1:39" ht="21" x14ac:dyDescent="0.3">
      <c r="A1282" s="12"/>
      <c r="B1282" s="12"/>
      <c r="C1282" s="12"/>
      <c r="D1282" s="12"/>
      <c r="E1282" s="12"/>
      <c r="F1282" s="12"/>
      <c r="G1282" s="12"/>
      <c r="H1282" s="12"/>
      <c r="I1282" s="12"/>
      <c r="J1282" s="12"/>
      <c r="K1282" s="12"/>
      <c r="L1282" s="12"/>
      <c r="M1282" s="12"/>
      <c r="N1282" s="21"/>
      <c r="O1282" s="12"/>
      <c r="P1282" s="12"/>
      <c r="Q1282" s="12"/>
      <c r="R1282" s="12"/>
      <c r="S1282" s="12"/>
      <c r="T1282" s="12"/>
      <c r="U1282" s="12"/>
      <c r="V1282" s="12"/>
      <c r="W1282" s="12"/>
      <c r="X1282" s="12"/>
      <c r="Y1282" s="12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M1282" s="1"/>
    </row>
    <row r="1283" spans="1:39" ht="21" x14ac:dyDescent="0.3">
      <c r="A1283" s="12"/>
      <c r="B1283" s="12"/>
      <c r="C1283" s="12"/>
      <c r="D1283" s="12"/>
      <c r="E1283" s="12"/>
      <c r="F1283" s="12"/>
      <c r="G1283" s="12"/>
      <c r="H1283" s="12"/>
      <c r="I1283" s="12"/>
      <c r="J1283" s="12"/>
      <c r="K1283" s="12"/>
      <c r="L1283" s="12"/>
      <c r="M1283" s="12"/>
      <c r="N1283" s="21"/>
      <c r="O1283" s="12"/>
      <c r="P1283" s="12"/>
      <c r="Q1283" s="12"/>
      <c r="R1283" s="12"/>
      <c r="S1283" s="12"/>
      <c r="T1283" s="12"/>
      <c r="U1283" s="12"/>
      <c r="V1283" s="12"/>
      <c r="W1283" s="12"/>
      <c r="X1283" s="12"/>
      <c r="Y1283" s="12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</row>
    <row r="1284" spans="1:39" ht="21" x14ac:dyDescent="0.3">
      <c r="A1284" s="12"/>
      <c r="B1284" s="12"/>
      <c r="C1284" s="12"/>
      <c r="D1284" s="12"/>
      <c r="E1284" s="12"/>
      <c r="F1284" s="12"/>
      <c r="G1284" s="12"/>
      <c r="H1284" s="12"/>
      <c r="I1284" s="12"/>
      <c r="J1284" s="12"/>
      <c r="K1284" s="12"/>
      <c r="L1284" s="12"/>
      <c r="M1284" s="12"/>
      <c r="N1284" s="21"/>
      <c r="O1284" s="12"/>
      <c r="P1284" s="12"/>
      <c r="Q1284" s="12"/>
      <c r="R1284" s="12"/>
      <c r="S1284" s="12"/>
      <c r="T1284" s="12"/>
      <c r="U1284" s="12"/>
      <c r="V1284" s="12"/>
      <c r="W1284" s="12"/>
      <c r="X1284" s="12"/>
      <c r="Y1284" s="12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</row>
    <row r="1285" spans="1:39" ht="21" x14ac:dyDescent="0.3">
      <c r="A1285" s="12"/>
      <c r="B1285" s="12"/>
      <c r="C1285" s="12"/>
      <c r="D1285" s="12"/>
      <c r="E1285" s="12"/>
      <c r="F1285" s="12"/>
      <c r="G1285" s="12"/>
      <c r="H1285" s="12"/>
      <c r="I1285" s="12"/>
      <c r="J1285" s="12"/>
      <c r="K1285" s="12"/>
      <c r="L1285" s="12"/>
      <c r="M1285" s="12"/>
      <c r="N1285" s="21"/>
      <c r="O1285" s="12"/>
      <c r="P1285" s="12"/>
      <c r="Q1285" s="12"/>
      <c r="R1285" s="12"/>
      <c r="S1285" s="12"/>
      <c r="T1285" s="12"/>
      <c r="U1285" s="12"/>
      <c r="V1285" s="12"/>
      <c r="W1285" s="12"/>
      <c r="X1285" s="12"/>
      <c r="Y1285" s="12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</row>
    <row r="1286" spans="1:39" ht="21" x14ac:dyDescent="0.3">
      <c r="A1286" s="12"/>
      <c r="B1286" s="12"/>
      <c r="C1286" s="12"/>
      <c r="D1286" s="12"/>
      <c r="E1286" s="12"/>
      <c r="F1286" s="12"/>
      <c r="G1286" s="12"/>
      <c r="H1286" s="12"/>
      <c r="I1286" s="12"/>
      <c r="J1286" s="12"/>
      <c r="K1286" s="12"/>
      <c r="L1286" s="12"/>
      <c r="M1286" s="12"/>
      <c r="N1286" s="21"/>
      <c r="O1286" s="12"/>
      <c r="P1286" s="12"/>
      <c r="Q1286" s="12"/>
      <c r="R1286" s="12"/>
      <c r="S1286" s="12"/>
      <c r="T1286" s="12"/>
      <c r="U1286" s="12"/>
      <c r="V1286" s="12"/>
      <c r="W1286" s="12"/>
      <c r="X1286" s="12"/>
      <c r="Y1286" s="12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</row>
    <row r="1287" spans="1:39" ht="21" x14ac:dyDescent="0.3">
      <c r="A1287" s="12"/>
      <c r="B1287" s="12"/>
      <c r="C1287" s="12"/>
      <c r="D1287" s="12"/>
      <c r="E1287" s="12"/>
      <c r="F1287" s="12"/>
      <c r="G1287" s="12"/>
      <c r="H1287" s="12"/>
      <c r="I1287" s="12"/>
      <c r="J1287" s="12"/>
      <c r="K1287" s="12"/>
      <c r="L1287" s="12"/>
      <c r="M1287" s="12"/>
      <c r="N1287" s="21"/>
      <c r="O1287" s="12"/>
      <c r="P1287" s="12"/>
      <c r="Q1287" s="12"/>
      <c r="R1287" s="12"/>
      <c r="S1287" s="12"/>
      <c r="T1287" s="12"/>
      <c r="U1287" s="12"/>
      <c r="V1287" s="12"/>
      <c r="W1287" s="12"/>
      <c r="X1287" s="12"/>
      <c r="Y1287" s="12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</row>
    <row r="1288" spans="1:39" ht="21" x14ac:dyDescent="0.3">
      <c r="A1288" s="12"/>
      <c r="B1288" s="12"/>
      <c r="C1288" s="12"/>
      <c r="D1288" s="12"/>
      <c r="E1288" s="12"/>
      <c r="F1288" s="12"/>
      <c r="G1288" s="12"/>
      <c r="H1288" s="12"/>
      <c r="I1288" s="12"/>
      <c r="J1288" s="12"/>
      <c r="K1288" s="12"/>
      <c r="L1288" s="12"/>
      <c r="M1288" s="12"/>
      <c r="N1288" s="21"/>
      <c r="O1288" s="12"/>
      <c r="P1288" s="12"/>
      <c r="Q1288" s="12"/>
      <c r="R1288" s="12"/>
      <c r="S1288" s="12"/>
      <c r="T1288" s="12"/>
      <c r="U1288" s="12"/>
      <c r="V1288" s="12"/>
      <c r="W1288" s="12"/>
      <c r="X1288" s="12"/>
      <c r="Y1288" s="12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</row>
    <row r="1289" spans="1:39" ht="21" x14ac:dyDescent="0.3">
      <c r="A1289" s="12"/>
      <c r="B1289" s="12"/>
      <c r="C1289" s="12"/>
      <c r="D1289" s="12"/>
      <c r="E1289" s="12"/>
      <c r="F1289" s="12"/>
      <c r="G1289" s="12"/>
      <c r="H1289" s="12"/>
      <c r="I1289" s="12"/>
      <c r="J1289" s="12"/>
      <c r="K1289" s="12"/>
      <c r="L1289" s="12"/>
      <c r="M1289" s="12"/>
      <c r="N1289" s="21"/>
      <c r="O1289" s="12"/>
      <c r="P1289" s="12"/>
      <c r="Q1289" s="12"/>
      <c r="R1289" s="12"/>
      <c r="S1289" s="12"/>
      <c r="T1289" s="12"/>
      <c r="U1289" s="12"/>
      <c r="V1289" s="12"/>
      <c r="W1289" s="12"/>
      <c r="X1289" s="12"/>
      <c r="Y1289" s="12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M1289" s="1"/>
    </row>
    <row r="1290" spans="1:39" ht="21" x14ac:dyDescent="0.3">
      <c r="A1290" s="12"/>
      <c r="B1290" s="12"/>
      <c r="C1290" s="12"/>
      <c r="D1290" s="12"/>
      <c r="E1290" s="12"/>
      <c r="F1290" s="12"/>
      <c r="G1290" s="12"/>
      <c r="H1290" s="12"/>
      <c r="I1290" s="12"/>
      <c r="J1290" s="12"/>
      <c r="K1290" s="12"/>
      <c r="L1290" s="12"/>
      <c r="M1290" s="12"/>
      <c r="N1290" s="21"/>
      <c r="O1290" s="12"/>
      <c r="P1290" s="12"/>
      <c r="Q1290" s="12"/>
      <c r="R1290" s="12"/>
      <c r="S1290" s="12"/>
      <c r="T1290" s="12"/>
      <c r="U1290" s="12"/>
      <c r="V1290" s="12"/>
      <c r="W1290" s="12"/>
      <c r="X1290" s="12"/>
      <c r="Y1290" s="12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</row>
    <row r="1291" spans="1:39" ht="21" x14ac:dyDescent="0.3">
      <c r="A1291" s="12"/>
      <c r="B1291" s="12"/>
      <c r="C1291" s="12"/>
      <c r="D1291" s="12"/>
      <c r="E1291" s="12"/>
      <c r="F1291" s="12"/>
      <c r="G1291" s="12"/>
      <c r="H1291" s="12"/>
      <c r="I1291" s="12"/>
      <c r="J1291" s="12"/>
      <c r="K1291" s="12"/>
      <c r="L1291" s="12"/>
      <c r="M1291" s="12"/>
      <c r="N1291" s="21"/>
      <c r="O1291" s="12"/>
      <c r="P1291" s="12"/>
      <c r="Q1291" s="12"/>
      <c r="R1291" s="12"/>
      <c r="S1291" s="12"/>
      <c r="T1291" s="12"/>
      <c r="U1291" s="12"/>
      <c r="V1291" s="12"/>
      <c r="W1291" s="12"/>
      <c r="X1291" s="12"/>
      <c r="Y1291" s="12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</row>
    <row r="1292" spans="1:39" ht="21" x14ac:dyDescent="0.3">
      <c r="A1292" s="12"/>
      <c r="B1292" s="12"/>
      <c r="C1292" s="12"/>
      <c r="D1292" s="12"/>
      <c r="E1292" s="12"/>
      <c r="F1292" s="12"/>
      <c r="G1292" s="12"/>
      <c r="H1292" s="12"/>
      <c r="I1292" s="12"/>
      <c r="J1292" s="12"/>
      <c r="K1292" s="12"/>
      <c r="L1292" s="12"/>
      <c r="M1292" s="12"/>
      <c r="N1292" s="21"/>
      <c r="O1292" s="12"/>
      <c r="P1292" s="12"/>
      <c r="Q1292" s="12"/>
      <c r="R1292" s="12"/>
      <c r="S1292" s="12"/>
      <c r="T1292" s="12"/>
      <c r="U1292" s="12"/>
      <c r="V1292" s="12"/>
      <c r="W1292" s="12"/>
      <c r="X1292" s="12"/>
      <c r="Y1292" s="12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</row>
    <row r="1293" spans="1:39" ht="21" x14ac:dyDescent="0.3">
      <c r="A1293" s="12"/>
      <c r="B1293" s="12"/>
      <c r="C1293" s="12"/>
      <c r="D1293" s="12"/>
      <c r="E1293" s="12"/>
      <c r="F1293" s="12"/>
      <c r="G1293" s="12"/>
      <c r="H1293" s="12"/>
      <c r="I1293" s="12"/>
      <c r="J1293" s="12"/>
      <c r="K1293" s="12"/>
      <c r="L1293" s="12"/>
      <c r="M1293" s="12"/>
      <c r="N1293" s="21"/>
      <c r="O1293" s="12"/>
      <c r="P1293" s="12"/>
      <c r="Q1293" s="12"/>
      <c r="R1293" s="12"/>
      <c r="S1293" s="12"/>
      <c r="T1293" s="12"/>
      <c r="U1293" s="12"/>
      <c r="V1293" s="12"/>
      <c r="W1293" s="12"/>
      <c r="X1293" s="12"/>
      <c r="Y1293" s="12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</row>
    <row r="1294" spans="1:39" ht="21" x14ac:dyDescent="0.3">
      <c r="A1294" s="12"/>
      <c r="B1294" s="12"/>
      <c r="C1294" s="12"/>
      <c r="D1294" s="12"/>
      <c r="E1294" s="12"/>
      <c r="F1294" s="12"/>
      <c r="G1294" s="12"/>
      <c r="H1294" s="12"/>
      <c r="I1294" s="12"/>
      <c r="J1294" s="12"/>
      <c r="K1294" s="12"/>
      <c r="L1294" s="12"/>
      <c r="M1294" s="12"/>
      <c r="N1294" s="21"/>
      <c r="O1294" s="12"/>
      <c r="P1294" s="12"/>
      <c r="Q1294" s="12"/>
      <c r="R1294" s="12"/>
      <c r="S1294" s="12"/>
      <c r="T1294" s="12"/>
      <c r="U1294" s="12"/>
      <c r="V1294" s="12"/>
      <c r="W1294" s="12"/>
      <c r="X1294" s="12"/>
      <c r="Y1294" s="12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</row>
    <row r="1295" spans="1:39" ht="21" x14ac:dyDescent="0.3">
      <c r="A1295" s="12"/>
      <c r="B1295" s="12"/>
      <c r="C1295" s="12"/>
      <c r="D1295" s="12"/>
      <c r="E1295" s="12"/>
      <c r="F1295" s="12"/>
      <c r="G1295" s="12"/>
      <c r="H1295" s="12"/>
      <c r="I1295" s="12"/>
      <c r="J1295" s="12"/>
      <c r="K1295" s="12"/>
      <c r="L1295" s="12"/>
      <c r="M1295" s="12"/>
      <c r="N1295" s="21"/>
      <c r="O1295" s="12"/>
      <c r="P1295" s="12"/>
      <c r="Q1295" s="12"/>
      <c r="R1295" s="12"/>
      <c r="S1295" s="12"/>
      <c r="T1295" s="12"/>
      <c r="U1295" s="12"/>
      <c r="V1295" s="12"/>
      <c r="W1295" s="12"/>
      <c r="X1295" s="12"/>
      <c r="Y1295" s="12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</row>
    <row r="1296" spans="1:39" ht="21" x14ac:dyDescent="0.3">
      <c r="A1296" s="12"/>
      <c r="B1296" s="12"/>
      <c r="C1296" s="12"/>
      <c r="D1296" s="12"/>
      <c r="E1296" s="12"/>
      <c r="F1296" s="12"/>
      <c r="G1296" s="12"/>
      <c r="H1296" s="12"/>
      <c r="I1296" s="12"/>
      <c r="J1296" s="12"/>
      <c r="K1296" s="12"/>
      <c r="L1296" s="12"/>
      <c r="M1296" s="12"/>
      <c r="N1296" s="21"/>
      <c r="O1296" s="12"/>
      <c r="P1296" s="12"/>
      <c r="Q1296" s="12"/>
      <c r="R1296" s="12"/>
      <c r="S1296" s="12"/>
      <c r="T1296" s="12"/>
      <c r="U1296" s="12"/>
      <c r="V1296" s="12"/>
      <c r="W1296" s="12"/>
      <c r="X1296" s="12"/>
      <c r="Y1296" s="12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</row>
    <row r="1297" spans="1:39" ht="21" x14ac:dyDescent="0.3">
      <c r="A1297" s="12"/>
      <c r="B1297" s="12"/>
      <c r="C1297" s="12"/>
      <c r="D1297" s="12"/>
      <c r="E1297" s="12"/>
      <c r="F1297" s="12"/>
      <c r="G1297" s="12"/>
      <c r="H1297" s="12"/>
      <c r="I1297" s="12"/>
      <c r="J1297" s="12"/>
      <c r="K1297" s="12"/>
      <c r="L1297" s="12"/>
      <c r="M1297" s="12"/>
      <c r="N1297" s="21"/>
      <c r="O1297" s="12"/>
      <c r="P1297" s="12"/>
      <c r="Q1297" s="12"/>
      <c r="R1297" s="12"/>
      <c r="S1297" s="12"/>
      <c r="T1297" s="12"/>
      <c r="U1297" s="12"/>
      <c r="V1297" s="12"/>
      <c r="W1297" s="12"/>
      <c r="X1297" s="12"/>
      <c r="Y1297" s="12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M1297" s="1"/>
    </row>
    <row r="1298" spans="1:39" ht="21" x14ac:dyDescent="0.3">
      <c r="A1298" s="12"/>
      <c r="B1298" s="12"/>
      <c r="C1298" s="12"/>
      <c r="D1298" s="12"/>
      <c r="E1298" s="12"/>
      <c r="F1298" s="12"/>
      <c r="G1298" s="12"/>
      <c r="H1298" s="12"/>
      <c r="I1298" s="12"/>
      <c r="J1298" s="12"/>
      <c r="K1298" s="12"/>
      <c r="L1298" s="12"/>
      <c r="M1298" s="12"/>
      <c r="N1298" s="21"/>
      <c r="O1298" s="12"/>
      <c r="P1298" s="12"/>
      <c r="Q1298" s="12"/>
      <c r="R1298" s="12"/>
      <c r="S1298" s="12"/>
      <c r="T1298" s="12"/>
      <c r="U1298" s="12"/>
      <c r="V1298" s="12"/>
      <c r="W1298" s="12"/>
      <c r="X1298" s="12"/>
      <c r="Y1298" s="12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</row>
    <row r="1299" spans="1:39" ht="21" x14ac:dyDescent="0.3">
      <c r="A1299" s="12"/>
      <c r="B1299" s="12"/>
      <c r="C1299" s="12"/>
      <c r="D1299" s="12"/>
      <c r="E1299" s="12"/>
      <c r="F1299" s="12"/>
      <c r="G1299" s="12"/>
      <c r="H1299" s="12"/>
      <c r="I1299" s="12"/>
      <c r="J1299" s="12"/>
      <c r="K1299" s="12"/>
      <c r="L1299" s="12"/>
      <c r="M1299" s="12"/>
      <c r="N1299" s="21"/>
      <c r="O1299" s="12"/>
      <c r="P1299" s="12"/>
      <c r="Q1299" s="12"/>
      <c r="R1299" s="12"/>
      <c r="S1299" s="12"/>
      <c r="T1299" s="12"/>
      <c r="U1299" s="12"/>
      <c r="V1299" s="12"/>
      <c r="W1299" s="12"/>
      <c r="X1299" s="12"/>
      <c r="Y1299" s="12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</row>
    <row r="1300" spans="1:39" ht="21" x14ac:dyDescent="0.3">
      <c r="A1300" s="12"/>
      <c r="B1300" s="12"/>
      <c r="C1300" s="12"/>
      <c r="D1300" s="12"/>
      <c r="E1300" s="12"/>
      <c r="F1300" s="12"/>
      <c r="G1300" s="12"/>
      <c r="H1300" s="12"/>
      <c r="I1300" s="12"/>
      <c r="J1300" s="12"/>
      <c r="K1300" s="12"/>
      <c r="L1300" s="12"/>
      <c r="M1300" s="12"/>
      <c r="N1300" s="21"/>
      <c r="O1300" s="12"/>
      <c r="P1300" s="12"/>
      <c r="Q1300" s="12"/>
      <c r="R1300" s="12"/>
      <c r="S1300" s="12"/>
      <c r="T1300" s="12"/>
      <c r="U1300" s="12"/>
      <c r="V1300" s="12"/>
      <c r="W1300" s="12"/>
      <c r="X1300" s="12"/>
      <c r="Y1300" s="12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</row>
    <row r="1301" spans="1:39" ht="21" x14ac:dyDescent="0.3">
      <c r="A1301" s="12"/>
      <c r="B1301" s="12"/>
      <c r="C1301" s="12"/>
      <c r="D1301" s="12"/>
      <c r="E1301" s="12"/>
      <c r="F1301" s="12"/>
      <c r="G1301" s="12"/>
      <c r="H1301" s="12"/>
      <c r="I1301" s="12"/>
      <c r="J1301" s="12"/>
      <c r="K1301" s="12"/>
      <c r="L1301" s="12"/>
      <c r="M1301" s="12"/>
      <c r="N1301" s="21"/>
      <c r="O1301" s="12"/>
      <c r="P1301" s="12"/>
      <c r="Q1301" s="12"/>
      <c r="R1301" s="12"/>
      <c r="S1301" s="12"/>
      <c r="T1301" s="12"/>
      <c r="U1301" s="12"/>
      <c r="V1301" s="12"/>
      <c r="W1301" s="12"/>
      <c r="X1301" s="12"/>
      <c r="Y1301" s="12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</row>
    <row r="1302" spans="1:39" ht="21" x14ac:dyDescent="0.3">
      <c r="A1302" s="12"/>
      <c r="B1302" s="12"/>
      <c r="C1302" s="12"/>
      <c r="D1302" s="12"/>
      <c r="E1302" s="12"/>
      <c r="F1302" s="12"/>
      <c r="G1302" s="12"/>
      <c r="H1302" s="12"/>
      <c r="I1302" s="12"/>
      <c r="J1302" s="12"/>
      <c r="K1302" s="12"/>
      <c r="L1302" s="12"/>
      <c r="M1302" s="12"/>
      <c r="N1302" s="21"/>
      <c r="O1302" s="12"/>
      <c r="P1302" s="12"/>
      <c r="Q1302" s="12"/>
      <c r="R1302" s="12"/>
      <c r="S1302" s="12"/>
      <c r="T1302" s="12"/>
      <c r="U1302" s="12"/>
      <c r="V1302" s="12"/>
      <c r="W1302" s="12"/>
      <c r="X1302" s="12"/>
      <c r="Y1302" s="12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</row>
    <row r="1303" spans="1:39" ht="21" x14ac:dyDescent="0.3">
      <c r="A1303" s="12"/>
      <c r="B1303" s="12"/>
      <c r="C1303" s="12"/>
      <c r="D1303" s="12"/>
      <c r="E1303" s="12"/>
      <c r="F1303" s="12"/>
      <c r="G1303" s="12"/>
      <c r="H1303" s="12"/>
      <c r="I1303" s="12"/>
      <c r="J1303" s="12"/>
      <c r="K1303" s="12"/>
      <c r="L1303" s="12"/>
      <c r="M1303" s="12"/>
      <c r="N1303" s="21"/>
      <c r="O1303" s="12"/>
      <c r="P1303" s="12"/>
      <c r="Q1303" s="12"/>
      <c r="R1303" s="12"/>
      <c r="S1303" s="12"/>
      <c r="T1303" s="12"/>
      <c r="U1303" s="12"/>
      <c r="V1303" s="12"/>
      <c r="W1303" s="12"/>
      <c r="X1303" s="12"/>
      <c r="Y1303" s="12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</row>
    <row r="1304" spans="1:39" ht="21" x14ac:dyDescent="0.3">
      <c r="A1304" s="12"/>
      <c r="B1304" s="12"/>
      <c r="C1304" s="12"/>
      <c r="D1304" s="12"/>
      <c r="E1304" s="12"/>
      <c r="F1304" s="12"/>
      <c r="G1304" s="12"/>
      <c r="H1304" s="12"/>
      <c r="I1304" s="12"/>
      <c r="J1304" s="12"/>
      <c r="K1304" s="12"/>
      <c r="L1304" s="12"/>
      <c r="M1304" s="12"/>
      <c r="N1304" s="21"/>
      <c r="O1304" s="12"/>
      <c r="P1304" s="12"/>
      <c r="Q1304" s="12"/>
      <c r="R1304" s="12"/>
      <c r="S1304" s="12"/>
      <c r="T1304" s="12"/>
      <c r="U1304" s="12"/>
      <c r="V1304" s="12"/>
      <c r="W1304" s="12"/>
      <c r="X1304" s="12"/>
      <c r="Y1304" s="12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</row>
    <row r="1305" spans="1:39" ht="21" x14ac:dyDescent="0.3">
      <c r="A1305" s="12"/>
      <c r="B1305" s="12"/>
      <c r="C1305" s="12"/>
      <c r="D1305" s="12"/>
      <c r="E1305" s="12"/>
      <c r="F1305" s="12"/>
      <c r="G1305" s="12"/>
      <c r="H1305" s="12"/>
      <c r="I1305" s="12"/>
      <c r="J1305" s="12"/>
      <c r="K1305" s="12"/>
      <c r="L1305" s="12"/>
      <c r="M1305" s="12"/>
      <c r="N1305" s="21"/>
      <c r="O1305" s="12"/>
      <c r="P1305" s="12"/>
      <c r="Q1305" s="12"/>
      <c r="R1305" s="12"/>
      <c r="S1305" s="12"/>
      <c r="T1305" s="12"/>
      <c r="U1305" s="12"/>
      <c r="V1305" s="12"/>
      <c r="W1305" s="12"/>
      <c r="X1305" s="12"/>
      <c r="Y1305" s="12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</row>
    <row r="1306" spans="1:39" ht="21" x14ac:dyDescent="0.3">
      <c r="A1306" s="12"/>
      <c r="B1306" s="12"/>
      <c r="C1306" s="12"/>
      <c r="D1306" s="12"/>
      <c r="E1306" s="12"/>
      <c r="F1306" s="12"/>
      <c r="G1306" s="12"/>
      <c r="H1306" s="12"/>
      <c r="I1306" s="12"/>
      <c r="J1306" s="12"/>
      <c r="K1306" s="12"/>
      <c r="L1306" s="12"/>
      <c r="M1306" s="12"/>
      <c r="N1306" s="21"/>
      <c r="O1306" s="12"/>
      <c r="P1306" s="12"/>
      <c r="Q1306" s="12"/>
      <c r="R1306" s="12"/>
      <c r="S1306" s="12"/>
      <c r="T1306" s="12"/>
      <c r="U1306" s="12"/>
      <c r="V1306" s="12"/>
      <c r="W1306" s="12"/>
      <c r="X1306" s="12"/>
      <c r="Y1306" s="12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</row>
    <row r="1307" spans="1:39" ht="21" x14ac:dyDescent="0.3">
      <c r="A1307" s="12"/>
      <c r="B1307" s="12"/>
      <c r="C1307" s="12"/>
      <c r="D1307" s="12"/>
      <c r="E1307" s="12"/>
      <c r="F1307" s="12"/>
      <c r="G1307" s="12"/>
      <c r="H1307" s="12"/>
      <c r="I1307" s="12"/>
      <c r="J1307" s="12"/>
      <c r="K1307" s="12"/>
      <c r="L1307" s="12"/>
      <c r="M1307" s="12"/>
      <c r="N1307" s="21"/>
      <c r="O1307" s="12"/>
      <c r="P1307" s="12"/>
      <c r="Q1307" s="12"/>
      <c r="R1307" s="12"/>
      <c r="S1307" s="12"/>
      <c r="T1307" s="12"/>
      <c r="U1307" s="12"/>
      <c r="V1307" s="12"/>
      <c r="W1307" s="12"/>
      <c r="X1307" s="12"/>
      <c r="Y1307" s="12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</row>
    <row r="1308" spans="1:39" ht="21" x14ac:dyDescent="0.3">
      <c r="A1308" s="12"/>
      <c r="B1308" s="12"/>
      <c r="C1308" s="12"/>
      <c r="D1308" s="12"/>
      <c r="E1308" s="12"/>
      <c r="F1308" s="12"/>
      <c r="G1308" s="12"/>
      <c r="H1308" s="12"/>
      <c r="I1308" s="12"/>
      <c r="J1308" s="12"/>
      <c r="K1308" s="12"/>
      <c r="L1308" s="12"/>
      <c r="M1308" s="12"/>
      <c r="N1308" s="21"/>
      <c r="O1308" s="12"/>
      <c r="P1308" s="12"/>
      <c r="Q1308" s="12"/>
      <c r="R1308" s="12"/>
      <c r="S1308" s="12"/>
      <c r="T1308" s="12"/>
      <c r="U1308" s="12"/>
      <c r="V1308" s="12"/>
      <c r="W1308" s="12"/>
      <c r="X1308" s="12"/>
      <c r="Y1308" s="12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M1308" s="1"/>
    </row>
    <row r="1309" spans="1:39" ht="21" x14ac:dyDescent="0.3">
      <c r="A1309" s="12"/>
      <c r="B1309" s="12"/>
      <c r="C1309" s="12"/>
      <c r="D1309" s="12"/>
      <c r="E1309" s="12"/>
      <c r="F1309" s="12"/>
      <c r="G1309" s="12"/>
      <c r="H1309" s="12"/>
      <c r="I1309" s="12"/>
      <c r="J1309" s="12"/>
      <c r="K1309" s="12"/>
      <c r="L1309" s="12"/>
      <c r="M1309" s="12"/>
      <c r="N1309" s="21"/>
      <c r="O1309" s="12"/>
      <c r="P1309" s="12"/>
      <c r="Q1309" s="12"/>
      <c r="R1309" s="12"/>
      <c r="S1309" s="12"/>
      <c r="T1309" s="12"/>
      <c r="U1309" s="12"/>
      <c r="V1309" s="12"/>
      <c r="W1309" s="12"/>
      <c r="X1309" s="12"/>
      <c r="Y1309" s="12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M1309" s="1"/>
    </row>
    <row r="1310" spans="1:39" ht="21" x14ac:dyDescent="0.3">
      <c r="A1310" s="12"/>
      <c r="B1310" s="12"/>
      <c r="C1310" s="12"/>
      <c r="D1310" s="12"/>
      <c r="E1310" s="12"/>
      <c r="F1310" s="12"/>
      <c r="G1310" s="12"/>
      <c r="H1310" s="12"/>
      <c r="I1310" s="12"/>
      <c r="J1310" s="12"/>
      <c r="K1310" s="12"/>
      <c r="L1310" s="12"/>
      <c r="M1310" s="12"/>
      <c r="N1310" s="21"/>
      <c r="O1310" s="12"/>
      <c r="P1310" s="12"/>
      <c r="Q1310" s="12"/>
      <c r="R1310" s="12"/>
      <c r="S1310" s="12"/>
      <c r="T1310" s="12"/>
      <c r="U1310" s="12"/>
      <c r="V1310" s="12"/>
      <c r="W1310" s="12"/>
      <c r="X1310" s="12"/>
      <c r="Y1310" s="12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</row>
    <row r="1311" spans="1:39" ht="21" x14ac:dyDescent="0.3">
      <c r="A1311" s="12"/>
      <c r="B1311" s="12"/>
      <c r="C1311" s="12"/>
      <c r="D1311" s="12"/>
      <c r="E1311" s="12"/>
      <c r="F1311" s="12"/>
      <c r="G1311" s="12"/>
      <c r="H1311" s="12"/>
      <c r="I1311" s="12"/>
      <c r="J1311" s="12"/>
      <c r="K1311" s="12"/>
      <c r="L1311" s="12"/>
      <c r="M1311" s="12"/>
      <c r="N1311" s="21"/>
      <c r="O1311" s="12"/>
      <c r="P1311" s="12"/>
      <c r="Q1311" s="12"/>
      <c r="R1311" s="12"/>
      <c r="S1311" s="12"/>
      <c r="T1311" s="12"/>
      <c r="U1311" s="12"/>
      <c r="V1311" s="12"/>
      <c r="W1311" s="12"/>
      <c r="X1311" s="12"/>
      <c r="Y1311" s="12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</row>
    <row r="1312" spans="1:39" ht="21" x14ac:dyDescent="0.3">
      <c r="A1312" s="12"/>
      <c r="B1312" s="12"/>
      <c r="C1312" s="12"/>
      <c r="D1312" s="12"/>
      <c r="E1312" s="12"/>
      <c r="F1312" s="12"/>
      <c r="G1312" s="12"/>
      <c r="H1312" s="12"/>
      <c r="I1312" s="12"/>
      <c r="J1312" s="12"/>
      <c r="K1312" s="12"/>
      <c r="L1312" s="12"/>
      <c r="M1312" s="12"/>
      <c r="N1312" s="21"/>
      <c r="O1312" s="12"/>
      <c r="P1312" s="12"/>
      <c r="Q1312" s="12"/>
      <c r="R1312" s="12"/>
      <c r="S1312" s="12"/>
      <c r="T1312" s="12"/>
      <c r="U1312" s="12"/>
      <c r="V1312" s="12"/>
      <c r="W1312" s="12"/>
      <c r="X1312" s="12"/>
      <c r="Y1312" s="12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</row>
    <row r="1313" spans="1:39" ht="21" x14ac:dyDescent="0.3">
      <c r="A1313" s="12"/>
      <c r="B1313" s="12"/>
      <c r="C1313" s="12"/>
      <c r="D1313" s="12"/>
      <c r="E1313" s="12"/>
      <c r="F1313" s="12"/>
      <c r="G1313" s="12"/>
      <c r="H1313" s="12"/>
      <c r="I1313" s="12"/>
      <c r="J1313" s="12"/>
      <c r="K1313" s="12"/>
      <c r="L1313" s="12"/>
      <c r="M1313" s="12"/>
      <c r="N1313" s="21"/>
      <c r="O1313" s="12"/>
      <c r="P1313" s="12"/>
      <c r="Q1313" s="12"/>
      <c r="R1313" s="12"/>
      <c r="S1313" s="12"/>
      <c r="T1313" s="12"/>
      <c r="U1313" s="12"/>
      <c r="V1313" s="12"/>
      <c r="W1313" s="12"/>
      <c r="X1313" s="12"/>
      <c r="Y1313" s="12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</row>
    <row r="1314" spans="1:39" ht="21" x14ac:dyDescent="0.3">
      <c r="A1314" s="12"/>
      <c r="B1314" s="12"/>
      <c r="C1314" s="12"/>
      <c r="D1314" s="12"/>
      <c r="E1314" s="12"/>
      <c r="F1314" s="12"/>
      <c r="G1314" s="12"/>
      <c r="H1314" s="12"/>
      <c r="I1314" s="12"/>
      <c r="J1314" s="12"/>
      <c r="K1314" s="12"/>
      <c r="L1314" s="12"/>
      <c r="M1314" s="12"/>
      <c r="N1314" s="21"/>
      <c r="O1314" s="12"/>
      <c r="P1314" s="12"/>
      <c r="Q1314" s="12"/>
      <c r="R1314" s="12"/>
      <c r="S1314" s="12"/>
      <c r="T1314" s="12"/>
      <c r="U1314" s="12"/>
      <c r="V1314" s="12"/>
      <c r="W1314" s="12"/>
      <c r="X1314" s="12"/>
      <c r="Y1314" s="12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</row>
    <row r="1315" spans="1:39" ht="21" x14ac:dyDescent="0.3">
      <c r="A1315" s="12"/>
      <c r="B1315" s="12"/>
      <c r="C1315" s="12"/>
      <c r="D1315" s="12"/>
      <c r="E1315" s="12"/>
      <c r="F1315" s="12"/>
      <c r="G1315" s="12"/>
      <c r="H1315" s="12"/>
      <c r="I1315" s="12"/>
      <c r="J1315" s="12"/>
      <c r="K1315" s="12"/>
      <c r="L1315" s="12"/>
      <c r="M1315" s="12"/>
      <c r="N1315" s="21"/>
      <c r="O1315" s="12"/>
      <c r="P1315" s="12"/>
      <c r="Q1315" s="12"/>
      <c r="R1315" s="12"/>
      <c r="S1315" s="12"/>
      <c r="T1315" s="12"/>
      <c r="U1315" s="12"/>
      <c r="V1315" s="12"/>
      <c r="W1315" s="12"/>
      <c r="X1315" s="12"/>
      <c r="Y1315" s="12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</row>
    <row r="1316" spans="1:39" ht="21" x14ac:dyDescent="0.3">
      <c r="A1316" s="12"/>
      <c r="B1316" s="12"/>
      <c r="C1316" s="12"/>
      <c r="D1316" s="12"/>
      <c r="E1316" s="12"/>
      <c r="F1316" s="12"/>
      <c r="G1316" s="12"/>
      <c r="H1316" s="12"/>
      <c r="I1316" s="12"/>
      <c r="J1316" s="12"/>
      <c r="K1316" s="12"/>
      <c r="L1316" s="12"/>
      <c r="M1316" s="12"/>
      <c r="N1316" s="21"/>
      <c r="O1316" s="12"/>
      <c r="P1316" s="12"/>
      <c r="Q1316" s="12"/>
      <c r="R1316" s="12"/>
      <c r="S1316" s="12"/>
      <c r="T1316" s="12"/>
      <c r="U1316" s="12"/>
      <c r="V1316" s="12"/>
      <c r="W1316" s="12"/>
      <c r="X1316" s="12"/>
      <c r="Y1316" s="12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M1316" s="1"/>
    </row>
    <row r="1317" spans="1:39" ht="21" x14ac:dyDescent="0.3">
      <c r="A1317" s="12"/>
      <c r="B1317" s="12"/>
      <c r="C1317" s="12"/>
      <c r="D1317" s="12"/>
      <c r="E1317" s="12"/>
      <c r="F1317" s="12"/>
      <c r="G1317" s="12"/>
      <c r="H1317" s="12"/>
      <c r="I1317" s="12"/>
      <c r="J1317" s="12"/>
      <c r="K1317" s="12"/>
      <c r="L1317" s="12"/>
      <c r="M1317" s="12"/>
      <c r="N1317" s="21"/>
      <c r="O1317" s="12"/>
      <c r="P1317" s="12"/>
      <c r="Q1317" s="12"/>
      <c r="R1317" s="12"/>
      <c r="S1317" s="12"/>
      <c r="T1317" s="12"/>
      <c r="U1317" s="12"/>
      <c r="V1317" s="12"/>
      <c r="W1317" s="12"/>
      <c r="X1317" s="12"/>
      <c r="Y1317" s="12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M1317" s="1"/>
    </row>
    <row r="1318" spans="1:39" ht="21" x14ac:dyDescent="0.3">
      <c r="A1318" s="12"/>
      <c r="B1318" s="12"/>
      <c r="C1318" s="12"/>
      <c r="D1318" s="12"/>
      <c r="E1318" s="12"/>
      <c r="F1318" s="12"/>
      <c r="G1318" s="12"/>
      <c r="H1318" s="12"/>
      <c r="I1318" s="12"/>
      <c r="J1318" s="12"/>
      <c r="K1318" s="12"/>
      <c r="L1318" s="12"/>
      <c r="M1318" s="12"/>
      <c r="N1318" s="21"/>
      <c r="O1318" s="12"/>
      <c r="P1318" s="12"/>
      <c r="Q1318" s="12"/>
      <c r="R1318" s="12"/>
      <c r="S1318" s="12"/>
      <c r="T1318" s="12"/>
      <c r="U1318" s="12"/>
      <c r="V1318" s="12"/>
      <c r="W1318" s="12"/>
      <c r="X1318" s="12"/>
      <c r="Y1318" s="12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M1318" s="1"/>
    </row>
    <row r="1319" spans="1:39" ht="21" x14ac:dyDescent="0.3">
      <c r="A1319" s="12"/>
      <c r="B1319" s="12"/>
      <c r="C1319" s="12"/>
      <c r="D1319" s="12"/>
      <c r="E1319" s="12"/>
      <c r="F1319" s="12"/>
      <c r="G1319" s="12"/>
      <c r="H1319" s="12"/>
      <c r="I1319" s="12"/>
      <c r="J1319" s="12"/>
      <c r="K1319" s="12"/>
      <c r="L1319" s="12"/>
      <c r="M1319" s="12"/>
      <c r="N1319" s="21"/>
      <c r="O1319" s="12"/>
      <c r="P1319" s="12"/>
      <c r="Q1319" s="12"/>
      <c r="R1319" s="12"/>
      <c r="S1319" s="12"/>
      <c r="T1319" s="12"/>
      <c r="U1319" s="12"/>
      <c r="V1319" s="12"/>
      <c r="W1319" s="12"/>
      <c r="X1319" s="12"/>
      <c r="Y1319" s="12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M1319" s="1"/>
    </row>
    <row r="1320" spans="1:39" ht="21" x14ac:dyDescent="0.3">
      <c r="A1320" s="12"/>
      <c r="B1320" s="12"/>
      <c r="C1320" s="12"/>
      <c r="D1320" s="12"/>
      <c r="E1320" s="12"/>
      <c r="F1320" s="12"/>
      <c r="G1320" s="12"/>
      <c r="H1320" s="12"/>
      <c r="I1320" s="12"/>
      <c r="J1320" s="12"/>
      <c r="K1320" s="12"/>
      <c r="L1320" s="12"/>
      <c r="M1320" s="12"/>
      <c r="N1320" s="21"/>
      <c r="O1320" s="12"/>
      <c r="P1320" s="12"/>
      <c r="Q1320" s="12"/>
      <c r="R1320" s="12"/>
      <c r="S1320" s="12"/>
      <c r="T1320" s="12"/>
      <c r="U1320" s="12"/>
      <c r="V1320" s="12"/>
      <c r="W1320" s="12"/>
      <c r="X1320" s="12"/>
      <c r="Y1320" s="12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  <c r="AM1320" s="1"/>
    </row>
    <row r="1321" spans="1:39" ht="21" x14ac:dyDescent="0.3">
      <c r="A1321" s="12"/>
      <c r="B1321" s="12"/>
      <c r="C1321" s="12"/>
      <c r="D1321" s="12"/>
      <c r="E1321" s="12"/>
      <c r="F1321" s="12"/>
      <c r="G1321" s="12"/>
      <c r="H1321" s="12"/>
      <c r="I1321" s="12"/>
      <c r="J1321" s="12"/>
      <c r="K1321" s="12"/>
      <c r="L1321" s="12"/>
      <c r="M1321" s="12"/>
      <c r="N1321" s="21"/>
      <c r="O1321" s="12"/>
      <c r="P1321" s="12"/>
      <c r="Q1321" s="12"/>
      <c r="R1321" s="12"/>
      <c r="S1321" s="12"/>
      <c r="T1321" s="12"/>
      <c r="U1321" s="12"/>
      <c r="V1321" s="12"/>
      <c r="W1321" s="12"/>
      <c r="X1321" s="12"/>
      <c r="Y1321" s="12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M1321" s="1"/>
    </row>
    <row r="1322" spans="1:39" ht="21" x14ac:dyDescent="0.3">
      <c r="A1322" s="12"/>
      <c r="B1322" s="12"/>
      <c r="C1322" s="12"/>
      <c r="D1322" s="12"/>
      <c r="E1322" s="12"/>
      <c r="F1322" s="12"/>
      <c r="G1322" s="12"/>
      <c r="H1322" s="12"/>
      <c r="I1322" s="12"/>
      <c r="J1322" s="12"/>
      <c r="K1322" s="12"/>
      <c r="L1322" s="12"/>
      <c r="M1322" s="12"/>
      <c r="N1322" s="21"/>
      <c r="O1322" s="12"/>
      <c r="P1322" s="12"/>
      <c r="Q1322" s="12"/>
      <c r="R1322" s="12"/>
      <c r="S1322" s="12"/>
      <c r="T1322" s="12"/>
      <c r="U1322" s="12"/>
      <c r="V1322" s="12"/>
      <c r="W1322" s="12"/>
      <c r="X1322" s="12"/>
      <c r="Y1322" s="12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M1322" s="1"/>
    </row>
    <row r="1323" spans="1:39" ht="21" x14ac:dyDescent="0.3">
      <c r="A1323" s="12"/>
      <c r="B1323" s="12"/>
      <c r="C1323" s="12"/>
      <c r="D1323" s="12"/>
      <c r="E1323" s="12"/>
      <c r="F1323" s="12"/>
      <c r="G1323" s="12"/>
      <c r="H1323" s="12"/>
      <c r="I1323" s="12"/>
      <c r="J1323" s="12"/>
      <c r="K1323" s="12"/>
      <c r="L1323" s="12"/>
      <c r="M1323" s="12"/>
      <c r="N1323" s="21"/>
      <c r="O1323" s="12"/>
      <c r="P1323" s="12"/>
      <c r="Q1323" s="12"/>
      <c r="R1323" s="12"/>
      <c r="S1323" s="12"/>
      <c r="T1323" s="12"/>
      <c r="U1323" s="12"/>
      <c r="V1323" s="12"/>
      <c r="W1323" s="12"/>
      <c r="X1323" s="12"/>
      <c r="Y1323" s="12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M1323" s="1"/>
    </row>
    <row r="1324" spans="1:39" ht="21" x14ac:dyDescent="0.3">
      <c r="A1324" s="12"/>
      <c r="B1324" s="12"/>
      <c r="C1324" s="12"/>
      <c r="D1324" s="12"/>
      <c r="E1324" s="12"/>
      <c r="F1324" s="12"/>
      <c r="G1324" s="12"/>
      <c r="H1324" s="12"/>
      <c r="I1324" s="12"/>
      <c r="J1324" s="12"/>
      <c r="K1324" s="12"/>
      <c r="L1324" s="12"/>
      <c r="M1324" s="12"/>
      <c r="N1324" s="21"/>
      <c r="O1324" s="12"/>
      <c r="P1324" s="12"/>
      <c r="Q1324" s="12"/>
      <c r="R1324" s="12"/>
      <c r="S1324" s="12"/>
      <c r="T1324" s="12"/>
      <c r="U1324" s="12"/>
      <c r="V1324" s="12"/>
      <c r="W1324" s="12"/>
      <c r="X1324" s="12"/>
      <c r="Y1324" s="12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</row>
    <row r="1325" spans="1:39" ht="21" x14ac:dyDescent="0.3">
      <c r="A1325" s="12"/>
      <c r="B1325" s="12"/>
      <c r="C1325" s="12"/>
      <c r="D1325" s="12"/>
      <c r="E1325" s="12"/>
      <c r="F1325" s="12"/>
      <c r="G1325" s="12"/>
      <c r="H1325" s="12"/>
      <c r="I1325" s="12"/>
      <c r="J1325" s="12"/>
      <c r="K1325" s="12"/>
      <c r="L1325" s="12"/>
      <c r="M1325" s="12"/>
      <c r="N1325" s="21"/>
      <c r="O1325" s="12"/>
      <c r="P1325" s="12"/>
      <c r="Q1325" s="12"/>
      <c r="R1325" s="12"/>
      <c r="S1325" s="12"/>
      <c r="T1325" s="12"/>
      <c r="U1325" s="12"/>
      <c r="V1325" s="12"/>
      <c r="W1325" s="12"/>
      <c r="X1325" s="12"/>
      <c r="Y1325" s="12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M1325" s="1"/>
    </row>
    <row r="1326" spans="1:39" ht="21" x14ac:dyDescent="0.3">
      <c r="A1326" s="12"/>
      <c r="B1326" s="12"/>
      <c r="C1326" s="12"/>
      <c r="D1326" s="12"/>
      <c r="E1326" s="12"/>
      <c r="F1326" s="12"/>
      <c r="G1326" s="12"/>
      <c r="H1326" s="12"/>
      <c r="I1326" s="12"/>
      <c r="J1326" s="12"/>
      <c r="K1326" s="12"/>
      <c r="L1326" s="12"/>
      <c r="M1326" s="12"/>
      <c r="N1326" s="21"/>
      <c r="O1326" s="12"/>
      <c r="P1326" s="12"/>
      <c r="Q1326" s="12"/>
      <c r="R1326" s="12"/>
      <c r="S1326" s="12"/>
      <c r="T1326" s="12"/>
      <c r="U1326" s="12"/>
      <c r="V1326" s="12"/>
      <c r="W1326" s="12"/>
      <c r="X1326" s="12"/>
      <c r="Y1326" s="12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M1326" s="1"/>
    </row>
    <row r="1327" spans="1:39" ht="21" x14ac:dyDescent="0.3">
      <c r="A1327" s="12"/>
      <c r="B1327" s="12"/>
      <c r="C1327" s="12"/>
      <c r="D1327" s="12"/>
      <c r="E1327" s="12"/>
      <c r="F1327" s="12"/>
      <c r="G1327" s="12"/>
      <c r="H1327" s="12"/>
      <c r="I1327" s="12"/>
      <c r="J1327" s="12"/>
      <c r="K1327" s="12"/>
      <c r="L1327" s="12"/>
      <c r="M1327" s="12"/>
      <c r="N1327" s="21"/>
      <c r="O1327" s="12"/>
      <c r="P1327" s="12"/>
      <c r="Q1327" s="12"/>
      <c r="R1327" s="12"/>
      <c r="S1327" s="12"/>
      <c r="T1327" s="12"/>
      <c r="U1327" s="12"/>
      <c r="V1327" s="12"/>
      <c r="W1327" s="12"/>
      <c r="X1327" s="12"/>
      <c r="Y1327" s="12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M1327" s="1"/>
    </row>
    <row r="1328" spans="1:39" ht="21" x14ac:dyDescent="0.3">
      <c r="A1328" s="12"/>
      <c r="B1328" s="12"/>
      <c r="C1328" s="12"/>
      <c r="D1328" s="12"/>
      <c r="E1328" s="12"/>
      <c r="F1328" s="12"/>
      <c r="G1328" s="12"/>
      <c r="H1328" s="12"/>
      <c r="I1328" s="12"/>
      <c r="J1328" s="12"/>
      <c r="K1328" s="12"/>
      <c r="L1328" s="12"/>
      <c r="M1328" s="12"/>
      <c r="N1328" s="21"/>
      <c r="O1328" s="12"/>
      <c r="P1328" s="12"/>
      <c r="Q1328" s="12"/>
      <c r="R1328" s="12"/>
      <c r="S1328" s="12"/>
      <c r="T1328" s="12"/>
      <c r="U1328" s="12"/>
      <c r="V1328" s="12"/>
      <c r="W1328" s="12"/>
      <c r="X1328" s="12"/>
      <c r="Y1328" s="12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</row>
    <row r="1329" spans="1:39" ht="21" x14ac:dyDescent="0.3">
      <c r="A1329" s="12"/>
      <c r="B1329" s="12"/>
      <c r="C1329" s="12"/>
      <c r="D1329" s="12"/>
      <c r="E1329" s="12"/>
      <c r="F1329" s="12"/>
      <c r="G1329" s="12"/>
      <c r="H1329" s="12"/>
      <c r="I1329" s="12"/>
      <c r="J1329" s="12"/>
      <c r="K1329" s="12"/>
      <c r="L1329" s="12"/>
      <c r="M1329" s="12"/>
      <c r="N1329" s="21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  <c r="Y1329" s="12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M1329" s="1"/>
    </row>
    <row r="1330" spans="1:39" ht="21" x14ac:dyDescent="0.3">
      <c r="A1330" s="12"/>
      <c r="B1330" s="12"/>
      <c r="C1330" s="12"/>
      <c r="D1330" s="12"/>
      <c r="E1330" s="12"/>
      <c r="F1330" s="12"/>
      <c r="G1330" s="12"/>
      <c r="H1330" s="12"/>
      <c r="I1330" s="12"/>
      <c r="J1330" s="12"/>
      <c r="K1330" s="12"/>
      <c r="L1330" s="12"/>
      <c r="M1330" s="12"/>
      <c r="N1330" s="21"/>
      <c r="O1330" s="12"/>
      <c r="P1330" s="12"/>
      <c r="Q1330" s="12"/>
      <c r="R1330" s="12"/>
      <c r="S1330" s="12"/>
      <c r="T1330" s="12"/>
      <c r="U1330" s="12"/>
      <c r="V1330" s="12"/>
      <c r="W1330" s="12"/>
      <c r="X1330" s="12"/>
      <c r="Y1330" s="12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M1330" s="1"/>
    </row>
    <row r="1331" spans="1:39" ht="21" x14ac:dyDescent="0.4">
      <c r="A1331" s="18"/>
      <c r="B1331" s="18"/>
      <c r="C1331" s="18"/>
      <c r="D1331" s="18"/>
      <c r="E1331" s="18"/>
      <c r="F1331" s="12"/>
      <c r="G1331" s="12"/>
      <c r="H1331" s="12"/>
      <c r="I1331" s="12"/>
      <c r="J1331" s="12"/>
      <c r="K1331" s="12"/>
      <c r="L1331" s="12"/>
      <c r="M1331" s="12"/>
      <c r="N1331" s="21"/>
      <c r="O1331" s="12"/>
      <c r="P1331" s="12"/>
      <c r="Q1331" s="12"/>
      <c r="R1331" s="12"/>
      <c r="S1331" s="12"/>
      <c r="T1331" s="12"/>
      <c r="U1331" s="12"/>
      <c r="V1331" s="12"/>
      <c r="W1331" s="12"/>
      <c r="X1331" s="12"/>
      <c r="Y1331" s="12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  <c r="AM1331" s="1"/>
    </row>
    <row r="1332" spans="1:39" ht="21" x14ac:dyDescent="0.4">
      <c r="A1332" s="18"/>
      <c r="B1332" s="18"/>
      <c r="C1332" s="18"/>
      <c r="D1332" s="18"/>
      <c r="E1332" s="18"/>
      <c r="F1332" s="12"/>
      <c r="G1332" s="12"/>
      <c r="H1332" s="12"/>
      <c r="I1332" s="12"/>
      <c r="J1332" s="12"/>
      <c r="K1332" s="12"/>
      <c r="L1332" s="12"/>
      <c r="M1332" s="12"/>
      <c r="N1332" s="21"/>
      <c r="O1332" s="12"/>
      <c r="P1332" s="12"/>
      <c r="Q1332" s="12"/>
      <c r="R1332" s="12"/>
      <c r="S1332" s="12"/>
      <c r="T1332" s="12"/>
      <c r="U1332" s="12"/>
      <c r="V1332" s="12"/>
      <c r="W1332" s="12"/>
      <c r="X1332" s="12"/>
      <c r="Y1332" s="12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</row>
    <row r="1333" spans="1:39" ht="21" x14ac:dyDescent="0.4">
      <c r="A1333" s="18"/>
      <c r="B1333" s="18"/>
      <c r="C1333" s="18"/>
      <c r="D1333" s="18"/>
      <c r="E1333" s="18"/>
      <c r="F1333" s="12"/>
      <c r="G1333" s="12"/>
      <c r="H1333" s="12"/>
      <c r="I1333" s="12"/>
      <c r="J1333" s="12"/>
      <c r="K1333" s="12"/>
      <c r="L1333" s="12"/>
      <c r="M1333" s="12"/>
      <c r="N1333" s="21"/>
      <c r="O1333" s="12"/>
      <c r="P1333" s="12"/>
      <c r="Q1333" s="12"/>
      <c r="R1333" s="12"/>
      <c r="S1333" s="12"/>
      <c r="T1333" s="12"/>
      <c r="U1333" s="12"/>
      <c r="V1333" s="12"/>
      <c r="W1333" s="12"/>
      <c r="X1333" s="12"/>
      <c r="Y1333" s="12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M1333" s="1"/>
    </row>
    <row r="1334" spans="1:39" ht="21" x14ac:dyDescent="0.4">
      <c r="A1334" s="18"/>
      <c r="B1334" s="18"/>
      <c r="C1334" s="18"/>
      <c r="D1334" s="18"/>
      <c r="E1334" s="18"/>
      <c r="F1334" s="12"/>
      <c r="G1334" s="12"/>
      <c r="H1334" s="12"/>
      <c r="I1334" s="12"/>
      <c r="J1334" s="12"/>
      <c r="K1334" s="12"/>
      <c r="L1334" s="12"/>
      <c r="M1334" s="12"/>
      <c r="N1334" s="21"/>
      <c r="O1334" s="12"/>
      <c r="P1334" s="12"/>
      <c r="Q1334" s="12"/>
      <c r="R1334" s="12"/>
      <c r="S1334" s="12"/>
      <c r="T1334" s="12"/>
      <c r="U1334" s="12"/>
      <c r="V1334" s="12"/>
      <c r="W1334" s="12"/>
      <c r="X1334" s="12"/>
      <c r="Y1334" s="12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M1334" s="1"/>
    </row>
    <row r="1335" spans="1:39" ht="21" x14ac:dyDescent="0.4">
      <c r="A1335" s="18"/>
      <c r="B1335" s="18"/>
      <c r="C1335" s="18"/>
      <c r="D1335" s="18"/>
      <c r="E1335" s="18"/>
      <c r="F1335" s="18"/>
      <c r="G1335" s="18"/>
      <c r="H1335" s="18"/>
      <c r="I1335" s="18"/>
      <c r="J1335" s="18"/>
      <c r="K1335" s="18"/>
      <c r="L1335" s="18"/>
      <c r="M1335" s="18"/>
      <c r="N1335" s="21"/>
      <c r="O1335" s="18"/>
      <c r="P1335" s="18"/>
      <c r="Q1335" s="18"/>
      <c r="R1335" s="18"/>
      <c r="S1335" s="18"/>
      <c r="T1335" s="18"/>
      <c r="U1335" s="18"/>
      <c r="V1335" s="18"/>
      <c r="W1335" s="18"/>
      <c r="X1335" s="18"/>
      <c r="Y1335" s="18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M1335" s="1"/>
    </row>
    <row r="1336" spans="1:39" ht="15.6" x14ac:dyDescent="0.3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22" t="str">
        <f t="shared" ref="N1336" si="25">CONCATENATE(G1336,K1336,M1336)</f>
        <v/>
      </c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M1336" s="1"/>
    </row>
    <row r="1337" spans="1:39" x14ac:dyDescent="0.3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M1337" s="1"/>
    </row>
    <row r="1338" spans="1:39" x14ac:dyDescent="0.3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M1338" s="1"/>
    </row>
    <row r="1339" spans="1:39" x14ac:dyDescent="0.3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</row>
    <row r="1340" spans="1:39" x14ac:dyDescent="0.3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</row>
    <row r="1341" spans="1:39" x14ac:dyDescent="0.3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  <c r="AM1341" s="1"/>
    </row>
    <row r="1342" spans="1:39" x14ac:dyDescent="0.3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  <c r="AM1342" s="1"/>
    </row>
  </sheetData>
  <mergeCells count="28">
    <mergeCell ref="X2:X3"/>
    <mergeCell ref="S2:S3"/>
    <mergeCell ref="T2:T3"/>
    <mergeCell ref="U2:U3"/>
    <mergeCell ref="V2:V3"/>
    <mergeCell ref="W2:W3"/>
    <mergeCell ref="F1:O1"/>
    <mergeCell ref="K2:K3"/>
    <mergeCell ref="J2:J3"/>
    <mergeCell ref="M2:M3"/>
    <mergeCell ref="O2:O3"/>
    <mergeCell ref="N2:N3"/>
    <mergeCell ref="B2:B3"/>
    <mergeCell ref="A1:E1"/>
    <mergeCell ref="P2:P3"/>
    <mergeCell ref="Q2:Q3"/>
    <mergeCell ref="R2:R3"/>
    <mergeCell ref="A2:A3"/>
    <mergeCell ref="C2:C3"/>
    <mergeCell ref="D2:D3"/>
    <mergeCell ref="E2:E3"/>
    <mergeCell ref="H2:H3"/>
    <mergeCell ref="F2:F3"/>
    <mergeCell ref="G2:G3"/>
    <mergeCell ref="I2:I3"/>
    <mergeCell ref="P1:Y1"/>
    <mergeCell ref="Y2:Y3"/>
    <mergeCell ref="L2:L3"/>
  </mergeCells>
  <conditionalFormatting sqref="O1:O104857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" priority="9" operator="containsText" text="H">
      <formula>NOT(ISERROR(SEARCH("H",O1)))</formula>
    </cfRule>
    <cfRule type="containsText" dxfId="1" priority="10" operator="containsText" text="M">
      <formula>NOT(ISERROR(SEARCH("M",O1)))</formula>
    </cfRule>
    <cfRule type="containsText" dxfId="0" priority="11" operator="containsText" text="L">
      <formula>NOT(ISERROR(SEARCH("L",O1)))</formula>
    </cfRule>
  </conditionalFormatting>
  <conditionalFormatting sqref="G1:G18 G59:G1048576 B19:B56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:K20 K59:K1048576 F19:F56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1:M20 M59:M1048576 H19:H5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5D178A39-E2C3-4E65-BD47-D356ABFA4119}">
          <x14:formula1>
            <xm:f>'Liste déroulante'!$L$3:$L$12</xm:f>
          </x14:formula1>
          <xm:sqref>N1337:N1458 H19:H56 M4:M20 M59:M1458</xm:sqref>
        </x14:dataValidation>
        <x14:dataValidation type="list" allowBlank="1" showInputMessage="1" showErrorMessage="1" xr:uid="{8A88B040-376E-4472-B4B4-DA984598576C}">
          <x14:formula1>
            <xm:f>'Liste déroulante'!$N$3:$N$6</xm:f>
          </x14:formula1>
          <xm:sqref>P4:P1047</xm:sqref>
        </x14:dataValidation>
        <x14:dataValidation type="list" allowBlank="1" showInputMessage="1" showErrorMessage="1" xr:uid="{A3165615-4E92-47E0-BDDB-24F4795A42E6}">
          <x14:formula1>
            <xm:f>'Liste déroulante'!$F$3:$F$8</xm:f>
          </x14:formula1>
          <xm:sqref>E1080:E1348</xm:sqref>
        </x14:dataValidation>
        <x14:dataValidation type="list" allowBlank="1" showInputMessage="1" showErrorMessage="1" xr:uid="{A542E63C-F7CA-49EE-B26A-528F73E92C3D}">
          <x14:formula1>
            <xm:f>'Liste déroulante'!$B$3:$B$14</xm:f>
          </x14:formula1>
          <xm:sqref>A18:B1004 A6:A17</xm:sqref>
        </x14:dataValidation>
        <x14:dataValidation type="list" allowBlank="1" showInputMessage="1" showErrorMessage="1" xr:uid="{5E1CB9D7-0758-459F-AFE6-F08745AF44A8}">
          <x14:formula1>
            <xm:f>'Liste déroulante'!$F$3:$F$7</xm:f>
          </x14:formula1>
          <xm:sqref>E4:E1079</xm:sqref>
        </x14:dataValidation>
        <x14:dataValidation type="list" allowBlank="1" showInputMessage="1" showErrorMessage="1" xr:uid="{A51844B7-0734-4E77-B992-0793DC509FC1}">
          <x14:formula1>
            <xm:f>'Liste déroulante'!$P$3:$P$5</xm:f>
          </x14:formula1>
          <xm:sqref>Y4:Y1332</xm:sqref>
        </x14:dataValidation>
        <x14:dataValidation type="list" allowBlank="1" showInputMessage="1" showErrorMessage="1" xr:uid="{6713D2B4-9846-4DF0-BE90-08217C201B0D}">
          <x14:formula1>
            <xm:f>'Liste déroulante'!$J$3:$J$12</xm:f>
          </x14:formula1>
          <xm:sqref>L6:L20 L59:L1332 K4:K20 K59:K1334 F19:G56</xm:sqref>
        </x14:dataValidation>
        <x14:dataValidation type="list" allowBlank="1" showInputMessage="1" showErrorMessage="1" xr:uid="{C95D72FF-4F45-4E67-A3B0-1C97C07F1493}">
          <x14:formula1>
            <xm:f>'Liste déroulante'!$H$3:$H$12</xm:f>
          </x14:formula1>
          <xm:sqref>H59:H1019 B19:C56 G4:G18 G59:G5399 H18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C027D-32A0-49F1-B910-7EC2E4929C95}">
  <sheetPr codeName="Feuil3"/>
  <dimension ref="A1:S180"/>
  <sheetViews>
    <sheetView zoomScale="115" zoomScaleNormal="115" workbookViewId="0">
      <selection activeCell="J13" sqref="J13"/>
    </sheetView>
  </sheetViews>
  <sheetFormatPr baseColWidth="10" defaultRowHeight="14.4" x14ac:dyDescent="0.3"/>
  <cols>
    <col min="1" max="1" width="2.77734375" customWidth="1"/>
    <col min="2" max="2" width="20.6640625" bestFit="1" customWidth="1"/>
    <col min="3" max="3" width="3.21875" customWidth="1"/>
    <col min="4" max="4" width="12.109375" customWidth="1"/>
    <col min="5" max="5" width="3.21875" customWidth="1"/>
    <col min="6" max="6" width="12.21875" bestFit="1" customWidth="1"/>
    <col min="7" max="7" width="2.88671875" customWidth="1"/>
    <col min="8" max="8" width="12.21875" bestFit="1" customWidth="1"/>
    <col min="9" max="9" width="3.5546875" customWidth="1"/>
    <col min="10" max="10" width="15" bestFit="1" customWidth="1"/>
    <col min="11" max="11" width="3.6640625" customWidth="1"/>
    <col min="12" max="12" width="13.5546875" bestFit="1" customWidth="1"/>
    <col min="13" max="13" width="2.33203125" customWidth="1"/>
    <col min="14" max="14" width="29" bestFit="1" customWidth="1"/>
    <col min="15" max="15" width="2.88671875" customWidth="1"/>
    <col min="20" max="20" width="16.77734375" customWidth="1"/>
    <col min="21" max="21" width="11.21875" bestFit="1" customWidth="1"/>
    <col min="22" max="22" width="14" bestFit="1" customWidth="1"/>
    <col min="23" max="23" width="9.21875" bestFit="1" customWidth="1"/>
    <col min="24" max="24" width="18.33203125" bestFit="1" customWidth="1"/>
    <col min="25" max="25" width="14.6640625" bestFit="1" customWidth="1"/>
    <col min="26" max="26" width="17.109375" bestFit="1" customWidth="1"/>
    <col min="28" max="28" width="17.109375" bestFit="1" customWidth="1"/>
    <col min="29" max="29" width="11.5546875" bestFit="1" customWidth="1"/>
    <col min="30" max="30" width="14" bestFit="1" customWidth="1"/>
    <col min="31" max="31" width="9.21875" bestFit="1" customWidth="1"/>
    <col min="32" max="32" width="18.33203125" bestFit="1" customWidth="1"/>
    <col min="33" max="33" width="10" customWidth="1"/>
    <col min="34" max="34" width="17.109375" bestFit="1" customWidth="1"/>
  </cols>
  <sheetData>
    <row r="1" spans="1:19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x14ac:dyDescent="0.3">
      <c r="A2" s="2"/>
      <c r="B2" s="2" t="s">
        <v>0</v>
      </c>
      <c r="C2" s="2"/>
      <c r="D2" s="2" t="s">
        <v>11</v>
      </c>
      <c r="F2" s="2" t="s">
        <v>33</v>
      </c>
      <c r="G2" s="2"/>
      <c r="H2" s="2" t="s">
        <v>2</v>
      </c>
      <c r="I2" s="2"/>
      <c r="J2" s="2" t="s">
        <v>4</v>
      </c>
      <c r="K2" s="2"/>
      <c r="L2" s="2" t="s">
        <v>5</v>
      </c>
      <c r="M2" s="2"/>
      <c r="N2" s="2" t="s">
        <v>28</v>
      </c>
      <c r="O2" s="2"/>
      <c r="P2" s="2"/>
      <c r="Q2" s="2"/>
      <c r="R2" s="2"/>
      <c r="S2" s="2"/>
    </row>
    <row r="3" spans="1:19" x14ac:dyDescent="0.3">
      <c r="A3" s="2"/>
      <c r="B3" s="2" t="s">
        <v>21</v>
      </c>
      <c r="C3" s="2"/>
      <c r="D3" s="2"/>
      <c r="E3" s="2"/>
      <c r="F3" s="2" t="s">
        <v>29</v>
      </c>
      <c r="G3" s="2"/>
      <c r="H3" s="2">
        <v>1</v>
      </c>
      <c r="I3" s="2"/>
      <c r="J3" s="20">
        <v>1</v>
      </c>
      <c r="K3" s="2"/>
      <c r="L3" s="2">
        <v>1</v>
      </c>
      <c r="M3" s="2"/>
      <c r="N3" s="2" t="s">
        <v>44</v>
      </c>
      <c r="O3" s="2"/>
      <c r="P3" s="2"/>
      <c r="Q3" s="2"/>
      <c r="R3" s="2"/>
      <c r="S3" s="2"/>
    </row>
    <row r="4" spans="1:19" x14ac:dyDescent="0.3">
      <c r="A4" s="2"/>
      <c r="B4" s="2" t="s">
        <v>22</v>
      </c>
      <c r="C4" s="2"/>
      <c r="D4" s="2"/>
      <c r="E4" s="2"/>
      <c r="F4" s="2" t="s">
        <v>30</v>
      </c>
      <c r="G4" s="2"/>
      <c r="H4" s="2">
        <v>2</v>
      </c>
      <c r="I4" s="2"/>
      <c r="J4" s="19">
        <v>2</v>
      </c>
      <c r="K4" s="2"/>
      <c r="L4" s="2">
        <v>2</v>
      </c>
      <c r="M4" s="2"/>
      <c r="N4" s="2" t="s">
        <v>45</v>
      </c>
      <c r="O4" s="2"/>
      <c r="P4" s="2"/>
      <c r="Q4" s="2"/>
      <c r="R4" s="2"/>
      <c r="S4" s="2"/>
    </row>
    <row r="5" spans="1:19" x14ac:dyDescent="0.3">
      <c r="A5" s="2"/>
      <c r="B5" s="2" t="s">
        <v>27</v>
      </c>
      <c r="C5" s="2"/>
      <c r="D5" s="2"/>
      <c r="E5" s="2"/>
      <c r="F5" s="2" t="s">
        <v>31</v>
      </c>
      <c r="G5" s="2"/>
      <c r="H5" s="2">
        <v>3</v>
      </c>
      <c r="I5" s="2"/>
      <c r="J5" s="19">
        <v>3</v>
      </c>
      <c r="K5" s="2"/>
      <c r="L5" s="2">
        <v>3</v>
      </c>
      <c r="M5" s="2"/>
      <c r="N5" s="2" t="s">
        <v>46</v>
      </c>
      <c r="O5" s="2"/>
      <c r="P5" s="2"/>
      <c r="Q5" s="2"/>
      <c r="R5" s="2"/>
      <c r="S5" s="2"/>
    </row>
    <row r="6" spans="1:19" x14ac:dyDescent="0.3">
      <c r="A6" s="2"/>
      <c r="B6" s="2" t="s">
        <v>24</v>
      </c>
      <c r="C6" s="2"/>
      <c r="D6" s="2"/>
      <c r="E6" s="2"/>
      <c r="F6" s="2" t="s">
        <v>32</v>
      </c>
      <c r="G6" s="2"/>
      <c r="H6" s="2">
        <v>4</v>
      </c>
      <c r="I6" s="2"/>
      <c r="J6" s="19">
        <v>4</v>
      </c>
      <c r="K6" s="2"/>
      <c r="L6" s="2">
        <v>4</v>
      </c>
      <c r="M6" s="2"/>
      <c r="N6" s="2" t="s">
        <v>47</v>
      </c>
      <c r="O6" s="2"/>
      <c r="P6" s="2"/>
      <c r="Q6" s="2"/>
      <c r="R6" s="2"/>
      <c r="S6" s="2"/>
    </row>
    <row r="7" spans="1:19" x14ac:dyDescent="0.3">
      <c r="A7" s="2"/>
      <c r="B7" s="2" t="s">
        <v>16</v>
      </c>
      <c r="C7" s="2"/>
      <c r="D7" s="2"/>
      <c r="E7" s="2"/>
      <c r="F7" s="2" t="s">
        <v>20</v>
      </c>
      <c r="G7" s="2"/>
      <c r="H7" s="2">
        <v>5</v>
      </c>
      <c r="I7" s="2"/>
      <c r="J7" s="19">
        <v>5</v>
      </c>
      <c r="K7" s="2"/>
      <c r="L7" s="2">
        <v>5</v>
      </c>
      <c r="M7" s="2"/>
      <c r="N7" s="2"/>
      <c r="O7" s="2"/>
      <c r="P7" s="2"/>
      <c r="Q7" s="2"/>
      <c r="R7" s="2"/>
      <c r="S7" s="2"/>
    </row>
    <row r="8" spans="1:19" x14ac:dyDescent="0.3">
      <c r="A8" s="2"/>
      <c r="B8" s="2" t="s">
        <v>17</v>
      </c>
      <c r="C8" s="2"/>
      <c r="D8" s="2"/>
      <c r="E8" s="2"/>
      <c r="F8" s="2"/>
      <c r="G8" s="2"/>
      <c r="H8" s="2">
        <v>6</v>
      </c>
      <c r="I8" s="2"/>
      <c r="J8" s="19">
        <v>6</v>
      </c>
      <c r="K8" s="2"/>
      <c r="L8" s="2">
        <v>6</v>
      </c>
      <c r="M8" s="2"/>
      <c r="N8" s="2"/>
      <c r="O8" s="2"/>
      <c r="P8" s="2"/>
      <c r="Q8" s="2"/>
      <c r="R8" s="2"/>
      <c r="S8" s="2"/>
    </row>
    <row r="9" spans="1:19" x14ac:dyDescent="0.3">
      <c r="A9" s="2"/>
      <c r="B9" s="2" t="s">
        <v>23</v>
      </c>
      <c r="C9" s="2"/>
      <c r="D9" s="2"/>
      <c r="E9" s="2"/>
      <c r="F9" s="2"/>
      <c r="G9" s="2"/>
      <c r="H9" s="2">
        <v>7</v>
      </c>
      <c r="I9" s="2"/>
      <c r="J9" s="19">
        <v>7</v>
      </c>
      <c r="K9" s="2"/>
      <c r="L9" s="2">
        <v>7</v>
      </c>
      <c r="M9" s="2"/>
      <c r="N9" s="2"/>
      <c r="O9" s="2"/>
      <c r="P9" s="2"/>
      <c r="Q9" s="2"/>
      <c r="R9" s="2"/>
      <c r="S9" s="2"/>
    </row>
    <row r="10" spans="1:19" x14ac:dyDescent="0.3">
      <c r="A10" s="2"/>
      <c r="B10" s="2" t="s">
        <v>18</v>
      </c>
      <c r="C10" s="2"/>
      <c r="D10" s="2"/>
      <c r="E10" s="2"/>
      <c r="F10" s="2"/>
      <c r="G10" s="2"/>
      <c r="H10" s="2">
        <v>8</v>
      </c>
      <c r="I10" s="2"/>
      <c r="J10" s="19">
        <v>8</v>
      </c>
      <c r="K10" s="2"/>
      <c r="L10" s="2">
        <v>8</v>
      </c>
      <c r="M10" s="2"/>
      <c r="N10" s="2"/>
      <c r="O10" s="2"/>
      <c r="P10" s="2"/>
      <c r="Q10" s="2"/>
      <c r="R10" s="2"/>
      <c r="S10" s="2"/>
    </row>
    <row r="11" spans="1:19" x14ac:dyDescent="0.3">
      <c r="A11" s="2"/>
      <c r="B11" s="2" t="s">
        <v>20</v>
      </c>
      <c r="C11" s="2"/>
      <c r="D11" s="2"/>
      <c r="E11" s="2"/>
      <c r="F11" s="2"/>
      <c r="G11" s="2"/>
      <c r="H11" s="2">
        <v>9</v>
      </c>
      <c r="I11" s="2"/>
      <c r="J11" s="19">
        <v>9</v>
      </c>
      <c r="K11" s="2"/>
      <c r="L11" s="2">
        <v>9</v>
      </c>
      <c r="M11" s="2"/>
      <c r="N11" s="2"/>
      <c r="O11" s="2"/>
      <c r="P11" s="2"/>
      <c r="Q11" s="2"/>
      <c r="R11" s="2"/>
      <c r="S11" s="2"/>
    </row>
    <row r="12" spans="1:19" x14ac:dyDescent="0.3">
      <c r="A12" s="2"/>
      <c r="B12" s="2" t="s">
        <v>19</v>
      </c>
      <c r="C12" s="2"/>
      <c r="D12" s="2"/>
      <c r="E12" s="2"/>
      <c r="F12" s="2"/>
      <c r="G12" s="2"/>
      <c r="H12" s="2">
        <v>10</v>
      </c>
      <c r="I12" s="2"/>
      <c r="J12" s="19">
        <v>10</v>
      </c>
      <c r="K12" s="2"/>
      <c r="L12" s="2">
        <v>10</v>
      </c>
      <c r="M12" s="2"/>
      <c r="N12" s="2"/>
      <c r="O12" s="2"/>
      <c r="P12" s="2"/>
      <c r="Q12" s="2"/>
      <c r="R12" s="2"/>
      <c r="S12" s="2"/>
    </row>
    <row r="13" spans="1:19" x14ac:dyDescent="0.3">
      <c r="A13" s="2"/>
      <c r="B13" s="2" t="s">
        <v>25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x14ac:dyDescent="0.3">
      <c r="A14" s="2"/>
      <c r="B14" s="2" t="s">
        <v>15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</sheetData>
  <phoneticPr fontId="5" type="noConversion"/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9C450-C7CB-406D-A248-CFB4BD23AE85}">
  <sheetPr codeName="Feuil1"/>
  <dimension ref="A1:I1001"/>
  <sheetViews>
    <sheetView topLeftCell="A34" workbookViewId="0">
      <selection activeCell="J6" sqref="J6"/>
    </sheetView>
  </sheetViews>
  <sheetFormatPr baseColWidth="10" defaultRowHeight="14.4" x14ac:dyDescent="0.3"/>
  <cols>
    <col min="1" max="1" width="11.5546875" style="65" customWidth="1"/>
    <col min="2" max="2" width="7" bestFit="1" customWidth="1"/>
    <col min="6" max="6" width="11.5546875" style="2"/>
    <col min="8" max="8" width="11.5546875" style="72"/>
  </cols>
  <sheetData>
    <row r="1" spans="3:8" ht="15" thickBot="1" x14ac:dyDescent="0.35">
      <c r="C1" s="2" t="s">
        <v>48</v>
      </c>
      <c r="D1" s="2" t="s">
        <v>49</v>
      </c>
      <c r="E1" s="2" t="s">
        <v>50</v>
      </c>
      <c r="F1" s="2" t="s">
        <v>51</v>
      </c>
      <c r="G1" s="2" t="s">
        <v>38</v>
      </c>
      <c r="H1" s="71"/>
    </row>
    <row r="2" spans="3:8" x14ac:dyDescent="0.3">
      <c r="C2" s="6">
        <v>1</v>
      </c>
      <c r="D2" s="7">
        <v>1</v>
      </c>
      <c r="E2" s="7">
        <v>1</v>
      </c>
      <c r="F2" s="2" t="s">
        <v>71</v>
      </c>
      <c r="G2" s="66" t="str">
        <f>IF(AND($C2=1,$D2=1,$E2=1),"L","")</f>
        <v>L</v>
      </c>
      <c r="H2" s="71"/>
    </row>
    <row r="3" spans="3:8" x14ac:dyDescent="0.3">
      <c r="C3" s="8">
        <v>1</v>
      </c>
      <c r="D3" s="5">
        <v>1</v>
      </c>
      <c r="E3" s="5">
        <v>2</v>
      </c>
      <c r="F3" s="2" t="s">
        <v>72</v>
      </c>
      <c r="G3" s="67" t="str">
        <f>IF(AND($C3=1,$D3=1,$E3=2),"L","")</f>
        <v>L</v>
      </c>
      <c r="H3" s="71"/>
    </row>
    <row r="4" spans="3:8" x14ac:dyDescent="0.3">
      <c r="C4" s="8">
        <v>1</v>
      </c>
      <c r="D4" s="5">
        <v>1</v>
      </c>
      <c r="E4" s="5">
        <v>3</v>
      </c>
      <c r="F4" s="2" t="s">
        <v>73</v>
      </c>
      <c r="G4" s="67" t="str">
        <f>IF(AND($C4=1,$D4=1,$E4=3),"L","")</f>
        <v>L</v>
      </c>
      <c r="H4" s="71"/>
    </row>
    <row r="5" spans="3:8" x14ac:dyDescent="0.3">
      <c r="C5" s="8">
        <v>1</v>
      </c>
      <c r="D5" s="5">
        <v>1</v>
      </c>
      <c r="E5" s="5">
        <v>4</v>
      </c>
      <c r="F5" s="2" t="s">
        <v>74</v>
      </c>
      <c r="G5" s="67" t="str">
        <f>IF(AND($C5=1,$D5=1,$E5=4),"L","")</f>
        <v>L</v>
      </c>
      <c r="H5" s="71"/>
    </row>
    <row r="6" spans="3:8" x14ac:dyDescent="0.3">
      <c r="C6" s="8">
        <v>1</v>
      </c>
      <c r="D6" s="5">
        <v>1</v>
      </c>
      <c r="E6" s="5">
        <v>5</v>
      </c>
      <c r="F6" s="2" t="s">
        <v>75</v>
      </c>
      <c r="G6" s="67" t="str">
        <f>IF(AND($C6=1,$D6=1,$E6=5),"L","")</f>
        <v>L</v>
      </c>
      <c r="H6" s="71"/>
    </row>
    <row r="7" spans="3:8" x14ac:dyDescent="0.3">
      <c r="C7" s="8">
        <v>1</v>
      </c>
      <c r="D7" s="5">
        <v>1</v>
      </c>
      <c r="E7" s="5">
        <v>6</v>
      </c>
      <c r="F7" s="2" t="s">
        <v>76</v>
      </c>
      <c r="G7" s="67" t="str">
        <f>IF(AND($C7=1,$D7=1,$E7=6),"L","")</f>
        <v>L</v>
      </c>
      <c r="H7" s="71"/>
    </row>
    <row r="8" spans="3:8" x14ac:dyDescent="0.3">
      <c r="C8" s="8">
        <v>1</v>
      </c>
      <c r="D8" s="5">
        <v>1</v>
      </c>
      <c r="E8" s="5">
        <v>7</v>
      </c>
      <c r="F8" s="2" t="s">
        <v>77</v>
      </c>
      <c r="G8" s="67" t="str">
        <f>IF(AND($C8=1,$D8=1,$E8=7),"L","")</f>
        <v>L</v>
      </c>
      <c r="H8" s="71"/>
    </row>
    <row r="9" spans="3:8" x14ac:dyDescent="0.3">
      <c r="C9" s="8">
        <v>1</v>
      </c>
      <c r="D9" s="5">
        <v>1</v>
      </c>
      <c r="E9" s="5">
        <v>8</v>
      </c>
      <c r="F9" s="2" t="s">
        <v>78</v>
      </c>
      <c r="G9" s="67" t="str">
        <f>IF(AND($C9=1,$D9=1,$E9=8),"L","")</f>
        <v>L</v>
      </c>
      <c r="H9" s="71"/>
    </row>
    <row r="10" spans="3:8" x14ac:dyDescent="0.3">
      <c r="C10" s="8">
        <v>1</v>
      </c>
      <c r="D10" s="5">
        <v>1</v>
      </c>
      <c r="E10" s="5">
        <v>9</v>
      </c>
      <c r="F10" s="2" t="s">
        <v>79</v>
      </c>
      <c r="G10" s="67" t="str">
        <f>IF(AND($C10=1,$D10=1,$E10=9),"L","")</f>
        <v>L</v>
      </c>
      <c r="H10" s="71"/>
    </row>
    <row r="11" spans="3:8" x14ac:dyDescent="0.3">
      <c r="C11" s="8">
        <v>1</v>
      </c>
      <c r="D11" s="5">
        <v>1</v>
      </c>
      <c r="E11" s="5">
        <v>10</v>
      </c>
      <c r="F11" s="2" t="s">
        <v>80</v>
      </c>
      <c r="G11" s="67" t="str">
        <f>IF(AND($C11=1,$D11=1,$E11=10),"L","")</f>
        <v>L</v>
      </c>
      <c r="H11" s="71"/>
    </row>
    <row r="12" spans="3:8" x14ac:dyDescent="0.3">
      <c r="C12" s="8">
        <v>1</v>
      </c>
      <c r="D12" s="5">
        <v>2</v>
      </c>
      <c r="E12" s="5">
        <v>1</v>
      </c>
      <c r="F12" s="2" t="s">
        <v>81</v>
      </c>
      <c r="G12" s="67" t="str">
        <f>IF(AND($C12=1,$D12=2,$E12=1),"L","")</f>
        <v>L</v>
      </c>
      <c r="H12" s="71"/>
    </row>
    <row r="13" spans="3:8" x14ac:dyDescent="0.3">
      <c r="C13" s="8">
        <v>1</v>
      </c>
      <c r="D13" s="5">
        <v>2</v>
      </c>
      <c r="E13" s="5">
        <v>2</v>
      </c>
      <c r="F13" s="2" t="s">
        <v>82</v>
      </c>
      <c r="G13" s="67" t="str">
        <f>IF(AND($C13=1,$D13=2,$E13=2),"L","")</f>
        <v>L</v>
      </c>
      <c r="H13" s="71"/>
    </row>
    <row r="14" spans="3:8" x14ac:dyDescent="0.3">
      <c r="C14" s="8">
        <v>1</v>
      </c>
      <c r="D14" s="5">
        <v>2</v>
      </c>
      <c r="E14" s="5">
        <v>3</v>
      </c>
      <c r="F14" s="2" t="s">
        <v>83</v>
      </c>
      <c r="G14" s="67" t="str">
        <f>IF(AND($C14=1,$D14=2,$E14=3),"L","")</f>
        <v>L</v>
      </c>
      <c r="H14" s="71"/>
    </row>
    <row r="15" spans="3:8" x14ac:dyDescent="0.3">
      <c r="C15" s="8">
        <v>1</v>
      </c>
      <c r="D15" s="5">
        <v>2</v>
      </c>
      <c r="E15" s="5">
        <v>4</v>
      </c>
      <c r="F15" s="2" t="s">
        <v>84</v>
      </c>
      <c r="G15" s="67" t="str">
        <f>IF(AND($C15=1,$D15=2,$E15=4),"L","")</f>
        <v>L</v>
      </c>
      <c r="H15" s="71"/>
    </row>
    <row r="16" spans="3:8" x14ac:dyDescent="0.3">
      <c r="C16" s="8">
        <v>1</v>
      </c>
      <c r="D16" s="5">
        <v>2</v>
      </c>
      <c r="E16" s="5">
        <v>5</v>
      </c>
      <c r="F16" s="2" t="s">
        <v>85</v>
      </c>
      <c r="G16" s="67" t="str">
        <f>IF(AND($C16=1,$D16=2,$E16=5),"L","")</f>
        <v>L</v>
      </c>
      <c r="H16" s="71"/>
    </row>
    <row r="17" spans="3:8" x14ac:dyDescent="0.3">
      <c r="C17" s="8">
        <v>1</v>
      </c>
      <c r="D17" s="5">
        <v>2</v>
      </c>
      <c r="E17" s="5">
        <v>6</v>
      </c>
      <c r="F17" s="2" t="s">
        <v>86</v>
      </c>
      <c r="G17" s="67" t="str">
        <f>IF(AND($C17=1,$D17=2,$E17=6),"L","")</f>
        <v>L</v>
      </c>
      <c r="H17" s="71"/>
    </row>
    <row r="18" spans="3:8" x14ac:dyDescent="0.3">
      <c r="C18" s="8">
        <v>1</v>
      </c>
      <c r="D18" s="5">
        <v>2</v>
      </c>
      <c r="E18" s="5">
        <v>7</v>
      </c>
      <c r="F18" s="2" t="s">
        <v>87</v>
      </c>
      <c r="G18" s="67" t="str">
        <f>IF(AND($C18=1,$D18=2,$E18=7),"L","")</f>
        <v>L</v>
      </c>
      <c r="H18" s="71"/>
    </row>
    <row r="19" spans="3:8" x14ac:dyDescent="0.3">
      <c r="C19" s="8">
        <v>1</v>
      </c>
      <c r="D19" s="5">
        <v>2</v>
      </c>
      <c r="E19" s="5">
        <v>8</v>
      </c>
      <c r="F19" s="2" t="s">
        <v>88</v>
      </c>
      <c r="G19" s="67" t="str">
        <f>IF(AND($C19=1,$D19=2,$E19=8),"L","")</f>
        <v>L</v>
      </c>
      <c r="H19" s="71"/>
    </row>
    <row r="20" spans="3:8" x14ac:dyDescent="0.3">
      <c r="C20" s="8">
        <v>1</v>
      </c>
      <c r="D20" s="5">
        <v>2</v>
      </c>
      <c r="E20" s="5">
        <v>9</v>
      </c>
      <c r="F20" s="2" t="s">
        <v>89</v>
      </c>
      <c r="G20" s="67" t="str">
        <f>IF(AND($C20=1,$D20=2,$E20=9),"L","")</f>
        <v>L</v>
      </c>
      <c r="H20" s="71"/>
    </row>
    <row r="21" spans="3:8" x14ac:dyDescent="0.3">
      <c r="C21" s="8">
        <v>1</v>
      </c>
      <c r="D21" s="5">
        <v>2</v>
      </c>
      <c r="E21" s="5">
        <v>10</v>
      </c>
      <c r="F21" s="2" t="s">
        <v>90</v>
      </c>
      <c r="G21" s="67" t="str">
        <f>IF(AND($C21=1,$D21=2,$E21=10),"L","")</f>
        <v>L</v>
      </c>
      <c r="H21" s="71"/>
    </row>
    <row r="22" spans="3:8" x14ac:dyDescent="0.3">
      <c r="C22" s="8">
        <v>1</v>
      </c>
      <c r="D22" s="5">
        <v>3</v>
      </c>
      <c r="E22" s="5">
        <v>1</v>
      </c>
      <c r="F22" s="2" t="s">
        <v>91</v>
      </c>
      <c r="G22" s="67" t="str">
        <f>IF(AND($C22=1,$D22=3,$E22=1),"L","")</f>
        <v>L</v>
      </c>
      <c r="H22" s="71"/>
    </row>
    <row r="23" spans="3:8" x14ac:dyDescent="0.3">
      <c r="C23" s="8">
        <v>1</v>
      </c>
      <c r="D23" s="5">
        <v>3</v>
      </c>
      <c r="E23" s="5">
        <v>2</v>
      </c>
      <c r="F23" s="2" t="s">
        <v>92</v>
      </c>
      <c r="G23" s="67" t="str">
        <f>IF(AND($C23=1,$D23=3,$E23=2),"L","")</f>
        <v>L</v>
      </c>
      <c r="H23" s="71"/>
    </row>
    <row r="24" spans="3:8" x14ac:dyDescent="0.3">
      <c r="C24" s="8">
        <v>1</v>
      </c>
      <c r="D24" s="5">
        <v>3</v>
      </c>
      <c r="E24" s="5">
        <v>3</v>
      </c>
      <c r="F24" s="2" t="s">
        <v>93</v>
      </c>
      <c r="G24" s="67" t="str">
        <f>IF(AND($C24=1,$D24=3,$E24=3),"L","")</f>
        <v>L</v>
      </c>
      <c r="H24" s="71"/>
    </row>
    <row r="25" spans="3:8" x14ac:dyDescent="0.3">
      <c r="C25" s="8">
        <v>1</v>
      </c>
      <c r="D25" s="5">
        <v>3</v>
      </c>
      <c r="E25" s="5">
        <v>4</v>
      </c>
      <c r="F25" s="2" t="s">
        <v>94</v>
      </c>
      <c r="G25" s="67" t="str">
        <f>IF(AND($C25=1,$D25=3,$E25=4),"L","")</f>
        <v>L</v>
      </c>
      <c r="H25" s="71"/>
    </row>
    <row r="26" spans="3:8" x14ac:dyDescent="0.3">
      <c r="C26" s="8">
        <v>1</v>
      </c>
      <c r="D26" s="5">
        <v>3</v>
      </c>
      <c r="E26" s="5">
        <v>5</v>
      </c>
      <c r="F26" s="2" t="s">
        <v>95</v>
      </c>
      <c r="G26" s="67" t="str">
        <f>IF(AND($C26=1,$D26=3,$E26=5),"L","")</f>
        <v>L</v>
      </c>
      <c r="H26" s="71"/>
    </row>
    <row r="27" spans="3:8" x14ac:dyDescent="0.3">
      <c r="C27" s="8">
        <v>1</v>
      </c>
      <c r="D27" s="5">
        <v>3</v>
      </c>
      <c r="E27" s="5">
        <v>6</v>
      </c>
      <c r="F27" s="2" t="s">
        <v>96</v>
      </c>
      <c r="G27" s="67" t="str">
        <f>IF(AND($C27=1,$D27=3,$E27=6),"L","")</f>
        <v>L</v>
      </c>
      <c r="H27" s="71"/>
    </row>
    <row r="28" spans="3:8" x14ac:dyDescent="0.3">
      <c r="C28" s="8">
        <v>1</v>
      </c>
      <c r="D28" s="5">
        <v>3</v>
      </c>
      <c r="E28" s="5">
        <v>7</v>
      </c>
      <c r="F28" s="2" t="s">
        <v>97</v>
      </c>
      <c r="G28" s="67" t="str">
        <f>IF(AND($C28=1,$D28=3,$E28=7),"L","")</f>
        <v>L</v>
      </c>
      <c r="H28" s="71"/>
    </row>
    <row r="29" spans="3:8" x14ac:dyDescent="0.3">
      <c r="C29" s="8">
        <v>1</v>
      </c>
      <c r="D29" s="5">
        <v>3</v>
      </c>
      <c r="E29" s="5">
        <v>8</v>
      </c>
      <c r="F29" s="2" t="s">
        <v>98</v>
      </c>
      <c r="G29" s="67" t="str">
        <f>IF(AND($C29=1,$D29=3,$E29=8),"L","")</f>
        <v>L</v>
      </c>
      <c r="H29" s="71"/>
    </row>
    <row r="30" spans="3:8" x14ac:dyDescent="0.3">
      <c r="C30" s="8">
        <v>1</v>
      </c>
      <c r="D30" s="5">
        <v>3</v>
      </c>
      <c r="E30" s="5">
        <v>9</v>
      </c>
      <c r="F30" s="2" t="s">
        <v>99</v>
      </c>
      <c r="G30" s="67" t="str">
        <f>IF(AND($C30=1,$D30=3,$E30=9),"L","")</f>
        <v>L</v>
      </c>
      <c r="H30" s="71"/>
    </row>
    <row r="31" spans="3:8" x14ac:dyDescent="0.3">
      <c r="C31" s="8">
        <v>1</v>
      </c>
      <c r="D31" s="5">
        <v>3</v>
      </c>
      <c r="E31" s="5">
        <v>10</v>
      </c>
      <c r="F31" s="2" t="s">
        <v>100</v>
      </c>
      <c r="G31" s="67" t="str">
        <f>IF(AND($C31=1,$D31=3,$E31=10),"L","")</f>
        <v>L</v>
      </c>
      <c r="H31" s="71"/>
    </row>
    <row r="32" spans="3:8" x14ac:dyDescent="0.3">
      <c r="C32" s="8">
        <v>1</v>
      </c>
      <c r="D32" s="5">
        <v>4</v>
      </c>
      <c r="E32" s="5">
        <v>1</v>
      </c>
      <c r="F32" s="2" t="s">
        <v>101</v>
      </c>
      <c r="G32" s="67" t="str">
        <f>IF(AND($C32=1,$D32=4,$E32=1),"L","")</f>
        <v>L</v>
      </c>
      <c r="H32" s="71"/>
    </row>
    <row r="33" spans="3:8" x14ac:dyDescent="0.3">
      <c r="C33" s="8">
        <v>1</v>
      </c>
      <c r="D33" s="5">
        <v>4</v>
      </c>
      <c r="E33" s="5">
        <v>2</v>
      </c>
      <c r="F33" s="2" t="s">
        <v>102</v>
      </c>
      <c r="G33" s="67" t="str">
        <f>IF(AND($C33=1,$D33=4,$E33=2),"L","")</f>
        <v>L</v>
      </c>
      <c r="H33" s="71"/>
    </row>
    <row r="34" spans="3:8" x14ac:dyDescent="0.3">
      <c r="C34" s="8">
        <v>1</v>
      </c>
      <c r="D34" s="5">
        <v>4</v>
      </c>
      <c r="E34" s="5">
        <v>3</v>
      </c>
      <c r="F34" s="2" t="s">
        <v>103</v>
      </c>
      <c r="G34" s="67" t="str">
        <f>IF(AND($C34=1,$D34=4,$E34=3),"L","")</f>
        <v>L</v>
      </c>
      <c r="H34" s="71"/>
    </row>
    <row r="35" spans="3:8" x14ac:dyDescent="0.3">
      <c r="C35" s="8">
        <v>1</v>
      </c>
      <c r="D35" s="5">
        <v>4</v>
      </c>
      <c r="E35" s="5">
        <v>4</v>
      </c>
      <c r="F35" s="2" t="s">
        <v>104</v>
      </c>
      <c r="G35" s="67" t="str">
        <f>IF(AND($C35=1,$D35=4,$E35=4),"L","")</f>
        <v>L</v>
      </c>
      <c r="H35" s="71"/>
    </row>
    <row r="36" spans="3:8" x14ac:dyDescent="0.3">
      <c r="C36" s="8">
        <v>1</v>
      </c>
      <c r="D36" s="5">
        <v>4</v>
      </c>
      <c r="E36" s="5">
        <v>5</v>
      </c>
      <c r="F36" s="2" t="s">
        <v>105</v>
      </c>
      <c r="G36" s="67" t="str">
        <f>IF(AND($C36=1,$D36=4,$E36=5),"L","")</f>
        <v>L</v>
      </c>
      <c r="H36" s="71"/>
    </row>
    <row r="37" spans="3:8" x14ac:dyDescent="0.3">
      <c r="C37" s="8">
        <v>1</v>
      </c>
      <c r="D37" s="5">
        <v>4</v>
      </c>
      <c r="E37" s="5">
        <v>6</v>
      </c>
      <c r="F37" s="2" t="s">
        <v>106</v>
      </c>
      <c r="G37" s="67" t="str">
        <f>IF(AND($C37=1,$D37=4,$E37=6),"L","")</f>
        <v>L</v>
      </c>
      <c r="H37" s="71"/>
    </row>
    <row r="38" spans="3:8" x14ac:dyDescent="0.3">
      <c r="C38" s="8">
        <v>1</v>
      </c>
      <c r="D38" s="5">
        <v>4</v>
      </c>
      <c r="E38" s="5">
        <v>7</v>
      </c>
      <c r="F38" s="2" t="s">
        <v>107</v>
      </c>
      <c r="G38" s="67" t="str">
        <f>IF(AND($C38=1,$D38=4,$E38=7),"L","")</f>
        <v>L</v>
      </c>
      <c r="H38" s="71"/>
    </row>
    <row r="39" spans="3:8" x14ac:dyDescent="0.3">
      <c r="C39" s="8">
        <v>1</v>
      </c>
      <c r="D39" s="5">
        <v>4</v>
      </c>
      <c r="E39" s="5">
        <v>8</v>
      </c>
      <c r="F39" s="2" t="s">
        <v>108</v>
      </c>
      <c r="G39" s="67" t="str">
        <f>IF(AND($C39=1,$D39=4,$E39=8),"L","")</f>
        <v>L</v>
      </c>
      <c r="H39" s="71"/>
    </row>
    <row r="40" spans="3:8" x14ac:dyDescent="0.3">
      <c r="C40" s="8">
        <v>1</v>
      </c>
      <c r="D40" s="5">
        <v>4</v>
      </c>
      <c r="E40" s="5">
        <v>9</v>
      </c>
      <c r="F40" s="2" t="s">
        <v>109</v>
      </c>
      <c r="G40" s="67" t="str">
        <f>IF(AND($C40=1,$D40=4,$E40=9),"L","")</f>
        <v>L</v>
      </c>
      <c r="H40" s="71"/>
    </row>
    <row r="41" spans="3:8" x14ac:dyDescent="0.3">
      <c r="C41" s="8">
        <v>1</v>
      </c>
      <c r="D41" s="5">
        <v>4</v>
      </c>
      <c r="E41" s="5">
        <v>10</v>
      </c>
      <c r="F41" s="2" t="s">
        <v>110</v>
      </c>
      <c r="G41" s="67" t="str">
        <f>IF(AND($C41=1,$D41=4,$E41=10),"L","")</f>
        <v>L</v>
      </c>
      <c r="H41" s="71"/>
    </row>
    <row r="42" spans="3:8" x14ac:dyDescent="0.3">
      <c r="C42" s="8">
        <v>1</v>
      </c>
      <c r="D42" s="5">
        <v>5</v>
      </c>
      <c r="E42" s="5">
        <v>1</v>
      </c>
      <c r="F42" s="2" t="s">
        <v>111</v>
      </c>
      <c r="G42" s="67" t="str">
        <f>IF(AND($C42=1,$D42=5,$E42=1),"L","")</f>
        <v>L</v>
      </c>
      <c r="H42" s="71"/>
    </row>
    <row r="43" spans="3:8" x14ac:dyDescent="0.3">
      <c r="C43" s="8">
        <v>1</v>
      </c>
      <c r="D43" s="5">
        <v>5</v>
      </c>
      <c r="E43" s="5">
        <v>2</v>
      </c>
      <c r="F43" s="2" t="s">
        <v>112</v>
      </c>
      <c r="G43" s="67" t="str">
        <f>IF(AND($C43=1,$D43=5,$E43=2),"L","")</f>
        <v>L</v>
      </c>
      <c r="H43" s="71"/>
    </row>
    <row r="44" spans="3:8" x14ac:dyDescent="0.3">
      <c r="C44" s="8">
        <v>1</v>
      </c>
      <c r="D44" s="5">
        <v>5</v>
      </c>
      <c r="E44" s="5">
        <v>3</v>
      </c>
      <c r="F44" s="2" t="s">
        <v>113</v>
      </c>
      <c r="G44" s="67" t="str">
        <f>IF(AND($C44=1,$D44=5,$E44=3),"L","")</f>
        <v>L</v>
      </c>
      <c r="H44" s="71"/>
    </row>
    <row r="45" spans="3:8" x14ac:dyDescent="0.3">
      <c r="C45" s="8">
        <v>1</v>
      </c>
      <c r="D45" s="5">
        <v>5</v>
      </c>
      <c r="E45" s="5">
        <v>4</v>
      </c>
      <c r="F45" s="2" t="s">
        <v>114</v>
      </c>
      <c r="G45" s="67" t="str">
        <f>IF(AND($C45=1,$D45=5,$E45=4),"L","")</f>
        <v>L</v>
      </c>
      <c r="H45" s="71"/>
    </row>
    <row r="46" spans="3:8" x14ac:dyDescent="0.3">
      <c r="C46" s="8">
        <v>1</v>
      </c>
      <c r="D46" s="5">
        <v>5</v>
      </c>
      <c r="E46" s="5">
        <v>5</v>
      </c>
      <c r="F46" s="2" t="s">
        <v>115</v>
      </c>
      <c r="G46" s="67" t="str">
        <f>IF(AND($C46=1,$D46=5,$E46=5),"L","")</f>
        <v>L</v>
      </c>
      <c r="H46" s="71"/>
    </row>
    <row r="47" spans="3:8" x14ac:dyDescent="0.3">
      <c r="C47" s="8">
        <v>1</v>
      </c>
      <c r="D47" s="5">
        <v>5</v>
      </c>
      <c r="E47" s="5">
        <v>6</v>
      </c>
      <c r="F47" s="2" t="s">
        <v>116</v>
      </c>
      <c r="G47" s="67" t="str">
        <f>IF(AND($C47=1,$D47=5,$E47=6),"L","")</f>
        <v>L</v>
      </c>
      <c r="H47" s="71"/>
    </row>
    <row r="48" spans="3:8" x14ac:dyDescent="0.3">
      <c r="C48" s="8">
        <v>1</v>
      </c>
      <c r="D48" s="5">
        <v>5</v>
      </c>
      <c r="E48" s="5">
        <v>7</v>
      </c>
      <c r="F48" s="2" t="s">
        <v>117</v>
      </c>
      <c r="G48" s="67" t="str">
        <f>IF(AND($C48=1,$D48=5,$E48=7),"L","")</f>
        <v>L</v>
      </c>
      <c r="H48" s="71"/>
    </row>
    <row r="49" spans="3:8" x14ac:dyDescent="0.3">
      <c r="C49" s="8">
        <v>1</v>
      </c>
      <c r="D49" s="5">
        <v>5</v>
      </c>
      <c r="E49" s="5">
        <v>8</v>
      </c>
      <c r="F49" s="2" t="s">
        <v>118</v>
      </c>
      <c r="G49" s="67" t="str">
        <f>IF(AND($C49=1,$D49=5,$E49=8),"L","")</f>
        <v>L</v>
      </c>
      <c r="H49" s="71"/>
    </row>
    <row r="50" spans="3:8" x14ac:dyDescent="0.3">
      <c r="C50" s="8">
        <v>1</v>
      </c>
      <c r="D50" s="5">
        <v>5</v>
      </c>
      <c r="E50" s="5">
        <v>9</v>
      </c>
      <c r="F50" s="2" t="s">
        <v>119</v>
      </c>
      <c r="G50" s="67" t="str">
        <f>IF(AND($C50=1,$D50=5,$E50=9),"L","")</f>
        <v>L</v>
      </c>
      <c r="H50" s="71"/>
    </row>
    <row r="51" spans="3:8" x14ac:dyDescent="0.3">
      <c r="C51" s="8">
        <v>1</v>
      </c>
      <c r="D51" s="5">
        <v>5</v>
      </c>
      <c r="E51" s="5">
        <v>10</v>
      </c>
      <c r="F51" s="2" t="s">
        <v>120</v>
      </c>
      <c r="G51" s="67" t="str">
        <f>IF(AND($C51=1,$D51=5,$E51=10),"L","")</f>
        <v>L</v>
      </c>
      <c r="H51" s="71"/>
    </row>
    <row r="52" spans="3:8" x14ac:dyDescent="0.3">
      <c r="C52" s="8">
        <v>1</v>
      </c>
      <c r="D52" s="5">
        <v>6</v>
      </c>
      <c r="E52" s="5">
        <v>1</v>
      </c>
      <c r="F52" s="2" t="s">
        <v>121</v>
      </c>
      <c r="G52" s="67" t="str">
        <f>IF(AND($C52=1,$D52=6,$E52=1),"L","")</f>
        <v>L</v>
      </c>
      <c r="H52" s="71"/>
    </row>
    <row r="53" spans="3:8" x14ac:dyDescent="0.3">
      <c r="C53" s="8">
        <v>1</v>
      </c>
      <c r="D53" s="5">
        <v>6</v>
      </c>
      <c r="E53" s="5">
        <v>2</v>
      </c>
      <c r="F53" s="2" t="s">
        <v>122</v>
      </c>
      <c r="G53" s="67" t="str">
        <f>IF(AND($C53=1,$D53=6,$E53=2),"L","")</f>
        <v>L</v>
      </c>
      <c r="H53" s="71"/>
    </row>
    <row r="54" spans="3:8" x14ac:dyDescent="0.3">
      <c r="C54" s="8">
        <v>1</v>
      </c>
      <c r="D54" s="5">
        <v>6</v>
      </c>
      <c r="E54" s="5">
        <v>3</v>
      </c>
      <c r="F54" s="2" t="s">
        <v>123</v>
      </c>
      <c r="G54" s="67" t="str">
        <f>IF(AND($C54=1,$D54=6,$E54=3),"L","")</f>
        <v>L</v>
      </c>
      <c r="H54" s="71"/>
    </row>
    <row r="55" spans="3:8" x14ac:dyDescent="0.3">
      <c r="C55" s="8">
        <v>1</v>
      </c>
      <c r="D55" s="5">
        <v>6</v>
      </c>
      <c r="E55" s="5">
        <v>4</v>
      </c>
      <c r="F55" s="2" t="s">
        <v>124</v>
      </c>
      <c r="G55" s="67" t="str">
        <f>IF(AND($C55=1,$D55=6,$E55=4),"L","")</f>
        <v>L</v>
      </c>
      <c r="H55" s="71"/>
    </row>
    <row r="56" spans="3:8" x14ac:dyDescent="0.3">
      <c r="C56" s="8">
        <v>1</v>
      </c>
      <c r="D56" s="5">
        <v>6</v>
      </c>
      <c r="E56" s="5">
        <v>5</v>
      </c>
      <c r="F56" s="2" t="s">
        <v>125</v>
      </c>
      <c r="G56" s="67" t="str">
        <f>IF(AND($C56=1,$D56=6,$E56=5),"L","")</f>
        <v>L</v>
      </c>
      <c r="H56" s="71"/>
    </row>
    <row r="57" spans="3:8" x14ac:dyDescent="0.3">
      <c r="C57" s="8">
        <v>1</v>
      </c>
      <c r="D57" s="5">
        <v>6</v>
      </c>
      <c r="E57" s="5">
        <v>6</v>
      </c>
      <c r="F57" s="2" t="s">
        <v>126</v>
      </c>
      <c r="G57" s="67" t="str">
        <f>IF(AND($C57=1,$D57=6,$E57=6),"L","")</f>
        <v>L</v>
      </c>
      <c r="H57" s="71"/>
    </row>
    <row r="58" spans="3:8" x14ac:dyDescent="0.3">
      <c r="C58" s="8">
        <v>1</v>
      </c>
      <c r="D58" s="5">
        <v>6</v>
      </c>
      <c r="E58" s="5">
        <v>7</v>
      </c>
      <c r="F58" s="2" t="s">
        <v>127</v>
      </c>
      <c r="G58" s="67" t="str">
        <f>IF(AND($C58=1,$D58=6,$E58=7),"L","")</f>
        <v>L</v>
      </c>
      <c r="H58" s="71"/>
    </row>
    <row r="59" spans="3:8" x14ac:dyDescent="0.3">
      <c r="C59" s="8">
        <v>1</v>
      </c>
      <c r="D59" s="5">
        <v>6</v>
      </c>
      <c r="E59" s="5">
        <v>8</v>
      </c>
      <c r="F59" s="2" t="s">
        <v>128</v>
      </c>
      <c r="G59" s="67" t="str">
        <f>IF(AND($C59=1,$D59=6,$E59=8),"L","")</f>
        <v>L</v>
      </c>
      <c r="H59" s="71"/>
    </row>
    <row r="60" spans="3:8" x14ac:dyDescent="0.3">
      <c r="C60" s="8">
        <v>1</v>
      </c>
      <c r="D60" s="5">
        <v>6</v>
      </c>
      <c r="E60" s="5">
        <v>9</v>
      </c>
      <c r="F60" s="2" t="s">
        <v>129</v>
      </c>
      <c r="G60" s="67" t="str">
        <f>IF(AND($C60=1,$D60=6,$E60=9),"L","")</f>
        <v>L</v>
      </c>
      <c r="H60" s="71"/>
    </row>
    <row r="61" spans="3:8" x14ac:dyDescent="0.3">
      <c r="C61" s="8">
        <v>1</v>
      </c>
      <c r="D61" s="5">
        <v>6</v>
      </c>
      <c r="E61" s="5">
        <v>10</v>
      </c>
      <c r="F61" s="2" t="s">
        <v>130</v>
      </c>
      <c r="G61" s="67" t="str">
        <f>IF(AND($C61=1,$D61=6,$E61=10),"L","")</f>
        <v>L</v>
      </c>
      <c r="H61" s="71"/>
    </row>
    <row r="62" spans="3:8" x14ac:dyDescent="0.3">
      <c r="C62" s="8">
        <v>1</v>
      </c>
      <c r="D62" s="5">
        <v>7</v>
      </c>
      <c r="E62" s="5">
        <v>1</v>
      </c>
      <c r="F62" s="2" t="s">
        <v>131</v>
      </c>
      <c r="G62" s="67" t="str">
        <f>IF(AND($C62=1,$D62=7,$E62=1),"L","")</f>
        <v>L</v>
      </c>
      <c r="H62" s="71"/>
    </row>
    <row r="63" spans="3:8" x14ac:dyDescent="0.3">
      <c r="C63" s="8">
        <v>1</v>
      </c>
      <c r="D63" s="5">
        <v>7</v>
      </c>
      <c r="E63" s="5">
        <v>2</v>
      </c>
      <c r="F63" s="2" t="s">
        <v>132</v>
      </c>
      <c r="G63" s="67" t="str">
        <f>IF(AND($C63=1,$D63=7,$E63=2),"L","")</f>
        <v>L</v>
      </c>
      <c r="H63" s="71"/>
    </row>
    <row r="64" spans="3:8" x14ac:dyDescent="0.3">
      <c r="C64" s="8">
        <v>1</v>
      </c>
      <c r="D64" s="5">
        <v>7</v>
      </c>
      <c r="E64" s="5">
        <v>3</v>
      </c>
      <c r="F64" s="2" t="s">
        <v>133</v>
      </c>
      <c r="G64" s="67" t="str">
        <f>IF(AND($C64=1,$D64=7,$E64=3),"L","")</f>
        <v>L</v>
      </c>
      <c r="H64" s="71"/>
    </row>
    <row r="65" spans="3:8" x14ac:dyDescent="0.3">
      <c r="C65" s="8">
        <v>1</v>
      </c>
      <c r="D65" s="5">
        <v>7</v>
      </c>
      <c r="E65" s="5">
        <v>4</v>
      </c>
      <c r="F65" s="2" t="s">
        <v>134</v>
      </c>
      <c r="G65" s="67" t="str">
        <f>IF(AND($C65=1,$D65=7,$E65=4),"L","")</f>
        <v>L</v>
      </c>
      <c r="H65" s="71"/>
    </row>
    <row r="66" spans="3:8" x14ac:dyDescent="0.3">
      <c r="C66" s="8">
        <v>1</v>
      </c>
      <c r="D66" s="5">
        <v>7</v>
      </c>
      <c r="E66" s="5">
        <v>5</v>
      </c>
      <c r="F66" s="2" t="s">
        <v>135</v>
      </c>
      <c r="G66" s="67" t="str">
        <f>IF(AND($C66=1,$D66=7,$E66=5),"L","")</f>
        <v>L</v>
      </c>
      <c r="H66" s="71"/>
    </row>
    <row r="67" spans="3:8" x14ac:dyDescent="0.3">
      <c r="C67" s="8">
        <v>1</v>
      </c>
      <c r="D67" s="5">
        <v>7</v>
      </c>
      <c r="E67" s="5">
        <v>6</v>
      </c>
      <c r="F67" s="2" t="s">
        <v>136</v>
      </c>
      <c r="G67" s="67" t="str">
        <f>IF(AND($C67=1,$D67=7,$E67=6),"L","")</f>
        <v>L</v>
      </c>
      <c r="H67" s="71"/>
    </row>
    <row r="68" spans="3:8" x14ac:dyDescent="0.3">
      <c r="C68" s="8">
        <v>1</v>
      </c>
      <c r="D68" s="5">
        <v>7</v>
      </c>
      <c r="E68" s="5">
        <v>7</v>
      </c>
      <c r="F68" s="2" t="s">
        <v>137</v>
      </c>
      <c r="G68" s="67" t="str">
        <f>IF(AND($C68=1,$D68=7,$E68=7),"L","")</f>
        <v>L</v>
      </c>
      <c r="H68" s="71"/>
    </row>
    <row r="69" spans="3:8" x14ac:dyDescent="0.3">
      <c r="C69" s="8">
        <v>1</v>
      </c>
      <c r="D69" s="5">
        <v>7</v>
      </c>
      <c r="E69" s="5">
        <v>8</v>
      </c>
      <c r="F69" s="2" t="s">
        <v>138</v>
      </c>
      <c r="G69" s="67" t="str">
        <f>IF(AND($C69=1,$D69=7,$E69=8),"L","")</f>
        <v>L</v>
      </c>
      <c r="H69" s="71"/>
    </row>
    <row r="70" spans="3:8" x14ac:dyDescent="0.3">
      <c r="C70" s="8">
        <v>1</v>
      </c>
      <c r="D70" s="5">
        <v>7</v>
      </c>
      <c r="E70" s="5">
        <v>9</v>
      </c>
      <c r="F70" s="2" t="s">
        <v>139</v>
      </c>
      <c r="G70" s="67" t="str">
        <f>IF(AND($C70=1,$D70=7,$E70=9),"L","")</f>
        <v>L</v>
      </c>
      <c r="H70" s="71"/>
    </row>
    <row r="71" spans="3:8" x14ac:dyDescent="0.3">
      <c r="C71" s="8">
        <v>1</v>
      </c>
      <c r="D71" s="5">
        <v>7</v>
      </c>
      <c r="E71" s="5">
        <v>10</v>
      </c>
      <c r="F71" s="2" t="s">
        <v>140</v>
      </c>
      <c r="G71" s="67" t="str">
        <f>IF(AND($C71=1,$D71=7,$E71=10),"L","")</f>
        <v>L</v>
      </c>
      <c r="H71" s="71"/>
    </row>
    <row r="72" spans="3:8" x14ac:dyDescent="0.3">
      <c r="C72" s="8">
        <v>1</v>
      </c>
      <c r="D72" s="5">
        <v>8</v>
      </c>
      <c r="E72" s="5">
        <v>1</v>
      </c>
      <c r="F72" s="2" t="s">
        <v>141</v>
      </c>
      <c r="G72" s="67" t="str">
        <f>IF(AND($C72=1,$D72=8,$E72=1),"L","")</f>
        <v>L</v>
      </c>
      <c r="H72" s="71"/>
    </row>
    <row r="73" spans="3:8" x14ac:dyDescent="0.3">
      <c r="C73" s="8">
        <v>1</v>
      </c>
      <c r="D73" s="5">
        <v>8</v>
      </c>
      <c r="E73" s="5">
        <v>2</v>
      </c>
      <c r="F73" s="2" t="s">
        <v>142</v>
      </c>
      <c r="G73" s="67" t="str">
        <f>IF(AND($C73=1,$D73=8,$E73=2),"L","")</f>
        <v>L</v>
      </c>
      <c r="H73" s="71"/>
    </row>
    <row r="74" spans="3:8" x14ac:dyDescent="0.3">
      <c r="C74" s="8">
        <v>1</v>
      </c>
      <c r="D74" s="5">
        <v>8</v>
      </c>
      <c r="E74" s="5">
        <v>3</v>
      </c>
      <c r="F74" s="2" t="s">
        <v>143</v>
      </c>
      <c r="G74" s="67" t="str">
        <f>IF(AND($C74=1,$D74=8,$E74=3),"L","")</f>
        <v>L</v>
      </c>
      <c r="H74" s="71"/>
    </row>
    <row r="75" spans="3:8" x14ac:dyDescent="0.3">
      <c r="C75" s="8">
        <v>1</v>
      </c>
      <c r="D75" s="5">
        <v>8</v>
      </c>
      <c r="E75" s="5">
        <v>4</v>
      </c>
      <c r="F75" s="2" t="s">
        <v>144</v>
      </c>
      <c r="G75" s="67" t="str">
        <f>IF(AND($C75=1,$D75=8,$E75=4),"L","")</f>
        <v>L</v>
      </c>
      <c r="H75" s="71"/>
    </row>
    <row r="76" spans="3:8" x14ac:dyDescent="0.3">
      <c r="C76" s="8">
        <v>1</v>
      </c>
      <c r="D76" s="5">
        <v>8</v>
      </c>
      <c r="E76" s="5">
        <v>5</v>
      </c>
      <c r="F76" s="2" t="s">
        <v>145</v>
      </c>
      <c r="G76" s="67" t="str">
        <f>IF(AND($C76=1,$D76=8,$E76=5),"L","")</f>
        <v>L</v>
      </c>
      <c r="H76" s="71"/>
    </row>
    <row r="77" spans="3:8" x14ac:dyDescent="0.3">
      <c r="C77" s="8">
        <v>1</v>
      </c>
      <c r="D77" s="5">
        <v>8</v>
      </c>
      <c r="E77" s="5">
        <v>6</v>
      </c>
      <c r="F77" s="2" t="s">
        <v>146</v>
      </c>
      <c r="G77" s="67" t="str">
        <f>IF(AND($C77=1,$D77=8,$E77=6),"L","")</f>
        <v>L</v>
      </c>
      <c r="H77" s="71"/>
    </row>
    <row r="78" spans="3:8" x14ac:dyDescent="0.3">
      <c r="C78" s="8">
        <v>1</v>
      </c>
      <c r="D78" s="5">
        <v>8</v>
      </c>
      <c r="E78" s="5">
        <v>7</v>
      </c>
      <c r="F78" s="2" t="s">
        <v>147</v>
      </c>
      <c r="G78" s="67" t="str">
        <f>IF(AND($C78=1,$D78=8,$E78=7),"L","")</f>
        <v>L</v>
      </c>
      <c r="H78" s="71"/>
    </row>
    <row r="79" spans="3:8" x14ac:dyDescent="0.3">
      <c r="C79" s="8">
        <v>1</v>
      </c>
      <c r="D79" s="5">
        <v>8</v>
      </c>
      <c r="E79" s="5">
        <v>8</v>
      </c>
      <c r="F79" s="2" t="s">
        <v>148</v>
      </c>
      <c r="G79" s="67" t="str">
        <f>IF(AND($C79=1,$D79=8,$E79=8),"L","")</f>
        <v>L</v>
      </c>
      <c r="H79" s="71"/>
    </row>
    <row r="80" spans="3:8" x14ac:dyDescent="0.3">
      <c r="C80" s="8">
        <v>1</v>
      </c>
      <c r="D80" s="5">
        <v>8</v>
      </c>
      <c r="E80" s="5">
        <v>9</v>
      </c>
      <c r="F80" s="2" t="s">
        <v>149</v>
      </c>
      <c r="G80" s="67" t="str">
        <f>IF(AND($C80=1,$D80=8,$E80=9),"L","")</f>
        <v>L</v>
      </c>
      <c r="H80" s="71"/>
    </row>
    <row r="81" spans="3:8" x14ac:dyDescent="0.3">
      <c r="C81" s="8">
        <v>1</v>
      </c>
      <c r="D81" s="5">
        <v>8</v>
      </c>
      <c r="E81" s="5">
        <v>10</v>
      </c>
      <c r="F81" s="2" t="s">
        <v>150</v>
      </c>
      <c r="G81" s="67" t="str">
        <f>IF(AND($C81=1,$D81=8,$E81=10),"L","")</f>
        <v>L</v>
      </c>
      <c r="H81" s="71"/>
    </row>
    <row r="82" spans="3:8" x14ac:dyDescent="0.3">
      <c r="C82" s="8">
        <v>1</v>
      </c>
      <c r="D82" s="5">
        <v>9</v>
      </c>
      <c r="E82" s="5">
        <v>1</v>
      </c>
      <c r="F82" s="2" t="s">
        <v>151</v>
      </c>
      <c r="G82" s="67" t="str">
        <f>IF(AND($C82=1,$D82=9,$E82=1),"L","")</f>
        <v>L</v>
      </c>
      <c r="H82" s="71"/>
    </row>
    <row r="83" spans="3:8" x14ac:dyDescent="0.3">
      <c r="C83" s="8">
        <v>1</v>
      </c>
      <c r="D83" s="5">
        <v>9</v>
      </c>
      <c r="E83" s="5">
        <v>2</v>
      </c>
      <c r="F83" s="2" t="s">
        <v>152</v>
      </c>
      <c r="G83" s="67" t="str">
        <f>IF(AND($C83=1,$D83=9,$E83=2),"L","")</f>
        <v>L</v>
      </c>
      <c r="H83" s="71"/>
    </row>
    <row r="84" spans="3:8" x14ac:dyDescent="0.3">
      <c r="C84" s="8">
        <v>1</v>
      </c>
      <c r="D84" s="5">
        <v>9</v>
      </c>
      <c r="E84" s="5">
        <v>3</v>
      </c>
      <c r="F84" s="2" t="s">
        <v>153</v>
      </c>
      <c r="G84" s="67" t="str">
        <f>IF(AND($C84=1,$D84=9,$E84=3),"L","")</f>
        <v>L</v>
      </c>
      <c r="H84" s="71"/>
    </row>
    <row r="85" spans="3:8" x14ac:dyDescent="0.3">
      <c r="C85" s="8">
        <v>1</v>
      </c>
      <c r="D85" s="5">
        <v>9</v>
      </c>
      <c r="E85" s="5">
        <v>4</v>
      </c>
      <c r="F85" s="2" t="s">
        <v>154</v>
      </c>
      <c r="G85" s="67" t="str">
        <f>IF(AND($C85=1,$D85=9,$E85=4),"L","")</f>
        <v>L</v>
      </c>
      <c r="H85" s="71"/>
    </row>
    <row r="86" spans="3:8" x14ac:dyDescent="0.3">
      <c r="C86" s="8">
        <v>1</v>
      </c>
      <c r="D86" s="5">
        <v>9</v>
      </c>
      <c r="E86" s="5">
        <v>5</v>
      </c>
      <c r="F86" s="2" t="s">
        <v>155</v>
      </c>
      <c r="G86" s="67" t="str">
        <f>IF(AND($C86=1,$D86=9,$E86=5),"L","")</f>
        <v>L</v>
      </c>
      <c r="H86" s="71"/>
    </row>
    <row r="87" spans="3:8" x14ac:dyDescent="0.3">
      <c r="C87" s="8">
        <v>1</v>
      </c>
      <c r="D87" s="5">
        <v>9</v>
      </c>
      <c r="E87" s="5">
        <v>6</v>
      </c>
      <c r="F87" s="2" t="s">
        <v>156</v>
      </c>
      <c r="G87" s="67" t="str">
        <f>IF(AND($C87=1,$D87=9,$E87=6),"L","")</f>
        <v>L</v>
      </c>
      <c r="H87" s="71"/>
    </row>
    <row r="88" spans="3:8" x14ac:dyDescent="0.3">
      <c r="C88" s="8">
        <v>1</v>
      </c>
      <c r="D88" s="5">
        <v>9</v>
      </c>
      <c r="E88" s="5">
        <v>7</v>
      </c>
      <c r="F88" s="2" t="s">
        <v>157</v>
      </c>
      <c r="G88" s="67" t="str">
        <f>IF(AND($C88=1,$D88=9,$E88=7),"L","")</f>
        <v>L</v>
      </c>
      <c r="H88" s="71"/>
    </row>
    <row r="89" spans="3:8" x14ac:dyDescent="0.3">
      <c r="C89" s="8">
        <v>1</v>
      </c>
      <c r="D89" s="5">
        <v>9</v>
      </c>
      <c r="E89" s="5">
        <v>8</v>
      </c>
      <c r="F89" s="2" t="s">
        <v>158</v>
      </c>
      <c r="G89" s="67" t="str">
        <f>IF(AND($C89=1,$D89=9,$E89=8),"L","")</f>
        <v>L</v>
      </c>
      <c r="H89" s="71"/>
    </row>
    <row r="90" spans="3:8" x14ac:dyDescent="0.3">
      <c r="C90" s="8">
        <v>1</v>
      </c>
      <c r="D90" s="5">
        <v>9</v>
      </c>
      <c r="E90" s="5">
        <v>9</v>
      </c>
      <c r="F90" s="2" t="s">
        <v>159</v>
      </c>
      <c r="G90" s="67" t="str">
        <f>IF(AND($C90=1,$D90=9,$E90=9),"L","")</f>
        <v>L</v>
      </c>
      <c r="H90" s="71"/>
    </row>
    <row r="91" spans="3:8" x14ac:dyDescent="0.3">
      <c r="C91" s="8">
        <v>1</v>
      </c>
      <c r="D91" s="5">
        <v>9</v>
      </c>
      <c r="E91" s="5">
        <v>10</v>
      </c>
      <c r="F91" s="2" t="s">
        <v>160</v>
      </c>
      <c r="G91" s="67" t="str">
        <f>IF(AND($C91=1,$D91=9,$E91=10),"L","")</f>
        <v>L</v>
      </c>
      <c r="H91" s="71"/>
    </row>
    <row r="92" spans="3:8" x14ac:dyDescent="0.3">
      <c r="C92" s="8">
        <v>1</v>
      </c>
      <c r="D92" s="5">
        <v>10</v>
      </c>
      <c r="E92" s="5">
        <v>1</v>
      </c>
      <c r="F92" s="2" t="s">
        <v>161</v>
      </c>
      <c r="G92" s="67" t="str">
        <f>IF(AND($C92=1,$D92=10,$E92=1),"L","")</f>
        <v>L</v>
      </c>
      <c r="H92" s="71"/>
    </row>
    <row r="93" spans="3:8" x14ac:dyDescent="0.3">
      <c r="C93" s="8">
        <v>1</v>
      </c>
      <c r="D93" s="5">
        <v>10</v>
      </c>
      <c r="E93" s="5">
        <v>2</v>
      </c>
      <c r="F93" s="2" t="s">
        <v>162</v>
      </c>
      <c r="G93" s="67" t="str">
        <f>IF(AND($C93=1,$D93=10,$E93=2),"L","")</f>
        <v>L</v>
      </c>
      <c r="H93" s="71"/>
    </row>
    <row r="94" spans="3:8" x14ac:dyDescent="0.3">
      <c r="C94" s="8">
        <v>1</v>
      </c>
      <c r="D94" s="5">
        <v>10</v>
      </c>
      <c r="E94" s="5">
        <v>3</v>
      </c>
      <c r="F94" s="2" t="s">
        <v>163</v>
      </c>
      <c r="G94" s="67" t="str">
        <f>IF(AND($C94=1,$D94=10,$E94=3),"L","")</f>
        <v>L</v>
      </c>
      <c r="H94" s="71"/>
    </row>
    <row r="95" spans="3:8" x14ac:dyDescent="0.3">
      <c r="C95" s="8">
        <v>1</v>
      </c>
      <c r="D95" s="5">
        <v>10</v>
      </c>
      <c r="E95" s="5">
        <v>4</v>
      </c>
      <c r="F95" s="2" t="s">
        <v>164</v>
      </c>
      <c r="G95" s="67" t="str">
        <f>IF(AND($C95=1,$D95=10,$E95=4),"L","")</f>
        <v>L</v>
      </c>
      <c r="H95" s="71"/>
    </row>
    <row r="96" spans="3:8" x14ac:dyDescent="0.3">
      <c r="C96" s="8">
        <v>1</v>
      </c>
      <c r="D96" s="5">
        <v>10</v>
      </c>
      <c r="E96" s="5">
        <v>5</v>
      </c>
      <c r="F96" s="2" t="s">
        <v>165</v>
      </c>
      <c r="G96" s="67" t="str">
        <f>IF(AND($C96=1,$D96=10,$E96=5),"L","")</f>
        <v>L</v>
      </c>
      <c r="H96" s="71"/>
    </row>
    <row r="97" spans="3:8" x14ac:dyDescent="0.3">
      <c r="C97" s="8">
        <v>1</v>
      </c>
      <c r="D97" s="5">
        <v>10</v>
      </c>
      <c r="E97" s="5">
        <v>6</v>
      </c>
      <c r="F97" s="2" t="s">
        <v>166</v>
      </c>
      <c r="G97" s="67" t="str">
        <f>IF(AND($C97=1,$D97=10,$E97=6),"L","")</f>
        <v>L</v>
      </c>
      <c r="H97" s="71"/>
    </row>
    <row r="98" spans="3:8" x14ac:dyDescent="0.3">
      <c r="C98" s="8">
        <v>1</v>
      </c>
      <c r="D98" s="5">
        <v>10</v>
      </c>
      <c r="E98" s="5">
        <v>7</v>
      </c>
      <c r="F98" s="2" t="s">
        <v>167</v>
      </c>
      <c r="G98" s="67" t="str">
        <f>IF(AND($C98=1,$D98=10,$E98=7),"L","")</f>
        <v>L</v>
      </c>
      <c r="H98" s="71"/>
    </row>
    <row r="99" spans="3:8" x14ac:dyDescent="0.3">
      <c r="C99" s="8">
        <v>1</v>
      </c>
      <c r="D99" s="5">
        <v>10</v>
      </c>
      <c r="E99" s="5">
        <v>8</v>
      </c>
      <c r="F99" s="2" t="s">
        <v>168</v>
      </c>
      <c r="G99" s="67" t="str">
        <f>IF(AND($C99=1,$D99=10,$E99=8),"L","")</f>
        <v>L</v>
      </c>
      <c r="H99" s="71"/>
    </row>
    <row r="100" spans="3:8" x14ac:dyDescent="0.3">
      <c r="C100" s="8">
        <v>1</v>
      </c>
      <c r="D100" s="5">
        <v>10</v>
      </c>
      <c r="E100" s="5">
        <v>9</v>
      </c>
      <c r="F100" s="2" t="s">
        <v>169</v>
      </c>
      <c r="G100" s="67" t="str">
        <f>IF(AND($C100=1,$D100=10,$E100=9),"L","")</f>
        <v>L</v>
      </c>
      <c r="H100" s="71"/>
    </row>
    <row r="101" spans="3:8" x14ac:dyDescent="0.3">
      <c r="C101" s="8">
        <v>1</v>
      </c>
      <c r="D101" s="5">
        <v>10</v>
      </c>
      <c r="E101" s="5">
        <v>10</v>
      </c>
      <c r="F101" s="2" t="s">
        <v>170</v>
      </c>
      <c r="G101" s="67" t="str">
        <f>IF(AND($C101=1,$D101=10,$E101=10),"L","")</f>
        <v>L</v>
      </c>
      <c r="H101" s="71"/>
    </row>
    <row r="102" spans="3:8" x14ac:dyDescent="0.3">
      <c r="C102" s="8">
        <v>2</v>
      </c>
      <c r="D102" s="5">
        <v>1</v>
      </c>
      <c r="E102" s="5">
        <v>1</v>
      </c>
      <c r="F102" s="2" t="s">
        <v>171</v>
      </c>
      <c r="G102" s="67" t="str">
        <f>IF(AND($C102=2,$D102=1,$E102=1),"L","")</f>
        <v>L</v>
      </c>
      <c r="H102" s="71"/>
    </row>
    <row r="103" spans="3:8" x14ac:dyDescent="0.3">
      <c r="C103" s="8">
        <v>2</v>
      </c>
      <c r="D103" s="5">
        <v>1</v>
      </c>
      <c r="E103" s="5">
        <v>2</v>
      </c>
      <c r="F103" s="2" t="s">
        <v>172</v>
      </c>
      <c r="G103" s="67" t="str">
        <f>IF(AND($C103=2,$D103=1,$E103=2),"L","")</f>
        <v>L</v>
      </c>
      <c r="H103" s="71"/>
    </row>
    <row r="104" spans="3:8" x14ac:dyDescent="0.3">
      <c r="C104" s="8">
        <v>2</v>
      </c>
      <c r="D104" s="5">
        <v>1</v>
      </c>
      <c r="E104" s="5">
        <v>3</v>
      </c>
      <c r="F104" s="2" t="s">
        <v>173</v>
      </c>
      <c r="G104" s="67" t="str">
        <f>IF(AND($C104=2,$D104=1,$E104=3),"L","")</f>
        <v>L</v>
      </c>
      <c r="H104" s="71"/>
    </row>
    <row r="105" spans="3:8" x14ac:dyDescent="0.3">
      <c r="C105" s="8">
        <v>2</v>
      </c>
      <c r="D105" s="5">
        <v>1</v>
      </c>
      <c r="E105" s="5">
        <v>4</v>
      </c>
      <c r="F105" s="2" t="s">
        <v>174</v>
      </c>
      <c r="G105" s="67" t="str">
        <f>IF(AND($C105=2,$D105=1,$E105=4),"L","")</f>
        <v>L</v>
      </c>
      <c r="H105" s="71"/>
    </row>
    <row r="106" spans="3:8" x14ac:dyDescent="0.3">
      <c r="C106" s="8">
        <v>2</v>
      </c>
      <c r="D106" s="5">
        <v>1</v>
      </c>
      <c r="E106" s="5">
        <v>5</v>
      </c>
      <c r="F106" s="2" t="s">
        <v>175</v>
      </c>
      <c r="G106" s="67" t="str">
        <f>IF(AND($C106=2,$D106=1,$E106=5),"L","")</f>
        <v>L</v>
      </c>
      <c r="H106" s="71"/>
    </row>
    <row r="107" spans="3:8" x14ac:dyDescent="0.3">
      <c r="C107" s="8">
        <v>2</v>
      </c>
      <c r="D107" s="5">
        <v>1</v>
      </c>
      <c r="E107" s="5">
        <v>6</v>
      </c>
      <c r="F107" s="2" t="s">
        <v>176</v>
      </c>
      <c r="G107" s="67" t="str">
        <f>IF(AND($C107=2,$D107=1,$E107=6),"L","")</f>
        <v>L</v>
      </c>
      <c r="H107" s="71"/>
    </row>
    <row r="108" spans="3:8" x14ac:dyDescent="0.3">
      <c r="C108" s="8">
        <v>2</v>
      </c>
      <c r="D108" s="5">
        <v>1</v>
      </c>
      <c r="E108" s="5">
        <v>7</v>
      </c>
      <c r="F108" s="2" t="s">
        <v>177</v>
      </c>
      <c r="G108" s="67" t="str">
        <f>IF(AND($C108=2,$D108=1,$E108=7),"L","")</f>
        <v>L</v>
      </c>
      <c r="H108" s="71"/>
    </row>
    <row r="109" spans="3:8" x14ac:dyDescent="0.3">
      <c r="C109" s="8">
        <v>2</v>
      </c>
      <c r="D109" s="5">
        <v>1</v>
      </c>
      <c r="E109" s="5">
        <v>8</v>
      </c>
      <c r="F109" s="2" t="s">
        <v>178</v>
      </c>
      <c r="G109" s="67" t="str">
        <f>IF(AND($C109=2,$D109=1,$E109=8),"L","")</f>
        <v>L</v>
      </c>
      <c r="H109" s="71"/>
    </row>
    <row r="110" spans="3:8" x14ac:dyDescent="0.3">
      <c r="C110" s="8">
        <v>2</v>
      </c>
      <c r="D110" s="5">
        <v>1</v>
      </c>
      <c r="E110" s="5">
        <v>9</v>
      </c>
      <c r="F110" s="2" t="s">
        <v>179</v>
      </c>
      <c r="G110" s="67" t="str">
        <f>IF(AND($C110=2,$D110=1,$E110=9),"L","")</f>
        <v>L</v>
      </c>
      <c r="H110" s="71"/>
    </row>
    <row r="111" spans="3:8" x14ac:dyDescent="0.3">
      <c r="C111" s="8">
        <v>2</v>
      </c>
      <c r="D111" s="5">
        <v>1</v>
      </c>
      <c r="E111" s="5">
        <v>10</v>
      </c>
      <c r="F111" s="2" t="s">
        <v>180</v>
      </c>
      <c r="G111" s="67" t="str">
        <f>IF(AND($C111=2,$D111=1,$E111=10),"L","")</f>
        <v>L</v>
      </c>
      <c r="H111" s="71"/>
    </row>
    <row r="112" spans="3:8" x14ac:dyDescent="0.3">
      <c r="C112" s="8">
        <v>2</v>
      </c>
      <c r="D112" s="5">
        <v>2</v>
      </c>
      <c r="E112" s="5">
        <v>1</v>
      </c>
      <c r="F112" s="2" t="s">
        <v>181</v>
      </c>
      <c r="G112" s="67" t="str">
        <f>IF(AND($C112=2,$D112=2,$E112=1),"L","")</f>
        <v>L</v>
      </c>
      <c r="H112" s="71"/>
    </row>
    <row r="113" spans="3:8" x14ac:dyDescent="0.3">
      <c r="C113" s="8">
        <v>2</v>
      </c>
      <c r="D113" s="5">
        <v>2</v>
      </c>
      <c r="E113" s="5">
        <v>2</v>
      </c>
      <c r="F113" s="2" t="s">
        <v>182</v>
      </c>
      <c r="G113" s="67" t="str">
        <f>IF(AND($C113=2,$D113=2,$E113=2),"L","")</f>
        <v>L</v>
      </c>
      <c r="H113" s="71"/>
    </row>
    <row r="114" spans="3:8" x14ac:dyDescent="0.3">
      <c r="C114" s="8">
        <v>2</v>
      </c>
      <c r="D114" s="5">
        <v>2</v>
      </c>
      <c r="E114" s="5">
        <v>3</v>
      </c>
      <c r="F114" s="2" t="s">
        <v>183</v>
      </c>
      <c r="G114" s="67" t="str">
        <f>IF(AND($C114=2,$D114=2,$E114=3),"L","")</f>
        <v>L</v>
      </c>
      <c r="H114" s="71"/>
    </row>
    <row r="115" spans="3:8" x14ac:dyDescent="0.3">
      <c r="C115" s="8">
        <v>2</v>
      </c>
      <c r="D115" s="5">
        <v>2</v>
      </c>
      <c r="E115" s="5">
        <v>4</v>
      </c>
      <c r="F115" s="2" t="s">
        <v>184</v>
      </c>
      <c r="G115" s="67" t="str">
        <f>IF(AND($C115=2,$D115=2,$E115=4),"L","")</f>
        <v>L</v>
      </c>
      <c r="H115" s="71"/>
    </row>
    <row r="116" spans="3:8" x14ac:dyDescent="0.3">
      <c r="C116" s="8">
        <v>2</v>
      </c>
      <c r="D116" s="5">
        <v>2</v>
      </c>
      <c r="E116" s="5">
        <v>5</v>
      </c>
      <c r="F116" s="2" t="s">
        <v>185</v>
      </c>
      <c r="G116" s="67" t="str">
        <f>IF(AND($C116=2,$D116=2,$E116=5),"L","")</f>
        <v>L</v>
      </c>
      <c r="H116" s="71"/>
    </row>
    <row r="117" spans="3:8" x14ac:dyDescent="0.3">
      <c r="C117" s="8">
        <v>2</v>
      </c>
      <c r="D117" s="5">
        <v>2</v>
      </c>
      <c r="E117" s="5">
        <v>6</v>
      </c>
      <c r="F117" s="2" t="s">
        <v>186</v>
      </c>
      <c r="G117" s="67" t="str">
        <f>IF(AND($C117=2,$D117=2,$E117=6),"L","")</f>
        <v>L</v>
      </c>
      <c r="H117" s="71"/>
    </row>
    <row r="118" spans="3:8" x14ac:dyDescent="0.3">
      <c r="C118" s="8">
        <v>2</v>
      </c>
      <c r="D118" s="5">
        <v>2</v>
      </c>
      <c r="E118" s="5">
        <v>7</v>
      </c>
      <c r="F118" s="2" t="s">
        <v>187</v>
      </c>
      <c r="G118" s="67" t="str">
        <f>IF(AND($C118=2,$D118=2,$E118=7),"L","")</f>
        <v>L</v>
      </c>
      <c r="H118" s="71"/>
    </row>
    <row r="119" spans="3:8" x14ac:dyDescent="0.3">
      <c r="C119" s="8">
        <v>2</v>
      </c>
      <c r="D119" s="5">
        <v>2</v>
      </c>
      <c r="E119" s="5">
        <v>8</v>
      </c>
      <c r="F119" s="2" t="s">
        <v>188</v>
      </c>
      <c r="G119" s="67" t="str">
        <f>IF(AND($C119=2,$D119=2,$E119=8),"L","")</f>
        <v>L</v>
      </c>
      <c r="H119" s="71"/>
    </row>
    <row r="120" spans="3:8" x14ac:dyDescent="0.3">
      <c r="C120" s="8">
        <v>2</v>
      </c>
      <c r="D120" s="5">
        <v>2</v>
      </c>
      <c r="E120" s="5">
        <v>9</v>
      </c>
      <c r="F120" s="2" t="s">
        <v>189</v>
      </c>
      <c r="G120" s="67" t="str">
        <f>IF(AND($C120=2,$D120=2,$E120=9),"L","")</f>
        <v>L</v>
      </c>
      <c r="H120" s="71"/>
    </row>
    <row r="121" spans="3:8" x14ac:dyDescent="0.3">
      <c r="C121" s="8">
        <v>2</v>
      </c>
      <c r="D121" s="5">
        <v>2</v>
      </c>
      <c r="E121" s="5">
        <v>10</v>
      </c>
      <c r="F121" s="2" t="s">
        <v>190</v>
      </c>
      <c r="G121" s="67" t="str">
        <f>IF(AND($C121=2,$D121=2,$E121=10),"L","")</f>
        <v>L</v>
      </c>
      <c r="H121" s="71"/>
    </row>
    <row r="122" spans="3:8" x14ac:dyDescent="0.3">
      <c r="C122" s="8">
        <v>2</v>
      </c>
      <c r="D122" s="5">
        <v>3</v>
      </c>
      <c r="E122" s="5">
        <v>1</v>
      </c>
      <c r="F122" s="2" t="s">
        <v>191</v>
      </c>
      <c r="G122" s="67" t="str">
        <f>IF(AND($C122=2,$D122=3,$E122=1),"L","")</f>
        <v>L</v>
      </c>
      <c r="H122" s="71"/>
    </row>
    <row r="123" spans="3:8" x14ac:dyDescent="0.3">
      <c r="C123" s="8">
        <v>2</v>
      </c>
      <c r="D123" s="5">
        <v>3</v>
      </c>
      <c r="E123" s="5">
        <v>2</v>
      </c>
      <c r="F123" s="2" t="s">
        <v>192</v>
      </c>
      <c r="G123" s="67" t="str">
        <f>IF(AND($C123=2,$D123=3,$E123=2),"L","")</f>
        <v>L</v>
      </c>
      <c r="H123" s="71"/>
    </row>
    <row r="124" spans="3:8" x14ac:dyDescent="0.3">
      <c r="C124" s="8">
        <v>2</v>
      </c>
      <c r="D124" s="5">
        <v>3</v>
      </c>
      <c r="E124" s="5">
        <v>3</v>
      </c>
      <c r="F124" s="2" t="s">
        <v>193</v>
      </c>
      <c r="G124" s="67" t="str">
        <f>IF(AND($C124=2,$D124=3,$E124=3),"L","")</f>
        <v>L</v>
      </c>
      <c r="H124" s="71"/>
    </row>
    <row r="125" spans="3:8" x14ac:dyDescent="0.3">
      <c r="C125" s="8">
        <v>2</v>
      </c>
      <c r="D125" s="5">
        <v>3</v>
      </c>
      <c r="E125" s="5">
        <v>4</v>
      </c>
      <c r="F125" s="2" t="s">
        <v>194</v>
      </c>
      <c r="G125" s="67" t="str">
        <f>IF(AND($C125=2,$D125=3,$E125=4),"L","")</f>
        <v>L</v>
      </c>
      <c r="H125" s="71"/>
    </row>
    <row r="126" spans="3:8" x14ac:dyDescent="0.3">
      <c r="C126" s="8">
        <v>2</v>
      </c>
      <c r="D126" s="5">
        <v>3</v>
      </c>
      <c r="E126" s="5">
        <v>5</v>
      </c>
      <c r="F126" s="2" t="s">
        <v>195</v>
      </c>
      <c r="G126" s="67" t="str">
        <f>IF(AND($C126=2,$D126=3,$E126=5),"L","")</f>
        <v>L</v>
      </c>
      <c r="H126" s="71"/>
    </row>
    <row r="127" spans="3:8" x14ac:dyDescent="0.3">
      <c r="C127" s="8">
        <v>2</v>
      </c>
      <c r="D127" s="5">
        <v>3</v>
      </c>
      <c r="E127" s="5">
        <v>6</v>
      </c>
      <c r="F127" s="2" t="s">
        <v>196</v>
      </c>
      <c r="G127" s="67" t="str">
        <f>IF(AND($C127=2,$D127=3,$E127=6),"L","")</f>
        <v>L</v>
      </c>
      <c r="H127" s="71"/>
    </row>
    <row r="128" spans="3:8" x14ac:dyDescent="0.3">
      <c r="C128" s="8">
        <v>2</v>
      </c>
      <c r="D128" s="5">
        <v>3</v>
      </c>
      <c r="E128" s="5">
        <v>7</v>
      </c>
      <c r="F128" s="2" t="s">
        <v>197</v>
      </c>
      <c r="G128" s="67" t="str">
        <f>IF(AND($C128=2,$D128=3,$E128=7),"L","")</f>
        <v>L</v>
      </c>
      <c r="H128" s="71"/>
    </row>
    <row r="129" spans="3:8" x14ac:dyDescent="0.3">
      <c r="C129" s="8">
        <v>2</v>
      </c>
      <c r="D129" s="5">
        <v>3</v>
      </c>
      <c r="E129" s="5">
        <v>8</v>
      </c>
      <c r="F129" s="2" t="s">
        <v>198</v>
      </c>
      <c r="G129" s="67" t="str">
        <f>IF(AND($C129=2,$D129=3,$E129=8),"L","")</f>
        <v>L</v>
      </c>
      <c r="H129" s="71"/>
    </row>
    <row r="130" spans="3:8" x14ac:dyDescent="0.3">
      <c r="C130" s="8">
        <v>2</v>
      </c>
      <c r="D130" s="5">
        <v>3</v>
      </c>
      <c r="E130" s="5">
        <v>9</v>
      </c>
      <c r="F130" s="2" t="s">
        <v>199</v>
      </c>
      <c r="G130" s="67" t="str">
        <f>IF(AND($C130=2,$D130=3,$E130=9),"L","")</f>
        <v>L</v>
      </c>
      <c r="H130" s="71"/>
    </row>
    <row r="131" spans="3:8" x14ac:dyDescent="0.3">
      <c r="C131" s="8">
        <v>2</v>
      </c>
      <c r="D131" s="5">
        <v>3</v>
      </c>
      <c r="E131" s="5">
        <v>10</v>
      </c>
      <c r="F131" s="2" t="s">
        <v>200</v>
      </c>
      <c r="G131" s="67" t="str">
        <f>IF(AND($C131=2,$D131=3,$E131=10),"L","")</f>
        <v>L</v>
      </c>
      <c r="H131" s="71"/>
    </row>
    <row r="132" spans="3:8" x14ac:dyDescent="0.3">
      <c r="C132" s="8">
        <v>2</v>
      </c>
      <c r="D132" s="5">
        <v>4</v>
      </c>
      <c r="E132" s="5">
        <v>1</v>
      </c>
      <c r="F132" s="2" t="s">
        <v>201</v>
      </c>
      <c r="G132" s="67" t="str">
        <f>IF(AND($C132=2,$D132=4,$E132=1),"L","")</f>
        <v>L</v>
      </c>
      <c r="H132" s="71"/>
    </row>
    <row r="133" spans="3:8" x14ac:dyDescent="0.3">
      <c r="C133" s="8">
        <v>2</v>
      </c>
      <c r="D133" s="5">
        <v>4</v>
      </c>
      <c r="E133" s="5">
        <v>2</v>
      </c>
      <c r="F133" s="2" t="s">
        <v>202</v>
      </c>
      <c r="G133" s="67" t="str">
        <f>IF(AND($C133=2,$D133=4,$E133=2),"L","")</f>
        <v>L</v>
      </c>
      <c r="H133" s="71"/>
    </row>
    <row r="134" spans="3:8" x14ac:dyDescent="0.3">
      <c r="C134" s="8">
        <v>2</v>
      </c>
      <c r="D134" s="5">
        <v>4</v>
      </c>
      <c r="E134" s="5">
        <v>3</v>
      </c>
      <c r="F134" s="2" t="s">
        <v>203</v>
      </c>
      <c r="G134" s="67" t="str">
        <f>IF(AND($C134=2,$D134=4,$E134=3),"L","")</f>
        <v>L</v>
      </c>
      <c r="H134" s="71"/>
    </row>
    <row r="135" spans="3:8" x14ac:dyDescent="0.3">
      <c r="C135" s="8">
        <v>2</v>
      </c>
      <c r="D135" s="5">
        <v>4</v>
      </c>
      <c r="E135" s="5">
        <v>4</v>
      </c>
      <c r="F135" s="2" t="s">
        <v>204</v>
      </c>
      <c r="G135" s="67" t="str">
        <f>IF(AND($C135=2,$D135=4,$E135=4),"L","")</f>
        <v>L</v>
      </c>
      <c r="H135" s="71"/>
    </row>
    <row r="136" spans="3:8" x14ac:dyDescent="0.3">
      <c r="C136" s="8">
        <v>2</v>
      </c>
      <c r="D136" s="5">
        <v>4</v>
      </c>
      <c r="E136" s="5">
        <v>5</v>
      </c>
      <c r="F136" s="2" t="s">
        <v>205</v>
      </c>
      <c r="G136" s="67" t="str">
        <f>IF(AND($C136=2,$D136=4,$E136=5),"L","")</f>
        <v>L</v>
      </c>
      <c r="H136" s="71"/>
    </row>
    <row r="137" spans="3:8" x14ac:dyDescent="0.3">
      <c r="C137" s="8">
        <v>2</v>
      </c>
      <c r="D137" s="5">
        <v>4</v>
      </c>
      <c r="E137" s="5">
        <v>6</v>
      </c>
      <c r="F137" s="2" t="s">
        <v>206</v>
      </c>
      <c r="G137" s="67" t="str">
        <f>IF(AND($C137=2,$D137=4,$E137=6),"L","")</f>
        <v>L</v>
      </c>
      <c r="H137" s="71"/>
    </row>
    <row r="138" spans="3:8" x14ac:dyDescent="0.3">
      <c r="C138" s="8">
        <v>2</v>
      </c>
      <c r="D138" s="5">
        <v>4</v>
      </c>
      <c r="E138" s="5">
        <v>7</v>
      </c>
      <c r="F138" s="2" t="s">
        <v>207</v>
      </c>
      <c r="G138" s="68" t="str">
        <f>IF(AND($C138=2,$D138=4,$E138=7),"M","")</f>
        <v>M</v>
      </c>
      <c r="H138" s="71"/>
    </row>
    <row r="139" spans="3:8" x14ac:dyDescent="0.3">
      <c r="C139" s="8">
        <v>2</v>
      </c>
      <c r="D139" s="5">
        <v>4</v>
      </c>
      <c r="E139" s="5">
        <v>8</v>
      </c>
      <c r="F139" s="2" t="s">
        <v>208</v>
      </c>
      <c r="G139" s="68" t="str">
        <f>IF(AND($C139=2,$D139=4,$E139=8),"M","")</f>
        <v>M</v>
      </c>
      <c r="H139" s="71"/>
    </row>
    <row r="140" spans="3:8" x14ac:dyDescent="0.3">
      <c r="C140" s="8">
        <v>2</v>
      </c>
      <c r="D140" s="5">
        <v>4</v>
      </c>
      <c r="E140" s="5">
        <v>9</v>
      </c>
      <c r="F140" s="2" t="s">
        <v>209</v>
      </c>
      <c r="G140" s="68" t="str">
        <f>IF(AND($C140=2,$D140=4,$E140=9),"M","")</f>
        <v>M</v>
      </c>
      <c r="H140" s="71"/>
    </row>
    <row r="141" spans="3:8" x14ac:dyDescent="0.3">
      <c r="C141" s="8">
        <v>2</v>
      </c>
      <c r="D141" s="5">
        <v>4</v>
      </c>
      <c r="E141" s="5">
        <v>10</v>
      </c>
      <c r="F141" s="2" t="s">
        <v>210</v>
      </c>
      <c r="G141" s="68" t="str">
        <f>IF(AND($C141=2,$D141=4,$E141=10),"M","")</f>
        <v>M</v>
      </c>
      <c r="H141" s="71"/>
    </row>
    <row r="142" spans="3:8" x14ac:dyDescent="0.3">
      <c r="C142" s="8">
        <v>2</v>
      </c>
      <c r="D142" s="5">
        <v>5</v>
      </c>
      <c r="E142" s="5">
        <v>1</v>
      </c>
      <c r="F142" s="2" t="s">
        <v>211</v>
      </c>
      <c r="G142" s="67" t="str">
        <f>IF(AND($C142=2,$D142=5,$E142=1),"L","")</f>
        <v>L</v>
      </c>
      <c r="H142" s="71"/>
    </row>
    <row r="143" spans="3:8" x14ac:dyDescent="0.3">
      <c r="C143" s="8">
        <v>2</v>
      </c>
      <c r="D143" s="5">
        <v>5</v>
      </c>
      <c r="E143" s="5">
        <v>2</v>
      </c>
      <c r="F143" s="2" t="s">
        <v>212</v>
      </c>
      <c r="G143" s="67" t="str">
        <f>IF(AND($C143=2,$D143=5,$E143=2),"L","")</f>
        <v>L</v>
      </c>
      <c r="H143" s="71"/>
    </row>
    <row r="144" spans="3:8" x14ac:dyDescent="0.3">
      <c r="C144" s="8">
        <v>2</v>
      </c>
      <c r="D144" s="5">
        <v>5</v>
      </c>
      <c r="E144" s="5">
        <v>3</v>
      </c>
      <c r="F144" s="2" t="s">
        <v>213</v>
      </c>
      <c r="G144" s="67" t="str">
        <f>IF(AND($C144=2,$D144=5,$E144=3),"L","")</f>
        <v>L</v>
      </c>
      <c r="H144" s="71"/>
    </row>
    <row r="145" spans="3:8" x14ac:dyDescent="0.3">
      <c r="C145" s="8">
        <v>2</v>
      </c>
      <c r="D145" s="5">
        <v>5</v>
      </c>
      <c r="E145" s="5">
        <v>4</v>
      </c>
      <c r="F145" s="2" t="s">
        <v>214</v>
      </c>
      <c r="G145" s="67" t="str">
        <f>IF(AND($C145=2,$D145=5,$E145=4),"L","")</f>
        <v>L</v>
      </c>
      <c r="H145" s="71"/>
    </row>
    <row r="146" spans="3:8" x14ac:dyDescent="0.3">
      <c r="C146" s="8">
        <v>2</v>
      </c>
      <c r="D146" s="5">
        <v>5</v>
      </c>
      <c r="E146" s="5">
        <v>5</v>
      </c>
      <c r="F146" s="2" t="s">
        <v>215</v>
      </c>
      <c r="G146" s="67" t="str">
        <f>IF(AND($C146=2,$D146=5,$E146=5),"L","")</f>
        <v>L</v>
      </c>
      <c r="H146" s="71"/>
    </row>
    <row r="147" spans="3:8" x14ac:dyDescent="0.3">
      <c r="C147" s="8">
        <v>2</v>
      </c>
      <c r="D147" s="5">
        <v>5</v>
      </c>
      <c r="E147" s="5">
        <v>6</v>
      </c>
      <c r="F147" s="2" t="s">
        <v>216</v>
      </c>
      <c r="G147" s="67" t="str">
        <f>IF(AND($C147=2,$D147=5,$E147=6),"L","")</f>
        <v>L</v>
      </c>
      <c r="H147" s="71"/>
    </row>
    <row r="148" spans="3:8" x14ac:dyDescent="0.3">
      <c r="C148" s="8">
        <v>2</v>
      </c>
      <c r="D148" s="5">
        <v>5</v>
      </c>
      <c r="E148" s="5">
        <v>7</v>
      </c>
      <c r="F148" s="2" t="s">
        <v>217</v>
      </c>
      <c r="G148" s="68" t="str">
        <f>IF(AND($C148=2,$D148=5,$E148=7),"M","")</f>
        <v>M</v>
      </c>
      <c r="H148" s="71"/>
    </row>
    <row r="149" spans="3:8" x14ac:dyDescent="0.3">
      <c r="C149" s="8">
        <v>2</v>
      </c>
      <c r="D149" s="5">
        <v>5</v>
      </c>
      <c r="E149" s="5">
        <v>8</v>
      </c>
      <c r="F149" s="2" t="s">
        <v>218</v>
      </c>
      <c r="G149" s="68" t="str">
        <f>IF(AND($C149=2,$D149=5,$E149=8),"M","")</f>
        <v>M</v>
      </c>
      <c r="H149" s="71"/>
    </row>
    <row r="150" spans="3:8" x14ac:dyDescent="0.3">
      <c r="C150" s="8">
        <v>2</v>
      </c>
      <c r="D150" s="5">
        <v>5</v>
      </c>
      <c r="E150" s="5">
        <v>9</v>
      </c>
      <c r="F150" s="2" t="s">
        <v>219</v>
      </c>
      <c r="G150" s="68" t="str">
        <f>IF(AND($C150=2,$D150=5,$E150=9),"M","")</f>
        <v>M</v>
      </c>
      <c r="H150" s="71"/>
    </row>
    <row r="151" spans="3:8" x14ac:dyDescent="0.3">
      <c r="C151" s="8">
        <v>2</v>
      </c>
      <c r="D151" s="5">
        <v>5</v>
      </c>
      <c r="E151" s="5">
        <v>10</v>
      </c>
      <c r="F151" s="2" t="s">
        <v>220</v>
      </c>
      <c r="G151" s="68" t="str">
        <f>IF(AND($C151=2,$D151=5,$E151=10),"M","")</f>
        <v>M</v>
      </c>
      <c r="H151" s="71"/>
    </row>
    <row r="152" spans="3:8" x14ac:dyDescent="0.3">
      <c r="C152" s="8">
        <v>2</v>
      </c>
      <c r="D152" s="5">
        <v>6</v>
      </c>
      <c r="E152" s="5">
        <v>1</v>
      </c>
      <c r="F152" s="2" t="s">
        <v>221</v>
      </c>
      <c r="G152" s="67" t="str">
        <f>IF(AND($C152=2,$D152=6,$E152=1),"L","")</f>
        <v>L</v>
      </c>
      <c r="H152" s="71"/>
    </row>
    <row r="153" spans="3:8" x14ac:dyDescent="0.3">
      <c r="C153" s="8">
        <v>2</v>
      </c>
      <c r="D153" s="5">
        <v>6</v>
      </c>
      <c r="E153" s="5">
        <v>2</v>
      </c>
      <c r="F153" s="2" t="s">
        <v>222</v>
      </c>
      <c r="G153" s="68" t="str">
        <f>IF(AND($C153=2,$D153=6,$E153=2),"M","")</f>
        <v>M</v>
      </c>
      <c r="H153" s="71"/>
    </row>
    <row r="154" spans="3:8" x14ac:dyDescent="0.3">
      <c r="C154" s="8">
        <v>2</v>
      </c>
      <c r="D154" s="5">
        <v>6</v>
      </c>
      <c r="E154" s="5">
        <v>3</v>
      </c>
      <c r="F154" s="2" t="s">
        <v>223</v>
      </c>
      <c r="G154" s="68" t="str">
        <f>IF(AND($C154=2,$D154=6,$E154=3),"M","")</f>
        <v>M</v>
      </c>
      <c r="H154" s="71"/>
    </row>
    <row r="155" spans="3:8" x14ac:dyDescent="0.3">
      <c r="C155" s="8">
        <v>2</v>
      </c>
      <c r="D155" s="5">
        <v>6</v>
      </c>
      <c r="E155" s="5">
        <v>4</v>
      </c>
      <c r="F155" s="2" t="s">
        <v>224</v>
      </c>
      <c r="G155" s="68" t="str">
        <f>IF(AND($C155=2,$D155=6,$E155=4),"M","")</f>
        <v>M</v>
      </c>
      <c r="H155" s="71"/>
    </row>
    <row r="156" spans="3:8" x14ac:dyDescent="0.3">
      <c r="C156" s="8">
        <v>2</v>
      </c>
      <c r="D156" s="5">
        <v>6</v>
      </c>
      <c r="E156" s="5">
        <v>5</v>
      </c>
      <c r="F156" s="2" t="s">
        <v>225</v>
      </c>
      <c r="G156" s="68" t="str">
        <f>IF(AND($C156=2,$D156=6,$E156=5),"M","")</f>
        <v>M</v>
      </c>
      <c r="H156" s="71"/>
    </row>
    <row r="157" spans="3:8" x14ac:dyDescent="0.3">
      <c r="C157" s="8">
        <v>2</v>
      </c>
      <c r="D157" s="5">
        <v>6</v>
      </c>
      <c r="E157" s="5">
        <v>6</v>
      </c>
      <c r="F157" s="2" t="s">
        <v>226</v>
      </c>
      <c r="G157" s="68" t="str">
        <f>IF(AND($C157=2,$D157=6,$E157=6),"M","")</f>
        <v>M</v>
      </c>
      <c r="H157" s="71"/>
    </row>
    <row r="158" spans="3:8" x14ac:dyDescent="0.3">
      <c r="C158" s="8">
        <v>2</v>
      </c>
      <c r="D158" s="5">
        <v>6</v>
      </c>
      <c r="E158" s="5">
        <v>7</v>
      </c>
      <c r="F158" s="2" t="s">
        <v>227</v>
      </c>
      <c r="G158" s="68" t="str">
        <f>IF(AND($C158=2,$D158=6,$E158=7),"M","")</f>
        <v>M</v>
      </c>
      <c r="H158" s="71"/>
    </row>
    <row r="159" spans="3:8" x14ac:dyDescent="0.3">
      <c r="C159" s="8">
        <v>2</v>
      </c>
      <c r="D159" s="5">
        <v>6</v>
      </c>
      <c r="E159" s="5">
        <v>8</v>
      </c>
      <c r="F159" s="2" t="s">
        <v>228</v>
      </c>
      <c r="G159" s="68" t="str">
        <f>IF(AND($C159=2,$D159=6,$E159=8),"M","")</f>
        <v>M</v>
      </c>
      <c r="H159" s="71"/>
    </row>
    <row r="160" spans="3:8" x14ac:dyDescent="0.3">
      <c r="C160" s="8">
        <v>2</v>
      </c>
      <c r="D160" s="5">
        <v>6</v>
      </c>
      <c r="E160" s="5">
        <v>9</v>
      </c>
      <c r="F160" s="2" t="s">
        <v>229</v>
      </c>
      <c r="G160" s="68" t="str">
        <f>IF(AND($C160=2,$D160=6,$E160=9),"M","")</f>
        <v>M</v>
      </c>
      <c r="H160" s="71"/>
    </row>
    <row r="161" spans="3:8" x14ac:dyDescent="0.3">
      <c r="C161" s="8">
        <v>2</v>
      </c>
      <c r="D161" s="5">
        <v>6</v>
      </c>
      <c r="E161" s="5">
        <v>10</v>
      </c>
      <c r="F161" s="2" t="s">
        <v>230</v>
      </c>
      <c r="G161" s="68" t="str">
        <f>IF(AND($C161=2,$D161=6,$E161=10),"M","")</f>
        <v>M</v>
      </c>
      <c r="H161" s="71"/>
    </row>
    <row r="162" spans="3:8" x14ac:dyDescent="0.3">
      <c r="C162" s="8">
        <v>2</v>
      </c>
      <c r="D162" s="5">
        <v>7</v>
      </c>
      <c r="E162" s="5">
        <v>1</v>
      </c>
      <c r="F162" s="2" t="s">
        <v>231</v>
      </c>
      <c r="G162" s="67" t="str">
        <f>IF(AND($C162=2,$D162=7,$E162=1),"L","")</f>
        <v>L</v>
      </c>
      <c r="H162" s="71"/>
    </row>
    <row r="163" spans="3:8" x14ac:dyDescent="0.3">
      <c r="C163" s="8">
        <v>2</v>
      </c>
      <c r="D163" s="5">
        <v>7</v>
      </c>
      <c r="E163" s="5">
        <v>2</v>
      </c>
      <c r="F163" s="2" t="s">
        <v>232</v>
      </c>
      <c r="G163" s="68" t="str">
        <f>IF(AND($C163=2,$D163=7,$E163=2),"M","")</f>
        <v>M</v>
      </c>
      <c r="H163" s="71"/>
    </row>
    <row r="164" spans="3:8" x14ac:dyDescent="0.3">
      <c r="C164" s="8">
        <v>2</v>
      </c>
      <c r="D164" s="5">
        <v>7</v>
      </c>
      <c r="E164" s="5">
        <v>3</v>
      </c>
      <c r="F164" s="2" t="s">
        <v>233</v>
      </c>
      <c r="G164" s="68" t="str">
        <f>IF(AND($C164=2,$D164=7,$E164=3),"M","")</f>
        <v>M</v>
      </c>
      <c r="H164" s="71"/>
    </row>
    <row r="165" spans="3:8" x14ac:dyDescent="0.3">
      <c r="C165" s="8">
        <v>2</v>
      </c>
      <c r="D165" s="5">
        <v>7</v>
      </c>
      <c r="E165" s="5">
        <v>4</v>
      </c>
      <c r="F165" s="2" t="s">
        <v>234</v>
      </c>
      <c r="G165" s="68" t="str">
        <f>IF(AND($C165=2,$D165=7,$E165=4),"M","")</f>
        <v>M</v>
      </c>
      <c r="H165" s="71"/>
    </row>
    <row r="166" spans="3:8" x14ac:dyDescent="0.3">
      <c r="C166" s="8">
        <v>2</v>
      </c>
      <c r="D166" s="5">
        <v>7</v>
      </c>
      <c r="E166" s="5">
        <v>5</v>
      </c>
      <c r="F166" s="2" t="s">
        <v>235</v>
      </c>
      <c r="G166" s="68" t="str">
        <f>IF(AND($C166=2,$D166=7,$E166=5),"M","")</f>
        <v>M</v>
      </c>
      <c r="H166" s="71"/>
    </row>
    <row r="167" spans="3:8" x14ac:dyDescent="0.3">
      <c r="C167" s="8">
        <v>2</v>
      </c>
      <c r="D167" s="5">
        <v>7</v>
      </c>
      <c r="E167" s="5">
        <v>6</v>
      </c>
      <c r="F167" s="2" t="s">
        <v>236</v>
      </c>
      <c r="G167" s="68" t="str">
        <f>IF(AND($C167=2,$D167=7,$E167=6),"M","")</f>
        <v>M</v>
      </c>
      <c r="H167" s="71"/>
    </row>
    <row r="168" spans="3:8" x14ac:dyDescent="0.3">
      <c r="C168" s="8">
        <v>2</v>
      </c>
      <c r="D168" s="5">
        <v>7</v>
      </c>
      <c r="E168" s="5">
        <v>7</v>
      </c>
      <c r="F168" s="2" t="s">
        <v>237</v>
      </c>
      <c r="G168" s="68" t="str">
        <f>IF(AND($C168=2,$D168=7,$E168=7),"M","")</f>
        <v>M</v>
      </c>
      <c r="H168" s="71"/>
    </row>
    <row r="169" spans="3:8" x14ac:dyDescent="0.3">
      <c r="C169" s="8">
        <v>2</v>
      </c>
      <c r="D169" s="5">
        <v>7</v>
      </c>
      <c r="E169" s="5">
        <v>8</v>
      </c>
      <c r="F169" s="2" t="s">
        <v>238</v>
      </c>
      <c r="G169" s="68" t="str">
        <f>IF(AND($C169=2,$D169=7,$E169=8),"M","")</f>
        <v>M</v>
      </c>
      <c r="H169" s="71"/>
    </row>
    <row r="170" spans="3:8" x14ac:dyDescent="0.3">
      <c r="C170" s="8">
        <v>2</v>
      </c>
      <c r="D170" s="5">
        <v>7</v>
      </c>
      <c r="E170" s="5">
        <v>9</v>
      </c>
      <c r="F170" s="2" t="s">
        <v>239</v>
      </c>
      <c r="G170" s="68" t="str">
        <f>IF(AND($C170=2,$D170=7,$E170=9),"M","")</f>
        <v>M</v>
      </c>
      <c r="H170" s="71"/>
    </row>
    <row r="171" spans="3:8" x14ac:dyDescent="0.3">
      <c r="C171" s="8">
        <v>2</v>
      </c>
      <c r="D171" s="5">
        <v>7</v>
      </c>
      <c r="E171" s="5">
        <v>10</v>
      </c>
      <c r="F171" s="2" t="s">
        <v>240</v>
      </c>
      <c r="G171" s="68" t="str">
        <f>IF(AND($C171=2,$D171=7,$E171=10),"M","")</f>
        <v>M</v>
      </c>
      <c r="H171" s="71"/>
    </row>
    <row r="172" spans="3:8" x14ac:dyDescent="0.3">
      <c r="C172" s="8">
        <v>2</v>
      </c>
      <c r="D172" s="5">
        <v>8</v>
      </c>
      <c r="E172" s="5">
        <v>1</v>
      </c>
      <c r="F172" s="2" t="s">
        <v>241</v>
      </c>
      <c r="G172" s="68" t="str">
        <f>IF(AND($C172=2,$D172=8,$E172=1),"M","")</f>
        <v>M</v>
      </c>
      <c r="H172" s="71"/>
    </row>
    <row r="173" spans="3:8" x14ac:dyDescent="0.3">
      <c r="C173" s="8">
        <v>2</v>
      </c>
      <c r="D173" s="5">
        <v>8</v>
      </c>
      <c r="E173" s="5">
        <v>2</v>
      </c>
      <c r="F173" s="2" t="s">
        <v>242</v>
      </c>
      <c r="G173" s="68" t="str">
        <f>IF(AND($C173=2,$D173=8,$E173=2),"M","")</f>
        <v>M</v>
      </c>
      <c r="H173" s="71"/>
    </row>
    <row r="174" spans="3:8" x14ac:dyDescent="0.3">
      <c r="C174" s="8">
        <v>2</v>
      </c>
      <c r="D174" s="5">
        <v>8</v>
      </c>
      <c r="E174" s="5">
        <v>3</v>
      </c>
      <c r="F174" s="2" t="s">
        <v>243</v>
      </c>
      <c r="G174" s="68" t="str">
        <f>IF(AND($C174=2,$D174=8,$E174=3),"M","")</f>
        <v>M</v>
      </c>
      <c r="H174" s="71"/>
    </row>
    <row r="175" spans="3:8" x14ac:dyDescent="0.3">
      <c r="C175" s="8">
        <v>2</v>
      </c>
      <c r="D175" s="5">
        <v>8</v>
      </c>
      <c r="E175" s="5">
        <v>4</v>
      </c>
      <c r="F175" s="2" t="s">
        <v>244</v>
      </c>
      <c r="G175" s="68" t="str">
        <f>IF(AND($C175=2,$D175=8,$E175=4),"M","")</f>
        <v>M</v>
      </c>
      <c r="H175" s="71"/>
    </row>
    <row r="176" spans="3:8" x14ac:dyDescent="0.3">
      <c r="C176" s="8">
        <v>2</v>
      </c>
      <c r="D176" s="5">
        <v>8</v>
      </c>
      <c r="E176" s="5">
        <v>5</v>
      </c>
      <c r="F176" s="2" t="s">
        <v>245</v>
      </c>
      <c r="G176" s="69" t="str">
        <f>IF(AND($C176=2,$D176=8,$E176=5),"H","")</f>
        <v>H</v>
      </c>
      <c r="H176" s="71"/>
    </row>
    <row r="177" spans="3:8" x14ac:dyDescent="0.3">
      <c r="C177" s="8">
        <v>2</v>
      </c>
      <c r="D177" s="5">
        <v>8</v>
      </c>
      <c r="E177" s="5">
        <v>6</v>
      </c>
      <c r="F177" s="2" t="s">
        <v>246</v>
      </c>
      <c r="G177" s="69" t="str">
        <f>IF(AND($C177=2,$D177=8,$E177=6),"H","")</f>
        <v>H</v>
      </c>
      <c r="H177" s="71"/>
    </row>
    <row r="178" spans="3:8" x14ac:dyDescent="0.3">
      <c r="C178" s="8">
        <v>2</v>
      </c>
      <c r="D178" s="5">
        <v>8</v>
      </c>
      <c r="E178" s="5">
        <v>7</v>
      </c>
      <c r="F178" s="2" t="s">
        <v>247</v>
      </c>
      <c r="G178" s="69" t="str">
        <f>IF(AND($C178=2,$D178=8,$E178=7),"H","")</f>
        <v>H</v>
      </c>
      <c r="H178" s="71"/>
    </row>
    <row r="179" spans="3:8" x14ac:dyDescent="0.3">
      <c r="C179" s="8">
        <v>2</v>
      </c>
      <c r="D179" s="5">
        <v>8</v>
      </c>
      <c r="E179" s="5">
        <v>8</v>
      </c>
      <c r="F179" s="2" t="s">
        <v>248</v>
      </c>
      <c r="G179" s="69" t="str">
        <f>IF(AND($C179=2,$D179=8,$E179=8),"H","")</f>
        <v>H</v>
      </c>
      <c r="H179" s="71"/>
    </row>
    <row r="180" spans="3:8" x14ac:dyDescent="0.3">
      <c r="C180" s="8">
        <v>2</v>
      </c>
      <c r="D180" s="5">
        <v>8</v>
      </c>
      <c r="E180" s="5">
        <v>9</v>
      </c>
      <c r="F180" s="2" t="s">
        <v>249</v>
      </c>
      <c r="G180" s="69" t="str">
        <f>IF(AND($C180=2,$D180=8,$E180=9),"H","")</f>
        <v>H</v>
      </c>
      <c r="H180" s="71"/>
    </row>
    <row r="181" spans="3:8" x14ac:dyDescent="0.3">
      <c r="C181" s="8">
        <v>2</v>
      </c>
      <c r="D181" s="5">
        <v>8</v>
      </c>
      <c r="E181" s="5">
        <v>10</v>
      </c>
      <c r="F181" s="2" t="s">
        <v>250</v>
      </c>
      <c r="G181" s="69" t="str">
        <f>IF(AND($C181=2,$D181=8,$E181=10),"H","")</f>
        <v>H</v>
      </c>
      <c r="H181" s="71"/>
    </row>
    <row r="182" spans="3:8" x14ac:dyDescent="0.3">
      <c r="C182" s="8">
        <v>2</v>
      </c>
      <c r="D182" s="5">
        <v>9</v>
      </c>
      <c r="E182" s="5">
        <v>1</v>
      </c>
      <c r="F182" s="2" t="s">
        <v>251</v>
      </c>
      <c r="G182" s="68" t="str">
        <f>IF(AND($C182=2,$D182=9,$E182=1),"M","")</f>
        <v>M</v>
      </c>
      <c r="H182" s="71"/>
    </row>
    <row r="183" spans="3:8" x14ac:dyDescent="0.3">
      <c r="C183" s="8">
        <v>2</v>
      </c>
      <c r="D183" s="5">
        <v>9</v>
      </c>
      <c r="E183" s="5">
        <v>2</v>
      </c>
      <c r="F183" s="2" t="s">
        <v>252</v>
      </c>
      <c r="G183" s="68" t="str">
        <f>IF(AND($C183=2,$D183=9,$E183=2),"M","")</f>
        <v>M</v>
      </c>
      <c r="H183" s="71"/>
    </row>
    <row r="184" spans="3:8" x14ac:dyDescent="0.3">
      <c r="C184" s="8">
        <v>2</v>
      </c>
      <c r="D184" s="5">
        <v>9</v>
      </c>
      <c r="E184" s="5">
        <v>3</v>
      </c>
      <c r="F184" s="2" t="s">
        <v>253</v>
      </c>
      <c r="G184" s="68" t="str">
        <f>IF(AND($C184=2,$D184=9,$E184=3),"M","")</f>
        <v>M</v>
      </c>
      <c r="H184" s="71"/>
    </row>
    <row r="185" spans="3:8" x14ac:dyDescent="0.3">
      <c r="C185" s="8">
        <v>2</v>
      </c>
      <c r="D185" s="5">
        <v>9</v>
      </c>
      <c r="E185" s="5">
        <v>4</v>
      </c>
      <c r="F185" s="2" t="s">
        <v>254</v>
      </c>
      <c r="G185" s="68" t="str">
        <f>IF(AND($C185=2,$D185=9,$E185=4),"M","")</f>
        <v>M</v>
      </c>
      <c r="H185" s="71"/>
    </row>
    <row r="186" spans="3:8" x14ac:dyDescent="0.3">
      <c r="C186" s="8">
        <v>2</v>
      </c>
      <c r="D186" s="5">
        <v>9</v>
      </c>
      <c r="E186" s="5">
        <v>5</v>
      </c>
      <c r="F186" s="2" t="s">
        <v>255</v>
      </c>
      <c r="G186" s="69" t="str">
        <f>IF(AND($C186=2,$D186=9,$E186=5),"H","")</f>
        <v>H</v>
      </c>
      <c r="H186" s="71"/>
    </row>
    <row r="187" spans="3:8" x14ac:dyDescent="0.3">
      <c r="C187" s="8">
        <v>2</v>
      </c>
      <c r="D187" s="5">
        <v>9</v>
      </c>
      <c r="E187" s="5">
        <v>6</v>
      </c>
      <c r="F187" s="2" t="s">
        <v>256</v>
      </c>
      <c r="G187" s="69" t="str">
        <f>IF(AND($C187=2,$D187=9,$E187=6),"H","")</f>
        <v>H</v>
      </c>
      <c r="H187" s="71"/>
    </row>
    <row r="188" spans="3:8" x14ac:dyDescent="0.3">
      <c r="C188" s="8">
        <v>2</v>
      </c>
      <c r="D188" s="5">
        <v>9</v>
      </c>
      <c r="E188" s="5">
        <v>7</v>
      </c>
      <c r="F188" s="2" t="s">
        <v>257</v>
      </c>
      <c r="G188" s="69" t="str">
        <f>IF(AND($C188=2,$D188=9,$E188=7),"H","")</f>
        <v>H</v>
      </c>
      <c r="H188" s="71"/>
    </row>
    <row r="189" spans="3:8" x14ac:dyDescent="0.3">
      <c r="C189" s="8">
        <v>2</v>
      </c>
      <c r="D189" s="5">
        <v>9</v>
      </c>
      <c r="E189" s="5">
        <v>8</v>
      </c>
      <c r="F189" s="2" t="s">
        <v>258</v>
      </c>
      <c r="G189" s="69" t="str">
        <f>IF(AND($C189=2,$D189=9,$E189=8),"H","")</f>
        <v>H</v>
      </c>
      <c r="H189" s="71"/>
    </row>
    <row r="190" spans="3:8" x14ac:dyDescent="0.3">
      <c r="C190" s="8">
        <v>2</v>
      </c>
      <c r="D190" s="5">
        <v>9</v>
      </c>
      <c r="E190" s="5">
        <v>9</v>
      </c>
      <c r="F190" s="2" t="s">
        <v>259</v>
      </c>
      <c r="G190" s="69" t="str">
        <f>IF(AND($C190=2,$D190=9,$E190=9),"H","")</f>
        <v>H</v>
      </c>
      <c r="H190" s="71"/>
    </row>
    <row r="191" spans="3:8" x14ac:dyDescent="0.3">
      <c r="C191" s="8">
        <v>2</v>
      </c>
      <c r="D191" s="5">
        <v>9</v>
      </c>
      <c r="E191" s="5">
        <v>10</v>
      </c>
      <c r="F191" s="2" t="s">
        <v>260</v>
      </c>
      <c r="G191" s="69" t="str">
        <f>IF(AND($C191=2,$D191=9,$E191=10),"H","")</f>
        <v>H</v>
      </c>
      <c r="H191" s="71"/>
    </row>
    <row r="192" spans="3:8" x14ac:dyDescent="0.3">
      <c r="C192" s="8">
        <v>2</v>
      </c>
      <c r="D192" s="5">
        <v>10</v>
      </c>
      <c r="E192" s="5">
        <v>1</v>
      </c>
      <c r="F192" s="2" t="s">
        <v>261</v>
      </c>
      <c r="G192" s="68" t="str">
        <f>IF(AND($C192=2,$D192=10,$E192=1),"M","")</f>
        <v>M</v>
      </c>
      <c r="H192" s="71"/>
    </row>
    <row r="193" spans="3:8" x14ac:dyDescent="0.3">
      <c r="C193" s="8">
        <v>2</v>
      </c>
      <c r="D193" s="5">
        <v>10</v>
      </c>
      <c r="E193" s="5">
        <v>2</v>
      </c>
      <c r="F193" s="2" t="s">
        <v>262</v>
      </c>
      <c r="G193" s="68" t="str">
        <f>IF(AND($C193=2,$D193=10,$E193=2),"M","")</f>
        <v>M</v>
      </c>
      <c r="H193" s="71"/>
    </row>
    <row r="194" spans="3:8" x14ac:dyDescent="0.3">
      <c r="C194" s="8">
        <v>2</v>
      </c>
      <c r="D194" s="5">
        <v>10</v>
      </c>
      <c r="E194" s="5">
        <v>3</v>
      </c>
      <c r="F194" s="2" t="s">
        <v>263</v>
      </c>
      <c r="G194" s="68" t="str">
        <f>IF(AND($C194=2,$D194=10,$E194=3),"M","")</f>
        <v>M</v>
      </c>
      <c r="H194" s="71"/>
    </row>
    <row r="195" spans="3:8" x14ac:dyDescent="0.3">
      <c r="C195" s="8">
        <v>2</v>
      </c>
      <c r="D195" s="5">
        <v>10</v>
      </c>
      <c r="E195" s="5">
        <v>4</v>
      </c>
      <c r="F195" s="2" t="s">
        <v>264</v>
      </c>
      <c r="G195" s="68" t="str">
        <f>IF(AND($C195=2,$D195=10,$E195=4),"M","")</f>
        <v>M</v>
      </c>
      <c r="H195" s="71"/>
    </row>
    <row r="196" spans="3:8" x14ac:dyDescent="0.3">
      <c r="C196" s="8">
        <v>2</v>
      </c>
      <c r="D196" s="5">
        <v>10</v>
      </c>
      <c r="E196" s="5">
        <v>5</v>
      </c>
      <c r="F196" s="2" t="s">
        <v>265</v>
      </c>
      <c r="G196" s="69" t="str">
        <f>IF(AND($C196=2,$D196=10,$E196=5),"H","")</f>
        <v>H</v>
      </c>
      <c r="H196" s="71"/>
    </row>
    <row r="197" spans="3:8" x14ac:dyDescent="0.3">
      <c r="C197" s="8">
        <v>2</v>
      </c>
      <c r="D197" s="5">
        <v>10</v>
      </c>
      <c r="E197" s="5">
        <v>6</v>
      </c>
      <c r="F197" s="2" t="s">
        <v>266</v>
      </c>
      <c r="G197" s="69" t="str">
        <f>IF(AND($C197=2,$D197=10,$E197=6),"H","")</f>
        <v>H</v>
      </c>
      <c r="H197" s="71"/>
    </row>
    <row r="198" spans="3:8" x14ac:dyDescent="0.3">
      <c r="C198" s="8">
        <v>2</v>
      </c>
      <c r="D198" s="5">
        <v>10</v>
      </c>
      <c r="E198" s="5">
        <v>7</v>
      </c>
      <c r="F198" s="2" t="s">
        <v>267</v>
      </c>
      <c r="G198" s="69" t="str">
        <f>IF(AND($C198=2,$D198=10,$E198=7),"H","")</f>
        <v>H</v>
      </c>
      <c r="H198" s="71"/>
    </row>
    <row r="199" spans="3:8" x14ac:dyDescent="0.3">
      <c r="C199" s="8">
        <v>2</v>
      </c>
      <c r="D199" s="5">
        <v>10</v>
      </c>
      <c r="E199" s="5">
        <v>8</v>
      </c>
      <c r="F199" s="2" t="s">
        <v>268</v>
      </c>
      <c r="G199" s="69" t="str">
        <f>IF(AND($C199=2,$D199=10,$E199=8),"H","")</f>
        <v>H</v>
      </c>
      <c r="H199" s="71"/>
    </row>
    <row r="200" spans="3:8" x14ac:dyDescent="0.3">
      <c r="C200" s="8">
        <v>2</v>
      </c>
      <c r="D200" s="5">
        <v>10</v>
      </c>
      <c r="E200" s="5">
        <v>9</v>
      </c>
      <c r="F200" s="2" t="s">
        <v>269</v>
      </c>
      <c r="G200" s="69" t="str">
        <f>IF(AND($C200=2,$D200=10,$E200=9),"H","")</f>
        <v>H</v>
      </c>
      <c r="H200" s="71"/>
    </row>
    <row r="201" spans="3:8" x14ac:dyDescent="0.3">
      <c r="C201" s="8">
        <v>2</v>
      </c>
      <c r="D201" s="5">
        <v>10</v>
      </c>
      <c r="E201" s="5">
        <v>10</v>
      </c>
      <c r="F201" s="2" t="s">
        <v>270</v>
      </c>
      <c r="G201" s="69" t="str">
        <f>IF(AND($C201=2,$D201=10,$E201=10),"H","")</f>
        <v>H</v>
      </c>
      <c r="H201" s="71"/>
    </row>
    <row r="202" spans="3:8" x14ac:dyDescent="0.3">
      <c r="C202" s="8">
        <v>3</v>
      </c>
      <c r="D202" s="5">
        <v>1</v>
      </c>
      <c r="E202" s="5">
        <v>1</v>
      </c>
      <c r="F202" s="2" t="s">
        <v>271</v>
      </c>
      <c r="G202" s="67" t="str">
        <f>IF(AND($C202=3,$D202=1,$E202=1),"L","")</f>
        <v>L</v>
      </c>
      <c r="H202" s="71"/>
    </row>
    <row r="203" spans="3:8" x14ac:dyDescent="0.3">
      <c r="C203" s="8">
        <v>3</v>
      </c>
      <c r="D203" s="5">
        <v>1</v>
      </c>
      <c r="E203" s="5">
        <v>2</v>
      </c>
      <c r="F203" s="2" t="s">
        <v>272</v>
      </c>
      <c r="G203" s="67" t="str">
        <f>IF(AND($C203=3,$D203=1,$E203=2),"L","")</f>
        <v>L</v>
      </c>
      <c r="H203" s="71"/>
    </row>
    <row r="204" spans="3:8" x14ac:dyDescent="0.3">
      <c r="C204" s="8">
        <v>3</v>
      </c>
      <c r="D204" s="5">
        <v>1</v>
      </c>
      <c r="E204" s="5">
        <v>3</v>
      </c>
      <c r="F204" s="2" t="s">
        <v>273</v>
      </c>
      <c r="G204" s="67" t="str">
        <f>IF(AND($C204=3,$D204=1,$E204=3),"L","")</f>
        <v>L</v>
      </c>
      <c r="H204" s="71"/>
    </row>
    <row r="205" spans="3:8" x14ac:dyDescent="0.3">
      <c r="C205" s="8">
        <v>3</v>
      </c>
      <c r="D205" s="5">
        <v>1</v>
      </c>
      <c r="E205" s="5">
        <v>4</v>
      </c>
      <c r="F205" s="2" t="s">
        <v>274</v>
      </c>
      <c r="G205" s="67" t="str">
        <f>IF(AND($C205=3,$D205=1,$E205=4),"L","")</f>
        <v>L</v>
      </c>
      <c r="H205" s="71"/>
    </row>
    <row r="206" spans="3:8" x14ac:dyDescent="0.3">
      <c r="C206" s="8">
        <v>3</v>
      </c>
      <c r="D206" s="5">
        <v>1</v>
      </c>
      <c r="E206" s="5">
        <v>5</v>
      </c>
      <c r="F206" s="2" t="s">
        <v>275</v>
      </c>
      <c r="G206" s="67" t="str">
        <f>IF(AND($C206=3,$D206=1,$E206=5),"L","")</f>
        <v>L</v>
      </c>
      <c r="H206" s="71"/>
    </row>
    <row r="207" spans="3:8" x14ac:dyDescent="0.3">
      <c r="C207" s="8">
        <v>3</v>
      </c>
      <c r="D207" s="5">
        <v>1</v>
      </c>
      <c r="E207" s="5">
        <v>6</v>
      </c>
      <c r="F207" s="2" t="s">
        <v>276</v>
      </c>
      <c r="G207" s="67" t="str">
        <f>IF(AND($C207=3,$D207=1,$E207=6),"L","")</f>
        <v>L</v>
      </c>
      <c r="H207" s="71"/>
    </row>
    <row r="208" spans="3:8" x14ac:dyDescent="0.3">
      <c r="C208" s="8">
        <v>3</v>
      </c>
      <c r="D208" s="5">
        <v>1</v>
      </c>
      <c r="E208" s="5">
        <v>7</v>
      </c>
      <c r="F208" s="2" t="s">
        <v>277</v>
      </c>
      <c r="G208" s="67" t="str">
        <f>IF(AND($C208=3,$D208=1,$E208=7),"L","")</f>
        <v>L</v>
      </c>
      <c r="H208" s="71"/>
    </row>
    <row r="209" spans="3:9" x14ac:dyDescent="0.3">
      <c r="C209" s="8">
        <v>3</v>
      </c>
      <c r="D209" s="5">
        <v>1</v>
      </c>
      <c r="E209" s="5">
        <v>8</v>
      </c>
      <c r="F209" s="2" t="s">
        <v>278</v>
      </c>
      <c r="G209" s="67" t="str">
        <f>IF(AND($C209=3,$D209=1,$E209=8),"L","")</f>
        <v>L</v>
      </c>
      <c r="H209" s="71"/>
    </row>
    <row r="210" spans="3:9" x14ac:dyDescent="0.3">
      <c r="C210" s="8">
        <v>3</v>
      </c>
      <c r="D210" s="5">
        <v>1</v>
      </c>
      <c r="E210" s="5">
        <v>9</v>
      </c>
      <c r="F210" s="2" t="s">
        <v>279</v>
      </c>
      <c r="G210" s="67" t="str">
        <f>IF(AND($C210=3,$D210=1,$E210=9),"L","")</f>
        <v>L</v>
      </c>
      <c r="H210" s="71"/>
    </row>
    <row r="211" spans="3:9" x14ac:dyDescent="0.3">
      <c r="C211" s="8">
        <v>3</v>
      </c>
      <c r="D211" s="5">
        <v>1</v>
      </c>
      <c r="E211" s="5">
        <v>10</v>
      </c>
      <c r="F211" s="2" t="s">
        <v>280</v>
      </c>
      <c r="G211" s="67" t="str">
        <f>IF(AND($C211=3,$D211=1,$E211=10),"L","")</f>
        <v>L</v>
      </c>
      <c r="H211" s="71"/>
    </row>
    <row r="212" spans="3:9" x14ac:dyDescent="0.3">
      <c r="C212" s="8">
        <v>3</v>
      </c>
      <c r="D212" s="5">
        <v>2</v>
      </c>
      <c r="E212" s="5">
        <v>1</v>
      </c>
      <c r="F212" s="2" t="s">
        <v>281</v>
      </c>
      <c r="G212" s="67" t="str">
        <f>IF(AND($C212=3,$D212=2,$E212=1),"L","")</f>
        <v>L</v>
      </c>
      <c r="H212" s="71"/>
    </row>
    <row r="213" spans="3:9" x14ac:dyDescent="0.3">
      <c r="C213" s="8">
        <v>3</v>
      </c>
      <c r="D213" s="5">
        <v>2</v>
      </c>
      <c r="E213" s="5">
        <v>2</v>
      </c>
      <c r="F213" s="2" t="s">
        <v>282</v>
      </c>
      <c r="G213" s="67" t="str">
        <f>IF(AND($C213=3,$D213=2,$E213=2),"L","")</f>
        <v>L</v>
      </c>
      <c r="H213" s="71"/>
      <c r="I213" s="23"/>
    </row>
    <row r="214" spans="3:9" x14ac:dyDescent="0.3">
      <c r="C214" s="8">
        <v>3</v>
      </c>
      <c r="D214" s="5">
        <v>2</v>
      </c>
      <c r="E214" s="5">
        <v>3</v>
      </c>
      <c r="F214" s="2" t="s">
        <v>283</v>
      </c>
      <c r="G214" s="67" t="str">
        <f>IF(AND($C214=3,$D214=2,$E214=3),"L","")</f>
        <v>L</v>
      </c>
      <c r="H214" s="71"/>
    </row>
    <row r="215" spans="3:9" x14ac:dyDescent="0.3">
      <c r="C215" s="8">
        <v>3</v>
      </c>
      <c r="D215" s="5">
        <v>2</v>
      </c>
      <c r="E215" s="5">
        <v>4</v>
      </c>
      <c r="F215" s="2" t="s">
        <v>284</v>
      </c>
      <c r="G215" s="67" t="str">
        <f>IF(AND($C215=3,$D215=2,$E215=4),"L","")</f>
        <v>L</v>
      </c>
      <c r="H215" s="71"/>
    </row>
    <row r="216" spans="3:9" x14ac:dyDescent="0.3">
      <c r="C216" s="8">
        <v>3</v>
      </c>
      <c r="D216" s="5">
        <v>2</v>
      </c>
      <c r="E216" s="5">
        <v>5</v>
      </c>
      <c r="F216" s="2" t="s">
        <v>285</v>
      </c>
      <c r="G216" s="67" t="str">
        <f>IF(AND($C216=3,$D216=2,$E216=5),"L","")</f>
        <v>L</v>
      </c>
      <c r="H216" s="71"/>
    </row>
    <row r="217" spans="3:9" x14ac:dyDescent="0.3">
      <c r="C217" s="8">
        <v>3</v>
      </c>
      <c r="D217" s="5">
        <v>2</v>
      </c>
      <c r="E217" s="5">
        <v>6</v>
      </c>
      <c r="F217" s="2" t="s">
        <v>286</v>
      </c>
      <c r="G217" s="67" t="str">
        <f>IF(AND($C217=3,$D217=2,$E217=6),"L","")</f>
        <v>L</v>
      </c>
      <c r="H217" s="71"/>
    </row>
    <row r="218" spans="3:9" x14ac:dyDescent="0.3">
      <c r="C218" s="8">
        <v>3</v>
      </c>
      <c r="D218" s="5">
        <v>2</v>
      </c>
      <c r="E218" s="5">
        <v>7</v>
      </c>
      <c r="F218" s="2" t="s">
        <v>287</v>
      </c>
      <c r="G218" s="67" t="str">
        <f>IF(AND($C218=3,$D218=2,$E218=7),"L","")</f>
        <v>L</v>
      </c>
      <c r="H218" s="71"/>
    </row>
    <row r="219" spans="3:9" x14ac:dyDescent="0.3">
      <c r="C219" s="8">
        <v>3</v>
      </c>
      <c r="D219" s="5">
        <v>2</v>
      </c>
      <c r="E219" s="5">
        <v>8</v>
      </c>
      <c r="F219" s="2" t="s">
        <v>288</v>
      </c>
      <c r="G219" s="67" t="str">
        <f>IF(AND($C219=3,$D219=2,$E219=8),"L","")</f>
        <v>L</v>
      </c>
      <c r="H219" s="71"/>
    </row>
    <row r="220" spans="3:9" x14ac:dyDescent="0.3">
      <c r="C220" s="8">
        <v>3</v>
      </c>
      <c r="D220" s="5">
        <v>2</v>
      </c>
      <c r="E220" s="5">
        <v>9</v>
      </c>
      <c r="F220" s="2" t="s">
        <v>289</v>
      </c>
      <c r="G220" s="67" t="str">
        <f>IF(AND($C220=3,$D220=2,$E220=9),"L","")</f>
        <v>L</v>
      </c>
      <c r="H220" s="71"/>
    </row>
    <row r="221" spans="3:9" x14ac:dyDescent="0.3">
      <c r="C221" s="8">
        <v>3</v>
      </c>
      <c r="D221" s="5">
        <v>2</v>
      </c>
      <c r="E221" s="5">
        <v>10</v>
      </c>
      <c r="F221" s="2" t="s">
        <v>290</v>
      </c>
      <c r="G221" s="67" t="str">
        <f>IF(AND($C221=3,$D221=2,$E221=10),"L","")</f>
        <v>L</v>
      </c>
      <c r="H221" s="71"/>
    </row>
    <row r="222" spans="3:9" x14ac:dyDescent="0.3">
      <c r="C222" s="8">
        <v>3</v>
      </c>
      <c r="D222" s="5">
        <v>3</v>
      </c>
      <c r="E222" s="5">
        <v>1</v>
      </c>
      <c r="F222" s="2" t="s">
        <v>291</v>
      </c>
      <c r="G222" s="67" t="str">
        <f>IF(AND($C222=3,$D222=3,$E222=1),"L","")</f>
        <v>L</v>
      </c>
      <c r="H222" s="71"/>
    </row>
    <row r="223" spans="3:9" x14ac:dyDescent="0.3">
      <c r="C223" s="8">
        <v>3</v>
      </c>
      <c r="D223" s="5">
        <v>3</v>
      </c>
      <c r="E223" s="5">
        <v>2</v>
      </c>
      <c r="F223" s="2" t="s">
        <v>292</v>
      </c>
      <c r="G223" s="67" t="str">
        <f>IF(AND($C223=3,$D223=3,$E223=2),"L","")</f>
        <v>L</v>
      </c>
      <c r="H223" s="71"/>
    </row>
    <row r="224" spans="3:9" x14ac:dyDescent="0.3">
      <c r="C224" s="8">
        <v>3</v>
      </c>
      <c r="D224" s="5">
        <v>3</v>
      </c>
      <c r="E224" s="5">
        <v>3</v>
      </c>
      <c r="F224" s="2" t="s">
        <v>293</v>
      </c>
      <c r="G224" s="67" t="str">
        <f>IF(AND($C224=3,$D224=3,$E224=3),"L","")</f>
        <v>L</v>
      </c>
      <c r="H224" s="71"/>
    </row>
    <row r="225" spans="3:8" x14ac:dyDescent="0.3">
      <c r="C225" s="8">
        <v>3</v>
      </c>
      <c r="D225" s="5">
        <v>3</v>
      </c>
      <c r="E225" s="5">
        <v>4</v>
      </c>
      <c r="F225" s="2" t="s">
        <v>294</v>
      </c>
      <c r="G225" s="67" t="str">
        <f>IF(AND($C225=3,$D225=3,$E225=4),"L","")</f>
        <v>L</v>
      </c>
      <c r="H225" s="71"/>
    </row>
    <row r="226" spans="3:8" x14ac:dyDescent="0.3">
      <c r="C226" s="8">
        <v>3</v>
      </c>
      <c r="D226" s="5">
        <v>3</v>
      </c>
      <c r="E226" s="5">
        <v>5</v>
      </c>
      <c r="F226" s="2" t="s">
        <v>295</v>
      </c>
      <c r="G226" s="67" t="str">
        <f>IF(AND($C226=3,$D226=3,$E226=5),"L","")</f>
        <v>L</v>
      </c>
      <c r="H226" s="71"/>
    </row>
    <row r="227" spans="3:8" x14ac:dyDescent="0.3">
      <c r="C227" s="8">
        <v>3</v>
      </c>
      <c r="D227" s="5">
        <v>3</v>
      </c>
      <c r="E227" s="5">
        <v>6</v>
      </c>
      <c r="F227" s="2" t="s">
        <v>296</v>
      </c>
      <c r="G227" s="67" t="str">
        <f>IF(AND($C227=3,$D227=3,$E227=6),"L","")</f>
        <v>L</v>
      </c>
      <c r="H227" s="71"/>
    </row>
    <row r="228" spans="3:8" x14ac:dyDescent="0.3">
      <c r="C228" s="8">
        <v>3</v>
      </c>
      <c r="D228" s="5">
        <v>3</v>
      </c>
      <c r="E228" s="5">
        <v>7</v>
      </c>
      <c r="F228" s="2" t="s">
        <v>297</v>
      </c>
      <c r="G228" s="67" t="str">
        <f>IF(AND($C228=3,$D228=3,$E228=7),"L","")</f>
        <v>L</v>
      </c>
      <c r="H228" s="71"/>
    </row>
    <row r="229" spans="3:8" x14ac:dyDescent="0.3">
      <c r="C229" s="8">
        <v>3</v>
      </c>
      <c r="D229" s="5">
        <v>3</v>
      </c>
      <c r="E229" s="5">
        <v>8</v>
      </c>
      <c r="F229" s="2" t="s">
        <v>298</v>
      </c>
      <c r="G229" s="67" t="str">
        <f>IF(AND($C229=3,$D229=3,$E229=8),"L","")</f>
        <v>L</v>
      </c>
      <c r="H229" s="71"/>
    </row>
    <row r="230" spans="3:8" x14ac:dyDescent="0.3">
      <c r="C230" s="8">
        <v>3</v>
      </c>
      <c r="D230" s="5">
        <v>3</v>
      </c>
      <c r="E230" s="5">
        <v>9</v>
      </c>
      <c r="F230" s="2" t="s">
        <v>299</v>
      </c>
      <c r="G230" s="67" t="str">
        <f>IF(AND($C230=3,$D230=3,$E230=9),"L","")</f>
        <v>L</v>
      </c>
      <c r="H230" s="71"/>
    </row>
    <row r="231" spans="3:8" x14ac:dyDescent="0.3">
      <c r="C231" s="8">
        <v>3</v>
      </c>
      <c r="D231" s="5">
        <v>3</v>
      </c>
      <c r="E231" s="5">
        <v>10</v>
      </c>
      <c r="F231" s="2" t="s">
        <v>300</v>
      </c>
      <c r="G231" s="67" t="str">
        <f>IF(AND($C231=3,$D231=3,$E231=10),"L","")</f>
        <v>L</v>
      </c>
      <c r="H231" s="71"/>
    </row>
    <row r="232" spans="3:8" x14ac:dyDescent="0.3">
      <c r="C232" s="8">
        <v>3</v>
      </c>
      <c r="D232" s="5">
        <v>4</v>
      </c>
      <c r="E232" s="5">
        <v>1</v>
      </c>
      <c r="F232" s="2" t="s">
        <v>301</v>
      </c>
      <c r="G232" s="67" t="str">
        <f>IF(AND($C232=3,$D232=4,$E232=1),"L","")</f>
        <v>L</v>
      </c>
      <c r="H232" s="71"/>
    </row>
    <row r="233" spans="3:8" x14ac:dyDescent="0.3">
      <c r="C233" s="8">
        <v>3</v>
      </c>
      <c r="D233" s="5">
        <v>4</v>
      </c>
      <c r="E233" s="5">
        <v>2</v>
      </c>
      <c r="F233" s="2" t="s">
        <v>302</v>
      </c>
      <c r="G233" s="67" t="str">
        <f>IF(AND($C233=3,$D233=4,$E233=2),"L","")</f>
        <v>L</v>
      </c>
      <c r="H233" s="71"/>
    </row>
    <row r="234" spans="3:8" x14ac:dyDescent="0.3">
      <c r="C234" s="8">
        <v>3</v>
      </c>
      <c r="D234" s="5">
        <v>4</v>
      </c>
      <c r="E234" s="5">
        <v>3</v>
      </c>
      <c r="F234" s="2" t="s">
        <v>303</v>
      </c>
      <c r="G234" s="67" t="str">
        <f>IF(AND($C234=3,$D234=4,$E234=3),"L","")</f>
        <v>L</v>
      </c>
      <c r="H234" s="71"/>
    </row>
    <row r="235" spans="3:8" x14ac:dyDescent="0.3">
      <c r="C235" s="8">
        <v>3</v>
      </c>
      <c r="D235" s="5">
        <v>4</v>
      </c>
      <c r="E235" s="5">
        <v>4</v>
      </c>
      <c r="F235" s="2" t="s">
        <v>304</v>
      </c>
      <c r="G235" s="67" t="str">
        <f>IF(AND($C235=3,$D235=4,$E235=4),"L","")</f>
        <v>L</v>
      </c>
      <c r="H235" s="71"/>
    </row>
    <row r="236" spans="3:8" x14ac:dyDescent="0.3">
      <c r="C236" s="8">
        <v>3</v>
      </c>
      <c r="D236" s="5">
        <v>4</v>
      </c>
      <c r="E236" s="5">
        <v>5</v>
      </c>
      <c r="F236" s="2" t="s">
        <v>305</v>
      </c>
      <c r="G236" s="67" t="str">
        <f>IF(AND($C236=3,$D236=4,$E236=5),"L","")</f>
        <v>L</v>
      </c>
      <c r="H236" s="71"/>
    </row>
    <row r="237" spans="3:8" x14ac:dyDescent="0.3">
      <c r="C237" s="8">
        <v>3</v>
      </c>
      <c r="D237" s="5">
        <v>4</v>
      </c>
      <c r="E237" s="5">
        <v>6</v>
      </c>
      <c r="F237" s="2" t="s">
        <v>306</v>
      </c>
      <c r="G237" s="67" t="str">
        <f>IF(AND($C237=3,$D237=4,$E237=6),"L","")</f>
        <v>L</v>
      </c>
      <c r="H237" s="71"/>
    </row>
    <row r="238" spans="3:8" x14ac:dyDescent="0.3">
      <c r="C238" s="8">
        <v>3</v>
      </c>
      <c r="D238" s="5">
        <v>4</v>
      </c>
      <c r="E238" s="5">
        <v>7</v>
      </c>
      <c r="F238" s="2" t="s">
        <v>307</v>
      </c>
      <c r="G238" s="68" t="str">
        <f>IF(AND($C238=3,$D238=4,$E238=7),"M","")</f>
        <v>M</v>
      </c>
      <c r="H238" s="71"/>
    </row>
    <row r="239" spans="3:8" x14ac:dyDescent="0.3">
      <c r="C239" s="8">
        <v>3</v>
      </c>
      <c r="D239" s="5">
        <v>4</v>
      </c>
      <c r="E239" s="5">
        <v>8</v>
      </c>
      <c r="F239" s="2" t="s">
        <v>308</v>
      </c>
      <c r="G239" s="68" t="str">
        <f>IF(AND($C239=3,$D239=4,$E239=8),"M","")</f>
        <v>M</v>
      </c>
      <c r="H239" s="71"/>
    </row>
    <row r="240" spans="3:8" x14ac:dyDescent="0.3">
      <c r="C240" s="8">
        <v>3</v>
      </c>
      <c r="D240" s="5">
        <v>4</v>
      </c>
      <c r="E240" s="5">
        <v>9</v>
      </c>
      <c r="F240" s="2" t="s">
        <v>309</v>
      </c>
      <c r="G240" s="68" t="str">
        <f>IF(AND($C240=3,$D240=4,$E240=9),"M","")</f>
        <v>M</v>
      </c>
      <c r="H240" s="71"/>
    </row>
    <row r="241" spans="3:8" x14ac:dyDescent="0.3">
      <c r="C241" s="8">
        <v>3</v>
      </c>
      <c r="D241" s="5">
        <v>4</v>
      </c>
      <c r="E241" s="5">
        <v>10</v>
      </c>
      <c r="F241" s="2" t="s">
        <v>310</v>
      </c>
      <c r="G241" s="68" t="str">
        <f>IF(AND($C241=3,$D241=4,$E241=10),"M","")</f>
        <v>M</v>
      </c>
      <c r="H241" s="71"/>
    </row>
    <row r="242" spans="3:8" x14ac:dyDescent="0.3">
      <c r="C242" s="8">
        <v>3</v>
      </c>
      <c r="D242" s="5">
        <v>5</v>
      </c>
      <c r="E242" s="5">
        <v>1</v>
      </c>
      <c r="F242" s="2" t="s">
        <v>311</v>
      </c>
      <c r="G242" s="67" t="str">
        <f>IF(AND($C242=3,$D242=5,$E242=1),"L","")</f>
        <v>L</v>
      </c>
      <c r="H242" s="71"/>
    </row>
    <row r="243" spans="3:8" x14ac:dyDescent="0.3">
      <c r="C243" s="8">
        <v>3</v>
      </c>
      <c r="D243" s="5">
        <v>5</v>
      </c>
      <c r="E243" s="5">
        <v>2</v>
      </c>
      <c r="F243" s="2" t="s">
        <v>312</v>
      </c>
      <c r="G243" s="67" t="str">
        <f>IF(AND($C243=3,$D243=5,$E243=2),"L","")</f>
        <v>L</v>
      </c>
      <c r="H243" s="71"/>
    </row>
    <row r="244" spans="3:8" x14ac:dyDescent="0.3">
      <c r="C244" s="8">
        <v>3</v>
      </c>
      <c r="D244" s="5">
        <v>5</v>
      </c>
      <c r="E244" s="5">
        <v>3</v>
      </c>
      <c r="F244" s="2" t="s">
        <v>313</v>
      </c>
      <c r="G244" s="67" t="str">
        <f>IF(AND($C244=3,$D244=5,$E244=3),"L","")</f>
        <v>L</v>
      </c>
      <c r="H244" s="71"/>
    </row>
    <row r="245" spans="3:8" x14ac:dyDescent="0.3">
      <c r="C245" s="8">
        <v>3</v>
      </c>
      <c r="D245" s="5">
        <v>5</v>
      </c>
      <c r="E245" s="5">
        <v>4</v>
      </c>
      <c r="F245" s="2" t="s">
        <v>314</v>
      </c>
      <c r="G245" s="67" t="str">
        <f>IF(AND($C245=3,$D245=5,$E245=4),"L","")</f>
        <v>L</v>
      </c>
      <c r="H245" s="71"/>
    </row>
    <row r="246" spans="3:8" x14ac:dyDescent="0.3">
      <c r="C246" s="8">
        <v>3</v>
      </c>
      <c r="D246" s="5">
        <v>5</v>
      </c>
      <c r="E246" s="5">
        <v>5</v>
      </c>
      <c r="F246" s="2" t="s">
        <v>315</v>
      </c>
      <c r="G246" s="67" t="str">
        <f>IF(AND($C246=3,$D246=5,$E246=5),"L","")</f>
        <v>L</v>
      </c>
      <c r="H246" s="71"/>
    </row>
    <row r="247" spans="3:8" x14ac:dyDescent="0.3">
      <c r="C247" s="8">
        <v>3</v>
      </c>
      <c r="D247" s="5">
        <v>5</v>
      </c>
      <c r="E247" s="5">
        <v>6</v>
      </c>
      <c r="F247" s="2" t="s">
        <v>316</v>
      </c>
      <c r="G247" s="67" t="str">
        <f>IF(AND($C247=3,$D247=5,$E247=6),"L","")</f>
        <v>L</v>
      </c>
      <c r="H247" s="71"/>
    </row>
    <row r="248" spans="3:8" x14ac:dyDescent="0.3">
      <c r="C248" s="8">
        <v>3</v>
      </c>
      <c r="D248" s="5">
        <v>5</v>
      </c>
      <c r="E248" s="5">
        <v>7</v>
      </c>
      <c r="F248" s="2" t="s">
        <v>317</v>
      </c>
      <c r="G248" s="68" t="str">
        <f>IF(AND($C248=3,$D248=5,$E248=7),"M","")</f>
        <v>M</v>
      </c>
      <c r="H248" s="71"/>
    </row>
    <row r="249" spans="3:8" x14ac:dyDescent="0.3">
      <c r="C249" s="8">
        <v>3</v>
      </c>
      <c r="D249" s="5">
        <v>5</v>
      </c>
      <c r="E249" s="5">
        <v>8</v>
      </c>
      <c r="F249" s="2" t="s">
        <v>318</v>
      </c>
      <c r="G249" s="68" t="str">
        <f>IF(AND($C249=3,$D249=5,$E249=8),"M","")</f>
        <v>M</v>
      </c>
      <c r="H249" s="71"/>
    </row>
    <row r="250" spans="3:8" x14ac:dyDescent="0.3">
      <c r="C250" s="8">
        <v>3</v>
      </c>
      <c r="D250" s="5">
        <v>5</v>
      </c>
      <c r="E250" s="5">
        <v>9</v>
      </c>
      <c r="F250" s="2" t="s">
        <v>319</v>
      </c>
      <c r="G250" s="68" t="str">
        <f>IF(AND($C250=3,$D250=5,$E250=9),"M","")</f>
        <v>M</v>
      </c>
      <c r="H250" s="71"/>
    </row>
    <row r="251" spans="3:8" x14ac:dyDescent="0.3">
      <c r="C251" s="8">
        <v>3</v>
      </c>
      <c r="D251" s="5">
        <v>5</v>
      </c>
      <c r="E251" s="5">
        <v>10</v>
      </c>
      <c r="F251" s="2" t="s">
        <v>320</v>
      </c>
      <c r="G251" s="68" t="str">
        <f>IF(AND($C251=3,$D251=5,$E251=10),"M","")</f>
        <v>M</v>
      </c>
      <c r="H251" s="71"/>
    </row>
    <row r="252" spans="3:8" x14ac:dyDescent="0.3">
      <c r="C252" s="8">
        <v>3</v>
      </c>
      <c r="D252" s="5">
        <v>6</v>
      </c>
      <c r="E252" s="5">
        <v>1</v>
      </c>
      <c r="F252" s="2" t="s">
        <v>321</v>
      </c>
      <c r="G252" s="67" t="str">
        <f>IF(AND($C252=3,$D252=6,$E252=1),"L","")</f>
        <v>L</v>
      </c>
      <c r="H252" s="71"/>
    </row>
    <row r="253" spans="3:8" x14ac:dyDescent="0.3">
      <c r="C253" s="8">
        <v>3</v>
      </c>
      <c r="D253" s="5">
        <v>6</v>
      </c>
      <c r="E253" s="5">
        <v>2</v>
      </c>
      <c r="F253" s="2" t="s">
        <v>322</v>
      </c>
      <c r="G253" s="68" t="str">
        <f>IF(AND($C253=3,$D253=6,$E253=2),"M","")</f>
        <v>M</v>
      </c>
      <c r="H253" s="71"/>
    </row>
    <row r="254" spans="3:8" x14ac:dyDescent="0.3">
      <c r="C254" s="8">
        <v>3</v>
      </c>
      <c r="D254" s="5">
        <v>6</v>
      </c>
      <c r="E254" s="5">
        <v>3</v>
      </c>
      <c r="F254" s="2" t="s">
        <v>323</v>
      </c>
      <c r="G254" s="68" t="str">
        <f>IF(AND($C254=3,$D254=6,$E254=3),"M","")</f>
        <v>M</v>
      </c>
      <c r="H254" s="71"/>
    </row>
    <row r="255" spans="3:8" x14ac:dyDescent="0.3">
      <c r="C255" s="8">
        <v>3</v>
      </c>
      <c r="D255" s="5">
        <v>6</v>
      </c>
      <c r="E255" s="5">
        <v>4</v>
      </c>
      <c r="F255" s="2" t="s">
        <v>324</v>
      </c>
      <c r="G255" s="68" t="str">
        <f>IF(AND($C255=3,$D255=6,$E255=4),"M","")</f>
        <v>M</v>
      </c>
      <c r="H255" s="71"/>
    </row>
    <row r="256" spans="3:8" x14ac:dyDescent="0.3">
      <c r="C256" s="8">
        <v>3</v>
      </c>
      <c r="D256" s="5">
        <v>6</v>
      </c>
      <c r="E256" s="5">
        <v>5</v>
      </c>
      <c r="F256" s="2" t="s">
        <v>325</v>
      </c>
      <c r="G256" s="68" t="str">
        <f>IF(AND($C256=3,$D256=6,$E256=5),"M","")</f>
        <v>M</v>
      </c>
      <c r="H256" s="71"/>
    </row>
    <row r="257" spans="3:8" x14ac:dyDescent="0.3">
      <c r="C257" s="8">
        <v>3</v>
      </c>
      <c r="D257" s="5">
        <v>6</v>
      </c>
      <c r="E257" s="5">
        <v>6</v>
      </c>
      <c r="F257" s="2" t="s">
        <v>326</v>
      </c>
      <c r="G257" s="68" t="str">
        <f>IF(AND($C257=3,$D257=6,$E257=6),"M","")</f>
        <v>M</v>
      </c>
      <c r="H257" s="71"/>
    </row>
    <row r="258" spans="3:8" x14ac:dyDescent="0.3">
      <c r="C258" s="8">
        <v>3</v>
      </c>
      <c r="D258" s="5">
        <v>6</v>
      </c>
      <c r="E258" s="5">
        <v>7</v>
      </c>
      <c r="F258" s="2" t="s">
        <v>327</v>
      </c>
      <c r="G258" s="68" t="str">
        <f>IF(AND($C258=3,$D258=6,$E258=7),"M","")</f>
        <v>M</v>
      </c>
      <c r="H258" s="71"/>
    </row>
    <row r="259" spans="3:8" x14ac:dyDescent="0.3">
      <c r="C259" s="8">
        <v>3</v>
      </c>
      <c r="D259" s="5">
        <v>6</v>
      </c>
      <c r="E259" s="5">
        <v>8</v>
      </c>
      <c r="F259" s="2" t="s">
        <v>328</v>
      </c>
      <c r="G259" s="68" t="str">
        <f>IF(AND($C259=3,$D259=6,$E259=8),"M","")</f>
        <v>M</v>
      </c>
      <c r="H259" s="71"/>
    </row>
    <row r="260" spans="3:8" x14ac:dyDescent="0.3">
      <c r="C260" s="8">
        <v>3</v>
      </c>
      <c r="D260" s="5">
        <v>6</v>
      </c>
      <c r="E260" s="5">
        <v>9</v>
      </c>
      <c r="F260" s="2" t="s">
        <v>329</v>
      </c>
      <c r="G260" s="68" t="str">
        <f>IF(AND($C260=3,$D260=6,$E260=9),"M","")</f>
        <v>M</v>
      </c>
      <c r="H260" s="71"/>
    </row>
    <row r="261" spans="3:8" x14ac:dyDescent="0.3">
      <c r="C261" s="8">
        <v>3</v>
      </c>
      <c r="D261" s="5">
        <v>6</v>
      </c>
      <c r="E261" s="5">
        <v>10</v>
      </c>
      <c r="F261" s="2" t="s">
        <v>330</v>
      </c>
      <c r="G261" s="68" t="str">
        <f>IF(AND($C261=3,$D261=6,$E261=10),"M","")</f>
        <v>M</v>
      </c>
      <c r="H261" s="71"/>
    </row>
    <row r="262" spans="3:8" x14ac:dyDescent="0.3">
      <c r="C262" s="8">
        <v>3</v>
      </c>
      <c r="D262" s="5">
        <v>7</v>
      </c>
      <c r="E262" s="5">
        <v>1</v>
      </c>
      <c r="F262" s="2" t="s">
        <v>331</v>
      </c>
      <c r="G262" s="67" t="str">
        <f>IF(AND($C262=3,$D262=7,$E262=1),"L","")</f>
        <v>L</v>
      </c>
      <c r="H262" s="71"/>
    </row>
    <row r="263" spans="3:8" x14ac:dyDescent="0.3">
      <c r="C263" s="8">
        <v>3</v>
      </c>
      <c r="D263" s="5">
        <v>7</v>
      </c>
      <c r="E263" s="5">
        <v>2</v>
      </c>
      <c r="F263" s="2" t="s">
        <v>332</v>
      </c>
      <c r="G263" s="68" t="str">
        <f>IF(AND($C263=3,$D263=7,$E263=2),"M","")</f>
        <v>M</v>
      </c>
      <c r="H263" s="71"/>
    </row>
    <row r="264" spans="3:8" x14ac:dyDescent="0.3">
      <c r="C264" s="8">
        <v>3</v>
      </c>
      <c r="D264" s="5">
        <v>7</v>
      </c>
      <c r="E264" s="5">
        <v>3</v>
      </c>
      <c r="F264" s="2" t="s">
        <v>333</v>
      </c>
      <c r="G264" s="68" t="str">
        <f>IF(AND($C264=3,$D264=7,$E264=3),"M","")</f>
        <v>M</v>
      </c>
      <c r="H264" s="71"/>
    </row>
    <row r="265" spans="3:8" x14ac:dyDescent="0.3">
      <c r="C265" s="8">
        <v>3</v>
      </c>
      <c r="D265" s="5">
        <v>7</v>
      </c>
      <c r="E265" s="5">
        <v>4</v>
      </c>
      <c r="F265" s="2" t="s">
        <v>334</v>
      </c>
      <c r="G265" s="68" t="str">
        <f>IF(AND($C265=3,$D265=7,$E265=4),"M","")</f>
        <v>M</v>
      </c>
      <c r="H265" s="71"/>
    </row>
    <row r="266" spans="3:8" x14ac:dyDescent="0.3">
      <c r="C266" s="8">
        <v>3</v>
      </c>
      <c r="D266" s="5">
        <v>7</v>
      </c>
      <c r="E266" s="5">
        <v>5</v>
      </c>
      <c r="F266" s="2" t="s">
        <v>335</v>
      </c>
      <c r="G266" s="68" t="str">
        <f>IF(AND($C266=3,$D266=7,$E266=5),"M","")</f>
        <v>M</v>
      </c>
      <c r="H266" s="71"/>
    </row>
    <row r="267" spans="3:8" x14ac:dyDescent="0.3">
      <c r="C267" s="8">
        <v>3</v>
      </c>
      <c r="D267" s="5">
        <v>7</v>
      </c>
      <c r="E267" s="5">
        <v>6</v>
      </c>
      <c r="F267" s="2" t="s">
        <v>336</v>
      </c>
      <c r="G267" s="68" t="str">
        <f>IF(AND($C267=3,$D267=7,$E267=6),"M","")</f>
        <v>M</v>
      </c>
      <c r="H267" s="71"/>
    </row>
    <row r="268" spans="3:8" x14ac:dyDescent="0.3">
      <c r="C268" s="8">
        <v>3</v>
      </c>
      <c r="D268" s="5">
        <v>7</v>
      </c>
      <c r="E268" s="5">
        <v>7</v>
      </c>
      <c r="F268" s="2" t="s">
        <v>337</v>
      </c>
      <c r="G268" s="68" t="str">
        <f>IF(AND($C268=3,$D268=7,$E268=7),"M","")</f>
        <v>M</v>
      </c>
      <c r="H268" s="71"/>
    </row>
    <row r="269" spans="3:8" x14ac:dyDescent="0.3">
      <c r="C269" s="8">
        <v>3</v>
      </c>
      <c r="D269" s="5">
        <v>7</v>
      </c>
      <c r="E269" s="5">
        <v>8</v>
      </c>
      <c r="F269" s="2" t="s">
        <v>338</v>
      </c>
      <c r="G269" s="68" t="str">
        <f>IF(AND($C269=3,$D269=7,$E269=8),"M","")</f>
        <v>M</v>
      </c>
      <c r="H269" s="71"/>
    </row>
    <row r="270" spans="3:8" x14ac:dyDescent="0.3">
      <c r="C270" s="8">
        <v>3</v>
      </c>
      <c r="D270" s="5">
        <v>7</v>
      </c>
      <c r="E270" s="5">
        <v>9</v>
      </c>
      <c r="F270" s="2" t="s">
        <v>339</v>
      </c>
      <c r="G270" s="68" t="str">
        <f>IF(AND($C270=3,$D270=7,$E270=9),"M","")</f>
        <v>M</v>
      </c>
      <c r="H270" s="71"/>
    </row>
    <row r="271" spans="3:8" x14ac:dyDescent="0.3">
      <c r="C271" s="8">
        <v>3</v>
      </c>
      <c r="D271" s="5">
        <v>7</v>
      </c>
      <c r="E271" s="5">
        <v>10</v>
      </c>
      <c r="F271" s="2" t="s">
        <v>340</v>
      </c>
      <c r="G271" s="68" t="str">
        <f>IF(AND($C271=3,$D271=7,$E271=10),"M","")</f>
        <v>M</v>
      </c>
      <c r="H271" s="71"/>
    </row>
    <row r="272" spans="3:8" x14ac:dyDescent="0.3">
      <c r="C272" s="8">
        <v>3</v>
      </c>
      <c r="D272" s="5">
        <v>8</v>
      </c>
      <c r="E272" s="5">
        <v>1</v>
      </c>
      <c r="F272" s="2" t="s">
        <v>341</v>
      </c>
      <c r="G272" s="68" t="str">
        <f>IF(AND($C272=3,$D272=8,$E272=1),"M","")</f>
        <v>M</v>
      </c>
      <c r="H272" s="71"/>
    </row>
    <row r="273" spans="3:8" x14ac:dyDescent="0.3">
      <c r="C273" s="8">
        <v>3</v>
      </c>
      <c r="D273" s="5">
        <v>8</v>
      </c>
      <c r="E273" s="5">
        <v>2</v>
      </c>
      <c r="F273" s="2" t="s">
        <v>342</v>
      </c>
      <c r="G273" s="68" t="str">
        <f>IF(AND($C273=3,$D273=8,$E273=2),"M","")</f>
        <v>M</v>
      </c>
      <c r="H273" s="71"/>
    </row>
    <row r="274" spans="3:8" x14ac:dyDescent="0.3">
      <c r="C274" s="8">
        <v>3</v>
      </c>
      <c r="D274" s="5">
        <v>8</v>
      </c>
      <c r="E274" s="5">
        <v>3</v>
      </c>
      <c r="F274" s="2" t="s">
        <v>343</v>
      </c>
      <c r="G274" s="68" t="str">
        <f>IF(AND($C274=3,$D274=8,$E274=3),"M","")</f>
        <v>M</v>
      </c>
      <c r="H274" s="71"/>
    </row>
    <row r="275" spans="3:8" x14ac:dyDescent="0.3">
      <c r="C275" s="8">
        <v>3</v>
      </c>
      <c r="D275" s="5">
        <v>8</v>
      </c>
      <c r="E275" s="5">
        <v>4</v>
      </c>
      <c r="F275" s="2" t="s">
        <v>344</v>
      </c>
      <c r="G275" s="68" t="str">
        <f>IF(AND($C275=3,$D275=8,$E275=4),"M","")</f>
        <v>M</v>
      </c>
      <c r="H275" s="71"/>
    </row>
    <row r="276" spans="3:8" x14ac:dyDescent="0.3">
      <c r="C276" s="8">
        <v>3</v>
      </c>
      <c r="D276" s="5">
        <v>8</v>
      </c>
      <c r="E276" s="5">
        <v>5</v>
      </c>
      <c r="F276" s="2" t="s">
        <v>345</v>
      </c>
      <c r="G276" s="69" t="str">
        <f>IF(AND($C276=3,$D276=8,$E276=5),"H","")</f>
        <v>H</v>
      </c>
      <c r="H276" s="71"/>
    </row>
    <row r="277" spans="3:8" x14ac:dyDescent="0.3">
      <c r="C277" s="8">
        <v>3</v>
      </c>
      <c r="D277" s="5">
        <v>8</v>
      </c>
      <c r="E277" s="5">
        <v>6</v>
      </c>
      <c r="F277" s="2" t="s">
        <v>346</v>
      </c>
      <c r="G277" s="69" t="str">
        <f>IF(AND($C277=3,$D277=8,$E277=6),"H","")</f>
        <v>H</v>
      </c>
      <c r="H277" s="71"/>
    </row>
    <row r="278" spans="3:8" x14ac:dyDescent="0.3">
      <c r="C278" s="8">
        <v>3</v>
      </c>
      <c r="D278" s="5">
        <v>8</v>
      </c>
      <c r="E278" s="5">
        <v>7</v>
      </c>
      <c r="F278" s="2" t="s">
        <v>347</v>
      </c>
      <c r="G278" s="69" t="str">
        <f>IF(AND($C278=3,$D278=8,$E278=7),"H","")</f>
        <v>H</v>
      </c>
      <c r="H278" s="71"/>
    </row>
    <row r="279" spans="3:8" x14ac:dyDescent="0.3">
      <c r="C279" s="8">
        <v>3</v>
      </c>
      <c r="D279" s="5">
        <v>8</v>
      </c>
      <c r="E279" s="5">
        <v>8</v>
      </c>
      <c r="F279" s="2" t="s">
        <v>348</v>
      </c>
      <c r="G279" s="69" t="str">
        <f>IF(AND($C279=3,$D279=8,$E279=8),"H","")</f>
        <v>H</v>
      </c>
      <c r="H279" s="71"/>
    </row>
    <row r="280" spans="3:8" x14ac:dyDescent="0.3">
      <c r="C280" s="8">
        <v>3</v>
      </c>
      <c r="D280" s="5">
        <v>8</v>
      </c>
      <c r="E280" s="5">
        <v>9</v>
      </c>
      <c r="F280" s="2" t="s">
        <v>349</v>
      </c>
      <c r="G280" s="69" t="str">
        <f>IF(AND($C280=3,$D280=8,$E280=9),"H","")</f>
        <v>H</v>
      </c>
      <c r="H280" s="71"/>
    </row>
    <row r="281" spans="3:8" x14ac:dyDescent="0.3">
      <c r="C281" s="8">
        <v>3</v>
      </c>
      <c r="D281" s="5">
        <v>8</v>
      </c>
      <c r="E281" s="5">
        <v>10</v>
      </c>
      <c r="F281" s="2" t="s">
        <v>350</v>
      </c>
      <c r="G281" s="69" t="str">
        <f>IF(AND($C281=3,$D281=8,$E281=10),"H","")</f>
        <v>H</v>
      </c>
      <c r="H281" s="71"/>
    </row>
    <row r="282" spans="3:8" x14ac:dyDescent="0.3">
      <c r="C282" s="8">
        <v>3</v>
      </c>
      <c r="D282" s="5">
        <v>9</v>
      </c>
      <c r="E282" s="5">
        <v>1</v>
      </c>
      <c r="F282" s="2" t="s">
        <v>351</v>
      </c>
      <c r="G282" s="68" t="str">
        <f>IF(AND($C282=3,$D282=9,$E282=1),"M","")</f>
        <v>M</v>
      </c>
      <c r="H282" s="71"/>
    </row>
    <row r="283" spans="3:8" x14ac:dyDescent="0.3">
      <c r="C283" s="8">
        <v>3</v>
      </c>
      <c r="D283" s="5">
        <v>9</v>
      </c>
      <c r="E283" s="5">
        <v>2</v>
      </c>
      <c r="F283" s="2" t="s">
        <v>352</v>
      </c>
      <c r="G283" s="68" t="str">
        <f>IF(AND($C283=3,$D283=9,$E283=2),"M","")</f>
        <v>M</v>
      </c>
      <c r="H283" s="71"/>
    </row>
    <row r="284" spans="3:8" x14ac:dyDescent="0.3">
      <c r="C284" s="8">
        <v>3</v>
      </c>
      <c r="D284" s="5">
        <v>9</v>
      </c>
      <c r="E284" s="5">
        <v>3</v>
      </c>
      <c r="F284" s="2" t="s">
        <v>353</v>
      </c>
      <c r="G284" s="68" t="str">
        <f>IF(AND($C284=3,$D284=9,$E284=3),"M","")</f>
        <v>M</v>
      </c>
      <c r="H284" s="71"/>
    </row>
    <row r="285" spans="3:8" x14ac:dyDescent="0.3">
      <c r="C285" s="8">
        <v>3</v>
      </c>
      <c r="D285" s="5">
        <v>9</v>
      </c>
      <c r="E285" s="5">
        <v>4</v>
      </c>
      <c r="F285" s="2" t="s">
        <v>354</v>
      </c>
      <c r="G285" s="68" t="str">
        <f>IF(AND($C285=3,$D285=9,$E285=4),"M","")</f>
        <v>M</v>
      </c>
      <c r="H285" s="71"/>
    </row>
    <row r="286" spans="3:8" x14ac:dyDescent="0.3">
      <c r="C286" s="8">
        <v>3</v>
      </c>
      <c r="D286" s="5">
        <v>9</v>
      </c>
      <c r="E286" s="5">
        <v>5</v>
      </c>
      <c r="F286" s="2" t="s">
        <v>355</v>
      </c>
      <c r="G286" s="69" t="str">
        <f>IF(AND($C286=3,$D286=9,$E286=5),"H","")</f>
        <v>H</v>
      </c>
      <c r="H286" s="71"/>
    </row>
    <row r="287" spans="3:8" x14ac:dyDescent="0.3">
      <c r="C287" s="8">
        <v>3</v>
      </c>
      <c r="D287" s="5">
        <v>9</v>
      </c>
      <c r="E287" s="5">
        <v>6</v>
      </c>
      <c r="F287" s="2" t="s">
        <v>356</v>
      </c>
      <c r="G287" s="69" t="str">
        <f>IF(AND($C287=3,$D287=9,$E287=6),"H","")</f>
        <v>H</v>
      </c>
      <c r="H287" s="71"/>
    </row>
    <row r="288" spans="3:8" x14ac:dyDescent="0.3">
      <c r="C288" s="8">
        <v>3</v>
      </c>
      <c r="D288" s="5">
        <v>9</v>
      </c>
      <c r="E288" s="5">
        <v>7</v>
      </c>
      <c r="F288" s="2" t="s">
        <v>357</v>
      </c>
      <c r="G288" s="69" t="str">
        <f>IF(AND($C288=3,$D288=9,$E288=7),"H","")</f>
        <v>H</v>
      </c>
      <c r="H288" s="71"/>
    </row>
    <row r="289" spans="3:8" x14ac:dyDescent="0.3">
      <c r="C289" s="8">
        <v>3</v>
      </c>
      <c r="D289" s="5">
        <v>9</v>
      </c>
      <c r="E289" s="5">
        <v>8</v>
      </c>
      <c r="F289" s="2" t="s">
        <v>358</v>
      </c>
      <c r="G289" s="69" t="str">
        <f>IF(AND($C289=3,$D289=9,$E289=8),"H","")</f>
        <v>H</v>
      </c>
      <c r="H289" s="71"/>
    </row>
    <row r="290" spans="3:8" x14ac:dyDescent="0.3">
      <c r="C290" s="8">
        <v>3</v>
      </c>
      <c r="D290" s="5">
        <v>9</v>
      </c>
      <c r="E290" s="5">
        <v>9</v>
      </c>
      <c r="F290" s="2" t="s">
        <v>359</v>
      </c>
      <c r="G290" s="69" t="str">
        <f>IF(AND($C290=3,$D290=9,$E290=9),"H","")</f>
        <v>H</v>
      </c>
      <c r="H290" s="71"/>
    </row>
    <row r="291" spans="3:8" x14ac:dyDescent="0.3">
      <c r="C291" s="8">
        <v>3</v>
      </c>
      <c r="D291" s="5">
        <v>9</v>
      </c>
      <c r="E291" s="5">
        <v>10</v>
      </c>
      <c r="F291" s="2" t="s">
        <v>360</v>
      </c>
      <c r="G291" s="69" t="str">
        <f>IF(AND($C291=3,$D291=9,$E291=10),"H","")</f>
        <v>H</v>
      </c>
      <c r="H291" s="71"/>
    </row>
    <row r="292" spans="3:8" x14ac:dyDescent="0.3">
      <c r="C292" s="8">
        <v>3</v>
      </c>
      <c r="D292" s="5">
        <v>10</v>
      </c>
      <c r="E292" s="5">
        <v>1</v>
      </c>
      <c r="F292" s="2" t="s">
        <v>361</v>
      </c>
      <c r="G292" s="68" t="str">
        <f>IF(AND($C292=3,$D292=10,$E292=1),"M","")</f>
        <v>M</v>
      </c>
      <c r="H292" s="71"/>
    </row>
    <row r="293" spans="3:8" x14ac:dyDescent="0.3">
      <c r="C293" s="8">
        <v>3</v>
      </c>
      <c r="D293" s="5">
        <v>10</v>
      </c>
      <c r="E293" s="5">
        <v>2</v>
      </c>
      <c r="F293" s="2" t="s">
        <v>362</v>
      </c>
      <c r="G293" s="68" t="str">
        <f>IF(AND($C293=3,$D293=10,$E293=2),"M","")</f>
        <v>M</v>
      </c>
      <c r="H293" s="71"/>
    </row>
    <row r="294" spans="3:8" x14ac:dyDescent="0.3">
      <c r="C294" s="8">
        <v>3</v>
      </c>
      <c r="D294" s="5">
        <v>10</v>
      </c>
      <c r="E294" s="5">
        <v>3</v>
      </c>
      <c r="F294" s="2" t="s">
        <v>363</v>
      </c>
      <c r="G294" s="68" t="str">
        <f>IF(AND($C294=3,$D294=10,$E294=3),"M","")</f>
        <v>M</v>
      </c>
      <c r="H294" s="71"/>
    </row>
    <row r="295" spans="3:8" x14ac:dyDescent="0.3">
      <c r="C295" s="8">
        <v>3</v>
      </c>
      <c r="D295" s="5">
        <v>10</v>
      </c>
      <c r="E295" s="5">
        <v>4</v>
      </c>
      <c r="F295" s="2" t="s">
        <v>364</v>
      </c>
      <c r="G295" s="68" t="str">
        <f>IF(AND($C295=3,$D295=10,$E295=4),"M","")</f>
        <v>M</v>
      </c>
      <c r="H295" s="71"/>
    </row>
    <row r="296" spans="3:8" x14ac:dyDescent="0.3">
      <c r="C296" s="8">
        <v>3</v>
      </c>
      <c r="D296" s="5">
        <v>10</v>
      </c>
      <c r="E296" s="5">
        <v>5</v>
      </c>
      <c r="F296" s="2" t="s">
        <v>365</v>
      </c>
      <c r="G296" s="69" t="str">
        <f>IF(AND($C296=3,$D296=10,$E296=5),"H","")</f>
        <v>H</v>
      </c>
      <c r="H296" s="71"/>
    </row>
    <row r="297" spans="3:8" x14ac:dyDescent="0.3">
      <c r="C297" s="8">
        <v>3</v>
      </c>
      <c r="D297" s="5">
        <v>10</v>
      </c>
      <c r="E297" s="5">
        <v>6</v>
      </c>
      <c r="F297" s="2" t="s">
        <v>366</v>
      </c>
      <c r="G297" s="69" t="str">
        <f>IF(AND($C297=3,$D297=10,$E297=6),"H","")</f>
        <v>H</v>
      </c>
      <c r="H297" s="71"/>
    </row>
    <row r="298" spans="3:8" x14ac:dyDescent="0.3">
      <c r="C298" s="8">
        <v>3</v>
      </c>
      <c r="D298" s="5">
        <v>10</v>
      </c>
      <c r="E298" s="5">
        <v>7</v>
      </c>
      <c r="F298" s="2" t="s">
        <v>367</v>
      </c>
      <c r="G298" s="69" t="str">
        <f>IF(AND($C298=3,$D298=10,$E298=7),"H","")</f>
        <v>H</v>
      </c>
      <c r="H298" s="71"/>
    </row>
    <row r="299" spans="3:8" x14ac:dyDescent="0.3">
      <c r="C299" s="8">
        <v>3</v>
      </c>
      <c r="D299" s="5">
        <v>10</v>
      </c>
      <c r="E299" s="5">
        <v>8</v>
      </c>
      <c r="F299" s="2" t="s">
        <v>368</v>
      </c>
      <c r="G299" s="69" t="str">
        <f>IF(AND($C299=3,$D299=10,$E299=8),"H","")</f>
        <v>H</v>
      </c>
      <c r="H299" s="71"/>
    </row>
    <row r="300" spans="3:8" x14ac:dyDescent="0.3">
      <c r="C300" s="8">
        <v>3</v>
      </c>
      <c r="D300" s="5">
        <v>10</v>
      </c>
      <c r="E300" s="5">
        <v>9</v>
      </c>
      <c r="F300" s="2" t="s">
        <v>369</v>
      </c>
      <c r="G300" s="69" t="str">
        <f>IF(AND($C300=3,$D300=10,$E300=9),"H","")</f>
        <v>H</v>
      </c>
      <c r="H300" s="71"/>
    </row>
    <row r="301" spans="3:8" x14ac:dyDescent="0.3">
      <c r="C301" s="8">
        <v>3</v>
      </c>
      <c r="D301" s="5">
        <v>10</v>
      </c>
      <c r="E301" s="5">
        <v>10</v>
      </c>
      <c r="F301" s="2" t="s">
        <v>370</v>
      </c>
      <c r="G301" s="69" t="str">
        <f>IF(AND($C301=3,$D301=10,$E301=10),"H","")</f>
        <v>H</v>
      </c>
      <c r="H301" s="71"/>
    </row>
    <row r="302" spans="3:8" x14ac:dyDescent="0.3">
      <c r="C302" s="8">
        <v>4</v>
      </c>
      <c r="D302" s="5">
        <v>1</v>
      </c>
      <c r="E302" s="5">
        <v>1</v>
      </c>
      <c r="F302" s="2" t="s">
        <v>371</v>
      </c>
      <c r="G302" s="67" t="str">
        <f>IF(AND($C302=4,$D302=1,$E302=1),"L","")</f>
        <v>L</v>
      </c>
      <c r="H302" s="71"/>
    </row>
    <row r="303" spans="3:8" x14ac:dyDescent="0.3">
      <c r="C303" s="8">
        <v>4</v>
      </c>
      <c r="D303" s="5">
        <v>1</v>
      </c>
      <c r="E303" s="5">
        <v>2</v>
      </c>
      <c r="F303" s="2" t="s">
        <v>372</v>
      </c>
      <c r="G303" s="67" t="str">
        <f>IF(AND($C303=4,$D303=1,$E303=2),"L","")</f>
        <v>L</v>
      </c>
      <c r="H303" s="71"/>
    </row>
    <row r="304" spans="3:8" x14ac:dyDescent="0.3">
      <c r="C304" s="8">
        <v>4</v>
      </c>
      <c r="D304" s="5">
        <v>1</v>
      </c>
      <c r="E304" s="5">
        <v>3</v>
      </c>
      <c r="F304" s="2" t="s">
        <v>373</v>
      </c>
      <c r="G304" s="67" t="str">
        <f>IF(AND($C304=4,$D304=1,$E304=3),"L","")</f>
        <v>L</v>
      </c>
      <c r="H304" s="71"/>
    </row>
    <row r="305" spans="3:8" x14ac:dyDescent="0.3">
      <c r="C305" s="8">
        <v>4</v>
      </c>
      <c r="D305" s="5">
        <v>1</v>
      </c>
      <c r="E305" s="5">
        <v>4</v>
      </c>
      <c r="F305" s="2" t="s">
        <v>374</v>
      </c>
      <c r="G305" s="67" t="str">
        <f>IF(AND($C305=4,$D305=1,$E305=4),"L","")</f>
        <v>L</v>
      </c>
      <c r="H305" s="71"/>
    </row>
    <row r="306" spans="3:8" x14ac:dyDescent="0.3">
      <c r="C306" s="8">
        <v>4</v>
      </c>
      <c r="D306" s="5">
        <v>1</v>
      </c>
      <c r="E306" s="5">
        <v>5</v>
      </c>
      <c r="F306" s="2" t="s">
        <v>375</v>
      </c>
      <c r="G306" s="67" t="str">
        <f>IF(AND($C306=4,$D306=1,$E306=5),"L","")</f>
        <v>L</v>
      </c>
      <c r="H306" s="71"/>
    </row>
    <row r="307" spans="3:8" x14ac:dyDescent="0.3">
      <c r="C307" s="8">
        <v>4</v>
      </c>
      <c r="D307" s="5">
        <v>1</v>
      </c>
      <c r="E307" s="5">
        <v>6</v>
      </c>
      <c r="F307" s="2" t="s">
        <v>376</v>
      </c>
      <c r="G307" s="67" t="str">
        <f>IF(AND($C307=4,$D307=1,$E307=6),"L","")</f>
        <v>L</v>
      </c>
      <c r="H307" s="71"/>
    </row>
    <row r="308" spans="3:8" x14ac:dyDescent="0.3">
      <c r="C308" s="8">
        <v>4</v>
      </c>
      <c r="D308" s="5">
        <v>1</v>
      </c>
      <c r="E308" s="5">
        <v>7</v>
      </c>
      <c r="F308" s="2" t="s">
        <v>377</v>
      </c>
      <c r="G308" s="67" t="str">
        <f>IF(AND($C308=4,$D308=1,$E308=7),"L","")</f>
        <v>L</v>
      </c>
      <c r="H308" s="71"/>
    </row>
    <row r="309" spans="3:8" x14ac:dyDescent="0.3">
      <c r="C309" s="8">
        <v>4</v>
      </c>
      <c r="D309" s="5">
        <v>1</v>
      </c>
      <c r="E309" s="5">
        <v>8</v>
      </c>
      <c r="F309" s="2" t="s">
        <v>378</v>
      </c>
      <c r="G309" s="67" t="str">
        <f>IF(AND($C309=4,$D309=1,$E309=8),"L","")</f>
        <v>L</v>
      </c>
      <c r="H309" s="71"/>
    </row>
    <row r="310" spans="3:8" x14ac:dyDescent="0.3">
      <c r="C310" s="8">
        <v>4</v>
      </c>
      <c r="D310" s="5">
        <v>1</v>
      </c>
      <c r="E310" s="5">
        <v>9</v>
      </c>
      <c r="F310" s="2" t="s">
        <v>379</v>
      </c>
      <c r="G310" s="67" t="str">
        <f>IF(AND($C310=4,$D310=1,$E310=9),"L","")</f>
        <v>L</v>
      </c>
      <c r="H310" s="71"/>
    </row>
    <row r="311" spans="3:8" x14ac:dyDescent="0.3">
      <c r="C311" s="8">
        <v>4</v>
      </c>
      <c r="D311" s="5">
        <v>1</v>
      </c>
      <c r="E311" s="5">
        <v>10</v>
      </c>
      <c r="F311" s="2" t="s">
        <v>380</v>
      </c>
      <c r="G311" s="67" t="str">
        <f>IF(AND($C311=4,$D311=1,$E311=10),"L","")</f>
        <v>L</v>
      </c>
      <c r="H311" s="71"/>
    </row>
    <row r="312" spans="3:8" x14ac:dyDescent="0.3">
      <c r="C312" s="8">
        <v>4</v>
      </c>
      <c r="D312" s="5">
        <v>2</v>
      </c>
      <c r="E312" s="5">
        <v>1</v>
      </c>
      <c r="F312" s="2" t="s">
        <v>381</v>
      </c>
      <c r="G312" s="67" t="str">
        <f>IF(AND($C312=4,$D312=2,$E312=1),"L","")</f>
        <v>L</v>
      </c>
      <c r="H312" s="71"/>
    </row>
    <row r="313" spans="3:8" x14ac:dyDescent="0.3">
      <c r="C313" s="8">
        <v>4</v>
      </c>
      <c r="D313" s="5">
        <v>2</v>
      </c>
      <c r="E313" s="5">
        <v>2</v>
      </c>
      <c r="F313" s="2" t="s">
        <v>382</v>
      </c>
      <c r="G313" s="67" t="str">
        <f>IF(AND($C313=4,$D313=2,$E313=2),"L","")</f>
        <v>L</v>
      </c>
      <c r="H313" s="71"/>
    </row>
    <row r="314" spans="3:8" x14ac:dyDescent="0.3">
      <c r="C314" s="8">
        <v>4</v>
      </c>
      <c r="D314" s="5">
        <v>2</v>
      </c>
      <c r="E314" s="5">
        <v>3</v>
      </c>
      <c r="F314" s="2" t="s">
        <v>383</v>
      </c>
      <c r="G314" s="67" t="str">
        <f>IF(AND($C314=4,$D314=2,$E314=3),"L","")</f>
        <v>L</v>
      </c>
      <c r="H314" s="71"/>
    </row>
    <row r="315" spans="3:8" x14ac:dyDescent="0.3">
      <c r="C315" s="8">
        <v>4</v>
      </c>
      <c r="D315" s="5">
        <v>2</v>
      </c>
      <c r="E315" s="5">
        <v>4</v>
      </c>
      <c r="F315" s="2" t="s">
        <v>384</v>
      </c>
      <c r="G315" s="67" t="str">
        <f>IF(AND($C315=4,$D315=2,$E315=4),"L","")</f>
        <v>L</v>
      </c>
      <c r="H315" s="71"/>
    </row>
    <row r="316" spans="3:8" x14ac:dyDescent="0.3">
      <c r="C316" s="8">
        <v>4</v>
      </c>
      <c r="D316" s="5">
        <v>2</v>
      </c>
      <c r="E316" s="5">
        <v>5</v>
      </c>
      <c r="F316" s="2" t="s">
        <v>385</v>
      </c>
      <c r="G316" s="67" t="str">
        <f>IF(AND($C316=4,$D316=2,$E316=5),"L","")</f>
        <v>L</v>
      </c>
      <c r="H316" s="71"/>
    </row>
    <row r="317" spans="3:8" x14ac:dyDescent="0.3">
      <c r="C317" s="8">
        <v>4</v>
      </c>
      <c r="D317" s="5">
        <v>2</v>
      </c>
      <c r="E317" s="5">
        <v>6</v>
      </c>
      <c r="F317" s="2" t="s">
        <v>386</v>
      </c>
      <c r="G317" s="67" t="str">
        <f>IF(AND($C317=4,$D317=2,$E317=6),"L","")</f>
        <v>L</v>
      </c>
      <c r="H317" s="71"/>
    </row>
    <row r="318" spans="3:8" x14ac:dyDescent="0.3">
      <c r="C318" s="8">
        <v>4</v>
      </c>
      <c r="D318" s="5">
        <v>2</v>
      </c>
      <c r="E318" s="5">
        <v>7</v>
      </c>
      <c r="F318" s="2" t="s">
        <v>387</v>
      </c>
      <c r="G318" s="67" t="str">
        <f>IF(AND($C318=4,$D318=2,$E318=7),"L","")</f>
        <v>L</v>
      </c>
      <c r="H318" s="71"/>
    </row>
    <row r="319" spans="3:8" x14ac:dyDescent="0.3">
      <c r="C319" s="8">
        <v>4</v>
      </c>
      <c r="D319" s="5">
        <v>2</v>
      </c>
      <c r="E319" s="5">
        <v>8</v>
      </c>
      <c r="F319" s="2" t="s">
        <v>388</v>
      </c>
      <c r="G319" s="67" t="str">
        <f>IF(AND($C319=4,$D319=2,$E319=8),"L","")</f>
        <v>L</v>
      </c>
      <c r="H319" s="71"/>
    </row>
    <row r="320" spans="3:8" x14ac:dyDescent="0.3">
      <c r="C320" s="8">
        <v>4</v>
      </c>
      <c r="D320" s="5">
        <v>2</v>
      </c>
      <c r="E320" s="5">
        <v>9</v>
      </c>
      <c r="F320" s="2" t="s">
        <v>389</v>
      </c>
      <c r="G320" s="67" t="str">
        <f>IF(AND($C320=4,$D320=2,$E320=9),"L","")</f>
        <v>L</v>
      </c>
      <c r="H320" s="71"/>
    </row>
    <row r="321" spans="3:8" x14ac:dyDescent="0.3">
      <c r="C321" s="8">
        <v>4</v>
      </c>
      <c r="D321" s="5">
        <v>2</v>
      </c>
      <c r="E321" s="5">
        <v>10</v>
      </c>
      <c r="F321" s="2" t="s">
        <v>390</v>
      </c>
      <c r="G321" s="67" t="str">
        <f>IF(AND($C321=4,$D321=2,$E321=10),"L","")</f>
        <v>L</v>
      </c>
      <c r="H321" s="71"/>
    </row>
    <row r="322" spans="3:8" x14ac:dyDescent="0.3">
      <c r="C322" s="8">
        <v>4</v>
      </c>
      <c r="D322" s="5">
        <v>3</v>
      </c>
      <c r="E322" s="5">
        <v>1</v>
      </c>
      <c r="F322" s="2" t="s">
        <v>391</v>
      </c>
      <c r="G322" s="67" t="str">
        <f>IF(AND($C322=4,$D322=3,$E322=1),"L","")</f>
        <v>L</v>
      </c>
      <c r="H322" s="71"/>
    </row>
    <row r="323" spans="3:8" x14ac:dyDescent="0.3">
      <c r="C323" s="8">
        <v>4</v>
      </c>
      <c r="D323" s="5">
        <v>3</v>
      </c>
      <c r="E323" s="5">
        <v>2</v>
      </c>
      <c r="F323" s="2" t="s">
        <v>392</v>
      </c>
      <c r="G323" s="67" t="str">
        <f>IF(AND($C323=4,$D323=3,$E323=2),"L","")</f>
        <v>L</v>
      </c>
      <c r="H323" s="71"/>
    </row>
    <row r="324" spans="3:8" x14ac:dyDescent="0.3">
      <c r="C324" s="8">
        <v>4</v>
      </c>
      <c r="D324" s="5">
        <v>3</v>
      </c>
      <c r="E324" s="5">
        <v>3</v>
      </c>
      <c r="F324" s="2" t="s">
        <v>393</v>
      </c>
      <c r="G324" s="67" t="str">
        <f>IF(AND($C324=4,$D324=3,$E324=3),"L","")</f>
        <v>L</v>
      </c>
      <c r="H324" s="71"/>
    </row>
    <row r="325" spans="3:8" x14ac:dyDescent="0.3">
      <c r="C325" s="8">
        <v>4</v>
      </c>
      <c r="D325" s="5">
        <v>3</v>
      </c>
      <c r="E325" s="5">
        <v>4</v>
      </c>
      <c r="F325" s="2" t="s">
        <v>394</v>
      </c>
      <c r="G325" s="67" t="str">
        <f>IF(AND($C325=4,$D325=3,$E325=4),"L","")</f>
        <v>L</v>
      </c>
      <c r="H325" s="71"/>
    </row>
    <row r="326" spans="3:8" x14ac:dyDescent="0.3">
      <c r="C326" s="8">
        <v>4</v>
      </c>
      <c r="D326" s="5">
        <v>3</v>
      </c>
      <c r="E326" s="5">
        <v>5</v>
      </c>
      <c r="F326" s="2" t="s">
        <v>395</v>
      </c>
      <c r="G326" s="67" t="str">
        <f>IF(AND($C326=4,$D326=3,$E326=5),"L","")</f>
        <v>L</v>
      </c>
      <c r="H326" s="71"/>
    </row>
    <row r="327" spans="3:8" x14ac:dyDescent="0.3">
      <c r="C327" s="8">
        <v>4</v>
      </c>
      <c r="D327" s="5">
        <v>3</v>
      </c>
      <c r="E327" s="5">
        <v>6</v>
      </c>
      <c r="F327" s="2" t="s">
        <v>396</v>
      </c>
      <c r="G327" s="67" t="str">
        <f>IF(AND($C327=4,$D327=3,$E327=6),"L","")</f>
        <v>L</v>
      </c>
      <c r="H327" s="71"/>
    </row>
    <row r="328" spans="3:8" x14ac:dyDescent="0.3">
      <c r="C328" s="8">
        <v>4</v>
      </c>
      <c r="D328" s="5">
        <v>3</v>
      </c>
      <c r="E328" s="5">
        <v>7</v>
      </c>
      <c r="F328" s="2" t="s">
        <v>397</v>
      </c>
      <c r="G328" s="67" t="str">
        <f>IF(AND($C328=4,$D328=3,$E328=7),"L","")</f>
        <v>L</v>
      </c>
      <c r="H328" s="71"/>
    </row>
    <row r="329" spans="3:8" x14ac:dyDescent="0.3">
      <c r="C329" s="8">
        <v>4</v>
      </c>
      <c r="D329" s="5">
        <v>3</v>
      </c>
      <c r="E329" s="5">
        <v>8</v>
      </c>
      <c r="F329" s="2" t="s">
        <v>398</v>
      </c>
      <c r="G329" s="67" t="str">
        <f>IF(AND($C329=4,$D329=3,$E329=8),"L","")</f>
        <v>L</v>
      </c>
      <c r="H329" s="71"/>
    </row>
    <row r="330" spans="3:8" x14ac:dyDescent="0.3">
      <c r="C330" s="8">
        <v>4</v>
      </c>
      <c r="D330" s="5">
        <v>3</v>
      </c>
      <c r="E330" s="5">
        <v>9</v>
      </c>
      <c r="F330" s="2" t="s">
        <v>399</v>
      </c>
      <c r="G330" s="67" t="str">
        <f>IF(AND($C330=4,$D330=3,$E330=9),"L","")</f>
        <v>L</v>
      </c>
      <c r="H330" s="71"/>
    </row>
    <row r="331" spans="3:8" x14ac:dyDescent="0.3">
      <c r="C331" s="8">
        <v>4</v>
      </c>
      <c r="D331" s="5">
        <v>3</v>
      </c>
      <c r="E331" s="5">
        <v>10</v>
      </c>
      <c r="F331" s="2" t="s">
        <v>400</v>
      </c>
      <c r="G331" s="67" t="str">
        <f>IF(AND($C331=4,$D331=3,$E331=10),"L","")</f>
        <v>L</v>
      </c>
      <c r="H331" s="71"/>
    </row>
    <row r="332" spans="3:8" x14ac:dyDescent="0.3">
      <c r="C332" s="8">
        <v>4</v>
      </c>
      <c r="D332" s="5">
        <v>4</v>
      </c>
      <c r="E332" s="5">
        <v>1</v>
      </c>
      <c r="F332" s="2" t="s">
        <v>401</v>
      </c>
      <c r="G332" s="67" t="str">
        <f>IF(AND($C332=4,$D332=4,$E332=1),"L","")</f>
        <v>L</v>
      </c>
      <c r="H332" s="71"/>
    </row>
    <row r="333" spans="3:8" x14ac:dyDescent="0.3">
      <c r="C333" s="8">
        <v>4</v>
      </c>
      <c r="D333" s="5">
        <v>4</v>
      </c>
      <c r="E333" s="5">
        <v>2</v>
      </c>
      <c r="F333" s="2" t="s">
        <v>402</v>
      </c>
      <c r="G333" s="67" t="str">
        <f>IF(AND($C333=4,$D333=4,$E333=2),"L","")</f>
        <v>L</v>
      </c>
      <c r="H333" s="71"/>
    </row>
    <row r="334" spans="3:8" x14ac:dyDescent="0.3">
      <c r="C334" s="8">
        <v>4</v>
      </c>
      <c r="D334" s="5">
        <v>4</v>
      </c>
      <c r="E334" s="5">
        <v>3</v>
      </c>
      <c r="F334" s="2" t="s">
        <v>403</v>
      </c>
      <c r="G334" s="67" t="str">
        <f>IF(AND($C334=4,$D334=4,$E334=3),"L","")</f>
        <v>L</v>
      </c>
      <c r="H334" s="71"/>
    </row>
    <row r="335" spans="3:8" x14ac:dyDescent="0.3">
      <c r="C335" s="8">
        <v>4</v>
      </c>
      <c r="D335" s="5">
        <v>4</v>
      </c>
      <c r="E335" s="5">
        <v>4</v>
      </c>
      <c r="F335" s="2" t="s">
        <v>404</v>
      </c>
      <c r="G335" s="67" t="str">
        <f>IF(AND($C335=4,$D335=4,$E335=4),"L","")</f>
        <v>L</v>
      </c>
      <c r="H335" s="71"/>
    </row>
    <row r="336" spans="3:8" x14ac:dyDescent="0.3">
      <c r="C336" s="8">
        <v>4</v>
      </c>
      <c r="D336" s="5">
        <v>4</v>
      </c>
      <c r="E336" s="5">
        <v>5</v>
      </c>
      <c r="F336" s="2" t="s">
        <v>405</v>
      </c>
      <c r="G336" s="67" t="str">
        <f>IF(AND($C336=4,$D336=4,$E336=5),"L","")</f>
        <v>L</v>
      </c>
      <c r="H336" s="71"/>
    </row>
    <row r="337" spans="3:8" x14ac:dyDescent="0.3">
      <c r="C337" s="8">
        <v>4</v>
      </c>
      <c r="D337" s="5">
        <v>4</v>
      </c>
      <c r="E337" s="5">
        <v>6</v>
      </c>
      <c r="F337" s="2" t="s">
        <v>406</v>
      </c>
      <c r="G337" s="67" t="str">
        <f>IF(AND($C337=4,$D337=4,$E337=6),"L","")</f>
        <v>L</v>
      </c>
      <c r="H337" s="71"/>
    </row>
    <row r="338" spans="3:8" x14ac:dyDescent="0.3">
      <c r="C338" s="8">
        <v>4</v>
      </c>
      <c r="D338" s="5">
        <v>4</v>
      </c>
      <c r="E338" s="5">
        <v>7</v>
      </c>
      <c r="F338" s="2" t="s">
        <v>407</v>
      </c>
      <c r="G338" s="68" t="str">
        <f>IF(AND($C338=4,$D338=4,$E338=7),"M","")</f>
        <v>M</v>
      </c>
      <c r="H338" s="71"/>
    </row>
    <row r="339" spans="3:8" x14ac:dyDescent="0.3">
      <c r="C339" s="8">
        <v>4</v>
      </c>
      <c r="D339" s="5">
        <v>4</v>
      </c>
      <c r="E339" s="5">
        <v>8</v>
      </c>
      <c r="F339" s="2" t="s">
        <v>408</v>
      </c>
      <c r="G339" s="68" t="str">
        <f>IF(AND($C339=4,$D339=4,$E339=8),"M","")</f>
        <v>M</v>
      </c>
      <c r="H339" s="71"/>
    </row>
    <row r="340" spans="3:8" x14ac:dyDescent="0.3">
      <c r="C340" s="8">
        <v>4</v>
      </c>
      <c r="D340" s="5">
        <v>4</v>
      </c>
      <c r="E340" s="5">
        <v>9</v>
      </c>
      <c r="F340" s="2" t="s">
        <v>409</v>
      </c>
      <c r="G340" s="68" t="str">
        <f>IF(AND($C340=4,$D340=4,$E340=9),"M","")</f>
        <v>M</v>
      </c>
      <c r="H340" s="71"/>
    </row>
    <row r="341" spans="3:8" x14ac:dyDescent="0.3">
      <c r="C341" s="8">
        <v>4</v>
      </c>
      <c r="D341" s="5">
        <v>4</v>
      </c>
      <c r="E341" s="5">
        <v>10</v>
      </c>
      <c r="F341" s="2" t="s">
        <v>410</v>
      </c>
      <c r="G341" s="68" t="str">
        <f>IF(AND($C341=4,$D341=4,$E341=10),"M","")</f>
        <v>M</v>
      </c>
      <c r="H341" s="71"/>
    </row>
    <row r="342" spans="3:8" x14ac:dyDescent="0.3">
      <c r="C342" s="8">
        <v>4</v>
      </c>
      <c r="D342" s="5">
        <v>5</v>
      </c>
      <c r="E342" s="5">
        <v>1</v>
      </c>
      <c r="F342" s="2" t="s">
        <v>411</v>
      </c>
      <c r="G342" s="67" t="str">
        <f>IF(AND($C342=4,$D342=5,$E342=1),"L","")</f>
        <v>L</v>
      </c>
      <c r="H342" s="71"/>
    </row>
    <row r="343" spans="3:8" x14ac:dyDescent="0.3">
      <c r="C343" s="8">
        <v>4</v>
      </c>
      <c r="D343" s="5">
        <v>5</v>
      </c>
      <c r="E343" s="5">
        <v>2</v>
      </c>
      <c r="F343" s="2" t="s">
        <v>412</v>
      </c>
      <c r="G343" s="67" t="str">
        <f>IF(AND($C343=4,$D343=5,$E343=2),"L","")</f>
        <v>L</v>
      </c>
      <c r="H343" s="71"/>
    </row>
    <row r="344" spans="3:8" x14ac:dyDescent="0.3">
      <c r="C344" s="8">
        <v>4</v>
      </c>
      <c r="D344" s="5">
        <v>5</v>
      </c>
      <c r="E344" s="5">
        <v>3</v>
      </c>
      <c r="F344" s="2" t="s">
        <v>413</v>
      </c>
      <c r="G344" s="67" t="str">
        <f>IF(AND($C344=4,$D344=5,$E344=3),"L","")</f>
        <v>L</v>
      </c>
      <c r="H344" s="71"/>
    </row>
    <row r="345" spans="3:8" x14ac:dyDescent="0.3">
      <c r="C345" s="8">
        <v>4</v>
      </c>
      <c r="D345" s="5">
        <v>5</v>
      </c>
      <c r="E345" s="5">
        <v>4</v>
      </c>
      <c r="F345" s="2" t="s">
        <v>414</v>
      </c>
      <c r="G345" s="67" t="str">
        <f>IF(AND($C345=4,$D345=5,$E345=4),"L","")</f>
        <v>L</v>
      </c>
      <c r="H345" s="71"/>
    </row>
    <row r="346" spans="3:8" x14ac:dyDescent="0.3">
      <c r="C346" s="8">
        <v>4</v>
      </c>
      <c r="D346" s="5">
        <v>5</v>
      </c>
      <c r="E346" s="5">
        <v>5</v>
      </c>
      <c r="F346" s="2" t="s">
        <v>415</v>
      </c>
      <c r="G346" s="67" t="str">
        <f>IF(AND($C346=4,$D346=5,$E346=5),"L","")</f>
        <v>L</v>
      </c>
      <c r="H346" s="71"/>
    </row>
    <row r="347" spans="3:8" x14ac:dyDescent="0.3">
      <c r="C347" s="8">
        <v>4</v>
      </c>
      <c r="D347" s="5">
        <v>5</v>
      </c>
      <c r="E347" s="5">
        <v>6</v>
      </c>
      <c r="F347" s="2" t="s">
        <v>416</v>
      </c>
      <c r="G347" s="67" t="str">
        <f>IF(AND($C347=4,$D347=5,$E347=6),"L","")</f>
        <v>L</v>
      </c>
      <c r="H347" s="71"/>
    </row>
    <row r="348" spans="3:8" x14ac:dyDescent="0.3">
      <c r="C348" s="8">
        <v>4</v>
      </c>
      <c r="D348" s="5">
        <v>5</v>
      </c>
      <c r="E348" s="5">
        <v>7</v>
      </c>
      <c r="F348" s="2" t="s">
        <v>417</v>
      </c>
      <c r="G348" s="68" t="str">
        <f>IF(AND($C348=4,$D348=5,$E348=7),"M","")</f>
        <v>M</v>
      </c>
      <c r="H348" s="71"/>
    </row>
    <row r="349" spans="3:8" x14ac:dyDescent="0.3">
      <c r="C349" s="8">
        <v>4</v>
      </c>
      <c r="D349" s="5">
        <v>5</v>
      </c>
      <c r="E349" s="5">
        <v>8</v>
      </c>
      <c r="F349" s="2" t="s">
        <v>418</v>
      </c>
      <c r="G349" s="68" t="str">
        <f>IF(AND($C349=4,$D349=5,$E349=8),"M","")</f>
        <v>M</v>
      </c>
      <c r="H349" s="71"/>
    </row>
    <row r="350" spans="3:8" x14ac:dyDescent="0.3">
      <c r="C350" s="8">
        <v>4</v>
      </c>
      <c r="D350" s="5">
        <v>5</v>
      </c>
      <c r="E350" s="5">
        <v>9</v>
      </c>
      <c r="F350" s="2" t="s">
        <v>419</v>
      </c>
      <c r="G350" s="68" t="str">
        <f>IF(AND($C350=4,$D350=5,$E350=9),"M","")</f>
        <v>M</v>
      </c>
      <c r="H350" s="71"/>
    </row>
    <row r="351" spans="3:8" x14ac:dyDescent="0.3">
      <c r="C351" s="8">
        <v>4</v>
      </c>
      <c r="D351" s="5">
        <v>5</v>
      </c>
      <c r="E351" s="5">
        <v>10</v>
      </c>
      <c r="F351" s="2" t="s">
        <v>420</v>
      </c>
      <c r="G351" s="68" t="str">
        <f>IF(AND($C351=4,$D351=5,$E351=10),"M","")</f>
        <v>M</v>
      </c>
      <c r="H351" s="71"/>
    </row>
    <row r="352" spans="3:8" x14ac:dyDescent="0.3">
      <c r="C352" s="8">
        <v>4</v>
      </c>
      <c r="D352" s="5">
        <v>6</v>
      </c>
      <c r="E352" s="5">
        <v>1</v>
      </c>
      <c r="F352" s="2" t="s">
        <v>421</v>
      </c>
      <c r="G352" s="67" t="str">
        <f>IF(AND($C352=4,$D352=6,$E352=1),"L","")</f>
        <v>L</v>
      </c>
      <c r="H352" s="71"/>
    </row>
    <row r="353" spans="3:8" x14ac:dyDescent="0.3">
      <c r="C353" s="8">
        <v>4</v>
      </c>
      <c r="D353" s="5">
        <v>6</v>
      </c>
      <c r="E353" s="5">
        <v>2</v>
      </c>
      <c r="F353" s="2" t="s">
        <v>422</v>
      </c>
      <c r="G353" s="68" t="str">
        <f>IF(AND($C353=4,$D353=6,$E353=2),"M","")</f>
        <v>M</v>
      </c>
      <c r="H353" s="71"/>
    </row>
    <row r="354" spans="3:8" x14ac:dyDescent="0.3">
      <c r="C354" s="8">
        <v>4</v>
      </c>
      <c r="D354" s="5">
        <v>6</v>
      </c>
      <c r="E354" s="5">
        <v>3</v>
      </c>
      <c r="F354" s="2" t="s">
        <v>423</v>
      </c>
      <c r="G354" s="68" t="str">
        <f>IF(AND($C354=4,$D354=6,$E354=3),"M","")</f>
        <v>M</v>
      </c>
      <c r="H354" s="71"/>
    </row>
    <row r="355" spans="3:8" x14ac:dyDescent="0.3">
      <c r="C355" s="8">
        <v>4</v>
      </c>
      <c r="D355" s="5">
        <v>6</v>
      </c>
      <c r="E355" s="5">
        <v>4</v>
      </c>
      <c r="F355" s="2" t="s">
        <v>424</v>
      </c>
      <c r="G355" s="68" t="str">
        <f>IF(AND($C355=4,$D355=6,$E355=4),"M","")</f>
        <v>M</v>
      </c>
      <c r="H355" s="71"/>
    </row>
    <row r="356" spans="3:8" x14ac:dyDescent="0.3">
      <c r="C356" s="8">
        <v>4</v>
      </c>
      <c r="D356" s="5">
        <v>6</v>
      </c>
      <c r="E356" s="5">
        <v>5</v>
      </c>
      <c r="F356" s="2" t="s">
        <v>425</v>
      </c>
      <c r="G356" s="68" t="str">
        <f>IF(AND($C356=4,$D356=6,$E356=5),"M","")</f>
        <v>M</v>
      </c>
      <c r="H356" s="71"/>
    </row>
    <row r="357" spans="3:8" x14ac:dyDescent="0.3">
      <c r="C357" s="8">
        <v>4</v>
      </c>
      <c r="D357" s="5">
        <v>6</v>
      </c>
      <c r="E357" s="5">
        <v>6</v>
      </c>
      <c r="F357" s="2" t="s">
        <v>426</v>
      </c>
      <c r="G357" s="68" t="str">
        <f>IF(AND($C357=4,$D357=6,$E357=6),"M","")</f>
        <v>M</v>
      </c>
      <c r="H357" s="71"/>
    </row>
    <row r="358" spans="3:8" x14ac:dyDescent="0.3">
      <c r="C358" s="8">
        <v>4</v>
      </c>
      <c r="D358" s="5">
        <v>6</v>
      </c>
      <c r="E358" s="5">
        <v>7</v>
      </c>
      <c r="F358" s="2" t="s">
        <v>427</v>
      </c>
      <c r="G358" s="68" t="str">
        <f>IF(AND($C358=4,$D358=6,$E358=7),"M","")</f>
        <v>M</v>
      </c>
      <c r="H358" s="71"/>
    </row>
    <row r="359" spans="3:8" x14ac:dyDescent="0.3">
      <c r="C359" s="8">
        <v>4</v>
      </c>
      <c r="D359" s="5">
        <v>6</v>
      </c>
      <c r="E359" s="5">
        <v>8</v>
      </c>
      <c r="F359" s="2" t="s">
        <v>428</v>
      </c>
      <c r="G359" s="68" t="str">
        <f>IF(AND($C359=4,$D359=6,$E359=8),"M","")</f>
        <v>M</v>
      </c>
      <c r="H359" s="71"/>
    </row>
    <row r="360" spans="3:8" x14ac:dyDescent="0.3">
      <c r="C360" s="8">
        <v>4</v>
      </c>
      <c r="D360" s="5">
        <v>6</v>
      </c>
      <c r="E360" s="5">
        <v>9</v>
      </c>
      <c r="F360" s="2" t="s">
        <v>429</v>
      </c>
      <c r="G360" s="68" t="str">
        <f>IF(AND($C360=4,$D360=6,$E360=9),"M","")</f>
        <v>M</v>
      </c>
      <c r="H360" s="71"/>
    </row>
    <row r="361" spans="3:8" x14ac:dyDescent="0.3">
      <c r="C361" s="8">
        <v>4</v>
      </c>
      <c r="D361" s="5">
        <v>6</v>
      </c>
      <c r="E361" s="5">
        <v>10</v>
      </c>
      <c r="F361" s="2" t="s">
        <v>430</v>
      </c>
      <c r="G361" s="68" t="str">
        <f>IF(AND($C361=4,$D361=6,$E361=10),"M","")</f>
        <v>M</v>
      </c>
      <c r="H361" s="71"/>
    </row>
    <row r="362" spans="3:8" x14ac:dyDescent="0.3">
      <c r="C362" s="8">
        <v>4</v>
      </c>
      <c r="D362" s="5">
        <v>7</v>
      </c>
      <c r="E362" s="5">
        <v>1</v>
      </c>
      <c r="F362" s="2" t="s">
        <v>431</v>
      </c>
      <c r="G362" s="67" t="str">
        <f>IF(AND($C362=4,$D362=7,$E362=1),"L","")</f>
        <v>L</v>
      </c>
      <c r="H362" s="71"/>
    </row>
    <row r="363" spans="3:8" x14ac:dyDescent="0.3">
      <c r="C363" s="8">
        <v>4</v>
      </c>
      <c r="D363" s="5">
        <v>7</v>
      </c>
      <c r="E363" s="5">
        <v>2</v>
      </c>
      <c r="F363" s="2" t="s">
        <v>432</v>
      </c>
      <c r="G363" s="68" t="str">
        <f>IF(AND($C363=4,$D363=7,$E363=2),"M","")</f>
        <v>M</v>
      </c>
      <c r="H363" s="71"/>
    </row>
    <row r="364" spans="3:8" x14ac:dyDescent="0.3">
      <c r="C364" s="8">
        <v>4</v>
      </c>
      <c r="D364" s="5">
        <v>7</v>
      </c>
      <c r="E364" s="5">
        <v>3</v>
      </c>
      <c r="F364" s="2" t="s">
        <v>433</v>
      </c>
      <c r="G364" s="68" t="str">
        <f>IF(AND($C364=4,$D364=7,$E364=3),"M","")</f>
        <v>M</v>
      </c>
      <c r="H364" s="71"/>
    </row>
    <row r="365" spans="3:8" x14ac:dyDescent="0.3">
      <c r="C365" s="8">
        <v>4</v>
      </c>
      <c r="D365" s="5">
        <v>7</v>
      </c>
      <c r="E365" s="5">
        <v>4</v>
      </c>
      <c r="F365" s="2" t="s">
        <v>434</v>
      </c>
      <c r="G365" s="68" t="str">
        <f>IF(AND($C365=4,$D365=7,$E365=4),"M","")</f>
        <v>M</v>
      </c>
      <c r="H365" s="71"/>
    </row>
    <row r="366" spans="3:8" x14ac:dyDescent="0.3">
      <c r="C366" s="8">
        <v>4</v>
      </c>
      <c r="D366" s="5">
        <v>7</v>
      </c>
      <c r="E366" s="5">
        <v>5</v>
      </c>
      <c r="F366" s="2" t="s">
        <v>435</v>
      </c>
      <c r="G366" s="68" t="str">
        <f>IF(AND($C366=4,$D366=7,$E366=5),"M","")</f>
        <v>M</v>
      </c>
      <c r="H366" s="71"/>
    </row>
    <row r="367" spans="3:8" x14ac:dyDescent="0.3">
      <c r="C367" s="8">
        <v>4</v>
      </c>
      <c r="D367" s="5">
        <v>7</v>
      </c>
      <c r="E367" s="5">
        <v>6</v>
      </c>
      <c r="F367" s="2" t="s">
        <v>436</v>
      </c>
      <c r="G367" s="68" t="str">
        <f>IF(AND($C367=4,$D367=7,$E367=6),"M","")</f>
        <v>M</v>
      </c>
      <c r="H367" s="71"/>
    </row>
    <row r="368" spans="3:8" x14ac:dyDescent="0.3">
      <c r="C368" s="8">
        <v>4</v>
      </c>
      <c r="D368" s="5">
        <v>7</v>
      </c>
      <c r="E368" s="5">
        <v>7</v>
      </c>
      <c r="F368" s="2" t="s">
        <v>437</v>
      </c>
      <c r="G368" s="68" t="str">
        <f>IF(AND($C368=4,$D368=7,$E368=7),"M","")</f>
        <v>M</v>
      </c>
      <c r="H368" s="71"/>
    </row>
    <row r="369" spans="3:8" x14ac:dyDescent="0.3">
      <c r="C369" s="8">
        <v>4</v>
      </c>
      <c r="D369" s="5">
        <v>7</v>
      </c>
      <c r="E369" s="5">
        <v>8</v>
      </c>
      <c r="F369" s="2" t="s">
        <v>438</v>
      </c>
      <c r="G369" s="68" t="str">
        <f>IF(AND($C369=4,$D369=7,$E369=8),"M","")</f>
        <v>M</v>
      </c>
      <c r="H369" s="71"/>
    </row>
    <row r="370" spans="3:8" x14ac:dyDescent="0.3">
      <c r="C370" s="8">
        <v>4</v>
      </c>
      <c r="D370" s="5">
        <v>7</v>
      </c>
      <c r="E370" s="5">
        <v>9</v>
      </c>
      <c r="F370" s="2" t="s">
        <v>439</v>
      </c>
      <c r="G370" s="68" t="str">
        <f>IF(AND($C370=4,$D370=7,$E370=9),"M","")</f>
        <v>M</v>
      </c>
      <c r="H370" s="71"/>
    </row>
    <row r="371" spans="3:8" x14ac:dyDescent="0.3">
      <c r="C371" s="8">
        <v>4</v>
      </c>
      <c r="D371" s="5">
        <v>7</v>
      </c>
      <c r="E371" s="5">
        <v>10</v>
      </c>
      <c r="F371" s="2" t="s">
        <v>440</v>
      </c>
      <c r="G371" s="68" t="str">
        <f>IF(AND($C371=4,$D371=7,$E371=10),"M","")</f>
        <v>M</v>
      </c>
      <c r="H371" s="71"/>
    </row>
    <row r="372" spans="3:8" x14ac:dyDescent="0.3">
      <c r="C372" s="8">
        <v>4</v>
      </c>
      <c r="D372" s="5">
        <v>8</v>
      </c>
      <c r="E372" s="5">
        <v>1</v>
      </c>
      <c r="F372" s="2" t="s">
        <v>441</v>
      </c>
      <c r="G372" s="68" t="str">
        <f>IF(AND($C372=4,$D372=8,$E372=1),"M","")</f>
        <v>M</v>
      </c>
      <c r="H372" s="71"/>
    </row>
    <row r="373" spans="3:8" x14ac:dyDescent="0.3">
      <c r="C373" s="8">
        <v>4</v>
      </c>
      <c r="D373" s="5">
        <v>8</v>
      </c>
      <c r="E373" s="5">
        <v>2</v>
      </c>
      <c r="F373" s="2" t="s">
        <v>442</v>
      </c>
      <c r="G373" s="68" t="str">
        <f>IF(AND($C373=4,$D373=8,$E373=2),"M","")</f>
        <v>M</v>
      </c>
      <c r="H373" s="71"/>
    </row>
    <row r="374" spans="3:8" x14ac:dyDescent="0.3">
      <c r="C374" s="8">
        <v>4</v>
      </c>
      <c r="D374" s="5">
        <v>8</v>
      </c>
      <c r="E374" s="5">
        <v>3</v>
      </c>
      <c r="F374" s="2" t="s">
        <v>443</v>
      </c>
      <c r="G374" s="68" t="str">
        <f>IF(AND($C374=4,$D374=8,$E374=3),"M","")</f>
        <v>M</v>
      </c>
      <c r="H374" s="71"/>
    </row>
    <row r="375" spans="3:8" x14ac:dyDescent="0.3">
      <c r="C375" s="8">
        <v>4</v>
      </c>
      <c r="D375" s="5">
        <v>8</v>
      </c>
      <c r="E375" s="5">
        <v>4</v>
      </c>
      <c r="F375" s="2" t="s">
        <v>444</v>
      </c>
      <c r="G375" s="68" t="str">
        <f>IF(AND($C375=4,$D375=8,$E375=4),"M","")</f>
        <v>M</v>
      </c>
      <c r="H375" s="71"/>
    </row>
    <row r="376" spans="3:8" x14ac:dyDescent="0.3">
      <c r="C376" s="8">
        <v>4</v>
      </c>
      <c r="D376" s="5">
        <v>8</v>
      </c>
      <c r="E376" s="5">
        <v>5</v>
      </c>
      <c r="F376" s="2" t="s">
        <v>445</v>
      </c>
      <c r="G376" s="69" t="str">
        <f>IF(AND($C376=4,$D376=8,$E376=5),"H","")</f>
        <v>H</v>
      </c>
      <c r="H376" s="71"/>
    </row>
    <row r="377" spans="3:8" x14ac:dyDescent="0.3">
      <c r="C377" s="8">
        <v>4</v>
      </c>
      <c r="D377" s="5">
        <v>8</v>
      </c>
      <c r="E377" s="5">
        <v>6</v>
      </c>
      <c r="F377" s="2" t="s">
        <v>446</v>
      </c>
      <c r="G377" s="69" t="str">
        <f>IF(AND($C377=4,$D377=8,$E377=6),"H","")</f>
        <v>H</v>
      </c>
      <c r="H377" s="71"/>
    </row>
    <row r="378" spans="3:8" x14ac:dyDescent="0.3">
      <c r="C378" s="8">
        <v>4</v>
      </c>
      <c r="D378" s="5">
        <v>8</v>
      </c>
      <c r="E378" s="5">
        <v>7</v>
      </c>
      <c r="F378" s="2" t="s">
        <v>447</v>
      </c>
      <c r="G378" s="69" t="str">
        <f>IF(AND($C378=4,$D378=8,$E378=7),"H","")</f>
        <v>H</v>
      </c>
      <c r="H378" s="71"/>
    </row>
    <row r="379" spans="3:8" x14ac:dyDescent="0.3">
      <c r="C379" s="8">
        <v>4</v>
      </c>
      <c r="D379" s="5">
        <v>8</v>
      </c>
      <c r="E379" s="5">
        <v>8</v>
      </c>
      <c r="F379" s="2" t="s">
        <v>448</v>
      </c>
      <c r="G379" s="69" t="str">
        <f>IF(AND($C379=4,$D379=8,$E379=8),"H","")</f>
        <v>H</v>
      </c>
      <c r="H379" s="71"/>
    </row>
    <row r="380" spans="3:8" x14ac:dyDescent="0.3">
      <c r="C380" s="8">
        <v>4</v>
      </c>
      <c r="D380" s="5">
        <v>8</v>
      </c>
      <c r="E380" s="5">
        <v>9</v>
      </c>
      <c r="F380" s="2" t="s">
        <v>449</v>
      </c>
      <c r="G380" s="69" t="str">
        <f>IF(AND($C380=4,$D380=8,$E380=9),"H","")</f>
        <v>H</v>
      </c>
      <c r="H380" s="71"/>
    </row>
    <row r="381" spans="3:8" x14ac:dyDescent="0.3">
      <c r="C381" s="8">
        <v>4</v>
      </c>
      <c r="D381" s="5">
        <v>8</v>
      </c>
      <c r="E381" s="5">
        <v>10</v>
      </c>
      <c r="F381" s="2" t="s">
        <v>450</v>
      </c>
      <c r="G381" s="69" t="str">
        <f>IF(AND($C381=4,$D381=8,$E381=10),"H","")</f>
        <v>H</v>
      </c>
      <c r="H381" s="71"/>
    </row>
    <row r="382" spans="3:8" x14ac:dyDescent="0.3">
      <c r="C382" s="8">
        <v>4</v>
      </c>
      <c r="D382" s="5">
        <v>9</v>
      </c>
      <c r="E382" s="5">
        <v>1</v>
      </c>
      <c r="F382" s="2" t="s">
        <v>451</v>
      </c>
      <c r="G382" s="68" t="str">
        <f>IF(AND($C382=4,$D382=9,$E382=1),"M","")</f>
        <v>M</v>
      </c>
      <c r="H382" s="71"/>
    </row>
    <row r="383" spans="3:8" x14ac:dyDescent="0.3">
      <c r="C383" s="8">
        <v>4</v>
      </c>
      <c r="D383" s="5">
        <v>9</v>
      </c>
      <c r="E383" s="5">
        <v>2</v>
      </c>
      <c r="F383" s="2" t="s">
        <v>452</v>
      </c>
      <c r="G383" s="68" t="str">
        <f>IF(AND($C383=4,$D383=9,$E383=2),"M","")</f>
        <v>M</v>
      </c>
      <c r="H383" s="71"/>
    </row>
    <row r="384" spans="3:8" x14ac:dyDescent="0.3">
      <c r="C384" s="8">
        <v>4</v>
      </c>
      <c r="D384" s="5">
        <v>9</v>
      </c>
      <c r="E384" s="5">
        <v>3</v>
      </c>
      <c r="F384" s="2" t="s">
        <v>453</v>
      </c>
      <c r="G384" s="68" t="str">
        <f>IF(AND($C384=4,$D384=9,$E384=3),"M","")</f>
        <v>M</v>
      </c>
      <c r="H384" s="71"/>
    </row>
    <row r="385" spans="3:8" x14ac:dyDescent="0.3">
      <c r="C385" s="8">
        <v>4</v>
      </c>
      <c r="D385" s="5">
        <v>9</v>
      </c>
      <c r="E385" s="5">
        <v>4</v>
      </c>
      <c r="F385" s="2" t="s">
        <v>454</v>
      </c>
      <c r="G385" s="68" t="str">
        <f>IF(AND($C385=4,$D385=9,$E385=4),"M","")</f>
        <v>M</v>
      </c>
      <c r="H385" s="71"/>
    </row>
    <row r="386" spans="3:8" x14ac:dyDescent="0.3">
      <c r="C386" s="8">
        <v>4</v>
      </c>
      <c r="D386" s="5">
        <v>9</v>
      </c>
      <c r="E386" s="5">
        <v>5</v>
      </c>
      <c r="F386" s="2" t="s">
        <v>455</v>
      </c>
      <c r="G386" s="69" t="str">
        <f>IF(AND($C386=4,$D386=9,$E386=5),"H","")</f>
        <v>H</v>
      </c>
      <c r="H386" s="71"/>
    </row>
    <row r="387" spans="3:8" x14ac:dyDescent="0.3">
      <c r="C387" s="8">
        <v>4</v>
      </c>
      <c r="D387" s="5">
        <v>9</v>
      </c>
      <c r="E387" s="5">
        <v>6</v>
      </c>
      <c r="F387" s="2" t="s">
        <v>456</v>
      </c>
      <c r="G387" s="69" t="str">
        <f>IF(AND($C387=4,$D387=9,$E387=6),"H","")</f>
        <v>H</v>
      </c>
      <c r="H387" s="71"/>
    </row>
    <row r="388" spans="3:8" x14ac:dyDescent="0.3">
      <c r="C388" s="8">
        <v>4</v>
      </c>
      <c r="D388" s="5">
        <v>9</v>
      </c>
      <c r="E388" s="5">
        <v>7</v>
      </c>
      <c r="F388" s="2" t="s">
        <v>457</v>
      </c>
      <c r="G388" s="69" t="str">
        <f>IF(AND($C388=4,$D388=9,$E388=7),"H","")</f>
        <v>H</v>
      </c>
      <c r="H388" s="71"/>
    </row>
    <row r="389" spans="3:8" x14ac:dyDescent="0.3">
      <c r="C389" s="8">
        <v>4</v>
      </c>
      <c r="D389" s="5">
        <v>9</v>
      </c>
      <c r="E389" s="5">
        <v>8</v>
      </c>
      <c r="F389" s="2" t="s">
        <v>458</v>
      </c>
      <c r="G389" s="69" t="str">
        <f>IF(AND($C389=4,$D389=9,$E389=8),"H","")</f>
        <v>H</v>
      </c>
      <c r="H389" s="71"/>
    </row>
    <row r="390" spans="3:8" x14ac:dyDescent="0.3">
      <c r="C390" s="8">
        <v>4</v>
      </c>
      <c r="D390" s="5">
        <v>9</v>
      </c>
      <c r="E390" s="5">
        <v>9</v>
      </c>
      <c r="F390" s="2" t="s">
        <v>459</v>
      </c>
      <c r="G390" s="69" t="str">
        <f>IF(AND($C390=4,$D390=9,$E390=9),"H","")</f>
        <v>H</v>
      </c>
      <c r="H390" s="71"/>
    </row>
    <row r="391" spans="3:8" x14ac:dyDescent="0.3">
      <c r="C391" s="8">
        <v>4</v>
      </c>
      <c r="D391" s="5">
        <v>9</v>
      </c>
      <c r="E391" s="5">
        <v>10</v>
      </c>
      <c r="F391" s="2" t="s">
        <v>460</v>
      </c>
      <c r="G391" s="69" t="str">
        <f>IF(AND($C391=4,$D391=9,$E391=10),"H","")</f>
        <v>H</v>
      </c>
      <c r="H391" s="71"/>
    </row>
    <row r="392" spans="3:8" x14ac:dyDescent="0.3">
      <c r="C392" s="8">
        <v>4</v>
      </c>
      <c r="D392" s="5">
        <v>10</v>
      </c>
      <c r="E392" s="5">
        <v>1</v>
      </c>
      <c r="F392" s="2" t="s">
        <v>461</v>
      </c>
      <c r="G392" s="68" t="str">
        <f>IF(AND($C392=4,$D392=10,$E392=1),"M","")</f>
        <v>M</v>
      </c>
      <c r="H392" s="71"/>
    </row>
    <row r="393" spans="3:8" x14ac:dyDescent="0.3">
      <c r="C393" s="8">
        <v>4</v>
      </c>
      <c r="D393" s="5">
        <v>10</v>
      </c>
      <c r="E393" s="5">
        <v>2</v>
      </c>
      <c r="F393" s="2" t="s">
        <v>462</v>
      </c>
      <c r="G393" s="68" t="str">
        <f>IF(AND($C393=4,$D393=10,$E393=2),"M","")</f>
        <v>M</v>
      </c>
      <c r="H393" s="71"/>
    </row>
    <row r="394" spans="3:8" x14ac:dyDescent="0.3">
      <c r="C394" s="8">
        <v>4</v>
      </c>
      <c r="D394" s="5">
        <v>10</v>
      </c>
      <c r="E394" s="5">
        <v>3</v>
      </c>
      <c r="F394" s="2" t="s">
        <v>463</v>
      </c>
      <c r="G394" s="68" t="str">
        <f>IF(AND($C394=4,$D394=10,$E394=3),"M","")</f>
        <v>M</v>
      </c>
      <c r="H394" s="71"/>
    </row>
    <row r="395" spans="3:8" x14ac:dyDescent="0.3">
      <c r="C395" s="8">
        <v>4</v>
      </c>
      <c r="D395" s="5">
        <v>10</v>
      </c>
      <c r="E395" s="5">
        <v>4</v>
      </c>
      <c r="F395" s="2" t="s">
        <v>464</v>
      </c>
      <c r="G395" s="68" t="str">
        <f>IF(AND($C395=4,$D395=10,$E395=4),"M","")</f>
        <v>M</v>
      </c>
      <c r="H395" s="71"/>
    </row>
    <row r="396" spans="3:8" x14ac:dyDescent="0.3">
      <c r="C396" s="8">
        <v>4</v>
      </c>
      <c r="D396" s="5">
        <v>10</v>
      </c>
      <c r="E396" s="5">
        <v>5</v>
      </c>
      <c r="F396" s="2" t="s">
        <v>465</v>
      </c>
      <c r="G396" s="69" t="str">
        <f>IF(AND($C396=4,$D396=10,$E396=5),"H","")</f>
        <v>H</v>
      </c>
      <c r="H396" s="71"/>
    </row>
    <row r="397" spans="3:8" x14ac:dyDescent="0.3">
      <c r="C397" s="8">
        <v>4</v>
      </c>
      <c r="D397" s="5">
        <v>10</v>
      </c>
      <c r="E397" s="5">
        <v>6</v>
      </c>
      <c r="F397" s="2" t="s">
        <v>466</v>
      </c>
      <c r="G397" s="69" t="str">
        <f>IF(AND($C397=4,$D397=10,$E397=6),"H","")</f>
        <v>H</v>
      </c>
      <c r="H397" s="71"/>
    </row>
    <row r="398" spans="3:8" x14ac:dyDescent="0.3">
      <c r="C398" s="8">
        <v>4</v>
      </c>
      <c r="D398" s="5">
        <v>10</v>
      </c>
      <c r="E398" s="5">
        <v>7</v>
      </c>
      <c r="F398" s="2" t="s">
        <v>467</v>
      </c>
      <c r="G398" s="69" t="str">
        <f>IF(AND($C398=4,$D398=10,$E398=7),"H","")</f>
        <v>H</v>
      </c>
      <c r="H398" s="71"/>
    </row>
    <row r="399" spans="3:8" x14ac:dyDescent="0.3">
      <c r="C399" s="8">
        <v>4</v>
      </c>
      <c r="D399" s="5">
        <v>10</v>
      </c>
      <c r="E399" s="5">
        <v>8</v>
      </c>
      <c r="F399" s="2" t="s">
        <v>468</v>
      </c>
      <c r="G399" s="69" t="str">
        <f>IF(AND($C399=4,$D399=10,$E399=8),"H","")</f>
        <v>H</v>
      </c>
      <c r="H399" s="71"/>
    </row>
    <row r="400" spans="3:8" x14ac:dyDescent="0.3">
      <c r="C400" s="8">
        <v>4</v>
      </c>
      <c r="D400" s="5">
        <v>10</v>
      </c>
      <c r="E400" s="5">
        <v>9</v>
      </c>
      <c r="F400" s="2" t="s">
        <v>469</v>
      </c>
      <c r="G400" s="69" t="str">
        <f>IF(AND($C400=4,$D400=10,$E400=9),"H","")</f>
        <v>H</v>
      </c>
      <c r="H400" s="71"/>
    </row>
    <row r="401" spans="3:8" x14ac:dyDescent="0.3">
      <c r="C401" s="8">
        <v>4</v>
      </c>
      <c r="D401" s="5">
        <v>10</v>
      </c>
      <c r="E401" s="5">
        <v>10</v>
      </c>
      <c r="F401" s="2" t="s">
        <v>470</v>
      </c>
      <c r="G401" s="69" t="str">
        <f>IF(AND($C401=4,$D401=10,$E401=10),"H","")</f>
        <v>H</v>
      </c>
      <c r="H401" s="71"/>
    </row>
    <row r="402" spans="3:8" x14ac:dyDescent="0.3">
      <c r="C402" s="8">
        <v>5</v>
      </c>
      <c r="D402" s="5">
        <v>1</v>
      </c>
      <c r="E402" s="5">
        <v>1</v>
      </c>
      <c r="F402" s="2" t="s">
        <v>471</v>
      </c>
      <c r="G402" s="67" t="str">
        <f>IF(AND($C402=5,$D402=1,$E402=1),"L","")</f>
        <v>L</v>
      </c>
      <c r="H402" s="71"/>
    </row>
    <row r="403" spans="3:8" x14ac:dyDescent="0.3">
      <c r="C403" s="8">
        <v>5</v>
      </c>
      <c r="D403" s="5">
        <v>1</v>
      </c>
      <c r="E403" s="5">
        <v>2</v>
      </c>
      <c r="F403" s="2" t="s">
        <v>472</v>
      </c>
      <c r="G403" s="67" t="str">
        <f>IF(AND($C403=5,$D403=1,$E403=2),"L","")</f>
        <v>L</v>
      </c>
      <c r="H403" s="71"/>
    </row>
    <row r="404" spans="3:8" x14ac:dyDescent="0.3">
      <c r="C404" s="8">
        <v>5</v>
      </c>
      <c r="D404" s="5">
        <v>1</v>
      </c>
      <c r="E404" s="5">
        <v>3</v>
      </c>
      <c r="F404" s="2" t="s">
        <v>473</v>
      </c>
      <c r="G404" s="67" t="str">
        <f>IF(AND($C404=5,$D404=1,$E404=3),"L","")</f>
        <v>L</v>
      </c>
      <c r="H404" s="71"/>
    </row>
    <row r="405" spans="3:8" x14ac:dyDescent="0.3">
      <c r="C405" s="8">
        <v>5</v>
      </c>
      <c r="D405" s="5">
        <v>1</v>
      </c>
      <c r="E405" s="5">
        <v>4</v>
      </c>
      <c r="F405" s="2" t="s">
        <v>474</v>
      </c>
      <c r="G405" s="67" t="str">
        <f>IF(AND($C405=5,$D405=1,$E405=4),"L","")</f>
        <v>L</v>
      </c>
      <c r="H405" s="71"/>
    </row>
    <row r="406" spans="3:8" x14ac:dyDescent="0.3">
      <c r="C406" s="8">
        <v>5</v>
      </c>
      <c r="D406" s="5">
        <v>1</v>
      </c>
      <c r="E406" s="5">
        <v>5</v>
      </c>
      <c r="F406" s="2" t="s">
        <v>475</v>
      </c>
      <c r="G406" s="67" t="str">
        <f>IF(AND($C406=5,$D406=1,$E406=5),"L","")</f>
        <v>L</v>
      </c>
      <c r="H406" s="71"/>
    </row>
    <row r="407" spans="3:8" x14ac:dyDescent="0.3">
      <c r="C407" s="8">
        <v>5</v>
      </c>
      <c r="D407" s="5">
        <v>1</v>
      </c>
      <c r="E407" s="5">
        <v>6</v>
      </c>
      <c r="F407" s="2" t="s">
        <v>476</v>
      </c>
      <c r="G407" s="67" t="str">
        <f>IF(AND($C407=5,$D407=1,$E407=6),"L","")</f>
        <v>L</v>
      </c>
      <c r="H407" s="71"/>
    </row>
    <row r="408" spans="3:8" x14ac:dyDescent="0.3">
      <c r="C408" s="8">
        <v>5</v>
      </c>
      <c r="D408" s="5">
        <v>1</v>
      </c>
      <c r="E408" s="5">
        <v>7</v>
      </c>
      <c r="F408" s="2" t="s">
        <v>477</v>
      </c>
      <c r="G408" s="67" t="str">
        <f>IF(AND($C408=5,$D408=1,$E408=7),"L","")</f>
        <v>L</v>
      </c>
      <c r="H408" s="71"/>
    </row>
    <row r="409" spans="3:8" x14ac:dyDescent="0.3">
      <c r="C409" s="8">
        <v>5</v>
      </c>
      <c r="D409" s="5">
        <v>1</v>
      </c>
      <c r="E409" s="5">
        <v>8</v>
      </c>
      <c r="F409" s="2" t="s">
        <v>478</v>
      </c>
      <c r="G409" s="67" t="str">
        <f>IF(AND($C409=5,$D409=1,$E409=8),"L","")</f>
        <v>L</v>
      </c>
      <c r="H409" s="71"/>
    </row>
    <row r="410" spans="3:8" x14ac:dyDescent="0.3">
      <c r="C410" s="8">
        <v>5</v>
      </c>
      <c r="D410" s="5">
        <v>1</v>
      </c>
      <c r="E410" s="5">
        <v>9</v>
      </c>
      <c r="F410" s="2" t="s">
        <v>479</v>
      </c>
      <c r="G410" s="67" t="str">
        <f>IF(AND($C410=5,$D410=1,$E410=9),"L","")</f>
        <v>L</v>
      </c>
      <c r="H410" s="71"/>
    </row>
    <row r="411" spans="3:8" x14ac:dyDescent="0.3">
      <c r="C411" s="8">
        <v>5</v>
      </c>
      <c r="D411" s="5">
        <v>1</v>
      </c>
      <c r="E411" s="5">
        <v>10</v>
      </c>
      <c r="F411" s="2" t="s">
        <v>480</v>
      </c>
      <c r="G411" s="67" t="str">
        <f>IF(AND($C411=5,$D411=1,$E411=10),"L","")</f>
        <v>L</v>
      </c>
      <c r="H411" s="71"/>
    </row>
    <row r="412" spans="3:8" x14ac:dyDescent="0.3">
      <c r="C412" s="8">
        <v>5</v>
      </c>
      <c r="D412" s="5">
        <v>2</v>
      </c>
      <c r="E412" s="5">
        <v>1</v>
      </c>
      <c r="F412" s="2" t="s">
        <v>481</v>
      </c>
      <c r="G412" s="67" t="str">
        <f>IF(AND($C412=5,$D412=2,$E412=1),"L","")</f>
        <v>L</v>
      </c>
      <c r="H412" s="71"/>
    </row>
    <row r="413" spans="3:8" x14ac:dyDescent="0.3">
      <c r="C413" s="8">
        <v>5</v>
      </c>
      <c r="D413" s="5">
        <v>2</v>
      </c>
      <c r="E413" s="5">
        <v>2</v>
      </c>
      <c r="F413" s="2" t="s">
        <v>482</v>
      </c>
      <c r="G413" s="67" t="str">
        <f>IF(AND($C413=5,$D413=2,$E413=2),"L","")</f>
        <v>L</v>
      </c>
      <c r="H413" s="71"/>
    </row>
    <row r="414" spans="3:8" x14ac:dyDescent="0.3">
      <c r="C414" s="8">
        <v>5</v>
      </c>
      <c r="D414" s="5">
        <v>2</v>
      </c>
      <c r="E414" s="5">
        <v>3</v>
      </c>
      <c r="F414" s="2" t="s">
        <v>483</v>
      </c>
      <c r="G414" s="67" t="str">
        <f>IF(AND($C414=5,$D414=2,$E414=3),"L","")</f>
        <v>L</v>
      </c>
      <c r="H414" s="71"/>
    </row>
    <row r="415" spans="3:8" x14ac:dyDescent="0.3">
      <c r="C415" s="8">
        <v>5</v>
      </c>
      <c r="D415" s="5">
        <v>2</v>
      </c>
      <c r="E415" s="5">
        <v>4</v>
      </c>
      <c r="F415" s="2" t="s">
        <v>484</v>
      </c>
      <c r="G415" s="67" t="str">
        <f>IF(AND($C415=5,$D415=2,$E415=4),"L","")</f>
        <v>L</v>
      </c>
      <c r="H415" s="71"/>
    </row>
    <row r="416" spans="3:8" x14ac:dyDescent="0.3">
      <c r="C416" s="8">
        <v>5</v>
      </c>
      <c r="D416" s="5">
        <v>2</v>
      </c>
      <c r="E416" s="5">
        <v>5</v>
      </c>
      <c r="F416" s="2" t="s">
        <v>485</v>
      </c>
      <c r="G416" s="67" t="str">
        <f>IF(AND($C416=5,$D416=2,$E416=5),"L","")</f>
        <v>L</v>
      </c>
      <c r="H416" s="71"/>
    </row>
    <row r="417" spans="3:8" x14ac:dyDescent="0.3">
      <c r="C417" s="8">
        <v>5</v>
      </c>
      <c r="D417" s="5">
        <v>2</v>
      </c>
      <c r="E417" s="5">
        <v>6</v>
      </c>
      <c r="F417" s="2" t="s">
        <v>486</v>
      </c>
      <c r="G417" s="67" t="str">
        <f>IF(AND($C417=5,$D417=2,$E417=6),"L","")</f>
        <v>L</v>
      </c>
      <c r="H417" s="71"/>
    </row>
    <row r="418" spans="3:8" x14ac:dyDescent="0.3">
      <c r="C418" s="8">
        <v>5</v>
      </c>
      <c r="D418" s="5">
        <v>2</v>
      </c>
      <c r="E418" s="5">
        <v>7</v>
      </c>
      <c r="F418" s="2" t="s">
        <v>487</v>
      </c>
      <c r="G418" s="67" t="str">
        <f>IF(AND($C418=5,$D418=2,$E418=7),"L","")</f>
        <v>L</v>
      </c>
      <c r="H418" s="71"/>
    </row>
    <row r="419" spans="3:8" x14ac:dyDescent="0.3">
      <c r="C419" s="8">
        <v>5</v>
      </c>
      <c r="D419" s="5">
        <v>2</v>
      </c>
      <c r="E419" s="5">
        <v>8</v>
      </c>
      <c r="F419" s="2" t="s">
        <v>488</v>
      </c>
      <c r="G419" s="67" t="str">
        <f>IF(AND($C419=5,$D419=2,$E419=8),"L","")</f>
        <v>L</v>
      </c>
      <c r="H419" s="71"/>
    </row>
    <row r="420" spans="3:8" x14ac:dyDescent="0.3">
      <c r="C420" s="8">
        <v>5</v>
      </c>
      <c r="D420" s="5">
        <v>2</v>
      </c>
      <c r="E420" s="5">
        <v>9</v>
      </c>
      <c r="F420" s="2" t="s">
        <v>489</v>
      </c>
      <c r="G420" s="67" t="str">
        <f>IF(AND($C420=5,$D420=2,$E420=9),"L","")</f>
        <v>L</v>
      </c>
      <c r="H420" s="71"/>
    </row>
    <row r="421" spans="3:8" x14ac:dyDescent="0.3">
      <c r="C421" s="8">
        <v>5</v>
      </c>
      <c r="D421" s="5">
        <v>2</v>
      </c>
      <c r="E421" s="5">
        <v>10</v>
      </c>
      <c r="F421" s="2" t="s">
        <v>490</v>
      </c>
      <c r="G421" s="67" t="str">
        <f>IF(AND($C421=5,$D421=2,$E421=10),"L","")</f>
        <v>L</v>
      </c>
      <c r="H421" s="71"/>
    </row>
    <row r="422" spans="3:8" x14ac:dyDescent="0.3">
      <c r="C422" s="8">
        <v>5</v>
      </c>
      <c r="D422" s="5">
        <v>3</v>
      </c>
      <c r="E422" s="5">
        <v>1</v>
      </c>
      <c r="F422" s="2" t="s">
        <v>491</v>
      </c>
      <c r="G422" s="67" t="str">
        <f>IF(AND($C422=5,$D422=3,$E422=1),"L","")</f>
        <v>L</v>
      </c>
      <c r="H422" s="71"/>
    </row>
    <row r="423" spans="3:8" x14ac:dyDescent="0.3">
      <c r="C423" s="8">
        <v>5</v>
      </c>
      <c r="D423" s="5">
        <v>3</v>
      </c>
      <c r="E423" s="5">
        <v>2</v>
      </c>
      <c r="F423" s="2" t="s">
        <v>492</v>
      </c>
      <c r="G423" s="67" t="str">
        <f>IF(AND($C423=5,$D423=3,$E423=2),"L","")</f>
        <v>L</v>
      </c>
      <c r="H423" s="71"/>
    </row>
    <row r="424" spans="3:8" x14ac:dyDescent="0.3">
      <c r="C424" s="8">
        <v>5</v>
      </c>
      <c r="D424" s="5">
        <v>3</v>
      </c>
      <c r="E424" s="5">
        <v>3</v>
      </c>
      <c r="F424" s="2" t="s">
        <v>493</v>
      </c>
      <c r="G424" s="67" t="str">
        <f>IF(AND($C424=5,$D424=3,$E424=3),"L","")</f>
        <v>L</v>
      </c>
      <c r="H424" s="71"/>
    </row>
    <row r="425" spans="3:8" x14ac:dyDescent="0.3">
      <c r="C425" s="8">
        <v>5</v>
      </c>
      <c r="D425" s="5">
        <v>3</v>
      </c>
      <c r="E425" s="5">
        <v>4</v>
      </c>
      <c r="F425" s="2" t="s">
        <v>494</v>
      </c>
      <c r="G425" s="67" t="str">
        <f>IF(AND($C425=5,$D425=3,$E425=4),"L","")</f>
        <v>L</v>
      </c>
      <c r="H425" s="71"/>
    </row>
    <row r="426" spans="3:8" x14ac:dyDescent="0.3">
      <c r="C426" s="8">
        <v>5</v>
      </c>
      <c r="D426" s="5">
        <v>3</v>
      </c>
      <c r="E426" s="5">
        <v>5</v>
      </c>
      <c r="F426" s="2" t="s">
        <v>495</v>
      </c>
      <c r="G426" s="67" t="str">
        <f>IF(AND($C426=5,$D426=3,$E426=5),"L","")</f>
        <v>L</v>
      </c>
      <c r="H426" s="71"/>
    </row>
    <row r="427" spans="3:8" x14ac:dyDescent="0.3">
      <c r="C427" s="8">
        <v>5</v>
      </c>
      <c r="D427" s="5">
        <v>3</v>
      </c>
      <c r="E427" s="5">
        <v>6</v>
      </c>
      <c r="F427" s="2" t="s">
        <v>496</v>
      </c>
      <c r="G427" s="67" t="str">
        <f>IF(AND($C427=5,$D427=3,$E427=6),"L","")</f>
        <v>L</v>
      </c>
      <c r="H427" s="71"/>
    </row>
    <row r="428" spans="3:8" x14ac:dyDescent="0.3">
      <c r="C428" s="8">
        <v>5</v>
      </c>
      <c r="D428" s="5">
        <v>3</v>
      </c>
      <c r="E428" s="5">
        <v>7</v>
      </c>
      <c r="F428" s="2" t="s">
        <v>497</v>
      </c>
      <c r="G428" s="67" t="str">
        <f>IF(AND($C428=5,$D428=3,$E428=7),"L","")</f>
        <v>L</v>
      </c>
      <c r="H428" s="71"/>
    </row>
    <row r="429" spans="3:8" x14ac:dyDescent="0.3">
      <c r="C429" s="8">
        <v>5</v>
      </c>
      <c r="D429" s="5">
        <v>3</v>
      </c>
      <c r="E429" s="5">
        <v>8</v>
      </c>
      <c r="F429" s="2" t="s">
        <v>498</v>
      </c>
      <c r="G429" s="67" t="str">
        <f>IF(AND($C429=5,$D429=3,$E429=8),"L","")</f>
        <v>L</v>
      </c>
      <c r="H429" s="71"/>
    </row>
    <row r="430" spans="3:8" x14ac:dyDescent="0.3">
      <c r="C430" s="8">
        <v>5</v>
      </c>
      <c r="D430" s="5">
        <v>3</v>
      </c>
      <c r="E430" s="5">
        <v>9</v>
      </c>
      <c r="F430" s="2" t="s">
        <v>499</v>
      </c>
      <c r="G430" s="67" t="str">
        <f>IF(AND($C430=5,$D430=3,$E430=9),"L","")</f>
        <v>L</v>
      </c>
      <c r="H430" s="71"/>
    </row>
    <row r="431" spans="3:8" x14ac:dyDescent="0.3">
      <c r="C431" s="8">
        <v>5</v>
      </c>
      <c r="D431" s="5">
        <v>3</v>
      </c>
      <c r="E431" s="5">
        <v>10</v>
      </c>
      <c r="F431" s="2" t="s">
        <v>500</v>
      </c>
      <c r="G431" s="67" t="str">
        <f>IF(AND($C431=5,$D431=3,$E431=10),"L","")</f>
        <v>L</v>
      </c>
      <c r="H431" s="71"/>
    </row>
    <row r="432" spans="3:8" x14ac:dyDescent="0.3">
      <c r="C432" s="8">
        <v>5</v>
      </c>
      <c r="D432" s="5">
        <v>4</v>
      </c>
      <c r="E432" s="5">
        <v>1</v>
      </c>
      <c r="F432" s="2" t="s">
        <v>501</v>
      </c>
      <c r="G432" s="67" t="str">
        <f>IF(AND($C432=5,$D432=4,$E432=1),"L","")</f>
        <v>L</v>
      </c>
      <c r="H432" s="71"/>
    </row>
    <row r="433" spans="3:8" x14ac:dyDescent="0.3">
      <c r="C433" s="8">
        <v>5</v>
      </c>
      <c r="D433" s="5">
        <v>4</v>
      </c>
      <c r="E433" s="5">
        <v>2</v>
      </c>
      <c r="F433" s="2" t="s">
        <v>502</v>
      </c>
      <c r="G433" s="67" t="str">
        <f>IF(AND($C433=5,$D433=4,$E433=2),"L","")</f>
        <v>L</v>
      </c>
      <c r="H433" s="71"/>
    </row>
    <row r="434" spans="3:8" x14ac:dyDescent="0.3">
      <c r="C434" s="8">
        <v>5</v>
      </c>
      <c r="D434" s="5">
        <v>4</v>
      </c>
      <c r="E434" s="5">
        <v>3</v>
      </c>
      <c r="F434" s="2" t="s">
        <v>503</v>
      </c>
      <c r="G434" s="67" t="str">
        <f>IF(AND($C434=5,$D434=4,$E434=3),"L","")</f>
        <v>L</v>
      </c>
      <c r="H434" s="71"/>
    </row>
    <row r="435" spans="3:8" x14ac:dyDescent="0.3">
      <c r="C435" s="8">
        <v>5</v>
      </c>
      <c r="D435" s="5">
        <v>4</v>
      </c>
      <c r="E435" s="5">
        <v>4</v>
      </c>
      <c r="F435" s="2" t="s">
        <v>504</v>
      </c>
      <c r="G435" s="67" t="str">
        <f>IF(AND($C435=5,$D435=4,$E435=4),"L","")</f>
        <v>L</v>
      </c>
      <c r="H435" s="71"/>
    </row>
    <row r="436" spans="3:8" x14ac:dyDescent="0.3">
      <c r="C436" s="8">
        <v>5</v>
      </c>
      <c r="D436" s="5">
        <v>4</v>
      </c>
      <c r="E436" s="5">
        <v>5</v>
      </c>
      <c r="F436" s="2" t="s">
        <v>505</v>
      </c>
      <c r="G436" s="67" t="str">
        <f>IF(AND($C436=5,$D436=4,$E436=5),"L","")</f>
        <v>L</v>
      </c>
      <c r="H436" s="71"/>
    </row>
    <row r="437" spans="3:8" x14ac:dyDescent="0.3">
      <c r="C437" s="8">
        <v>5</v>
      </c>
      <c r="D437" s="5">
        <v>4</v>
      </c>
      <c r="E437" s="5">
        <v>6</v>
      </c>
      <c r="F437" s="2" t="s">
        <v>506</v>
      </c>
      <c r="G437" s="67" t="str">
        <f>IF(AND($C437=5,$D437=4,$E437=6),"L","")</f>
        <v>L</v>
      </c>
      <c r="H437" s="71"/>
    </row>
    <row r="438" spans="3:8" x14ac:dyDescent="0.3">
      <c r="C438" s="8">
        <v>5</v>
      </c>
      <c r="D438" s="5">
        <v>4</v>
      </c>
      <c r="E438" s="5">
        <v>7</v>
      </c>
      <c r="F438" s="2" t="s">
        <v>507</v>
      </c>
      <c r="G438" s="67" t="str">
        <f>IF(AND($C438=5,$D438=4,$E438=7),"L","")</f>
        <v>L</v>
      </c>
      <c r="H438" s="71"/>
    </row>
    <row r="439" spans="3:8" x14ac:dyDescent="0.3">
      <c r="C439" s="8">
        <v>5</v>
      </c>
      <c r="D439" s="5">
        <v>4</v>
      </c>
      <c r="E439" s="5">
        <v>8</v>
      </c>
      <c r="F439" s="2" t="s">
        <v>508</v>
      </c>
      <c r="G439" s="67" t="str">
        <f>IF(AND($C439=5,$D439=4,$E439=8),"L","")</f>
        <v>L</v>
      </c>
      <c r="H439" s="71"/>
    </row>
    <row r="440" spans="3:8" x14ac:dyDescent="0.3">
      <c r="C440" s="8">
        <v>5</v>
      </c>
      <c r="D440" s="5">
        <v>4</v>
      </c>
      <c r="E440" s="5">
        <v>9</v>
      </c>
      <c r="F440" s="2" t="s">
        <v>509</v>
      </c>
      <c r="G440" s="67" t="str">
        <f>IF(AND($C440=5,$D440=4,$E440=9),"L","")</f>
        <v>L</v>
      </c>
      <c r="H440" s="71"/>
    </row>
    <row r="441" spans="3:8" x14ac:dyDescent="0.3">
      <c r="C441" s="8">
        <v>5</v>
      </c>
      <c r="D441" s="5">
        <v>4</v>
      </c>
      <c r="E441" s="5">
        <v>10</v>
      </c>
      <c r="F441" s="2" t="s">
        <v>510</v>
      </c>
      <c r="G441" s="67" t="str">
        <f>IF(AND($C441=5,$D441=4,$E441=10),"L","")</f>
        <v>L</v>
      </c>
      <c r="H441" s="71"/>
    </row>
    <row r="442" spans="3:8" x14ac:dyDescent="0.3">
      <c r="C442" s="8">
        <v>5</v>
      </c>
      <c r="D442" s="5">
        <v>5</v>
      </c>
      <c r="E442" s="5">
        <v>1</v>
      </c>
      <c r="F442" s="2" t="s">
        <v>511</v>
      </c>
      <c r="G442" s="67" t="str">
        <f>IF(AND($C442=5,$D442=5,$E442=1),"L","")</f>
        <v>L</v>
      </c>
      <c r="H442" s="71"/>
    </row>
    <row r="443" spans="3:8" x14ac:dyDescent="0.3">
      <c r="C443" s="8">
        <v>5</v>
      </c>
      <c r="D443" s="5">
        <v>5</v>
      </c>
      <c r="E443" s="5">
        <v>2</v>
      </c>
      <c r="F443" s="2" t="s">
        <v>512</v>
      </c>
      <c r="G443" s="67" t="str">
        <f>IF(AND($C443=5,$D443=5,$E443=2),"L","")</f>
        <v>L</v>
      </c>
      <c r="H443" s="71"/>
    </row>
    <row r="444" spans="3:8" x14ac:dyDescent="0.3">
      <c r="C444" s="8">
        <v>5</v>
      </c>
      <c r="D444" s="5">
        <v>5</v>
      </c>
      <c r="E444" s="5">
        <v>3</v>
      </c>
      <c r="F444" s="2" t="s">
        <v>513</v>
      </c>
      <c r="G444" s="67" t="str">
        <f>IF(AND($C444=5,$D444=5,$E444=3),"L","")</f>
        <v>L</v>
      </c>
      <c r="H444" s="71"/>
    </row>
    <row r="445" spans="3:8" x14ac:dyDescent="0.3">
      <c r="C445" s="8">
        <v>5</v>
      </c>
      <c r="D445" s="5">
        <v>5</v>
      </c>
      <c r="E445" s="5">
        <v>4</v>
      </c>
      <c r="F445" s="2" t="s">
        <v>514</v>
      </c>
      <c r="G445" s="67" t="str">
        <f>IF(AND($C445=5,$D445=5,$E445=4),"L","")</f>
        <v>L</v>
      </c>
      <c r="H445" s="71"/>
    </row>
    <row r="446" spans="3:8" x14ac:dyDescent="0.3">
      <c r="C446" s="8">
        <v>5</v>
      </c>
      <c r="D446" s="5">
        <v>5</v>
      </c>
      <c r="E446" s="5">
        <v>5</v>
      </c>
      <c r="F446" s="2" t="s">
        <v>515</v>
      </c>
      <c r="G446" s="67" t="str">
        <f>IF(AND($C446=5,$D446=5,$E446=5),"L","")</f>
        <v>L</v>
      </c>
      <c r="H446" s="71"/>
    </row>
    <row r="447" spans="3:8" x14ac:dyDescent="0.3">
      <c r="C447" s="8">
        <v>5</v>
      </c>
      <c r="D447" s="5">
        <v>5</v>
      </c>
      <c r="E447" s="5">
        <v>6</v>
      </c>
      <c r="F447" s="2" t="s">
        <v>516</v>
      </c>
      <c r="G447" s="67" t="str">
        <f>IF(AND($C447=5,$D447=5,$E447=6),"L","")</f>
        <v>L</v>
      </c>
      <c r="H447" s="71"/>
    </row>
    <row r="448" spans="3:8" x14ac:dyDescent="0.3">
      <c r="C448" s="8">
        <v>5</v>
      </c>
      <c r="D448" s="5">
        <v>5</v>
      </c>
      <c r="E448" s="5">
        <v>7</v>
      </c>
      <c r="F448" s="2" t="s">
        <v>517</v>
      </c>
      <c r="G448" s="68" t="str">
        <f>IF(AND($C448=5,$D448=5,$E448=7),"M","")</f>
        <v>M</v>
      </c>
      <c r="H448" s="71"/>
    </row>
    <row r="449" spans="3:8" x14ac:dyDescent="0.3">
      <c r="C449" s="8">
        <v>5</v>
      </c>
      <c r="D449" s="5">
        <v>5</v>
      </c>
      <c r="E449" s="5">
        <v>8</v>
      </c>
      <c r="F449" s="2" t="s">
        <v>518</v>
      </c>
      <c r="G449" s="68" t="str">
        <f>IF(AND($C449=5,$D449=5,$E449=8),"M","")</f>
        <v>M</v>
      </c>
      <c r="H449" s="71"/>
    </row>
    <row r="450" spans="3:8" x14ac:dyDescent="0.3">
      <c r="C450" s="8">
        <v>5</v>
      </c>
      <c r="D450" s="5">
        <v>5</v>
      </c>
      <c r="E450" s="5">
        <v>9</v>
      </c>
      <c r="F450" s="2" t="s">
        <v>519</v>
      </c>
      <c r="G450" s="68" t="str">
        <f>IF(AND($C450=5,$D450=5,$E450=9),"M","")</f>
        <v>M</v>
      </c>
      <c r="H450" s="71"/>
    </row>
    <row r="451" spans="3:8" x14ac:dyDescent="0.3">
      <c r="C451" s="8">
        <v>5</v>
      </c>
      <c r="D451" s="5">
        <v>5</v>
      </c>
      <c r="E451" s="5">
        <v>10</v>
      </c>
      <c r="F451" s="2" t="s">
        <v>520</v>
      </c>
      <c r="G451" s="68" t="str">
        <f>IF(AND($C451=5,$D451=5,$E451=10),"M","")</f>
        <v>M</v>
      </c>
      <c r="H451" s="71"/>
    </row>
    <row r="452" spans="3:8" x14ac:dyDescent="0.3">
      <c r="C452" s="8">
        <v>5</v>
      </c>
      <c r="D452" s="5">
        <v>6</v>
      </c>
      <c r="E452" s="5">
        <v>1</v>
      </c>
      <c r="F452" s="2" t="s">
        <v>521</v>
      </c>
      <c r="G452" s="67" t="str">
        <f>IF(AND($C452=5,$D452=6,$E452=1),"L","")</f>
        <v>L</v>
      </c>
      <c r="H452" s="71"/>
    </row>
    <row r="453" spans="3:8" x14ac:dyDescent="0.3">
      <c r="C453" s="8">
        <v>5</v>
      </c>
      <c r="D453" s="5">
        <v>6</v>
      </c>
      <c r="E453" s="5">
        <v>2</v>
      </c>
      <c r="F453" s="2" t="s">
        <v>522</v>
      </c>
      <c r="G453" s="68" t="str">
        <f>IF(AND($C453=5,$D453=6,$E453=2),"M","")</f>
        <v>M</v>
      </c>
      <c r="H453" s="71"/>
    </row>
    <row r="454" spans="3:8" x14ac:dyDescent="0.3">
      <c r="C454" s="8">
        <v>5</v>
      </c>
      <c r="D454" s="5">
        <v>6</v>
      </c>
      <c r="E454" s="5">
        <v>3</v>
      </c>
      <c r="F454" s="2" t="s">
        <v>523</v>
      </c>
      <c r="G454" s="68" t="str">
        <f>IF(AND($C454=5,$D454=6,$E454=3),"M","")</f>
        <v>M</v>
      </c>
      <c r="H454" s="71"/>
    </row>
    <row r="455" spans="3:8" x14ac:dyDescent="0.3">
      <c r="C455" s="8">
        <v>5</v>
      </c>
      <c r="D455" s="5">
        <v>6</v>
      </c>
      <c r="E455" s="5">
        <v>4</v>
      </c>
      <c r="F455" s="2" t="s">
        <v>524</v>
      </c>
      <c r="G455" s="68" t="str">
        <f>IF(AND($C455=5,$D455=6,$E455=4),"M","")</f>
        <v>M</v>
      </c>
      <c r="H455" s="71"/>
    </row>
    <row r="456" spans="3:8" x14ac:dyDescent="0.3">
      <c r="C456" s="8">
        <v>5</v>
      </c>
      <c r="D456" s="5">
        <v>6</v>
      </c>
      <c r="E456" s="5">
        <v>5</v>
      </c>
      <c r="F456" s="2" t="s">
        <v>525</v>
      </c>
      <c r="G456" s="68" t="str">
        <f>IF(AND($C456=5,$D456=6,$E456=5),"M","")</f>
        <v>M</v>
      </c>
      <c r="H456" s="71"/>
    </row>
    <row r="457" spans="3:8" x14ac:dyDescent="0.3">
      <c r="C457" s="8">
        <v>5</v>
      </c>
      <c r="D457" s="5">
        <v>6</v>
      </c>
      <c r="E457" s="5">
        <v>6</v>
      </c>
      <c r="F457" s="2" t="s">
        <v>526</v>
      </c>
      <c r="G457" s="68" t="str">
        <f>IF(AND($C457=5,$D457=6,$E457=6),"M","")</f>
        <v>M</v>
      </c>
      <c r="H457" s="71"/>
    </row>
    <row r="458" spans="3:8" x14ac:dyDescent="0.3">
      <c r="C458" s="8">
        <v>5</v>
      </c>
      <c r="D458" s="5">
        <v>6</v>
      </c>
      <c r="E458" s="5">
        <v>7</v>
      </c>
      <c r="F458" s="2" t="s">
        <v>527</v>
      </c>
      <c r="G458" s="68" t="str">
        <f>IF(AND($C458=5,$D458=6,$E458=7),"M","")</f>
        <v>M</v>
      </c>
      <c r="H458" s="71"/>
    </row>
    <row r="459" spans="3:8" x14ac:dyDescent="0.3">
      <c r="C459" s="8">
        <v>5</v>
      </c>
      <c r="D459" s="5">
        <v>6</v>
      </c>
      <c r="E459" s="5">
        <v>8</v>
      </c>
      <c r="F459" s="2" t="s">
        <v>528</v>
      </c>
      <c r="G459" s="68" t="str">
        <f>IF(AND($C459=5,$D459=6,$E459=8),"M","")</f>
        <v>M</v>
      </c>
      <c r="H459" s="71"/>
    </row>
    <row r="460" spans="3:8" x14ac:dyDescent="0.3">
      <c r="C460" s="8">
        <v>5</v>
      </c>
      <c r="D460" s="5">
        <v>6</v>
      </c>
      <c r="E460" s="5">
        <v>9</v>
      </c>
      <c r="F460" s="2" t="s">
        <v>529</v>
      </c>
      <c r="G460" s="68" t="str">
        <f>IF(AND($C460=5,$D460=6,$E460=9),"M","")</f>
        <v>M</v>
      </c>
      <c r="H460" s="71"/>
    </row>
    <row r="461" spans="3:8" x14ac:dyDescent="0.3">
      <c r="C461" s="8">
        <v>5</v>
      </c>
      <c r="D461" s="5">
        <v>6</v>
      </c>
      <c r="E461" s="5">
        <v>10</v>
      </c>
      <c r="F461" s="2" t="s">
        <v>530</v>
      </c>
      <c r="G461" s="68" t="str">
        <f>IF(AND($C461=5,$D461=6,$E461=10),"M","")</f>
        <v>M</v>
      </c>
      <c r="H461" s="71"/>
    </row>
    <row r="462" spans="3:8" x14ac:dyDescent="0.3">
      <c r="C462" s="8">
        <v>5</v>
      </c>
      <c r="D462" s="5">
        <v>7</v>
      </c>
      <c r="E462" s="5">
        <v>1</v>
      </c>
      <c r="F462" s="2" t="s">
        <v>531</v>
      </c>
      <c r="G462" s="68" t="str">
        <f>IF(AND($C462=5,$D462=7,$E462=1),"M","")</f>
        <v>M</v>
      </c>
      <c r="H462" s="71"/>
    </row>
    <row r="463" spans="3:8" x14ac:dyDescent="0.3">
      <c r="C463" s="8">
        <v>5</v>
      </c>
      <c r="D463" s="5">
        <v>7</v>
      </c>
      <c r="E463" s="5">
        <v>2</v>
      </c>
      <c r="F463" s="2" t="s">
        <v>532</v>
      </c>
      <c r="G463" s="68" t="str">
        <f>IF(AND($C463=5,$D463=7,$E463=2),"M","")</f>
        <v>M</v>
      </c>
      <c r="H463" s="71"/>
    </row>
    <row r="464" spans="3:8" x14ac:dyDescent="0.3">
      <c r="C464" s="8">
        <v>5</v>
      </c>
      <c r="D464" s="5">
        <v>7</v>
      </c>
      <c r="E464" s="5">
        <v>3</v>
      </c>
      <c r="F464" s="2" t="s">
        <v>533</v>
      </c>
      <c r="G464" s="68" t="str">
        <f>IF(AND($C464=5,$D464=7,$E464=3),"M","")</f>
        <v>M</v>
      </c>
      <c r="H464" s="71"/>
    </row>
    <row r="465" spans="3:8" x14ac:dyDescent="0.3">
      <c r="C465" s="8">
        <v>5</v>
      </c>
      <c r="D465" s="5">
        <v>7</v>
      </c>
      <c r="E465" s="5">
        <v>4</v>
      </c>
      <c r="F465" s="2" t="s">
        <v>534</v>
      </c>
      <c r="G465" s="68" t="str">
        <f>IF(AND($C465=5,$D465=7,$E465=4),"M","")</f>
        <v>M</v>
      </c>
      <c r="H465" s="71"/>
    </row>
    <row r="466" spans="3:8" x14ac:dyDescent="0.3">
      <c r="C466" s="8">
        <v>5</v>
      </c>
      <c r="D466" s="5">
        <v>7</v>
      </c>
      <c r="E466" s="5">
        <v>5</v>
      </c>
      <c r="F466" s="2" t="s">
        <v>535</v>
      </c>
      <c r="G466" s="68" t="str">
        <f>IF(AND($C466=5,$D466=7,$E466=5),"M","")</f>
        <v>M</v>
      </c>
      <c r="H466" s="71"/>
    </row>
    <row r="467" spans="3:8" x14ac:dyDescent="0.3">
      <c r="C467" s="8">
        <v>5</v>
      </c>
      <c r="D467" s="5">
        <v>7</v>
      </c>
      <c r="E467" s="5">
        <v>6</v>
      </c>
      <c r="F467" s="2" t="s">
        <v>536</v>
      </c>
      <c r="G467" s="68" t="str">
        <f>IF(AND($C467=5,$D467=7,$E467=6),"M","")</f>
        <v>M</v>
      </c>
      <c r="H467" s="71"/>
    </row>
    <row r="468" spans="3:8" x14ac:dyDescent="0.3">
      <c r="C468" s="8">
        <v>5</v>
      </c>
      <c r="D468" s="5">
        <v>7</v>
      </c>
      <c r="E468" s="5">
        <v>7</v>
      </c>
      <c r="F468" s="2" t="s">
        <v>537</v>
      </c>
      <c r="G468" s="68" t="str">
        <f>IF(AND($C468=5,$D468=7,$E468=7),"M","")</f>
        <v>M</v>
      </c>
      <c r="H468" s="71"/>
    </row>
    <row r="469" spans="3:8" x14ac:dyDescent="0.3">
      <c r="C469" s="8">
        <v>5</v>
      </c>
      <c r="D469" s="5">
        <v>7</v>
      </c>
      <c r="E469" s="5">
        <v>8</v>
      </c>
      <c r="F469" s="2" t="s">
        <v>538</v>
      </c>
      <c r="G469" s="68" t="str">
        <f>IF(AND($C469=5,$D469=7,$E469=8),"M","")</f>
        <v>M</v>
      </c>
      <c r="H469" s="71"/>
    </row>
    <row r="470" spans="3:8" x14ac:dyDescent="0.3">
      <c r="C470" s="8">
        <v>5</v>
      </c>
      <c r="D470" s="5">
        <v>7</v>
      </c>
      <c r="E470" s="5">
        <v>9</v>
      </c>
      <c r="F470" s="2" t="s">
        <v>539</v>
      </c>
      <c r="G470" s="68" t="str">
        <f>IF(AND($C470=5,$D470=7,$E470=9),"M","")</f>
        <v>M</v>
      </c>
      <c r="H470" s="71"/>
    </row>
    <row r="471" spans="3:8" x14ac:dyDescent="0.3">
      <c r="C471" s="8">
        <v>5</v>
      </c>
      <c r="D471" s="5">
        <v>7</v>
      </c>
      <c r="E471" s="5">
        <v>10</v>
      </c>
      <c r="F471" s="2" t="s">
        <v>540</v>
      </c>
      <c r="G471" s="68" t="str">
        <f>IF(AND($C471=5,$D471=7,$E471=10),"M","")</f>
        <v>M</v>
      </c>
      <c r="H471" s="71"/>
    </row>
    <row r="472" spans="3:8" x14ac:dyDescent="0.3">
      <c r="C472" s="8">
        <v>5</v>
      </c>
      <c r="D472" s="5">
        <v>8</v>
      </c>
      <c r="E472" s="5">
        <v>1</v>
      </c>
      <c r="F472" s="2" t="s">
        <v>541</v>
      </c>
      <c r="G472" s="68" t="str">
        <f>IF(AND($C472=5,$D472=8,$E472=1),"M","")</f>
        <v>M</v>
      </c>
      <c r="H472" s="71"/>
    </row>
    <row r="473" spans="3:8" x14ac:dyDescent="0.3">
      <c r="C473" s="8">
        <v>5</v>
      </c>
      <c r="D473" s="5">
        <v>8</v>
      </c>
      <c r="E473" s="5">
        <v>2</v>
      </c>
      <c r="F473" s="2" t="s">
        <v>542</v>
      </c>
      <c r="G473" s="68" t="str">
        <f>IF(AND($C473=5,$D473=8,$E473=2),"M","")</f>
        <v>M</v>
      </c>
      <c r="H473" s="71"/>
    </row>
    <row r="474" spans="3:8" x14ac:dyDescent="0.3">
      <c r="C474" s="8">
        <v>5</v>
      </c>
      <c r="D474" s="5">
        <v>8</v>
      </c>
      <c r="E474" s="5">
        <v>3</v>
      </c>
      <c r="F474" s="2" t="s">
        <v>543</v>
      </c>
      <c r="G474" s="68" t="str">
        <f>IF(AND($C474=5,$D474=8,$E474=3),"M","")</f>
        <v>M</v>
      </c>
      <c r="H474" s="71"/>
    </row>
    <row r="475" spans="3:8" x14ac:dyDescent="0.3">
      <c r="C475" s="8">
        <v>5</v>
      </c>
      <c r="D475" s="5">
        <v>8</v>
      </c>
      <c r="E475" s="5">
        <v>4</v>
      </c>
      <c r="F475" s="2" t="s">
        <v>544</v>
      </c>
      <c r="G475" s="68" t="str">
        <f>IF(AND($C475=5,$D475=8,$E475=4),"M","")</f>
        <v>M</v>
      </c>
      <c r="H475" s="71"/>
    </row>
    <row r="476" spans="3:8" x14ac:dyDescent="0.3">
      <c r="C476" s="8">
        <v>5</v>
      </c>
      <c r="D476" s="5">
        <v>8</v>
      </c>
      <c r="E476" s="5">
        <v>5</v>
      </c>
      <c r="F476" s="2" t="s">
        <v>545</v>
      </c>
      <c r="G476" s="69" t="str">
        <f>IF(AND($C476=5,$D476=8,$E476=5),"H","")</f>
        <v>H</v>
      </c>
      <c r="H476" s="71"/>
    </row>
    <row r="477" spans="3:8" x14ac:dyDescent="0.3">
      <c r="C477" s="8">
        <v>5</v>
      </c>
      <c r="D477" s="5">
        <v>8</v>
      </c>
      <c r="E477" s="5">
        <v>6</v>
      </c>
      <c r="F477" s="2" t="s">
        <v>546</v>
      </c>
      <c r="G477" s="69" t="str">
        <f>IF(AND($C477=5,$D477=8,$E477=6),"H","")</f>
        <v>H</v>
      </c>
      <c r="H477" s="71"/>
    </row>
    <row r="478" spans="3:8" x14ac:dyDescent="0.3">
      <c r="C478" s="8">
        <v>5</v>
      </c>
      <c r="D478" s="5">
        <v>8</v>
      </c>
      <c r="E478" s="5">
        <v>7</v>
      </c>
      <c r="F478" s="2" t="s">
        <v>547</v>
      </c>
      <c r="G478" s="69" t="str">
        <f>IF(AND($C478=5,$D478=8,$E478=7),"H","")</f>
        <v>H</v>
      </c>
      <c r="H478" s="71"/>
    </row>
    <row r="479" spans="3:8" x14ac:dyDescent="0.3">
      <c r="C479" s="8">
        <v>5</v>
      </c>
      <c r="D479" s="5">
        <v>8</v>
      </c>
      <c r="E479" s="5">
        <v>8</v>
      </c>
      <c r="F479" s="2" t="s">
        <v>548</v>
      </c>
      <c r="G479" s="69" t="str">
        <f>IF(AND($C479=5,$D479=8,$E479=8),"H","")</f>
        <v>H</v>
      </c>
      <c r="H479" s="71"/>
    </row>
    <row r="480" spans="3:8" x14ac:dyDescent="0.3">
      <c r="C480" s="8">
        <v>5</v>
      </c>
      <c r="D480" s="5">
        <v>8</v>
      </c>
      <c r="E480" s="5">
        <v>9</v>
      </c>
      <c r="F480" s="2" t="s">
        <v>549</v>
      </c>
      <c r="G480" s="69" t="str">
        <f>IF(AND($C480=5,$D480=8,$E480=9),"H","")</f>
        <v>H</v>
      </c>
      <c r="H480" s="71"/>
    </row>
    <row r="481" spans="3:8" x14ac:dyDescent="0.3">
      <c r="C481" s="8">
        <v>5</v>
      </c>
      <c r="D481" s="5">
        <v>8</v>
      </c>
      <c r="E481" s="5">
        <v>10</v>
      </c>
      <c r="F481" s="2" t="s">
        <v>550</v>
      </c>
      <c r="G481" s="69" t="str">
        <f>IF(AND($C481=5,$D481=8,$E481=10),"H","")</f>
        <v>H</v>
      </c>
      <c r="H481" s="71"/>
    </row>
    <row r="482" spans="3:8" x14ac:dyDescent="0.3">
      <c r="C482" s="8">
        <v>5</v>
      </c>
      <c r="D482" s="5">
        <v>9</v>
      </c>
      <c r="E482" s="5">
        <v>1</v>
      </c>
      <c r="F482" s="2" t="s">
        <v>551</v>
      </c>
      <c r="G482" s="68" t="str">
        <f>IF(AND($C482=5,$D482=9,$E482=1),"M","")</f>
        <v>M</v>
      </c>
      <c r="H482" s="71"/>
    </row>
    <row r="483" spans="3:8" x14ac:dyDescent="0.3">
      <c r="C483" s="8">
        <v>5</v>
      </c>
      <c r="D483" s="5">
        <v>9</v>
      </c>
      <c r="E483" s="5">
        <v>2</v>
      </c>
      <c r="F483" s="2" t="s">
        <v>552</v>
      </c>
      <c r="G483" s="68" t="str">
        <f>IF(AND($C483=5,$D483=9,$E483=2),"M","")</f>
        <v>M</v>
      </c>
      <c r="H483" s="71"/>
    </row>
    <row r="484" spans="3:8" x14ac:dyDescent="0.3">
      <c r="C484" s="8">
        <v>5</v>
      </c>
      <c r="D484" s="5">
        <v>9</v>
      </c>
      <c r="E484" s="5">
        <v>3</v>
      </c>
      <c r="F484" s="2" t="s">
        <v>553</v>
      </c>
      <c r="G484" s="68" t="str">
        <f>IF(AND($C484=5,$D484=9,$E484=3),"M","")</f>
        <v>M</v>
      </c>
      <c r="H484" s="71"/>
    </row>
    <row r="485" spans="3:8" x14ac:dyDescent="0.3">
      <c r="C485" s="8">
        <v>5</v>
      </c>
      <c r="D485" s="5">
        <v>9</v>
      </c>
      <c r="E485" s="5">
        <v>4</v>
      </c>
      <c r="F485" s="2" t="s">
        <v>554</v>
      </c>
      <c r="G485" s="68" t="str">
        <f>IF(AND($C485=5,$D485=9,$E485=4),"M","")</f>
        <v>M</v>
      </c>
      <c r="H485" s="71"/>
    </row>
    <row r="486" spans="3:8" x14ac:dyDescent="0.3">
      <c r="C486" s="8">
        <v>5</v>
      </c>
      <c r="D486" s="5">
        <v>9</v>
      </c>
      <c r="E486" s="5">
        <v>5</v>
      </c>
      <c r="F486" s="2" t="s">
        <v>555</v>
      </c>
      <c r="G486" s="69" t="str">
        <f>IF(AND($C486=5,$D486=9,$E486=5),"H","")</f>
        <v>H</v>
      </c>
      <c r="H486" s="71"/>
    </row>
    <row r="487" spans="3:8" x14ac:dyDescent="0.3">
      <c r="C487" s="8">
        <v>5</v>
      </c>
      <c r="D487" s="5">
        <v>9</v>
      </c>
      <c r="E487" s="5">
        <v>6</v>
      </c>
      <c r="F487" s="2" t="s">
        <v>556</v>
      </c>
      <c r="G487" s="69" t="str">
        <f>IF(AND($C487=5,$D487=9,$E487=6),"H","")</f>
        <v>H</v>
      </c>
      <c r="H487" s="71"/>
    </row>
    <row r="488" spans="3:8" x14ac:dyDescent="0.3">
      <c r="C488" s="8">
        <v>5</v>
      </c>
      <c r="D488" s="5">
        <v>9</v>
      </c>
      <c r="E488" s="5">
        <v>7</v>
      </c>
      <c r="F488" s="2" t="s">
        <v>557</v>
      </c>
      <c r="G488" s="69" t="str">
        <f>IF(AND($C488=5,$D488=9,$E488=7),"H","")</f>
        <v>H</v>
      </c>
      <c r="H488" s="71"/>
    </row>
    <row r="489" spans="3:8" x14ac:dyDescent="0.3">
      <c r="C489" s="8">
        <v>5</v>
      </c>
      <c r="D489" s="5">
        <v>9</v>
      </c>
      <c r="E489" s="5">
        <v>8</v>
      </c>
      <c r="F489" s="2" t="s">
        <v>558</v>
      </c>
      <c r="G489" s="69" t="str">
        <f>IF(AND($C489=5,$D489=9,$E489=8),"H","")</f>
        <v>H</v>
      </c>
      <c r="H489" s="71"/>
    </row>
    <row r="490" spans="3:8" x14ac:dyDescent="0.3">
      <c r="C490" s="8">
        <v>5</v>
      </c>
      <c r="D490" s="5">
        <v>9</v>
      </c>
      <c r="E490" s="5">
        <v>9</v>
      </c>
      <c r="F490" s="2" t="s">
        <v>559</v>
      </c>
      <c r="G490" s="69" t="str">
        <f>IF(AND($C490=5,$D490=9,$E490=9),"H","")</f>
        <v>H</v>
      </c>
      <c r="H490" s="71"/>
    </row>
    <row r="491" spans="3:8" x14ac:dyDescent="0.3">
      <c r="C491" s="8">
        <v>5</v>
      </c>
      <c r="D491" s="5">
        <v>9</v>
      </c>
      <c r="E491" s="5">
        <v>10</v>
      </c>
      <c r="F491" s="2" t="s">
        <v>560</v>
      </c>
      <c r="G491" s="69" t="str">
        <f>IF(AND($C491=5,$D491=9,$E491=10),"H","")</f>
        <v>H</v>
      </c>
      <c r="H491" s="71"/>
    </row>
    <row r="492" spans="3:8" x14ac:dyDescent="0.3">
      <c r="C492" s="8">
        <v>5</v>
      </c>
      <c r="D492" s="5">
        <v>10</v>
      </c>
      <c r="E492" s="5">
        <v>1</v>
      </c>
      <c r="F492" s="2" t="s">
        <v>561</v>
      </c>
      <c r="G492" s="68" t="str">
        <f>IF(AND($C492=5,$D492=10,$E492=1),"M","")</f>
        <v>M</v>
      </c>
      <c r="H492" s="71"/>
    </row>
    <row r="493" spans="3:8" x14ac:dyDescent="0.3">
      <c r="C493" s="8">
        <v>5</v>
      </c>
      <c r="D493" s="5">
        <v>10</v>
      </c>
      <c r="E493" s="5">
        <v>2</v>
      </c>
      <c r="F493" s="2" t="s">
        <v>562</v>
      </c>
      <c r="G493" s="68" t="str">
        <f>IF(AND($C493=5,$D493=10,$E493=2),"M","")</f>
        <v>M</v>
      </c>
      <c r="H493" s="71"/>
    </row>
    <row r="494" spans="3:8" x14ac:dyDescent="0.3">
      <c r="C494" s="8">
        <v>5</v>
      </c>
      <c r="D494" s="5">
        <v>10</v>
      </c>
      <c r="E494" s="5">
        <v>3</v>
      </c>
      <c r="F494" s="2" t="s">
        <v>563</v>
      </c>
      <c r="G494" s="68" t="str">
        <f>IF(AND($C494=5,$D494=10,$E494=3),"M","")</f>
        <v>M</v>
      </c>
      <c r="H494" s="71"/>
    </row>
    <row r="495" spans="3:8" x14ac:dyDescent="0.3">
      <c r="C495" s="8">
        <v>5</v>
      </c>
      <c r="D495" s="5">
        <v>10</v>
      </c>
      <c r="E495" s="5">
        <v>4</v>
      </c>
      <c r="F495" s="2" t="s">
        <v>564</v>
      </c>
      <c r="G495" s="68" t="str">
        <f>IF(AND($C495=5,$D495=10,$E495=4),"M","")</f>
        <v>M</v>
      </c>
      <c r="H495" s="71"/>
    </row>
    <row r="496" spans="3:8" x14ac:dyDescent="0.3">
      <c r="C496" s="8">
        <v>5</v>
      </c>
      <c r="D496" s="5">
        <v>10</v>
      </c>
      <c r="E496" s="5">
        <v>5</v>
      </c>
      <c r="F496" s="2" t="s">
        <v>565</v>
      </c>
      <c r="G496" s="69" t="str">
        <f>IF(AND($C496=5,$D496=10,$E496=5),"H","")</f>
        <v>H</v>
      </c>
      <c r="H496" s="71"/>
    </row>
    <row r="497" spans="3:8" x14ac:dyDescent="0.3">
      <c r="C497" s="8">
        <v>5</v>
      </c>
      <c r="D497" s="5">
        <v>10</v>
      </c>
      <c r="E497" s="5">
        <v>6</v>
      </c>
      <c r="F497" s="2" t="s">
        <v>566</v>
      </c>
      <c r="G497" s="69" t="str">
        <f>IF(AND($C497=5,$D497=10,$E497=6),"H","")</f>
        <v>H</v>
      </c>
      <c r="H497" s="71"/>
    </row>
    <row r="498" spans="3:8" x14ac:dyDescent="0.3">
      <c r="C498" s="8">
        <v>5</v>
      </c>
      <c r="D498" s="5">
        <v>10</v>
      </c>
      <c r="E498" s="5">
        <v>7</v>
      </c>
      <c r="F498" s="2" t="s">
        <v>567</v>
      </c>
      <c r="G498" s="69" t="str">
        <f>IF(AND($C498=5,$D498=10,$E498=7),"H","")</f>
        <v>H</v>
      </c>
      <c r="H498" s="71"/>
    </row>
    <row r="499" spans="3:8" x14ac:dyDescent="0.3">
      <c r="C499" s="8">
        <v>5</v>
      </c>
      <c r="D499" s="5">
        <v>10</v>
      </c>
      <c r="E499" s="5">
        <v>8</v>
      </c>
      <c r="F499" s="2" t="s">
        <v>568</v>
      </c>
      <c r="G499" s="69" t="str">
        <f>IF(AND($C499=5,$D499=10,$E499=8),"H","")</f>
        <v>H</v>
      </c>
      <c r="H499" s="71"/>
    </row>
    <row r="500" spans="3:8" x14ac:dyDescent="0.3">
      <c r="C500" s="8">
        <v>5</v>
      </c>
      <c r="D500" s="5">
        <v>10</v>
      </c>
      <c r="E500" s="5">
        <v>9</v>
      </c>
      <c r="F500" s="2" t="s">
        <v>569</v>
      </c>
      <c r="G500" s="69" t="str">
        <f>IF(AND($C500=5,$D500=10,$E500=9),"H","")</f>
        <v>H</v>
      </c>
      <c r="H500" s="71"/>
    </row>
    <row r="501" spans="3:8" x14ac:dyDescent="0.3">
      <c r="C501" s="8">
        <v>5</v>
      </c>
      <c r="D501" s="5">
        <v>10</v>
      </c>
      <c r="E501" s="5">
        <v>10</v>
      </c>
      <c r="F501" s="2" t="s">
        <v>570</v>
      </c>
      <c r="G501" s="69" t="str">
        <f>IF(AND($C501=5,$D501=10,$E501=10),"H","")</f>
        <v>H</v>
      </c>
      <c r="H501" s="71"/>
    </row>
    <row r="502" spans="3:8" x14ac:dyDescent="0.3">
      <c r="C502" s="8">
        <v>6</v>
      </c>
      <c r="D502" s="5">
        <v>1</v>
      </c>
      <c r="E502" s="5">
        <v>1</v>
      </c>
      <c r="F502" s="2" t="s">
        <v>571</v>
      </c>
      <c r="G502" s="67" t="str">
        <f>IF(AND($C502=6,$D502=1,$E502=1),"L","")</f>
        <v>L</v>
      </c>
      <c r="H502" s="71"/>
    </row>
    <row r="503" spans="3:8" x14ac:dyDescent="0.3">
      <c r="C503" s="8">
        <v>6</v>
      </c>
      <c r="D503" s="5">
        <v>1</v>
      </c>
      <c r="E503" s="5">
        <v>2</v>
      </c>
      <c r="F503" s="2" t="s">
        <v>572</v>
      </c>
      <c r="G503" s="67" t="str">
        <f>IF(AND($C503=6,$D503=1,$E503=2),"L","")</f>
        <v>L</v>
      </c>
      <c r="H503" s="71"/>
    </row>
    <row r="504" spans="3:8" x14ac:dyDescent="0.3">
      <c r="C504" s="8">
        <v>6</v>
      </c>
      <c r="D504" s="5">
        <v>1</v>
      </c>
      <c r="E504" s="5">
        <v>3</v>
      </c>
      <c r="F504" s="2" t="s">
        <v>573</v>
      </c>
      <c r="G504" s="67" t="str">
        <f>IF(AND($C504=6,$D504=1,$E504=3),"L","")</f>
        <v>L</v>
      </c>
      <c r="H504" s="71"/>
    </row>
    <row r="505" spans="3:8" x14ac:dyDescent="0.3">
      <c r="C505" s="8">
        <v>6</v>
      </c>
      <c r="D505" s="5">
        <v>1</v>
      </c>
      <c r="E505" s="5">
        <v>4</v>
      </c>
      <c r="F505" s="2" t="s">
        <v>574</v>
      </c>
      <c r="G505" s="67" t="str">
        <f>IF(AND($C505=6,$D505=1,$E505=4),"L","")</f>
        <v>L</v>
      </c>
      <c r="H505" s="71"/>
    </row>
    <row r="506" spans="3:8" x14ac:dyDescent="0.3">
      <c r="C506" s="8">
        <v>6</v>
      </c>
      <c r="D506" s="5">
        <v>1</v>
      </c>
      <c r="E506" s="5">
        <v>5</v>
      </c>
      <c r="F506" s="2" t="s">
        <v>575</v>
      </c>
      <c r="G506" s="67" t="str">
        <f>IF(AND($C506=6,$D506=1,$E506=5),"L","")</f>
        <v>L</v>
      </c>
      <c r="H506" s="71"/>
    </row>
    <row r="507" spans="3:8" x14ac:dyDescent="0.3">
      <c r="C507" s="8">
        <v>6</v>
      </c>
      <c r="D507" s="5">
        <v>1</v>
      </c>
      <c r="E507" s="5">
        <v>6</v>
      </c>
      <c r="F507" s="2" t="s">
        <v>576</v>
      </c>
      <c r="G507" s="67" t="str">
        <f>IF(AND($C507=6,$D507=1,$E507=6),"L","")</f>
        <v>L</v>
      </c>
      <c r="H507" s="71"/>
    </row>
    <row r="508" spans="3:8" x14ac:dyDescent="0.3">
      <c r="C508" s="8">
        <v>6</v>
      </c>
      <c r="D508" s="5">
        <v>1</v>
      </c>
      <c r="E508" s="5">
        <v>7</v>
      </c>
      <c r="F508" s="2" t="s">
        <v>577</v>
      </c>
      <c r="G508" s="67" t="str">
        <f>IF(AND($C508=6,$D508=1,$E508=7),"L","")</f>
        <v>L</v>
      </c>
      <c r="H508" s="71"/>
    </row>
    <row r="509" spans="3:8" x14ac:dyDescent="0.3">
      <c r="C509" s="8">
        <v>6</v>
      </c>
      <c r="D509" s="5">
        <v>1</v>
      </c>
      <c r="E509" s="5">
        <v>8</v>
      </c>
      <c r="F509" s="2" t="s">
        <v>578</v>
      </c>
      <c r="G509" s="67" t="str">
        <f>IF(AND($C509=6,$D509=1,$E509=8),"L","")</f>
        <v>L</v>
      </c>
      <c r="H509" s="71"/>
    </row>
    <row r="510" spans="3:8" x14ac:dyDescent="0.3">
      <c r="C510" s="8">
        <v>6</v>
      </c>
      <c r="D510" s="5">
        <v>1</v>
      </c>
      <c r="E510" s="5">
        <v>9</v>
      </c>
      <c r="F510" s="2" t="s">
        <v>579</v>
      </c>
      <c r="G510" s="67" t="str">
        <f>IF(AND($C510=6,$D510=1,$E510=9),"L","")</f>
        <v>L</v>
      </c>
      <c r="H510" s="71"/>
    </row>
    <row r="511" spans="3:8" x14ac:dyDescent="0.3">
      <c r="C511" s="8">
        <v>6</v>
      </c>
      <c r="D511" s="5">
        <v>1</v>
      </c>
      <c r="E511" s="5">
        <v>10</v>
      </c>
      <c r="F511" s="2" t="s">
        <v>580</v>
      </c>
      <c r="G511" s="67" t="str">
        <f>IF(AND($C511=6,$D511=1,$E511=10),"L","")</f>
        <v>L</v>
      </c>
      <c r="H511" s="71"/>
    </row>
    <row r="512" spans="3:8" x14ac:dyDescent="0.3">
      <c r="C512" s="8">
        <v>6</v>
      </c>
      <c r="D512" s="5">
        <v>2</v>
      </c>
      <c r="E512" s="5">
        <v>1</v>
      </c>
      <c r="F512" s="2" t="s">
        <v>581</v>
      </c>
      <c r="G512" s="67" t="str">
        <f>IF(AND($C512=6,$D512=2,$E512=1),"L","")</f>
        <v>L</v>
      </c>
      <c r="H512" s="71"/>
    </row>
    <row r="513" spans="3:8" x14ac:dyDescent="0.3">
      <c r="C513" s="8">
        <v>6</v>
      </c>
      <c r="D513" s="5">
        <v>2</v>
      </c>
      <c r="E513" s="5">
        <v>2</v>
      </c>
      <c r="F513" s="2" t="s">
        <v>582</v>
      </c>
      <c r="G513" s="67" t="str">
        <f>IF(AND($C513=6,$D513=2,$E513=2),"L","")</f>
        <v>L</v>
      </c>
      <c r="H513" s="71"/>
    </row>
    <row r="514" spans="3:8" x14ac:dyDescent="0.3">
      <c r="C514" s="8">
        <v>6</v>
      </c>
      <c r="D514" s="5">
        <v>2</v>
      </c>
      <c r="E514" s="5">
        <v>3</v>
      </c>
      <c r="F514" s="2" t="s">
        <v>583</v>
      </c>
      <c r="G514" s="67" t="str">
        <f>IF(AND($C514=6,$D514=2,$E514=3),"L","")</f>
        <v>L</v>
      </c>
      <c r="H514" s="71"/>
    </row>
    <row r="515" spans="3:8" x14ac:dyDescent="0.3">
      <c r="C515" s="8">
        <v>6</v>
      </c>
      <c r="D515" s="5">
        <v>2</v>
      </c>
      <c r="E515" s="5">
        <v>4</v>
      </c>
      <c r="F515" s="2" t="s">
        <v>584</v>
      </c>
      <c r="G515" s="67" t="str">
        <f>IF(AND($C515=6,$D515=2,$E515=4),"L","")</f>
        <v>L</v>
      </c>
      <c r="H515" s="71"/>
    </row>
    <row r="516" spans="3:8" x14ac:dyDescent="0.3">
      <c r="C516" s="8">
        <v>6</v>
      </c>
      <c r="D516" s="5">
        <v>2</v>
      </c>
      <c r="E516" s="5">
        <v>5</v>
      </c>
      <c r="F516" s="2" t="s">
        <v>585</v>
      </c>
      <c r="G516" s="67" t="str">
        <f>IF(AND($C516=6,$D516=2,$E516=5),"L","")</f>
        <v>L</v>
      </c>
      <c r="H516" s="71"/>
    </row>
    <row r="517" spans="3:8" x14ac:dyDescent="0.3">
      <c r="C517" s="8">
        <v>6</v>
      </c>
      <c r="D517" s="5">
        <v>2</v>
      </c>
      <c r="E517" s="5">
        <v>6</v>
      </c>
      <c r="F517" s="2" t="s">
        <v>586</v>
      </c>
      <c r="G517" s="67" t="str">
        <f>IF(AND($C517=6,$D517=2,$E517=6),"L","")</f>
        <v>L</v>
      </c>
      <c r="H517" s="71"/>
    </row>
    <row r="518" spans="3:8" x14ac:dyDescent="0.3">
      <c r="C518" s="8">
        <v>6</v>
      </c>
      <c r="D518" s="5">
        <v>2</v>
      </c>
      <c r="E518" s="5">
        <v>7</v>
      </c>
      <c r="F518" s="2" t="s">
        <v>587</v>
      </c>
      <c r="G518" s="67" t="str">
        <f>IF(AND($C518=6,$D518=2,$E518=7),"L","")</f>
        <v>L</v>
      </c>
      <c r="H518" s="71"/>
    </row>
    <row r="519" spans="3:8" x14ac:dyDescent="0.3">
      <c r="C519" s="8">
        <v>6</v>
      </c>
      <c r="D519" s="5">
        <v>2</v>
      </c>
      <c r="E519" s="5">
        <v>8</v>
      </c>
      <c r="F519" s="2" t="s">
        <v>588</v>
      </c>
      <c r="G519" s="67" t="str">
        <f>IF(AND($C519=6,$D519=2,$E519=8),"L","")</f>
        <v>L</v>
      </c>
      <c r="H519" s="71"/>
    </row>
    <row r="520" spans="3:8" x14ac:dyDescent="0.3">
      <c r="C520" s="8">
        <v>6</v>
      </c>
      <c r="D520" s="5">
        <v>2</v>
      </c>
      <c r="E520" s="5">
        <v>9</v>
      </c>
      <c r="F520" s="2" t="s">
        <v>589</v>
      </c>
      <c r="G520" s="67" t="str">
        <f>IF(AND($C520=6,$D520=2,$E520=9),"L","")</f>
        <v>L</v>
      </c>
      <c r="H520" s="71"/>
    </row>
    <row r="521" spans="3:8" x14ac:dyDescent="0.3">
      <c r="C521" s="8">
        <v>6</v>
      </c>
      <c r="D521" s="5">
        <v>2</v>
      </c>
      <c r="E521" s="5">
        <v>10</v>
      </c>
      <c r="F521" s="2" t="s">
        <v>590</v>
      </c>
      <c r="G521" s="67" t="str">
        <f>IF(AND($C521=6,$D521=2,$E521=10),"L","")</f>
        <v>L</v>
      </c>
      <c r="H521" s="71"/>
    </row>
    <row r="522" spans="3:8" x14ac:dyDescent="0.3">
      <c r="C522" s="8">
        <v>6</v>
      </c>
      <c r="D522" s="5">
        <v>3</v>
      </c>
      <c r="E522" s="5">
        <v>1</v>
      </c>
      <c r="F522" s="2" t="s">
        <v>591</v>
      </c>
      <c r="G522" s="67" t="str">
        <f>IF(AND($C522=6,$D522=3,$E522=1),"L","")</f>
        <v>L</v>
      </c>
      <c r="H522" s="71"/>
    </row>
    <row r="523" spans="3:8" x14ac:dyDescent="0.3">
      <c r="C523" s="8">
        <v>6</v>
      </c>
      <c r="D523" s="5">
        <v>3</v>
      </c>
      <c r="E523" s="5">
        <v>2</v>
      </c>
      <c r="F523" s="2" t="s">
        <v>592</v>
      </c>
      <c r="G523" s="67" t="str">
        <f>IF(AND($C523=6,$D523=3,$E523=2),"L","")</f>
        <v>L</v>
      </c>
      <c r="H523" s="71"/>
    </row>
    <row r="524" spans="3:8" x14ac:dyDescent="0.3">
      <c r="C524" s="8">
        <v>6</v>
      </c>
      <c r="D524" s="5">
        <v>3</v>
      </c>
      <c r="E524" s="5">
        <v>3</v>
      </c>
      <c r="F524" s="2" t="s">
        <v>593</v>
      </c>
      <c r="G524" s="67" t="str">
        <f>IF(AND($C524=6,$D524=3,$E524=3),"L","")</f>
        <v>L</v>
      </c>
      <c r="H524" s="71"/>
    </row>
    <row r="525" spans="3:8" x14ac:dyDescent="0.3">
      <c r="C525" s="8">
        <v>6</v>
      </c>
      <c r="D525" s="5">
        <v>3</v>
      </c>
      <c r="E525" s="5">
        <v>4</v>
      </c>
      <c r="F525" s="2" t="s">
        <v>594</v>
      </c>
      <c r="G525" s="67" t="str">
        <f>IF(AND($C525=6,$D525=3,$E525=4),"L","")</f>
        <v>L</v>
      </c>
      <c r="H525" s="71"/>
    </row>
    <row r="526" spans="3:8" x14ac:dyDescent="0.3">
      <c r="C526" s="8">
        <v>6</v>
      </c>
      <c r="D526" s="5">
        <v>3</v>
      </c>
      <c r="E526" s="5">
        <v>5</v>
      </c>
      <c r="F526" s="2" t="s">
        <v>595</v>
      </c>
      <c r="G526" s="67" t="str">
        <f>IF(AND($C526=6,$D526=3,$E526=5),"L","")</f>
        <v>L</v>
      </c>
      <c r="H526" s="71"/>
    </row>
    <row r="527" spans="3:8" x14ac:dyDescent="0.3">
      <c r="C527" s="8">
        <v>6</v>
      </c>
      <c r="D527" s="5">
        <v>3</v>
      </c>
      <c r="E527" s="5">
        <v>6</v>
      </c>
      <c r="F527" s="2" t="s">
        <v>596</v>
      </c>
      <c r="G527" s="67" t="str">
        <f>IF(AND($C527=6,$D527=3,$E527=6),"L","")</f>
        <v>L</v>
      </c>
      <c r="H527" s="71"/>
    </row>
    <row r="528" spans="3:8" x14ac:dyDescent="0.3">
      <c r="C528" s="8">
        <v>6</v>
      </c>
      <c r="D528" s="5">
        <v>3</v>
      </c>
      <c r="E528" s="5">
        <v>7</v>
      </c>
      <c r="F528" s="2" t="s">
        <v>597</v>
      </c>
      <c r="G528" s="67" t="str">
        <f>IF(AND($C528=6,$D528=3,$E528=7),"L","")</f>
        <v>L</v>
      </c>
      <c r="H528" s="71"/>
    </row>
    <row r="529" spans="3:8" x14ac:dyDescent="0.3">
      <c r="C529" s="8">
        <v>6</v>
      </c>
      <c r="D529" s="5">
        <v>3</v>
      </c>
      <c r="E529" s="5">
        <v>8</v>
      </c>
      <c r="F529" s="2" t="s">
        <v>598</v>
      </c>
      <c r="G529" s="67" t="str">
        <f>IF(AND($C529=6,$D529=3,$E529=8),"L","")</f>
        <v>L</v>
      </c>
      <c r="H529" s="71"/>
    </row>
    <row r="530" spans="3:8" x14ac:dyDescent="0.3">
      <c r="C530" s="8">
        <v>6</v>
      </c>
      <c r="D530" s="5">
        <v>3</v>
      </c>
      <c r="E530" s="5">
        <v>9</v>
      </c>
      <c r="F530" s="2" t="s">
        <v>599</v>
      </c>
      <c r="G530" s="67" t="str">
        <f>IF(AND($C530=6,$D530=3,$E530=9),"L","")</f>
        <v>L</v>
      </c>
      <c r="H530" s="71"/>
    </row>
    <row r="531" spans="3:8" x14ac:dyDescent="0.3">
      <c r="C531" s="8">
        <v>6</v>
      </c>
      <c r="D531" s="5">
        <v>3</v>
      </c>
      <c r="E531" s="5">
        <v>10</v>
      </c>
      <c r="F531" s="2" t="s">
        <v>600</v>
      </c>
      <c r="G531" s="67" t="str">
        <f>IF(AND($C531=6,$D531=3,$E531=10),"L","")</f>
        <v>L</v>
      </c>
      <c r="H531" s="71"/>
    </row>
    <row r="532" spans="3:8" x14ac:dyDescent="0.3">
      <c r="C532" s="8">
        <v>6</v>
      </c>
      <c r="D532" s="5">
        <v>4</v>
      </c>
      <c r="E532" s="5">
        <v>1</v>
      </c>
      <c r="F532" s="2" t="s">
        <v>601</v>
      </c>
      <c r="G532" s="67" t="str">
        <f>IF(AND($C532=6,$D532=4,$E532=1),"L","")</f>
        <v>L</v>
      </c>
      <c r="H532" s="71"/>
    </row>
    <row r="533" spans="3:8" x14ac:dyDescent="0.3">
      <c r="C533" s="8">
        <v>6</v>
      </c>
      <c r="D533" s="5">
        <v>4</v>
      </c>
      <c r="E533" s="5">
        <v>2</v>
      </c>
      <c r="F533" s="2" t="s">
        <v>602</v>
      </c>
      <c r="G533" s="67" t="str">
        <f>IF(AND($C533=6,$D533=4,$E533=2),"L","")</f>
        <v>L</v>
      </c>
      <c r="H533" s="71"/>
    </row>
    <row r="534" spans="3:8" x14ac:dyDescent="0.3">
      <c r="C534" s="8">
        <v>6</v>
      </c>
      <c r="D534" s="5">
        <v>4</v>
      </c>
      <c r="E534" s="5">
        <v>3</v>
      </c>
      <c r="F534" s="2" t="s">
        <v>603</v>
      </c>
      <c r="G534" s="67" t="str">
        <f>IF(AND($C534=6,$D534=4,$E534=3),"L","")</f>
        <v>L</v>
      </c>
      <c r="H534" s="71"/>
    </row>
    <row r="535" spans="3:8" x14ac:dyDescent="0.3">
      <c r="C535" s="8">
        <v>6</v>
      </c>
      <c r="D535" s="5">
        <v>4</v>
      </c>
      <c r="E535" s="5">
        <v>4</v>
      </c>
      <c r="F535" s="2" t="s">
        <v>604</v>
      </c>
      <c r="G535" s="67" t="str">
        <f>IF(AND($C535=6,$D535=4,$E535=4),"L","")</f>
        <v>L</v>
      </c>
      <c r="H535" s="71"/>
    </row>
    <row r="536" spans="3:8" x14ac:dyDescent="0.3">
      <c r="C536" s="8">
        <v>6</v>
      </c>
      <c r="D536" s="5">
        <v>4</v>
      </c>
      <c r="E536" s="5">
        <v>5</v>
      </c>
      <c r="F536" s="2" t="s">
        <v>605</v>
      </c>
      <c r="G536" s="67" t="str">
        <f>IF(AND($C536=6,$D536=4,$E536=5),"L","")</f>
        <v>L</v>
      </c>
      <c r="H536" s="71"/>
    </row>
    <row r="537" spans="3:8" x14ac:dyDescent="0.3">
      <c r="C537" s="8">
        <v>6</v>
      </c>
      <c r="D537" s="5">
        <v>4</v>
      </c>
      <c r="E537" s="5">
        <v>6</v>
      </c>
      <c r="F537" s="2" t="s">
        <v>606</v>
      </c>
      <c r="G537" s="67" t="str">
        <f>IF(AND($C537=6,$D537=4,$E537=6),"L","")</f>
        <v>L</v>
      </c>
      <c r="H537" s="71"/>
    </row>
    <row r="538" spans="3:8" x14ac:dyDescent="0.3">
      <c r="C538" s="8">
        <v>6</v>
      </c>
      <c r="D538" s="5">
        <v>4</v>
      </c>
      <c r="E538" s="5">
        <v>7</v>
      </c>
      <c r="F538" s="2" t="s">
        <v>607</v>
      </c>
      <c r="G538" s="67" t="str">
        <f>IF(AND($C538=6,$D538=4,$E538=7),"L","")</f>
        <v>L</v>
      </c>
      <c r="H538" s="71"/>
    </row>
    <row r="539" spans="3:8" x14ac:dyDescent="0.3">
      <c r="C539" s="8">
        <v>6</v>
      </c>
      <c r="D539" s="5">
        <v>4</v>
      </c>
      <c r="E539" s="5">
        <v>8</v>
      </c>
      <c r="F539" s="2" t="s">
        <v>608</v>
      </c>
      <c r="G539" s="67" t="str">
        <f>IF(AND($C539=6,$D539=4,$E539=8),"L","")</f>
        <v>L</v>
      </c>
      <c r="H539" s="71"/>
    </row>
    <row r="540" spans="3:8" x14ac:dyDescent="0.3">
      <c r="C540" s="8">
        <v>6</v>
      </c>
      <c r="D540" s="5">
        <v>4</v>
      </c>
      <c r="E540" s="5">
        <v>9</v>
      </c>
      <c r="F540" s="2" t="s">
        <v>609</v>
      </c>
      <c r="G540" s="67" t="str">
        <f>IF(AND($C540=6,$D540=4,$E540=9),"L","")</f>
        <v>L</v>
      </c>
      <c r="H540" s="71"/>
    </row>
    <row r="541" spans="3:8" x14ac:dyDescent="0.3">
      <c r="C541" s="8">
        <v>6</v>
      </c>
      <c r="D541" s="5">
        <v>4</v>
      </c>
      <c r="E541" s="5">
        <v>10</v>
      </c>
      <c r="F541" s="2" t="s">
        <v>610</v>
      </c>
      <c r="G541" s="67" t="str">
        <f>IF(AND($C541=6,$D541=4,$E541=10),"L","")</f>
        <v>L</v>
      </c>
      <c r="H541" s="71"/>
    </row>
    <row r="542" spans="3:8" x14ac:dyDescent="0.3">
      <c r="C542" s="8">
        <v>6</v>
      </c>
      <c r="D542" s="5">
        <v>5</v>
      </c>
      <c r="E542" s="5">
        <v>1</v>
      </c>
      <c r="F542" s="2" t="s">
        <v>611</v>
      </c>
      <c r="G542" s="67" t="str">
        <f>IF(AND($C542=6,$D542=5,$E542=1),"L","")</f>
        <v>L</v>
      </c>
      <c r="H542" s="71"/>
    </row>
    <row r="543" spans="3:8" x14ac:dyDescent="0.3">
      <c r="C543" s="8">
        <v>6</v>
      </c>
      <c r="D543" s="5">
        <v>5</v>
      </c>
      <c r="E543" s="5">
        <v>2</v>
      </c>
      <c r="F543" s="2" t="s">
        <v>612</v>
      </c>
      <c r="G543" s="67" t="str">
        <f>IF(AND($C543=6,$D543=5,$E543=2),"L","")</f>
        <v>L</v>
      </c>
      <c r="H543" s="71"/>
    </row>
    <row r="544" spans="3:8" x14ac:dyDescent="0.3">
      <c r="C544" s="8">
        <v>6</v>
      </c>
      <c r="D544" s="5">
        <v>5</v>
      </c>
      <c r="E544" s="5">
        <v>3</v>
      </c>
      <c r="F544" s="2" t="s">
        <v>613</v>
      </c>
      <c r="G544" s="67" t="str">
        <f>IF(AND($C544=6,$D544=5,$E544=3),"L","")</f>
        <v>L</v>
      </c>
      <c r="H544" s="71"/>
    </row>
    <row r="545" spans="3:8" x14ac:dyDescent="0.3">
      <c r="C545" s="8">
        <v>6</v>
      </c>
      <c r="D545" s="5">
        <v>5</v>
      </c>
      <c r="E545" s="5">
        <v>4</v>
      </c>
      <c r="F545" s="2" t="s">
        <v>614</v>
      </c>
      <c r="G545" s="67" t="str">
        <f>IF(AND($C545=6,$D545=5,$E545=4),"L","")</f>
        <v>L</v>
      </c>
      <c r="H545" s="71"/>
    </row>
    <row r="546" spans="3:8" x14ac:dyDescent="0.3">
      <c r="C546" s="8">
        <v>6</v>
      </c>
      <c r="D546" s="5">
        <v>5</v>
      </c>
      <c r="E546" s="5">
        <v>5</v>
      </c>
      <c r="F546" s="2" t="s">
        <v>615</v>
      </c>
      <c r="G546" s="67" t="str">
        <f>IF(AND($C546=6,$D546=5,$E546=5),"L","")</f>
        <v>L</v>
      </c>
      <c r="H546" s="71"/>
    </row>
    <row r="547" spans="3:8" x14ac:dyDescent="0.3">
      <c r="C547" s="8">
        <v>6</v>
      </c>
      <c r="D547" s="5">
        <v>5</v>
      </c>
      <c r="E547" s="5">
        <v>6</v>
      </c>
      <c r="F547" s="2" t="s">
        <v>616</v>
      </c>
      <c r="G547" s="67" t="str">
        <f>IF(AND($C547=6,$D547=5,$E547=6),"L","")</f>
        <v>L</v>
      </c>
      <c r="H547" s="71"/>
    </row>
    <row r="548" spans="3:8" x14ac:dyDescent="0.3">
      <c r="C548" s="8">
        <v>6</v>
      </c>
      <c r="D548" s="5">
        <v>5</v>
      </c>
      <c r="E548" s="5">
        <v>7</v>
      </c>
      <c r="F548" s="2" t="s">
        <v>617</v>
      </c>
      <c r="G548" s="68" t="str">
        <f>IF(AND($C548=6,$D548=5,$E548=7),"M","")</f>
        <v>M</v>
      </c>
      <c r="H548" s="71"/>
    </row>
    <row r="549" spans="3:8" x14ac:dyDescent="0.3">
      <c r="C549" s="8">
        <v>6</v>
      </c>
      <c r="D549" s="5">
        <v>5</v>
      </c>
      <c r="E549" s="5">
        <v>8</v>
      </c>
      <c r="F549" s="2" t="s">
        <v>618</v>
      </c>
      <c r="G549" s="68" t="str">
        <f>IF(AND($C549=6,$D549=5,$E549=8),"M","")</f>
        <v>M</v>
      </c>
      <c r="H549" s="71"/>
    </row>
    <row r="550" spans="3:8" x14ac:dyDescent="0.3">
      <c r="C550" s="8">
        <v>6</v>
      </c>
      <c r="D550" s="5">
        <v>5</v>
      </c>
      <c r="E550" s="5">
        <v>9</v>
      </c>
      <c r="F550" s="2" t="s">
        <v>619</v>
      </c>
      <c r="G550" s="68" t="str">
        <f>IF(AND($C550=6,$D550=5,$E550=9),"M","")</f>
        <v>M</v>
      </c>
      <c r="H550" s="71"/>
    </row>
    <row r="551" spans="3:8" x14ac:dyDescent="0.3">
      <c r="C551" s="8">
        <v>6</v>
      </c>
      <c r="D551" s="5">
        <v>5</v>
      </c>
      <c r="E551" s="5">
        <v>10</v>
      </c>
      <c r="F551" s="2" t="s">
        <v>620</v>
      </c>
      <c r="G551" s="68" t="str">
        <f>IF(AND($C551=6,$D551=5,$E551=10),"M","")</f>
        <v>M</v>
      </c>
      <c r="H551" s="71"/>
    </row>
    <row r="552" spans="3:8" x14ac:dyDescent="0.3">
      <c r="C552" s="8">
        <v>6</v>
      </c>
      <c r="D552" s="5">
        <v>6</v>
      </c>
      <c r="E552" s="5">
        <v>1</v>
      </c>
      <c r="F552" s="2" t="s">
        <v>621</v>
      </c>
      <c r="G552" s="67" t="str">
        <f>IF(AND($C552=6,$D552=6,$E552=1),"L","")</f>
        <v>L</v>
      </c>
      <c r="H552" s="71"/>
    </row>
    <row r="553" spans="3:8" x14ac:dyDescent="0.3">
      <c r="C553" s="8">
        <v>6</v>
      </c>
      <c r="D553" s="5">
        <v>6</v>
      </c>
      <c r="E553" s="5">
        <v>2</v>
      </c>
      <c r="F553" s="2" t="s">
        <v>622</v>
      </c>
      <c r="G553" s="68" t="str">
        <f>IF(AND($C553=6,$D553=6,$E553=2),"M","")</f>
        <v>M</v>
      </c>
      <c r="H553" s="71"/>
    </row>
    <row r="554" spans="3:8" x14ac:dyDescent="0.3">
      <c r="C554" s="8">
        <v>6</v>
      </c>
      <c r="D554" s="5">
        <v>6</v>
      </c>
      <c r="E554" s="5">
        <v>3</v>
      </c>
      <c r="F554" s="2" t="s">
        <v>623</v>
      </c>
      <c r="G554" s="68" t="str">
        <f>IF(AND($C554=6,$D554=6,$E554=3),"M","")</f>
        <v>M</v>
      </c>
      <c r="H554" s="71"/>
    </row>
    <row r="555" spans="3:8" x14ac:dyDescent="0.3">
      <c r="C555" s="8">
        <v>6</v>
      </c>
      <c r="D555" s="5">
        <v>6</v>
      </c>
      <c r="E555" s="5">
        <v>4</v>
      </c>
      <c r="F555" s="2" t="s">
        <v>624</v>
      </c>
      <c r="G555" s="68" t="str">
        <f>IF(AND($C555=6,$D555=6,$E555=4),"M","")</f>
        <v>M</v>
      </c>
      <c r="H555" s="71"/>
    </row>
    <row r="556" spans="3:8" x14ac:dyDescent="0.3">
      <c r="C556" s="8">
        <v>6</v>
      </c>
      <c r="D556" s="5">
        <v>6</v>
      </c>
      <c r="E556" s="5">
        <v>5</v>
      </c>
      <c r="F556" s="2" t="s">
        <v>625</v>
      </c>
      <c r="G556" s="68" t="str">
        <f>IF(AND($C556=6,$D556=6,$E556=5),"M","")</f>
        <v>M</v>
      </c>
      <c r="H556" s="71"/>
    </row>
    <row r="557" spans="3:8" x14ac:dyDescent="0.3">
      <c r="C557" s="8">
        <v>6</v>
      </c>
      <c r="D557" s="5">
        <v>6</v>
      </c>
      <c r="E557" s="5">
        <v>6</v>
      </c>
      <c r="F557" s="2" t="s">
        <v>626</v>
      </c>
      <c r="G557" s="68" t="str">
        <f>IF(AND($C557=6,$D557=6,$E557=6),"M","")</f>
        <v>M</v>
      </c>
      <c r="H557" s="71"/>
    </row>
    <row r="558" spans="3:8" x14ac:dyDescent="0.3">
      <c r="C558" s="8">
        <v>6</v>
      </c>
      <c r="D558" s="5">
        <v>6</v>
      </c>
      <c r="E558" s="5">
        <v>7</v>
      </c>
      <c r="F558" s="2" t="s">
        <v>627</v>
      </c>
      <c r="G558" s="68" t="str">
        <f>IF(AND($C558=6,$D558=6,$E558=7),"M","")</f>
        <v>M</v>
      </c>
      <c r="H558" s="71"/>
    </row>
    <row r="559" spans="3:8" x14ac:dyDescent="0.3">
      <c r="C559" s="8">
        <v>6</v>
      </c>
      <c r="D559" s="5">
        <v>6</v>
      </c>
      <c r="E559" s="5">
        <v>8</v>
      </c>
      <c r="F559" s="2" t="s">
        <v>628</v>
      </c>
      <c r="G559" s="68" t="str">
        <f>IF(AND($C559=6,$D559=6,$E559=8),"M","")</f>
        <v>M</v>
      </c>
      <c r="H559" s="71"/>
    </row>
    <row r="560" spans="3:8" x14ac:dyDescent="0.3">
      <c r="C560" s="8">
        <v>6</v>
      </c>
      <c r="D560" s="5">
        <v>6</v>
      </c>
      <c r="E560" s="5">
        <v>9</v>
      </c>
      <c r="F560" s="2" t="s">
        <v>629</v>
      </c>
      <c r="G560" s="68" t="str">
        <f>IF(AND($C560=6,$D560=6,$E560=9),"M","")</f>
        <v>M</v>
      </c>
      <c r="H560" s="71"/>
    </row>
    <row r="561" spans="3:8" x14ac:dyDescent="0.3">
      <c r="C561" s="8">
        <v>6</v>
      </c>
      <c r="D561" s="5">
        <v>6</v>
      </c>
      <c r="E561" s="5">
        <v>10</v>
      </c>
      <c r="F561" s="2" t="s">
        <v>630</v>
      </c>
      <c r="G561" s="68" t="str">
        <f>IF(AND($C561=6,$D561=6,$E561=10),"M","")</f>
        <v>M</v>
      </c>
      <c r="H561" s="71"/>
    </row>
    <row r="562" spans="3:8" x14ac:dyDescent="0.3">
      <c r="C562" s="8">
        <v>6</v>
      </c>
      <c r="D562" s="5">
        <v>7</v>
      </c>
      <c r="E562" s="5">
        <v>1</v>
      </c>
      <c r="F562" s="2" t="s">
        <v>631</v>
      </c>
      <c r="G562" s="67" t="str">
        <f>IF(AND($C562=6,$D562=7,$E562=1),"L","")</f>
        <v>L</v>
      </c>
      <c r="H562" s="71"/>
    </row>
    <row r="563" spans="3:8" x14ac:dyDescent="0.3">
      <c r="C563" s="8">
        <v>6</v>
      </c>
      <c r="D563" s="5">
        <v>7</v>
      </c>
      <c r="E563" s="5">
        <v>2</v>
      </c>
      <c r="F563" s="2" t="s">
        <v>632</v>
      </c>
      <c r="G563" s="68" t="str">
        <f>IF(AND($C563=6,$D563=7,$E563=2),"M","")</f>
        <v>M</v>
      </c>
      <c r="H563" s="71"/>
    </row>
    <row r="564" spans="3:8" x14ac:dyDescent="0.3">
      <c r="C564" s="8">
        <v>6</v>
      </c>
      <c r="D564" s="5">
        <v>7</v>
      </c>
      <c r="E564" s="5">
        <v>3</v>
      </c>
      <c r="F564" s="2" t="s">
        <v>633</v>
      </c>
      <c r="G564" s="68" t="str">
        <f>IF(AND($C564=6,$D564=7,$E564=3),"M","")</f>
        <v>M</v>
      </c>
      <c r="H564" s="71"/>
    </row>
    <row r="565" spans="3:8" x14ac:dyDescent="0.3">
      <c r="C565" s="8">
        <v>6</v>
      </c>
      <c r="D565" s="5">
        <v>7</v>
      </c>
      <c r="E565" s="5">
        <v>4</v>
      </c>
      <c r="F565" s="2" t="s">
        <v>634</v>
      </c>
      <c r="G565" s="68" t="str">
        <f>IF(AND($C565=6,$D565=7,$E565=4),"M","")</f>
        <v>M</v>
      </c>
      <c r="H565" s="71"/>
    </row>
    <row r="566" spans="3:8" x14ac:dyDescent="0.3">
      <c r="C566" s="8">
        <v>6</v>
      </c>
      <c r="D566" s="5">
        <v>7</v>
      </c>
      <c r="E566" s="5">
        <v>5</v>
      </c>
      <c r="F566" s="2" t="s">
        <v>635</v>
      </c>
      <c r="G566" s="68" t="str">
        <f>IF(AND($C566=6,$D566=7,$E566=5),"M","")</f>
        <v>M</v>
      </c>
      <c r="H566" s="71"/>
    </row>
    <row r="567" spans="3:8" x14ac:dyDescent="0.3">
      <c r="C567" s="8">
        <v>6</v>
      </c>
      <c r="D567" s="5">
        <v>7</v>
      </c>
      <c r="E567" s="5">
        <v>6</v>
      </c>
      <c r="F567" s="2" t="s">
        <v>636</v>
      </c>
      <c r="G567" s="68" t="str">
        <f>IF(AND($C567=6,$D567=7,$E567=6),"M","")</f>
        <v>M</v>
      </c>
      <c r="H567" s="71"/>
    </row>
    <row r="568" spans="3:8" x14ac:dyDescent="0.3">
      <c r="C568" s="8">
        <v>6</v>
      </c>
      <c r="D568" s="5">
        <v>7</v>
      </c>
      <c r="E568" s="5">
        <v>7</v>
      </c>
      <c r="F568" s="2" t="s">
        <v>637</v>
      </c>
      <c r="G568" s="68" t="str">
        <f>IF(AND($C568=6,$D568=7,$E568=7),"M","")</f>
        <v>M</v>
      </c>
      <c r="H568" s="71"/>
    </row>
    <row r="569" spans="3:8" x14ac:dyDescent="0.3">
      <c r="C569" s="8">
        <v>6</v>
      </c>
      <c r="D569" s="5">
        <v>7</v>
      </c>
      <c r="E569" s="5">
        <v>8</v>
      </c>
      <c r="F569" s="2" t="s">
        <v>638</v>
      </c>
      <c r="G569" s="68" t="str">
        <f>IF(AND($C569=6,$D569=7,$E569=8),"M","")</f>
        <v>M</v>
      </c>
      <c r="H569" s="71"/>
    </row>
    <row r="570" spans="3:8" x14ac:dyDescent="0.3">
      <c r="C570" s="8">
        <v>6</v>
      </c>
      <c r="D570" s="5">
        <v>7</v>
      </c>
      <c r="E570" s="5">
        <v>9</v>
      </c>
      <c r="F570" s="2" t="s">
        <v>639</v>
      </c>
      <c r="G570" s="68" t="str">
        <f>IF(AND($C570=6,$D570=7,$E570=9),"M","")</f>
        <v>M</v>
      </c>
      <c r="H570" s="71"/>
    </row>
    <row r="571" spans="3:8" x14ac:dyDescent="0.3">
      <c r="C571" s="8">
        <v>6</v>
      </c>
      <c r="D571" s="5">
        <v>7</v>
      </c>
      <c r="E571" s="5">
        <v>10</v>
      </c>
      <c r="F571" s="2" t="s">
        <v>640</v>
      </c>
      <c r="G571" s="68" t="str">
        <f>IF(AND($C571=6,$D571=7,$E571=10),"M","")</f>
        <v>M</v>
      </c>
      <c r="H571" s="71"/>
    </row>
    <row r="572" spans="3:8" x14ac:dyDescent="0.3">
      <c r="C572" s="8">
        <v>6</v>
      </c>
      <c r="D572" s="5">
        <v>8</v>
      </c>
      <c r="E572" s="5">
        <v>1</v>
      </c>
      <c r="F572" s="2" t="s">
        <v>641</v>
      </c>
      <c r="G572" s="68" t="str">
        <f>IF(AND($C572=6,$D572=8,$E572=1),"M","")</f>
        <v>M</v>
      </c>
      <c r="H572" s="71"/>
    </row>
    <row r="573" spans="3:8" x14ac:dyDescent="0.3">
      <c r="C573" s="8">
        <v>6</v>
      </c>
      <c r="D573" s="5">
        <v>8</v>
      </c>
      <c r="E573" s="5">
        <v>2</v>
      </c>
      <c r="F573" s="2" t="s">
        <v>642</v>
      </c>
      <c r="G573" s="68" t="str">
        <f>IF(AND($C573=6,$D573=8,$E573=2),"M","")</f>
        <v>M</v>
      </c>
      <c r="H573" s="71"/>
    </row>
    <row r="574" spans="3:8" x14ac:dyDescent="0.3">
      <c r="C574" s="8">
        <v>6</v>
      </c>
      <c r="D574" s="5">
        <v>8</v>
      </c>
      <c r="E574" s="5">
        <v>3</v>
      </c>
      <c r="F574" s="2" t="s">
        <v>643</v>
      </c>
      <c r="G574" s="68" t="str">
        <f>IF(AND($C574=6,$D574=8,$E574=3),"M","")</f>
        <v>M</v>
      </c>
      <c r="H574" s="71"/>
    </row>
    <row r="575" spans="3:8" x14ac:dyDescent="0.3">
      <c r="C575" s="8">
        <v>6</v>
      </c>
      <c r="D575" s="5">
        <v>8</v>
      </c>
      <c r="E575" s="5">
        <v>4</v>
      </c>
      <c r="F575" s="2" t="s">
        <v>644</v>
      </c>
      <c r="G575" s="68" t="str">
        <f>IF(AND($C575=6,$D575=8,$E575=4),"M","")</f>
        <v>M</v>
      </c>
      <c r="H575" s="71"/>
    </row>
    <row r="576" spans="3:8" x14ac:dyDescent="0.3">
      <c r="C576" s="8">
        <v>6</v>
      </c>
      <c r="D576" s="5">
        <v>8</v>
      </c>
      <c r="E576" s="5">
        <v>5</v>
      </c>
      <c r="F576" s="2" t="s">
        <v>645</v>
      </c>
      <c r="G576" s="69" t="str">
        <f>IF(AND($C576=6,$D576=8,$E576=5),"H","")</f>
        <v>H</v>
      </c>
      <c r="H576" s="71"/>
    </row>
    <row r="577" spans="3:8" x14ac:dyDescent="0.3">
      <c r="C577" s="8">
        <v>6</v>
      </c>
      <c r="D577" s="5">
        <v>8</v>
      </c>
      <c r="E577" s="5">
        <v>6</v>
      </c>
      <c r="F577" s="2" t="s">
        <v>646</v>
      </c>
      <c r="G577" s="69" t="str">
        <f>IF(AND($C577=6,$D577=8,$E577=6),"H","")</f>
        <v>H</v>
      </c>
      <c r="H577" s="71"/>
    </row>
    <row r="578" spans="3:8" x14ac:dyDescent="0.3">
      <c r="C578" s="8">
        <v>6</v>
      </c>
      <c r="D578" s="5">
        <v>8</v>
      </c>
      <c r="E578" s="5">
        <v>7</v>
      </c>
      <c r="F578" s="2" t="s">
        <v>647</v>
      </c>
      <c r="G578" s="69" t="str">
        <f>IF(AND($C578=6,$D578=8,$E578=7),"H","")</f>
        <v>H</v>
      </c>
      <c r="H578" s="71"/>
    </row>
    <row r="579" spans="3:8" x14ac:dyDescent="0.3">
      <c r="C579" s="8">
        <v>6</v>
      </c>
      <c r="D579" s="5">
        <v>8</v>
      </c>
      <c r="E579" s="5">
        <v>8</v>
      </c>
      <c r="F579" s="2" t="s">
        <v>648</v>
      </c>
      <c r="G579" s="69" t="str">
        <f>IF(AND($C579=6,$D579=8,$E579=8),"H","")</f>
        <v>H</v>
      </c>
      <c r="H579" s="71"/>
    </row>
    <row r="580" spans="3:8" x14ac:dyDescent="0.3">
      <c r="C580" s="8">
        <v>6</v>
      </c>
      <c r="D580" s="5">
        <v>8</v>
      </c>
      <c r="E580" s="5">
        <v>9</v>
      </c>
      <c r="F580" s="2" t="s">
        <v>649</v>
      </c>
      <c r="G580" s="69" t="str">
        <f>IF(AND($C580=6,$D580=8,$E580=9),"H","")</f>
        <v>H</v>
      </c>
      <c r="H580" s="71"/>
    </row>
    <row r="581" spans="3:8" x14ac:dyDescent="0.3">
      <c r="C581" s="8">
        <v>6</v>
      </c>
      <c r="D581" s="5">
        <v>8</v>
      </c>
      <c r="E581" s="5">
        <v>10</v>
      </c>
      <c r="F581" s="2" t="s">
        <v>650</v>
      </c>
      <c r="G581" s="69" t="str">
        <f>IF(AND($C581=6,$D581=8,$E581=10),"H","")</f>
        <v>H</v>
      </c>
      <c r="H581" s="71"/>
    </row>
    <row r="582" spans="3:8" x14ac:dyDescent="0.3">
      <c r="C582" s="8">
        <v>6</v>
      </c>
      <c r="D582" s="5">
        <v>9</v>
      </c>
      <c r="E582" s="5">
        <v>1</v>
      </c>
      <c r="F582" s="2" t="s">
        <v>651</v>
      </c>
      <c r="G582" s="68" t="str">
        <f>IF(AND($C582=6,$D582=9,$E582=1),"M","")</f>
        <v>M</v>
      </c>
      <c r="H582" s="71"/>
    </row>
    <row r="583" spans="3:8" x14ac:dyDescent="0.3">
      <c r="C583" s="8">
        <v>6</v>
      </c>
      <c r="D583" s="5">
        <v>9</v>
      </c>
      <c r="E583" s="5">
        <v>2</v>
      </c>
      <c r="F583" s="2" t="s">
        <v>652</v>
      </c>
      <c r="G583" s="68" t="str">
        <f>IF(AND($C583=6,$D583=9,$E583=2),"M","")</f>
        <v>M</v>
      </c>
      <c r="H583" s="71"/>
    </row>
    <row r="584" spans="3:8" x14ac:dyDescent="0.3">
      <c r="C584" s="8">
        <v>6</v>
      </c>
      <c r="D584" s="5">
        <v>9</v>
      </c>
      <c r="E584" s="5">
        <v>3</v>
      </c>
      <c r="F584" s="2" t="s">
        <v>653</v>
      </c>
      <c r="G584" s="68" t="str">
        <f>IF(AND($C584=6,$D584=9,$E584=3),"M","")</f>
        <v>M</v>
      </c>
      <c r="H584" s="71"/>
    </row>
    <row r="585" spans="3:8" x14ac:dyDescent="0.3">
      <c r="C585" s="8">
        <v>6</v>
      </c>
      <c r="D585" s="5">
        <v>9</v>
      </c>
      <c r="E585" s="5">
        <v>4</v>
      </c>
      <c r="F585" s="2" t="s">
        <v>654</v>
      </c>
      <c r="G585" s="68" t="str">
        <f>IF(AND($C585=6,$D585=9,$E585=4),"M","")</f>
        <v>M</v>
      </c>
      <c r="H585" s="71"/>
    </row>
    <row r="586" spans="3:8" x14ac:dyDescent="0.3">
      <c r="C586" s="8">
        <v>6</v>
      </c>
      <c r="D586" s="5">
        <v>9</v>
      </c>
      <c r="E586" s="5">
        <v>5</v>
      </c>
      <c r="F586" s="2" t="s">
        <v>655</v>
      </c>
      <c r="G586" s="69" t="str">
        <f>IF(AND($C586=6,$D586=9,$E586=5),"H","")</f>
        <v>H</v>
      </c>
      <c r="H586" s="71"/>
    </row>
    <row r="587" spans="3:8" x14ac:dyDescent="0.3">
      <c r="C587" s="8">
        <v>6</v>
      </c>
      <c r="D587" s="5">
        <v>9</v>
      </c>
      <c r="E587" s="5">
        <v>6</v>
      </c>
      <c r="F587" s="2" t="s">
        <v>656</v>
      </c>
      <c r="G587" s="69" t="str">
        <f>IF(AND($C587=6,$D587=9,$E587=6),"H","")</f>
        <v>H</v>
      </c>
      <c r="H587" s="71"/>
    </row>
    <row r="588" spans="3:8" x14ac:dyDescent="0.3">
      <c r="C588" s="8">
        <v>6</v>
      </c>
      <c r="D588" s="5">
        <v>9</v>
      </c>
      <c r="E588" s="5">
        <v>7</v>
      </c>
      <c r="F588" s="2" t="s">
        <v>657</v>
      </c>
      <c r="G588" s="69" t="str">
        <f>IF(AND($C588=6,$D588=9,$E588=7),"H","")</f>
        <v>H</v>
      </c>
      <c r="H588" s="71"/>
    </row>
    <row r="589" spans="3:8" x14ac:dyDescent="0.3">
      <c r="C589" s="8">
        <v>6</v>
      </c>
      <c r="D589" s="5">
        <v>9</v>
      </c>
      <c r="E589" s="5">
        <v>8</v>
      </c>
      <c r="F589" s="2" t="s">
        <v>658</v>
      </c>
      <c r="G589" s="69" t="str">
        <f>IF(AND($C589=6,$D589=9,$E589=8),"H","")</f>
        <v>H</v>
      </c>
      <c r="H589" s="71"/>
    </row>
    <row r="590" spans="3:8" x14ac:dyDescent="0.3">
      <c r="C590" s="8">
        <v>6</v>
      </c>
      <c r="D590" s="5">
        <v>9</v>
      </c>
      <c r="E590" s="5">
        <v>9</v>
      </c>
      <c r="F590" s="2" t="s">
        <v>659</v>
      </c>
      <c r="G590" s="69" t="str">
        <f>IF(AND($C590=6,$D590=9,$E590=9),"H","")</f>
        <v>H</v>
      </c>
      <c r="H590" s="71"/>
    </row>
    <row r="591" spans="3:8" x14ac:dyDescent="0.3">
      <c r="C591" s="8">
        <v>6</v>
      </c>
      <c r="D591" s="5">
        <v>9</v>
      </c>
      <c r="E591" s="5">
        <v>10</v>
      </c>
      <c r="F591" s="2" t="s">
        <v>660</v>
      </c>
      <c r="G591" s="69" t="str">
        <f>IF(AND($C591=6,$D591=9,$E591=10),"H","")</f>
        <v>H</v>
      </c>
      <c r="H591" s="71"/>
    </row>
    <row r="592" spans="3:8" x14ac:dyDescent="0.3">
      <c r="C592" s="8">
        <v>6</v>
      </c>
      <c r="D592" s="5">
        <v>10</v>
      </c>
      <c r="E592" s="5">
        <v>1</v>
      </c>
      <c r="F592" s="2" t="s">
        <v>661</v>
      </c>
      <c r="G592" s="68" t="str">
        <f>IF(AND($C592=6,$D592=10,$E592=1),"M","")</f>
        <v>M</v>
      </c>
      <c r="H592" s="71"/>
    </row>
    <row r="593" spans="3:8" x14ac:dyDescent="0.3">
      <c r="C593" s="8">
        <v>6</v>
      </c>
      <c r="D593" s="5">
        <v>10</v>
      </c>
      <c r="E593" s="5">
        <v>2</v>
      </c>
      <c r="F593" s="2" t="s">
        <v>662</v>
      </c>
      <c r="G593" s="68" t="str">
        <f>IF(AND($C593=6,$D593=10,$E593=2),"M","")</f>
        <v>M</v>
      </c>
      <c r="H593" s="71"/>
    </row>
    <row r="594" spans="3:8" x14ac:dyDescent="0.3">
      <c r="C594" s="8">
        <v>6</v>
      </c>
      <c r="D594" s="5">
        <v>10</v>
      </c>
      <c r="E594" s="5">
        <v>3</v>
      </c>
      <c r="F594" s="2" t="s">
        <v>663</v>
      </c>
      <c r="G594" s="68" t="str">
        <f>IF(AND($C594=6,$D594=10,$E594=3),"M","")</f>
        <v>M</v>
      </c>
      <c r="H594" s="71"/>
    </row>
    <row r="595" spans="3:8" x14ac:dyDescent="0.3">
      <c r="C595" s="8">
        <v>6</v>
      </c>
      <c r="D595" s="5">
        <v>10</v>
      </c>
      <c r="E595" s="5">
        <v>4</v>
      </c>
      <c r="F595" s="2" t="s">
        <v>664</v>
      </c>
      <c r="G595" s="68" t="str">
        <f>IF(AND($C595=6,$D595=10,$E595=4),"M","")</f>
        <v>M</v>
      </c>
      <c r="H595" s="71"/>
    </row>
    <row r="596" spans="3:8" x14ac:dyDescent="0.3">
      <c r="C596" s="8">
        <v>6</v>
      </c>
      <c r="D596" s="5">
        <v>10</v>
      </c>
      <c r="E596" s="5">
        <v>5</v>
      </c>
      <c r="F596" s="2" t="s">
        <v>665</v>
      </c>
      <c r="G596" s="69" t="str">
        <f>IF(AND($C596=6,$D596=10,$E596=5),"H","")</f>
        <v>H</v>
      </c>
      <c r="H596" s="71"/>
    </row>
    <row r="597" spans="3:8" x14ac:dyDescent="0.3">
      <c r="C597" s="8">
        <v>6</v>
      </c>
      <c r="D597" s="5">
        <v>10</v>
      </c>
      <c r="E597" s="5">
        <v>6</v>
      </c>
      <c r="F597" s="2" t="s">
        <v>666</v>
      </c>
      <c r="G597" s="69" t="str">
        <f>IF(AND($C597=6,$D597=10,$E597=6),"H","")</f>
        <v>H</v>
      </c>
      <c r="H597" s="71"/>
    </row>
    <row r="598" spans="3:8" x14ac:dyDescent="0.3">
      <c r="C598" s="8">
        <v>6</v>
      </c>
      <c r="D598" s="5">
        <v>10</v>
      </c>
      <c r="E598" s="5">
        <v>7</v>
      </c>
      <c r="F598" s="2" t="s">
        <v>667</v>
      </c>
      <c r="G598" s="69" t="str">
        <f>IF(AND($C598=6,$D598=10,$E598=7),"H","")</f>
        <v>H</v>
      </c>
      <c r="H598" s="71"/>
    </row>
    <row r="599" spans="3:8" x14ac:dyDescent="0.3">
      <c r="C599" s="8">
        <v>6</v>
      </c>
      <c r="D599" s="5">
        <v>10</v>
      </c>
      <c r="E599" s="5">
        <v>8</v>
      </c>
      <c r="F599" s="2" t="s">
        <v>668</v>
      </c>
      <c r="G599" s="69" t="str">
        <f>IF(AND($C599=6,$D599=10,$E599=8),"H","")</f>
        <v>H</v>
      </c>
      <c r="H599" s="71"/>
    </row>
    <row r="600" spans="3:8" x14ac:dyDescent="0.3">
      <c r="C600" s="8">
        <v>6</v>
      </c>
      <c r="D600" s="5">
        <v>10</v>
      </c>
      <c r="E600" s="5">
        <v>9</v>
      </c>
      <c r="F600" s="2" t="s">
        <v>669</v>
      </c>
      <c r="G600" s="69" t="str">
        <f>IF(AND($C600=6,$D600=10,$E600=9),"H","")</f>
        <v>H</v>
      </c>
      <c r="H600" s="71"/>
    </row>
    <row r="601" spans="3:8" x14ac:dyDescent="0.3">
      <c r="C601" s="8">
        <v>6</v>
      </c>
      <c r="D601" s="5">
        <v>10</v>
      </c>
      <c r="E601" s="5">
        <v>10</v>
      </c>
      <c r="F601" s="2" t="s">
        <v>670</v>
      </c>
      <c r="G601" s="69" t="str">
        <f>IF(AND($C601=6,$D601=10,$E601=10),"H","")</f>
        <v>H</v>
      </c>
      <c r="H601" s="71"/>
    </row>
    <row r="602" spans="3:8" x14ac:dyDescent="0.3">
      <c r="C602" s="8">
        <v>7</v>
      </c>
      <c r="D602" s="5">
        <v>1</v>
      </c>
      <c r="E602" s="5">
        <v>1</v>
      </c>
      <c r="F602" s="2" t="s">
        <v>671</v>
      </c>
      <c r="G602" s="67" t="str">
        <f>IF(AND($C602=7,$D602=1,$E602=1),"L","")</f>
        <v>L</v>
      </c>
      <c r="H602" s="71"/>
    </row>
    <row r="603" spans="3:8" x14ac:dyDescent="0.3">
      <c r="C603" s="8">
        <v>7</v>
      </c>
      <c r="D603" s="5">
        <v>1</v>
      </c>
      <c r="E603" s="5">
        <v>2</v>
      </c>
      <c r="F603" s="2" t="s">
        <v>672</v>
      </c>
      <c r="G603" s="67" t="str">
        <f>IF(AND($C603=7,$D603=1,$E603=2),"L","")</f>
        <v>L</v>
      </c>
      <c r="H603" s="71"/>
    </row>
    <row r="604" spans="3:8" x14ac:dyDescent="0.3">
      <c r="C604" s="8">
        <v>7</v>
      </c>
      <c r="D604" s="5">
        <v>1</v>
      </c>
      <c r="E604" s="5">
        <v>3</v>
      </c>
      <c r="F604" s="2" t="s">
        <v>673</v>
      </c>
      <c r="G604" s="67" t="str">
        <f>IF(AND($C604=7,$D604=1,$E604=3),"L","")</f>
        <v>L</v>
      </c>
      <c r="H604" s="71"/>
    </row>
    <row r="605" spans="3:8" x14ac:dyDescent="0.3">
      <c r="C605" s="8">
        <v>7</v>
      </c>
      <c r="D605" s="5">
        <v>1</v>
      </c>
      <c r="E605" s="5">
        <v>4</v>
      </c>
      <c r="F605" s="2" t="s">
        <v>674</v>
      </c>
      <c r="G605" s="67" t="str">
        <f>IF(AND($C605=7,$D605=1,$E605=4),"L","")</f>
        <v>L</v>
      </c>
      <c r="H605" s="71"/>
    </row>
    <row r="606" spans="3:8" x14ac:dyDescent="0.3">
      <c r="C606" s="8">
        <v>7</v>
      </c>
      <c r="D606" s="5">
        <v>1</v>
      </c>
      <c r="E606" s="5">
        <v>5</v>
      </c>
      <c r="F606" s="2" t="s">
        <v>675</v>
      </c>
      <c r="G606" s="67" t="str">
        <f>IF(AND($C606=7,$D606=1,$E606=5),"L","")</f>
        <v>L</v>
      </c>
      <c r="H606" s="71"/>
    </row>
    <row r="607" spans="3:8" x14ac:dyDescent="0.3">
      <c r="C607" s="8">
        <v>7</v>
      </c>
      <c r="D607" s="5">
        <v>1</v>
      </c>
      <c r="E607" s="5">
        <v>6</v>
      </c>
      <c r="F607" s="2" t="s">
        <v>676</v>
      </c>
      <c r="G607" s="67" t="str">
        <f>IF(AND($C607=7,$D607=1,$E607=6),"L","")</f>
        <v>L</v>
      </c>
      <c r="H607" s="71"/>
    </row>
    <row r="608" spans="3:8" x14ac:dyDescent="0.3">
      <c r="C608" s="8">
        <v>7</v>
      </c>
      <c r="D608" s="5">
        <v>1</v>
      </c>
      <c r="E608" s="5">
        <v>7</v>
      </c>
      <c r="F608" s="2" t="s">
        <v>677</v>
      </c>
      <c r="G608" s="67" t="str">
        <f>IF(AND($C608=7,$D608=1,$E608=7),"L","")</f>
        <v>L</v>
      </c>
      <c r="H608" s="71"/>
    </row>
    <row r="609" spans="3:8" x14ac:dyDescent="0.3">
      <c r="C609" s="8">
        <v>7</v>
      </c>
      <c r="D609" s="5">
        <v>1</v>
      </c>
      <c r="E609" s="5">
        <v>8</v>
      </c>
      <c r="F609" s="2" t="s">
        <v>678</v>
      </c>
      <c r="G609" s="67" t="str">
        <f>IF(AND($C609=7,$D609=1,$E609=8),"L","")</f>
        <v>L</v>
      </c>
      <c r="H609" s="71"/>
    </row>
    <row r="610" spans="3:8" x14ac:dyDescent="0.3">
      <c r="C610" s="8">
        <v>7</v>
      </c>
      <c r="D610" s="5">
        <v>1</v>
      </c>
      <c r="E610" s="5">
        <v>9</v>
      </c>
      <c r="F610" s="2" t="s">
        <v>679</v>
      </c>
      <c r="G610" s="67" t="str">
        <f>IF(AND($C610=7,$D610=1,$E610=9),"L","")</f>
        <v>L</v>
      </c>
      <c r="H610" s="71"/>
    </row>
    <row r="611" spans="3:8" x14ac:dyDescent="0.3">
      <c r="C611" s="8">
        <v>7</v>
      </c>
      <c r="D611" s="5">
        <v>1</v>
      </c>
      <c r="E611" s="5">
        <v>10</v>
      </c>
      <c r="F611" s="2" t="s">
        <v>680</v>
      </c>
      <c r="G611" s="67" t="str">
        <f>IF(AND($C611=7,$D611=1,$E611=10),"L","")</f>
        <v>L</v>
      </c>
      <c r="H611" s="71"/>
    </row>
    <row r="612" spans="3:8" x14ac:dyDescent="0.3">
      <c r="C612" s="8">
        <v>7</v>
      </c>
      <c r="D612" s="5">
        <v>2</v>
      </c>
      <c r="E612" s="5">
        <v>1</v>
      </c>
      <c r="F612" s="2" t="s">
        <v>681</v>
      </c>
      <c r="G612" s="67" t="str">
        <f>IF(AND($C612=7,$D612=2,$E612=1),"L","")</f>
        <v>L</v>
      </c>
      <c r="H612" s="71"/>
    </row>
    <row r="613" spans="3:8" x14ac:dyDescent="0.3">
      <c r="C613" s="8">
        <v>7</v>
      </c>
      <c r="D613" s="5">
        <v>2</v>
      </c>
      <c r="E613" s="5">
        <v>2</v>
      </c>
      <c r="F613" s="2" t="s">
        <v>682</v>
      </c>
      <c r="G613" s="67" t="str">
        <f>IF(AND($C613=7,$D613=2,$E613=2),"L","")</f>
        <v>L</v>
      </c>
      <c r="H613" s="71"/>
    </row>
    <row r="614" spans="3:8" x14ac:dyDescent="0.3">
      <c r="C614" s="8">
        <v>7</v>
      </c>
      <c r="D614" s="5">
        <v>2</v>
      </c>
      <c r="E614" s="5">
        <v>3</v>
      </c>
      <c r="F614" s="2" t="s">
        <v>683</v>
      </c>
      <c r="G614" s="67" t="str">
        <f>IF(AND($C614=7,$D614=2,$E614=3),"L","")</f>
        <v>L</v>
      </c>
      <c r="H614" s="71"/>
    </row>
    <row r="615" spans="3:8" x14ac:dyDescent="0.3">
      <c r="C615" s="8">
        <v>7</v>
      </c>
      <c r="D615" s="5">
        <v>2</v>
      </c>
      <c r="E615" s="5">
        <v>4</v>
      </c>
      <c r="F615" s="2" t="s">
        <v>684</v>
      </c>
      <c r="G615" s="67" t="str">
        <f>IF(AND($C615=7,$D615=2,$E615=4),"L","")</f>
        <v>L</v>
      </c>
      <c r="H615" s="71"/>
    </row>
    <row r="616" spans="3:8" x14ac:dyDescent="0.3">
      <c r="C616" s="8">
        <v>7</v>
      </c>
      <c r="D616" s="5">
        <v>2</v>
      </c>
      <c r="E616" s="5">
        <v>5</v>
      </c>
      <c r="F616" s="2" t="s">
        <v>685</v>
      </c>
      <c r="G616" s="68" t="str">
        <f>IF(AND($C616=7,$D616=2,$E616=5),"M","")</f>
        <v>M</v>
      </c>
      <c r="H616" s="71"/>
    </row>
    <row r="617" spans="3:8" x14ac:dyDescent="0.3">
      <c r="C617" s="8">
        <v>7</v>
      </c>
      <c r="D617" s="5">
        <v>2</v>
      </c>
      <c r="E617" s="5">
        <v>6</v>
      </c>
      <c r="F617" s="2" t="s">
        <v>686</v>
      </c>
      <c r="G617" s="68" t="str">
        <f>IF(AND($C617=7,$D617=2,$E617=6),"M","")</f>
        <v>M</v>
      </c>
      <c r="H617" s="71"/>
    </row>
    <row r="618" spans="3:8" x14ac:dyDescent="0.3">
      <c r="C618" s="8">
        <v>7</v>
      </c>
      <c r="D618" s="5">
        <v>2</v>
      </c>
      <c r="E618" s="5">
        <v>7</v>
      </c>
      <c r="F618" s="2" t="s">
        <v>687</v>
      </c>
      <c r="G618" s="68" t="str">
        <f>IF(AND($C618=7,$D618=2,$E618=7),"M","")</f>
        <v>M</v>
      </c>
      <c r="H618" s="71"/>
    </row>
    <row r="619" spans="3:8" x14ac:dyDescent="0.3">
      <c r="C619" s="8">
        <v>7</v>
      </c>
      <c r="D619" s="5">
        <v>2</v>
      </c>
      <c r="E619" s="5">
        <v>8</v>
      </c>
      <c r="F619" s="2" t="s">
        <v>688</v>
      </c>
      <c r="G619" s="68" t="str">
        <f>IF(AND($C619=7,$D619=2,$E619=8),"M","")</f>
        <v>M</v>
      </c>
      <c r="H619" s="71"/>
    </row>
    <row r="620" spans="3:8" x14ac:dyDescent="0.3">
      <c r="C620" s="8">
        <v>7</v>
      </c>
      <c r="D620" s="5">
        <v>2</v>
      </c>
      <c r="E620" s="5">
        <v>9</v>
      </c>
      <c r="F620" s="2" t="s">
        <v>689</v>
      </c>
      <c r="G620" s="68" t="str">
        <f>IF(AND($C620=7,$D620=2,$E620=9),"M","")</f>
        <v>M</v>
      </c>
      <c r="H620" s="71"/>
    </row>
    <row r="621" spans="3:8" x14ac:dyDescent="0.3">
      <c r="C621" s="8">
        <v>7</v>
      </c>
      <c r="D621" s="5">
        <v>2</v>
      </c>
      <c r="E621" s="5">
        <v>10</v>
      </c>
      <c r="F621" s="2" t="s">
        <v>690</v>
      </c>
      <c r="G621" s="68" t="str">
        <f>IF(AND($C621=7,$D621=2,$E621=10),"M","")</f>
        <v>M</v>
      </c>
      <c r="H621" s="71"/>
    </row>
    <row r="622" spans="3:8" x14ac:dyDescent="0.3">
      <c r="C622" s="8">
        <v>7</v>
      </c>
      <c r="D622" s="5">
        <v>3</v>
      </c>
      <c r="E622" s="5">
        <v>1</v>
      </c>
      <c r="F622" s="2" t="s">
        <v>691</v>
      </c>
      <c r="G622" s="67" t="str">
        <f>IF(AND($C622=7,$D622=3,$E622=1),"L","")</f>
        <v>L</v>
      </c>
      <c r="H622" s="71"/>
    </row>
    <row r="623" spans="3:8" x14ac:dyDescent="0.3">
      <c r="C623" s="8">
        <v>7</v>
      </c>
      <c r="D623" s="5">
        <v>3</v>
      </c>
      <c r="E623" s="5">
        <v>2</v>
      </c>
      <c r="F623" s="2" t="s">
        <v>692</v>
      </c>
      <c r="G623" s="67" t="str">
        <f>IF(AND($C623=7,$D623=3,$E623=2),"L","")</f>
        <v>L</v>
      </c>
      <c r="H623" s="71"/>
    </row>
    <row r="624" spans="3:8" x14ac:dyDescent="0.3">
      <c r="C624" s="8">
        <v>7</v>
      </c>
      <c r="D624" s="5">
        <v>3</v>
      </c>
      <c r="E624" s="5">
        <v>3</v>
      </c>
      <c r="F624" s="2" t="s">
        <v>693</v>
      </c>
      <c r="G624" s="67" t="str">
        <f>IF(AND($C624=7,$D624=3,$E624=3),"L","")</f>
        <v>L</v>
      </c>
      <c r="H624" s="71"/>
    </row>
    <row r="625" spans="3:8" x14ac:dyDescent="0.3">
      <c r="C625" s="8">
        <v>7</v>
      </c>
      <c r="D625" s="5">
        <v>3</v>
      </c>
      <c r="E625" s="5">
        <v>4</v>
      </c>
      <c r="F625" s="2" t="s">
        <v>694</v>
      </c>
      <c r="G625" s="67" t="str">
        <f>IF(AND($C625=7,$D625=3,$E625=4),"L","")</f>
        <v>L</v>
      </c>
      <c r="H625" s="71"/>
    </row>
    <row r="626" spans="3:8" x14ac:dyDescent="0.3">
      <c r="C626" s="8">
        <v>7</v>
      </c>
      <c r="D626" s="5">
        <v>3</v>
      </c>
      <c r="E626" s="5">
        <v>5</v>
      </c>
      <c r="F626" s="2" t="s">
        <v>695</v>
      </c>
      <c r="G626" s="68" t="str">
        <f>IF(AND($C626=7,$D626=3,$E626=5),"M","")</f>
        <v>M</v>
      </c>
      <c r="H626" s="71"/>
    </row>
    <row r="627" spans="3:8" x14ac:dyDescent="0.3">
      <c r="C627" s="8">
        <v>7</v>
      </c>
      <c r="D627" s="5">
        <v>3</v>
      </c>
      <c r="E627" s="5">
        <v>6</v>
      </c>
      <c r="F627" s="2" t="s">
        <v>696</v>
      </c>
      <c r="G627" s="68" t="str">
        <f>IF(AND($C627=7,$D627=3,$E627=6),"M","")</f>
        <v>M</v>
      </c>
      <c r="H627" s="71"/>
    </row>
    <row r="628" spans="3:8" x14ac:dyDescent="0.3">
      <c r="C628" s="8">
        <v>7</v>
      </c>
      <c r="D628" s="5">
        <v>3</v>
      </c>
      <c r="E628" s="5">
        <v>7</v>
      </c>
      <c r="F628" s="2" t="s">
        <v>697</v>
      </c>
      <c r="G628" s="68" t="str">
        <f>IF(AND($C628=7,$D628=3,$E628=7),"M","")</f>
        <v>M</v>
      </c>
      <c r="H628" s="71"/>
    </row>
    <row r="629" spans="3:8" x14ac:dyDescent="0.3">
      <c r="C629" s="8">
        <v>7</v>
      </c>
      <c r="D629" s="5">
        <v>3</v>
      </c>
      <c r="E629" s="5">
        <v>8</v>
      </c>
      <c r="F629" s="2" t="s">
        <v>698</v>
      </c>
      <c r="G629" s="68" t="str">
        <f>IF(AND($C629=7,$D629=3,$E629=8),"M","")</f>
        <v>M</v>
      </c>
      <c r="H629" s="71"/>
    </row>
    <row r="630" spans="3:8" x14ac:dyDescent="0.3">
      <c r="C630" s="8">
        <v>7</v>
      </c>
      <c r="D630" s="5">
        <v>3</v>
      </c>
      <c r="E630" s="5">
        <v>9</v>
      </c>
      <c r="F630" s="2" t="s">
        <v>699</v>
      </c>
      <c r="G630" s="68" t="str">
        <f>IF(AND($C630=7,$D630=3,$E630=9),"M","")</f>
        <v>M</v>
      </c>
      <c r="H630" s="71"/>
    </row>
    <row r="631" spans="3:8" x14ac:dyDescent="0.3">
      <c r="C631" s="8">
        <v>7</v>
      </c>
      <c r="D631" s="5">
        <v>3</v>
      </c>
      <c r="E631" s="5">
        <v>10</v>
      </c>
      <c r="F631" s="2" t="s">
        <v>700</v>
      </c>
      <c r="G631" s="68" t="str">
        <f>IF(AND($C631=7,$D631=3,$E631=10),"M","")</f>
        <v>M</v>
      </c>
      <c r="H631" s="71"/>
    </row>
    <row r="632" spans="3:8" x14ac:dyDescent="0.3">
      <c r="C632" s="8">
        <v>7</v>
      </c>
      <c r="D632" s="5">
        <v>4</v>
      </c>
      <c r="E632" s="5">
        <v>1</v>
      </c>
      <c r="F632" s="2" t="s">
        <v>701</v>
      </c>
      <c r="G632" s="68" t="str">
        <f>IF(AND($C632=7,$D632=4,$E632=1),"M","")</f>
        <v>M</v>
      </c>
      <c r="H632" s="71"/>
    </row>
    <row r="633" spans="3:8" x14ac:dyDescent="0.3">
      <c r="C633" s="8">
        <v>7</v>
      </c>
      <c r="D633" s="5">
        <v>4</v>
      </c>
      <c r="E633" s="5">
        <v>2</v>
      </c>
      <c r="F633" s="2" t="s">
        <v>702</v>
      </c>
      <c r="G633" s="68" t="str">
        <f>IF(AND($C633=7,$D633=4,$E633=2),"M","")</f>
        <v>M</v>
      </c>
      <c r="H633" s="71"/>
    </row>
    <row r="634" spans="3:8" x14ac:dyDescent="0.3">
      <c r="C634" s="8">
        <v>7</v>
      </c>
      <c r="D634" s="5">
        <v>4</v>
      </c>
      <c r="E634" s="5">
        <v>3</v>
      </c>
      <c r="F634" s="2" t="s">
        <v>703</v>
      </c>
      <c r="G634" s="68" t="str">
        <f>IF(AND($C634=7,$D634=4,$E634=3),"M","")</f>
        <v>M</v>
      </c>
      <c r="H634" s="71"/>
    </row>
    <row r="635" spans="3:8" x14ac:dyDescent="0.3">
      <c r="C635" s="8">
        <v>7</v>
      </c>
      <c r="D635" s="5">
        <v>4</v>
      </c>
      <c r="E635" s="5">
        <v>4</v>
      </c>
      <c r="F635" s="2" t="s">
        <v>704</v>
      </c>
      <c r="G635" s="68" t="str">
        <f>IF(AND($C635=7,$D635=4,$E635=4),"M","")</f>
        <v>M</v>
      </c>
      <c r="H635" s="71"/>
    </row>
    <row r="636" spans="3:8" x14ac:dyDescent="0.3">
      <c r="C636" s="8">
        <v>7</v>
      </c>
      <c r="D636" s="5">
        <v>4</v>
      </c>
      <c r="E636" s="5">
        <v>5</v>
      </c>
      <c r="F636" s="2" t="s">
        <v>705</v>
      </c>
      <c r="G636" s="68" t="str">
        <f>IF(AND($C636=7,$D636=4,$E636=5),"M","")</f>
        <v>M</v>
      </c>
      <c r="H636" s="71"/>
    </row>
    <row r="637" spans="3:8" x14ac:dyDescent="0.3">
      <c r="C637" s="8">
        <v>7</v>
      </c>
      <c r="D637" s="5">
        <v>4</v>
      </c>
      <c r="E637" s="5">
        <v>6</v>
      </c>
      <c r="F637" s="2" t="s">
        <v>706</v>
      </c>
      <c r="G637" s="68" t="str">
        <f>IF(AND($C637=7,$D637=4,$E637=6),"M","")</f>
        <v>M</v>
      </c>
      <c r="H637" s="71"/>
    </row>
    <row r="638" spans="3:8" x14ac:dyDescent="0.3">
      <c r="C638" s="8">
        <v>7</v>
      </c>
      <c r="D638" s="5">
        <v>4</v>
      </c>
      <c r="E638" s="5">
        <v>7</v>
      </c>
      <c r="F638" s="2" t="s">
        <v>707</v>
      </c>
      <c r="G638" s="69" t="str">
        <f>IF(AND($C638=7,$D638=4,$E638=7),"H","")</f>
        <v>H</v>
      </c>
      <c r="H638" s="71"/>
    </row>
    <row r="639" spans="3:8" x14ac:dyDescent="0.3">
      <c r="C639" s="8">
        <v>7</v>
      </c>
      <c r="D639" s="5">
        <v>4</v>
      </c>
      <c r="E639" s="5">
        <v>8</v>
      </c>
      <c r="F639" s="2" t="s">
        <v>708</v>
      </c>
      <c r="G639" s="69" t="str">
        <f>IF(AND($C639=7,$D639=4,$E639=8),"H","")</f>
        <v>H</v>
      </c>
      <c r="H639" s="71"/>
    </row>
    <row r="640" spans="3:8" x14ac:dyDescent="0.3">
      <c r="C640" s="8">
        <v>7</v>
      </c>
      <c r="D640" s="5">
        <v>4</v>
      </c>
      <c r="E640" s="5">
        <v>9</v>
      </c>
      <c r="F640" s="2" t="s">
        <v>709</v>
      </c>
      <c r="G640" s="69" t="str">
        <f>IF(AND($C640=7,$D640=4,$E640=9),"H","")</f>
        <v>H</v>
      </c>
      <c r="H640" s="71"/>
    </row>
    <row r="641" spans="3:8" x14ac:dyDescent="0.3">
      <c r="C641" s="8">
        <v>7</v>
      </c>
      <c r="D641" s="5">
        <v>4</v>
      </c>
      <c r="E641" s="5">
        <v>10</v>
      </c>
      <c r="F641" s="2" t="s">
        <v>710</v>
      </c>
      <c r="G641" s="69" t="str">
        <f>IF(AND($C641=7,$D641=4,$E641=10),"H","")</f>
        <v>H</v>
      </c>
      <c r="H641" s="71"/>
    </row>
    <row r="642" spans="3:8" x14ac:dyDescent="0.3">
      <c r="C642" s="8">
        <v>7</v>
      </c>
      <c r="D642" s="5">
        <v>5</v>
      </c>
      <c r="E642" s="5">
        <v>1</v>
      </c>
      <c r="F642" s="2" t="s">
        <v>711</v>
      </c>
      <c r="G642" s="68" t="str">
        <f>IF(AND($C642=7,$D642=5,$E642=1),"M","")</f>
        <v>M</v>
      </c>
      <c r="H642" s="71"/>
    </row>
    <row r="643" spans="3:8" x14ac:dyDescent="0.3">
      <c r="C643" s="8">
        <v>7</v>
      </c>
      <c r="D643" s="5">
        <v>5</v>
      </c>
      <c r="E643" s="5">
        <v>2</v>
      </c>
      <c r="F643" s="2" t="s">
        <v>712</v>
      </c>
      <c r="G643" s="68" t="str">
        <f>IF(AND($C643=7,$D643=5,$E643=2),"M","")</f>
        <v>M</v>
      </c>
      <c r="H643" s="71"/>
    </row>
    <row r="644" spans="3:8" x14ac:dyDescent="0.3">
      <c r="C644" s="8">
        <v>7</v>
      </c>
      <c r="D644" s="5">
        <v>5</v>
      </c>
      <c r="E644" s="5">
        <v>3</v>
      </c>
      <c r="F644" s="2" t="s">
        <v>713</v>
      </c>
      <c r="G644" s="68" t="str">
        <f>IF(AND($C644=7,$D644=5,$E644=3),"M","")</f>
        <v>M</v>
      </c>
      <c r="H644" s="71"/>
    </row>
    <row r="645" spans="3:8" x14ac:dyDescent="0.3">
      <c r="C645" s="8">
        <v>7</v>
      </c>
      <c r="D645" s="5">
        <v>5</v>
      </c>
      <c r="E645" s="5">
        <v>4</v>
      </c>
      <c r="F645" s="2" t="s">
        <v>714</v>
      </c>
      <c r="G645" s="68" t="str">
        <f>IF(AND($C645=7,$D645=5,$E645=4),"M","")</f>
        <v>M</v>
      </c>
      <c r="H645" s="71"/>
    </row>
    <row r="646" spans="3:8" x14ac:dyDescent="0.3">
      <c r="C646" s="8">
        <v>7</v>
      </c>
      <c r="D646" s="5">
        <v>5</v>
      </c>
      <c r="E646" s="5">
        <v>5</v>
      </c>
      <c r="F646" s="2" t="s">
        <v>715</v>
      </c>
      <c r="G646" s="68" t="str">
        <f>IF(AND($C646=7,$D646=5,$E646=5),"M","")</f>
        <v>M</v>
      </c>
      <c r="H646" s="71"/>
    </row>
    <row r="647" spans="3:8" x14ac:dyDescent="0.3">
      <c r="C647" s="8">
        <v>7</v>
      </c>
      <c r="D647" s="5">
        <v>5</v>
      </c>
      <c r="E647" s="5">
        <v>6</v>
      </c>
      <c r="F647" s="2" t="s">
        <v>716</v>
      </c>
      <c r="G647" s="68" t="str">
        <f>IF(AND($C647=7,$D647=5,$E647=6),"M","")</f>
        <v>M</v>
      </c>
      <c r="H647" s="71"/>
    </row>
    <row r="648" spans="3:8" x14ac:dyDescent="0.3">
      <c r="C648" s="8">
        <v>7</v>
      </c>
      <c r="D648" s="5">
        <v>5</v>
      </c>
      <c r="E648" s="5">
        <v>7</v>
      </c>
      <c r="F648" s="2" t="s">
        <v>717</v>
      </c>
      <c r="G648" s="69" t="str">
        <f>IF(AND($C648=7,$D648=5,$E648=7),"H","")</f>
        <v>H</v>
      </c>
      <c r="H648" s="71"/>
    </row>
    <row r="649" spans="3:8" x14ac:dyDescent="0.3">
      <c r="C649" s="8">
        <v>7</v>
      </c>
      <c r="D649" s="5">
        <v>5</v>
      </c>
      <c r="E649" s="5">
        <v>8</v>
      </c>
      <c r="F649" s="2" t="s">
        <v>718</v>
      </c>
      <c r="G649" s="69" t="str">
        <f>IF(AND($C649=7,$D649=5,$E649=8),"H","")</f>
        <v>H</v>
      </c>
      <c r="H649" s="71"/>
    </row>
    <row r="650" spans="3:8" x14ac:dyDescent="0.3">
      <c r="C650" s="8">
        <v>7</v>
      </c>
      <c r="D650" s="5">
        <v>5</v>
      </c>
      <c r="E650" s="5">
        <v>9</v>
      </c>
      <c r="F650" s="2" t="s">
        <v>719</v>
      </c>
      <c r="G650" s="69" t="str">
        <f>IF(AND($C650=7,$D650=5,$E650=9),"H","")</f>
        <v>H</v>
      </c>
      <c r="H650" s="71"/>
    </row>
    <row r="651" spans="3:8" x14ac:dyDescent="0.3">
      <c r="C651" s="8">
        <v>7</v>
      </c>
      <c r="D651" s="5">
        <v>5</v>
      </c>
      <c r="E651" s="5">
        <v>10</v>
      </c>
      <c r="F651" s="2" t="s">
        <v>720</v>
      </c>
      <c r="G651" s="69" t="str">
        <f>IF(AND($C651=7,$D651=5,$E651=10),"H","")</f>
        <v>H</v>
      </c>
      <c r="H651" s="71"/>
    </row>
    <row r="652" spans="3:8" x14ac:dyDescent="0.3">
      <c r="C652" s="8">
        <v>7</v>
      </c>
      <c r="D652" s="5">
        <v>6</v>
      </c>
      <c r="E652" s="5">
        <v>1</v>
      </c>
      <c r="F652" s="2" t="s">
        <v>721</v>
      </c>
      <c r="G652" s="69" t="str">
        <f>IF(AND($C652=7,$D652=6,$E652=1),"H","")</f>
        <v>H</v>
      </c>
      <c r="H652" s="71"/>
    </row>
    <row r="653" spans="3:8" x14ac:dyDescent="0.3">
      <c r="C653" s="8">
        <v>7</v>
      </c>
      <c r="D653" s="5">
        <v>6</v>
      </c>
      <c r="E653" s="5">
        <v>2</v>
      </c>
      <c r="F653" s="2" t="s">
        <v>722</v>
      </c>
      <c r="G653" s="69" t="str">
        <f>IF(AND($C653=7,$D653=6,$E653=2),"H","")</f>
        <v>H</v>
      </c>
      <c r="H653" s="71"/>
    </row>
    <row r="654" spans="3:8" x14ac:dyDescent="0.3">
      <c r="C654" s="8">
        <v>7</v>
      </c>
      <c r="D654" s="5">
        <v>6</v>
      </c>
      <c r="E654" s="5">
        <v>3</v>
      </c>
      <c r="F654" s="2" t="s">
        <v>723</v>
      </c>
      <c r="G654" s="69" t="str">
        <f>IF(AND($C654=7,$D654=6,$E654=3),"H","")</f>
        <v>H</v>
      </c>
      <c r="H654" s="71"/>
    </row>
    <row r="655" spans="3:8" x14ac:dyDescent="0.3">
      <c r="C655" s="8">
        <v>7</v>
      </c>
      <c r="D655" s="5">
        <v>6</v>
      </c>
      <c r="E655" s="5">
        <v>4</v>
      </c>
      <c r="F655" s="2" t="s">
        <v>724</v>
      </c>
      <c r="G655" s="69" t="str">
        <f>IF(AND($C655=7,$D655=6,$E655=4),"H","")</f>
        <v>H</v>
      </c>
      <c r="H655" s="71"/>
    </row>
    <row r="656" spans="3:8" x14ac:dyDescent="0.3">
      <c r="C656" s="8">
        <v>7</v>
      </c>
      <c r="D656" s="5">
        <v>6</v>
      </c>
      <c r="E656" s="5">
        <v>5</v>
      </c>
      <c r="F656" s="2" t="s">
        <v>725</v>
      </c>
      <c r="G656" s="69" t="str">
        <f>IF(AND($C656=7,$D656=6,$E656=5),"H","")</f>
        <v>H</v>
      </c>
      <c r="H656" s="71"/>
    </row>
    <row r="657" spans="3:8" x14ac:dyDescent="0.3">
      <c r="C657" s="8">
        <v>7</v>
      </c>
      <c r="D657" s="5">
        <v>6</v>
      </c>
      <c r="E657" s="5">
        <v>6</v>
      </c>
      <c r="F657" s="2" t="s">
        <v>726</v>
      </c>
      <c r="G657" s="69" t="str">
        <f>IF(AND($C657=7,$D657=6,$E657=6),"H","")</f>
        <v>H</v>
      </c>
      <c r="H657" s="71"/>
    </row>
    <row r="658" spans="3:8" x14ac:dyDescent="0.3">
      <c r="C658" s="8">
        <v>7</v>
      </c>
      <c r="D658" s="5">
        <v>6</v>
      </c>
      <c r="E658" s="5">
        <v>7</v>
      </c>
      <c r="F658" s="2" t="s">
        <v>727</v>
      </c>
      <c r="G658" s="69" t="str">
        <f>IF(AND($C658=7,$D658=6,$E658=7),"H","")</f>
        <v>H</v>
      </c>
      <c r="H658" s="71"/>
    </row>
    <row r="659" spans="3:8" x14ac:dyDescent="0.3">
      <c r="C659" s="8">
        <v>7</v>
      </c>
      <c r="D659" s="5">
        <v>6</v>
      </c>
      <c r="E659" s="5">
        <v>8</v>
      </c>
      <c r="F659" s="2" t="s">
        <v>728</v>
      </c>
      <c r="G659" s="69" t="str">
        <f>IF(AND($C659=7,$D659=6,$E659=8),"H","")</f>
        <v>H</v>
      </c>
      <c r="H659" s="71"/>
    </row>
    <row r="660" spans="3:8" x14ac:dyDescent="0.3">
      <c r="C660" s="8">
        <v>7</v>
      </c>
      <c r="D660" s="5">
        <v>6</v>
      </c>
      <c r="E660" s="5">
        <v>9</v>
      </c>
      <c r="F660" s="2" t="s">
        <v>729</v>
      </c>
      <c r="G660" s="69" t="str">
        <f>IF(AND($C660=7,$D660=6,$E660=9),"H","")</f>
        <v>H</v>
      </c>
      <c r="H660" s="71"/>
    </row>
    <row r="661" spans="3:8" x14ac:dyDescent="0.3">
      <c r="C661" s="8">
        <v>7</v>
      </c>
      <c r="D661" s="5">
        <v>6</v>
      </c>
      <c r="E661" s="5">
        <v>10</v>
      </c>
      <c r="F661" s="2" t="s">
        <v>730</v>
      </c>
      <c r="G661" s="69" t="str">
        <f>IF(AND($C661=7,$D661=6,$E661=10),"H","")</f>
        <v>H</v>
      </c>
      <c r="H661" s="71"/>
    </row>
    <row r="662" spans="3:8" x14ac:dyDescent="0.3">
      <c r="C662" s="8">
        <v>7</v>
      </c>
      <c r="D662" s="5">
        <v>7</v>
      </c>
      <c r="E662" s="5">
        <v>1</v>
      </c>
      <c r="F662" s="2" t="s">
        <v>731</v>
      </c>
      <c r="G662" s="69" t="str">
        <f>IF(AND($C662=7,$D662=7,$E662=1),"H","")</f>
        <v>H</v>
      </c>
      <c r="H662" s="71"/>
    </row>
    <row r="663" spans="3:8" x14ac:dyDescent="0.3">
      <c r="C663" s="8">
        <v>7</v>
      </c>
      <c r="D663" s="5">
        <v>7</v>
      </c>
      <c r="E663" s="5">
        <v>2</v>
      </c>
      <c r="F663" s="2" t="s">
        <v>732</v>
      </c>
      <c r="G663" s="69" t="str">
        <f>IF(AND($C663=7,$D663=7,$E663=2),"H","")</f>
        <v>H</v>
      </c>
      <c r="H663" s="71"/>
    </row>
    <row r="664" spans="3:8" x14ac:dyDescent="0.3">
      <c r="C664" s="8">
        <v>7</v>
      </c>
      <c r="D664" s="5">
        <v>7</v>
      </c>
      <c r="E664" s="5">
        <v>3</v>
      </c>
      <c r="F664" s="2" t="s">
        <v>733</v>
      </c>
      <c r="G664" s="69" t="str">
        <f>IF(AND($C664=7,$D664=7,$E664=3),"H","")</f>
        <v>H</v>
      </c>
      <c r="H664" s="71"/>
    </row>
    <row r="665" spans="3:8" x14ac:dyDescent="0.3">
      <c r="C665" s="8">
        <v>7</v>
      </c>
      <c r="D665" s="5">
        <v>7</v>
      </c>
      <c r="E665" s="5">
        <v>4</v>
      </c>
      <c r="F665" s="2" t="s">
        <v>734</v>
      </c>
      <c r="G665" s="69" t="str">
        <f>IF(AND($C665=7,$D665=7,$E665=4),"H","")</f>
        <v>H</v>
      </c>
      <c r="H665" s="71"/>
    </row>
    <row r="666" spans="3:8" x14ac:dyDescent="0.3">
      <c r="C666" s="8">
        <v>7</v>
      </c>
      <c r="D666" s="5">
        <v>7</v>
      </c>
      <c r="E666" s="5">
        <v>5</v>
      </c>
      <c r="F666" s="2" t="s">
        <v>735</v>
      </c>
      <c r="G666" s="69" t="str">
        <f>IF(AND($C666=7,$D666=7,$E666=5),"H","")</f>
        <v>H</v>
      </c>
      <c r="H666" s="71"/>
    </row>
    <row r="667" spans="3:8" x14ac:dyDescent="0.3">
      <c r="C667" s="8">
        <v>7</v>
      </c>
      <c r="D667" s="5">
        <v>7</v>
      </c>
      <c r="E667" s="5">
        <v>6</v>
      </c>
      <c r="F667" s="2" t="s">
        <v>736</v>
      </c>
      <c r="G667" s="69" t="str">
        <f>IF(AND($C667=7,$D667=7,$E667=6),"H","")</f>
        <v>H</v>
      </c>
      <c r="H667" s="71"/>
    </row>
    <row r="668" spans="3:8" x14ac:dyDescent="0.3">
      <c r="C668" s="8">
        <v>7</v>
      </c>
      <c r="D668" s="5">
        <v>7</v>
      </c>
      <c r="E668" s="5">
        <v>7</v>
      </c>
      <c r="F668" s="2" t="s">
        <v>737</v>
      </c>
      <c r="G668" s="69" t="str">
        <f>IF(AND($C668=7,$D668=7,$E668=7),"H","")</f>
        <v>H</v>
      </c>
      <c r="H668" s="71"/>
    </row>
    <row r="669" spans="3:8" x14ac:dyDescent="0.3">
      <c r="C669" s="8">
        <v>7</v>
      </c>
      <c r="D669" s="5">
        <v>7</v>
      </c>
      <c r="E669" s="5">
        <v>8</v>
      </c>
      <c r="F669" s="2" t="s">
        <v>738</v>
      </c>
      <c r="G669" s="69" t="str">
        <f>IF(AND($C669=7,$D669=7,$E669=8),"H","")</f>
        <v>H</v>
      </c>
      <c r="H669" s="71"/>
    </row>
    <row r="670" spans="3:8" x14ac:dyDescent="0.3">
      <c r="C670" s="8">
        <v>7</v>
      </c>
      <c r="D670" s="5">
        <v>7</v>
      </c>
      <c r="E670" s="5">
        <v>9</v>
      </c>
      <c r="F670" s="2" t="s">
        <v>739</v>
      </c>
      <c r="G670" s="69" t="str">
        <f>IF(AND($C670=7,$D670=7,$E670=9),"H","")</f>
        <v>H</v>
      </c>
      <c r="H670" s="71"/>
    </row>
    <row r="671" spans="3:8" x14ac:dyDescent="0.3">
      <c r="C671" s="8">
        <v>7</v>
      </c>
      <c r="D671" s="5">
        <v>7</v>
      </c>
      <c r="E671" s="5">
        <v>10</v>
      </c>
      <c r="F671" s="2" t="s">
        <v>740</v>
      </c>
      <c r="G671" s="69" t="str">
        <f>IF(AND($C671=7,$D671=7,$E671=10),"H","")</f>
        <v>H</v>
      </c>
      <c r="H671" s="71"/>
    </row>
    <row r="672" spans="3:8" x14ac:dyDescent="0.3">
      <c r="C672" s="8">
        <v>7</v>
      </c>
      <c r="D672" s="5">
        <v>8</v>
      </c>
      <c r="E672" s="5">
        <v>1</v>
      </c>
      <c r="F672" s="2" t="s">
        <v>741</v>
      </c>
      <c r="G672" s="69" t="str">
        <f>IF(AND($C672=7,$D672=8,$E672=1),"H","")</f>
        <v>H</v>
      </c>
      <c r="H672" s="71"/>
    </row>
    <row r="673" spans="3:8" x14ac:dyDescent="0.3">
      <c r="C673" s="8">
        <v>7</v>
      </c>
      <c r="D673" s="5">
        <v>8</v>
      </c>
      <c r="E673" s="5">
        <v>2</v>
      </c>
      <c r="F673" s="2" t="s">
        <v>742</v>
      </c>
      <c r="G673" s="69" t="str">
        <f>IF(AND($C673=7,$D673=8,$E673=2),"H","")</f>
        <v>H</v>
      </c>
      <c r="H673" s="71"/>
    </row>
    <row r="674" spans="3:8" x14ac:dyDescent="0.3">
      <c r="C674" s="8">
        <v>7</v>
      </c>
      <c r="D674" s="5">
        <v>8</v>
      </c>
      <c r="E674" s="5">
        <v>3</v>
      </c>
      <c r="F674" s="2" t="s">
        <v>743</v>
      </c>
      <c r="G674" s="69" t="str">
        <f>IF(AND($C674=7,$D674=8,$E674=3),"H","")</f>
        <v>H</v>
      </c>
      <c r="H674" s="71"/>
    </row>
    <row r="675" spans="3:8" x14ac:dyDescent="0.3">
      <c r="C675" s="8">
        <v>7</v>
      </c>
      <c r="D675" s="5">
        <v>8</v>
      </c>
      <c r="E675" s="5">
        <v>4</v>
      </c>
      <c r="F675" s="2" t="s">
        <v>744</v>
      </c>
      <c r="G675" s="69" t="str">
        <f>IF(AND($C675=7,$D675=8,$E675=4),"H","")</f>
        <v>H</v>
      </c>
      <c r="H675" s="71"/>
    </row>
    <row r="676" spans="3:8" x14ac:dyDescent="0.3">
      <c r="C676" s="8">
        <v>7</v>
      </c>
      <c r="D676" s="5">
        <v>8</v>
      </c>
      <c r="E676" s="5">
        <v>5</v>
      </c>
      <c r="F676" s="2" t="s">
        <v>745</v>
      </c>
      <c r="G676" s="69" t="str">
        <f>IF(AND($C676=7,$D676=8,$E676=5),"H","")</f>
        <v>H</v>
      </c>
      <c r="H676" s="71"/>
    </row>
    <row r="677" spans="3:8" x14ac:dyDescent="0.3">
      <c r="C677" s="8">
        <v>7</v>
      </c>
      <c r="D677" s="5">
        <v>8</v>
      </c>
      <c r="E677" s="5">
        <v>6</v>
      </c>
      <c r="F677" s="2" t="s">
        <v>746</v>
      </c>
      <c r="G677" s="69" t="str">
        <f>IF(AND($C677=7,$D677=8,$E677=6),"H","")</f>
        <v>H</v>
      </c>
      <c r="H677" s="71"/>
    </row>
    <row r="678" spans="3:8" x14ac:dyDescent="0.3">
      <c r="C678" s="8">
        <v>7</v>
      </c>
      <c r="D678" s="5">
        <v>8</v>
      </c>
      <c r="E678" s="5">
        <v>7</v>
      </c>
      <c r="F678" s="2" t="s">
        <v>747</v>
      </c>
      <c r="G678" s="69" t="str">
        <f>IF(AND($C678=7,$D678=8,$E678=7),"H","")</f>
        <v>H</v>
      </c>
      <c r="H678" s="71"/>
    </row>
    <row r="679" spans="3:8" x14ac:dyDescent="0.3">
      <c r="C679" s="8">
        <v>7</v>
      </c>
      <c r="D679" s="5">
        <v>8</v>
      </c>
      <c r="E679" s="5">
        <v>8</v>
      </c>
      <c r="F679" s="2" t="s">
        <v>748</v>
      </c>
      <c r="G679" s="69" t="str">
        <f>IF(AND($C679=7,$D679=8,$E679=8),"H","")</f>
        <v>H</v>
      </c>
      <c r="H679" s="71"/>
    </row>
    <row r="680" spans="3:8" x14ac:dyDescent="0.3">
      <c r="C680" s="8">
        <v>7</v>
      </c>
      <c r="D680" s="5">
        <v>8</v>
      </c>
      <c r="E680" s="5">
        <v>9</v>
      </c>
      <c r="F680" s="2" t="s">
        <v>749</v>
      </c>
      <c r="G680" s="69" t="str">
        <f>IF(AND($C680=7,$D680=8,$E680=9),"H","")</f>
        <v>H</v>
      </c>
      <c r="H680" s="71"/>
    </row>
    <row r="681" spans="3:8" x14ac:dyDescent="0.3">
      <c r="C681" s="8">
        <v>7</v>
      </c>
      <c r="D681" s="5">
        <v>8</v>
      </c>
      <c r="E681" s="5">
        <v>10</v>
      </c>
      <c r="F681" s="2" t="s">
        <v>750</v>
      </c>
      <c r="G681" s="69" t="str">
        <f>IF(AND($C681=7,$D681=8,$E681=10),"H","")</f>
        <v>H</v>
      </c>
      <c r="H681" s="71"/>
    </row>
    <row r="682" spans="3:8" x14ac:dyDescent="0.3">
      <c r="C682" s="8">
        <v>7</v>
      </c>
      <c r="D682" s="5">
        <v>9</v>
      </c>
      <c r="E682" s="5">
        <v>1</v>
      </c>
      <c r="F682" s="2" t="s">
        <v>751</v>
      </c>
      <c r="G682" s="69" t="str">
        <f>IF(AND($C682=7,$D682=9,$E682=1),"H","")</f>
        <v>H</v>
      </c>
      <c r="H682" s="71"/>
    </row>
    <row r="683" spans="3:8" x14ac:dyDescent="0.3">
      <c r="C683" s="8">
        <v>7</v>
      </c>
      <c r="D683" s="5">
        <v>9</v>
      </c>
      <c r="E683" s="5">
        <v>2</v>
      </c>
      <c r="F683" s="2" t="s">
        <v>752</v>
      </c>
      <c r="G683" s="69" t="str">
        <f>IF(AND($C683=7,$D683=9,$E683=2),"H","")</f>
        <v>H</v>
      </c>
      <c r="H683" s="71"/>
    </row>
    <row r="684" spans="3:8" x14ac:dyDescent="0.3">
      <c r="C684" s="8">
        <v>7</v>
      </c>
      <c r="D684" s="5">
        <v>9</v>
      </c>
      <c r="E684" s="5">
        <v>3</v>
      </c>
      <c r="F684" s="2" t="s">
        <v>753</v>
      </c>
      <c r="G684" s="69" t="str">
        <f>IF(AND($C684=7,$D684=9,$E684=3),"H","")</f>
        <v>H</v>
      </c>
      <c r="H684" s="71"/>
    </row>
    <row r="685" spans="3:8" x14ac:dyDescent="0.3">
      <c r="C685" s="8">
        <v>7</v>
      </c>
      <c r="D685" s="5">
        <v>9</v>
      </c>
      <c r="E685" s="5">
        <v>4</v>
      </c>
      <c r="F685" s="2" t="s">
        <v>754</v>
      </c>
      <c r="G685" s="69" t="str">
        <f>IF(AND($C685=7,$D685=9,$E685=4),"H","")</f>
        <v>H</v>
      </c>
      <c r="H685" s="71"/>
    </row>
    <row r="686" spans="3:8" x14ac:dyDescent="0.3">
      <c r="C686" s="8">
        <v>7</v>
      </c>
      <c r="D686" s="5">
        <v>9</v>
      </c>
      <c r="E686" s="5">
        <v>5</v>
      </c>
      <c r="F686" s="2" t="s">
        <v>755</v>
      </c>
      <c r="G686" s="69" t="str">
        <f>IF(AND($C686=7,$D686=9,$E686=5),"H","")</f>
        <v>H</v>
      </c>
      <c r="H686" s="71"/>
    </row>
    <row r="687" spans="3:8" x14ac:dyDescent="0.3">
      <c r="C687" s="8">
        <v>7</v>
      </c>
      <c r="D687" s="5">
        <v>9</v>
      </c>
      <c r="E687" s="5">
        <v>6</v>
      </c>
      <c r="F687" s="2" t="s">
        <v>756</v>
      </c>
      <c r="G687" s="69" t="str">
        <f>IF(AND($C687=7,$D687=9,$E687=6),"H","")</f>
        <v>H</v>
      </c>
      <c r="H687" s="71"/>
    </row>
    <row r="688" spans="3:8" x14ac:dyDescent="0.3">
      <c r="C688" s="8">
        <v>7</v>
      </c>
      <c r="D688" s="5">
        <v>9</v>
      </c>
      <c r="E688" s="5">
        <v>7</v>
      </c>
      <c r="F688" s="2" t="s">
        <v>757</v>
      </c>
      <c r="G688" s="69" t="str">
        <f>IF(AND($C688=7,$D688=9,$E688=7),"H","")</f>
        <v>H</v>
      </c>
      <c r="H688" s="71"/>
    </row>
    <row r="689" spans="3:8" x14ac:dyDescent="0.3">
      <c r="C689" s="8">
        <v>7</v>
      </c>
      <c r="D689" s="5">
        <v>9</v>
      </c>
      <c r="E689" s="5">
        <v>8</v>
      </c>
      <c r="F689" s="2" t="s">
        <v>758</v>
      </c>
      <c r="G689" s="69" t="str">
        <f>IF(AND($C689=7,$D689=9,$E689=8),"H","")</f>
        <v>H</v>
      </c>
      <c r="H689" s="71"/>
    </row>
    <row r="690" spans="3:8" x14ac:dyDescent="0.3">
      <c r="C690" s="8">
        <v>7</v>
      </c>
      <c r="D690" s="5">
        <v>9</v>
      </c>
      <c r="E690" s="5">
        <v>9</v>
      </c>
      <c r="F690" s="2" t="s">
        <v>759</v>
      </c>
      <c r="G690" s="69" t="str">
        <f>IF(AND($C690=7,$D690=9,$E690=9),"H","")</f>
        <v>H</v>
      </c>
      <c r="H690" s="71"/>
    </row>
    <row r="691" spans="3:8" x14ac:dyDescent="0.3">
      <c r="C691" s="8">
        <v>7</v>
      </c>
      <c r="D691" s="5">
        <v>9</v>
      </c>
      <c r="E691" s="5">
        <v>10</v>
      </c>
      <c r="F691" s="2" t="s">
        <v>760</v>
      </c>
      <c r="G691" s="69" t="str">
        <f>IF(AND($C691=7,$D691=9,$E691=10),"H","")</f>
        <v>H</v>
      </c>
      <c r="H691" s="71"/>
    </row>
    <row r="692" spans="3:8" x14ac:dyDescent="0.3">
      <c r="C692" s="8">
        <v>7</v>
      </c>
      <c r="D692" s="5">
        <v>10</v>
      </c>
      <c r="E692" s="5">
        <v>1</v>
      </c>
      <c r="F692" s="2" t="s">
        <v>761</v>
      </c>
      <c r="G692" s="69" t="str">
        <f>IF(AND($C692=7,$D692=10,$E692=1),"H","")</f>
        <v>H</v>
      </c>
      <c r="H692" s="71"/>
    </row>
    <row r="693" spans="3:8" x14ac:dyDescent="0.3">
      <c r="C693" s="8">
        <v>7</v>
      </c>
      <c r="D693" s="5">
        <v>10</v>
      </c>
      <c r="E693" s="5">
        <v>2</v>
      </c>
      <c r="F693" s="2" t="s">
        <v>762</v>
      </c>
      <c r="G693" s="69" t="str">
        <f>IF(AND($C693=7,$D693=10,$E693=2),"H","")</f>
        <v>H</v>
      </c>
      <c r="H693" s="71"/>
    </row>
    <row r="694" spans="3:8" x14ac:dyDescent="0.3">
      <c r="C694" s="8">
        <v>7</v>
      </c>
      <c r="D694" s="5">
        <v>10</v>
      </c>
      <c r="E694" s="5">
        <v>3</v>
      </c>
      <c r="F694" s="2" t="s">
        <v>763</v>
      </c>
      <c r="G694" s="69" t="str">
        <f>IF(AND($C694=7,$D694=10,$E694=3),"H","")</f>
        <v>H</v>
      </c>
      <c r="H694" s="71"/>
    </row>
    <row r="695" spans="3:8" x14ac:dyDescent="0.3">
      <c r="C695" s="8">
        <v>7</v>
      </c>
      <c r="D695" s="5">
        <v>10</v>
      </c>
      <c r="E695" s="5">
        <v>4</v>
      </c>
      <c r="F695" s="2" t="s">
        <v>764</v>
      </c>
      <c r="G695" s="69" t="str">
        <f>IF(AND($C695=7,$D695=10,$E695=4),"H","")</f>
        <v>H</v>
      </c>
      <c r="H695" s="71"/>
    </row>
    <row r="696" spans="3:8" x14ac:dyDescent="0.3">
      <c r="C696" s="8">
        <v>7</v>
      </c>
      <c r="D696" s="5">
        <v>10</v>
      </c>
      <c r="E696" s="5">
        <v>5</v>
      </c>
      <c r="F696" s="2" t="s">
        <v>765</v>
      </c>
      <c r="G696" s="69" t="str">
        <f>IF(AND($C696=7,$D696=10,$E696=5),"H","")</f>
        <v>H</v>
      </c>
      <c r="H696" s="71"/>
    </row>
    <row r="697" spans="3:8" x14ac:dyDescent="0.3">
      <c r="C697" s="8">
        <v>7</v>
      </c>
      <c r="D697" s="5">
        <v>10</v>
      </c>
      <c r="E697" s="5">
        <v>6</v>
      </c>
      <c r="F697" s="2" t="s">
        <v>766</v>
      </c>
      <c r="G697" s="69" t="str">
        <f>IF(AND($C697=7,$D697=10,$E697=6),"H","")</f>
        <v>H</v>
      </c>
      <c r="H697" s="71"/>
    </row>
    <row r="698" spans="3:8" x14ac:dyDescent="0.3">
      <c r="C698" s="8">
        <v>7</v>
      </c>
      <c r="D698" s="5">
        <v>10</v>
      </c>
      <c r="E698" s="5">
        <v>7</v>
      </c>
      <c r="F698" s="2" t="s">
        <v>767</v>
      </c>
      <c r="G698" s="69" t="str">
        <f>IF(AND($C698=7,$D698=10,$E698=7),"H","")</f>
        <v>H</v>
      </c>
      <c r="H698" s="71"/>
    </row>
    <row r="699" spans="3:8" x14ac:dyDescent="0.3">
      <c r="C699" s="8">
        <v>7</v>
      </c>
      <c r="D699" s="5">
        <v>10</v>
      </c>
      <c r="E699" s="5">
        <v>8</v>
      </c>
      <c r="F699" s="2" t="s">
        <v>768</v>
      </c>
      <c r="G699" s="69" t="str">
        <f>IF(AND($C699=7,$D699=10,$E699=8),"H","")</f>
        <v>H</v>
      </c>
      <c r="H699" s="71"/>
    </row>
    <row r="700" spans="3:8" x14ac:dyDescent="0.3">
      <c r="C700" s="8">
        <v>7</v>
      </c>
      <c r="D700" s="5">
        <v>10</v>
      </c>
      <c r="E700" s="5">
        <v>9</v>
      </c>
      <c r="F700" s="2" t="s">
        <v>769</v>
      </c>
      <c r="G700" s="69" t="str">
        <f>IF(AND($C700=7,$D700=10,$E700=9),"H","")</f>
        <v>H</v>
      </c>
      <c r="H700" s="71"/>
    </row>
    <row r="701" spans="3:8" x14ac:dyDescent="0.3">
      <c r="C701" s="8">
        <v>7</v>
      </c>
      <c r="D701" s="5">
        <v>10</v>
      </c>
      <c r="E701" s="5">
        <v>10</v>
      </c>
      <c r="F701" s="2" t="s">
        <v>770</v>
      </c>
      <c r="G701" s="69" t="str">
        <f>IF(AND($C701=7,$D701=10,$E701=10),"H","")</f>
        <v>H</v>
      </c>
      <c r="H701" s="71"/>
    </row>
    <row r="702" spans="3:8" x14ac:dyDescent="0.3">
      <c r="C702" s="8">
        <v>8</v>
      </c>
      <c r="D702" s="5">
        <v>1</v>
      </c>
      <c r="E702" s="5">
        <v>1</v>
      </c>
      <c r="F702" s="2" t="s">
        <v>771</v>
      </c>
      <c r="G702" s="67" t="str">
        <f>IF(AND($C702=8,$D702=1,$E702=1),"L","")</f>
        <v>L</v>
      </c>
      <c r="H702" s="71"/>
    </row>
    <row r="703" spans="3:8" x14ac:dyDescent="0.3">
      <c r="C703" s="8">
        <v>8</v>
      </c>
      <c r="D703" s="5">
        <v>1</v>
      </c>
      <c r="E703" s="5">
        <v>2</v>
      </c>
      <c r="F703" s="2" t="s">
        <v>772</v>
      </c>
      <c r="G703" s="67" t="str">
        <f>IF(AND($C703=8,$D703=1,$E703=2),"L","")</f>
        <v>L</v>
      </c>
      <c r="H703" s="71"/>
    </row>
    <row r="704" spans="3:8" x14ac:dyDescent="0.3">
      <c r="C704" s="8">
        <v>8</v>
      </c>
      <c r="D704" s="5">
        <v>1</v>
      </c>
      <c r="E704" s="5">
        <v>3</v>
      </c>
      <c r="F704" s="2" t="s">
        <v>773</v>
      </c>
      <c r="G704" s="67" t="str">
        <f>IF(AND($C704=8,$D704=1,$E704=3),"L","")</f>
        <v>L</v>
      </c>
      <c r="H704" s="71"/>
    </row>
    <row r="705" spans="3:8" x14ac:dyDescent="0.3">
      <c r="C705" s="8">
        <v>8</v>
      </c>
      <c r="D705" s="5">
        <v>1</v>
      </c>
      <c r="E705" s="5">
        <v>4</v>
      </c>
      <c r="F705" s="2" t="s">
        <v>774</v>
      </c>
      <c r="G705" s="67" t="str">
        <f>IF(AND($C705=8,$D705=1,$E705=4),"L","")</f>
        <v>L</v>
      </c>
      <c r="H705" s="71"/>
    </row>
    <row r="706" spans="3:8" x14ac:dyDescent="0.3">
      <c r="C706" s="8">
        <v>8</v>
      </c>
      <c r="D706" s="5">
        <v>1</v>
      </c>
      <c r="E706" s="5">
        <v>5</v>
      </c>
      <c r="F706" s="2" t="s">
        <v>775</v>
      </c>
      <c r="G706" s="67" t="str">
        <f>IF(AND($C706=8,$D706=1,$E706=5),"L","")</f>
        <v>L</v>
      </c>
      <c r="H706" s="71"/>
    </row>
    <row r="707" spans="3:8" x14ac:dyDescent="0.3">
      <c r="C707" s="8">
        <v>8</v>
      </c>
      <c r="D707" s="5">
        <v>1</v>
      </c>
      <c r="E707" s="5">
        <v>6</v>
      </c>
      <c r="F707" s="2" t="s">
        <v>776</v>
      </c>
      <c r="G707" s="67" t="str">
        <f>IF(AND($C707=8,$D707=1,$E707=6),"L","")</f>
        <v>L</v>
      </c>
      <c r="H707" s="71"/>
    </row>
    <row r="708" spans="3:8" x14ac:dyDescent="0.3">
      <c r="C708" s="8">
        <v>8</v>
      </c>
      <c r="D708" s="5">
        <v>1</v>
      </c>
      <c r="E708" s="5">
        <v>7</v>
      </c>
      <c r="F708" s="2" t="s">
        <v>777</v>
      </c>
      <c r="G708" s="67" t="str">
        <f>IF(AND($C708=8,$D708=1,$E708=7),"L","")</f>
        <v>L</v>
      </c>
      <c r="H708" s="71"/>
    </row>
    <row r="709" spans="3:8" x14ac:dyDescent="0.3">
      <c r="C709" s="8">
        <v>8</v>
      </c>
      <c r="D709" s="5">
        <v>1</v>
      </c>
      <c r="E709" s="5">
        <v>8</v>
      </c>
      <c r="F709" s="2" t="s">
        <v>778</v>
      </c>
      <c r="G709" s="67" t="str">
        <f>IF(AND($C709=8,$D709=1,$E709=8),"L","")</f>
        <v>L</v>
      </c>
      <c r="H709" s="71"/>
    </row>
    <row r="710" spans="3:8" x14ac:dyDescent="0.3">
      <c r="C710" s="8">
        <v>8</v>
      </c>
      <c r="D710" s="5">
        <v>1</v>
      </c>
      <c r="E710" s="5">
        <v>9</v>
      </c>
      <c r="F710" s="2" t="s">
        <v>779</v>
      </c>
      <c r="G710" s="67" t="str">
        <f>IF(AND($C710=8,$D710=1,$E710=9),"L","")</f>
        <v>L</v>
      </c>
      <c r="H710" s="71"/>
    </row>
    <row r="711" spans="3:8" x14ac:dyDescent="0.3">
      <c r="C711" s="8">
        <v>8</v>
      </c>
      <c r="D711" s="5">
        <v>1</v>
      </c>
      <c r="E711" s="5">
        <v>10</v>
      </c>
      <c r="F711" s="2" t="s">
        <v>780</v>
      </c>
      <c r="G711" s="67" t="str">
        <f>IF(AND($C711=8,$D711=1,$E711=10),"L","")</f>
        <v>L</v>
      </c>
      <c r="H711" s="71"/>
    </row>
    <row r="712" spans="3:8" x14ac:dyDescent="0.3">
      <c r="C712" s="8">
        <v>8</v>
      </c>
      <c r="D712" s="5">
        <v>2</v>
      </c>
      <c r="E712" s="5">
        <v>1</v>
      </c>
      <c r="F712" s="2" t="s">
        <v>781</v>
      </c>
      <c r="G712" s="67" t="str">
        <f>IF(AND($C712=8,$D712=2,$E712=1),"L","")</f>
        <v>L</v>
      </c>
      <c r="H712" s="71"/>
    </row>
    <row r="713" spans="3:8" x14ac:dyDescent="0.3">
      <c r="C713" s="8">
        <v>8</v>
      </c>
      <c r="D713" s="5">
        <v>2</v>
      </c>
      <c r="E713" s="5">
        <v>2</v>
      </c>
      <c r="F713" s="2" t="s">
        <v>782</v>
      </c>
      <c r="G713" s="67" t="str">
        <f>IF(AND($C713=8,$D713=2,$E713=2),"L","")</f>
        <v>L</v>
      </c>
      <c r="H713" s="71"/>
    </row>
    <row r="714" spans="3:8" x14ac:dyDescent="0.3">
      <c r="C714" s="8">
        <v>8</v>
      </c>
      <c r="D714" s="5">
        <v>2</v>
      </c>
      <c r="E714" s="5">
        <v>3</v>
      </c>
      <c r="F714" s="2" t="s">
        <v>783</v>
      </c>
      <c r="G714" s="67" t="str">
        <f>IF(AND($C714=8,$D714=2,$E714=3),"L","")</f>
        <v>L</v>
      </c>
      <c r="H714" s="71"/>
    </row>
    <row r="715" spans="3:8" x14ac:dyDescent="0.3">
      <c r="C715" s="8">
        <v>8</v>
      </c>
      <c r="D715" s="5">
        <v>2</v>
      </c>
      <c r="E715" s="5">
        <v>4</v>
      </c>
      <c r="F715" s="2" t="s">
        <v>784</v>
      </c>
      <c r="G715" s="67" t="str">
        <f>IF(AND($C715=8,$D715=2,$E715=4),"L","")</f>
        <v>L</v>
      </c>
      <c r="H715" s="71"/>
    </row>
    <row r="716" spans="3:8" x14ac:dyDescent="0.3">
      <c r="C716" s="8">
        <v>8</v>
      </c>
      <c r="D716" s="5">
        <v>2</v>
      </c>
      <c r="E716" s="5">
        <v>5</v>
      </c>
      <c r="F716" s="2" t="s">
        <v>785</v>
      </c>
      <c r="G716" s="68" t="str">
        <f>IF(AND($C716=8,$D716=2,$E716=5),"M","")</f>
        <v>M</v>
      </c>
      <c r="H716" s="71"/>
    </row>
    <row r="717" spans="3:8" x14ac:dyDescent="0.3">
      <c r="C717" s="8">
        <v>8</v>
      </c>
      <c r="D717" s="5">
        <v>2</v>
      </c>
      <c r="E717" s="5">
        <v>6</v>
      </c>
      <c r="F717" s="2" t="s">
        <v>786</v>
      </c>
      <c r="G717" s="68" t="str">
        <f>IF(AND($C717=8,$D717=2,$E717=6),"M","")</f>
        <v>M</v>
      </c>
      <c r="H717" s="71"/>
    </row>
    <row r="718" spans="3:8" x14ac:dyDescent="0.3">
      <c r="C718" s="8">
        <v>8</v>
      </c>
      <c r="D718" s="5">
        <v>2</v>
      </c>
      <c r="E718" s="5">
        <v>7</v>
      </c>
      <c r="F718" s="2" t="s">
        <v>787</v>
      </c>
      <c r="G718" s="68" t="str">
        <f>IF(AND($C718=8,$D718=2,$E718=7),"M","")</f>
        <v>M</v>
      </c>
      <c r="H718" s="71"/>
    </row>
    <row r="719" spans="3:8" x14ac:dyDescent="0.3">
      <c r="C719" s="8">
        <v>8</v>
      </c>
      <c r="D719" s="5">
        <v>2</v>
      </c>
      <c r="E719" s="5">
        <v>8</v>
      </c>
      <c r="F719" s="2" t="s">
        <v>788</v>
      </c>
      <c r="G719" s="68" t="str">
        <f>IF(AND($C719=8,$D719=2,$E719=8),"M","")</f>
        <v>M</v>
      </c>
      <c r="H719" s="71"/>
    </row>
    <row r="720" spans="3:8" x14ac:dyDescent="0.3">
      <c r="C720" s="8">
        <v>8</v>
      </c>
      <c r="D720" s="5">
        <v>2</v>
      </c>
      <c r="E720" s="5">
        <v>9</v>
      </c>
      <c r="F720" s="2" t="s">
        <v>789</v>
      </c>
      <c r="G720" s="68" t="str">
        <f>IF(AND($C720=8,$D720=2,$E720=9),"M","")</f>
        <v>M</v>
      </c>
      <c r="H720" s="71"/>
    </row>
    <row r="721" spans="3:8" x14ac:dyDescent="0.3">
      <c r="C721" s="8">
        <v>8</v>
      </c>
      <c r="D721" s="5">
        <v>2</v>
      </c>
      <c r="E721" s="5">
        <v>10</v>
      </c>
      <c r="F721" s="2" t="s">
        <v>790</v>
      </c>
      <c r="G721" s="68" t="str">
        <f>IF(AND($C721=8,$D721=2,$E721=10),"M","")</f>
        <v>M</v>
      </c>
      <c r="H721" s="71"/>
    </row>
    <row r="722" spans="3:8" x14ac:dyDescent="0.3">
      <c r="C722" s="8">
        <v>8</v>
      </c>
      <c r="D722" s="5">
        <v>3</v>
      </c>
      <c r="E722" s="5">
        <v>1</v>
      </c>
      <c r="F722" s="2" t="s">
        <v>791</v>
      </c>
      <c r="G722" s="67" t="str">
        <f>IF(AND($C722=8,$D722=3,$E722=1),"L","")</f>
        <v>L</v>
      </c>
      <c r="H722" s="71"/>
    </row>
    <row r="723" spans="3:8" x14ac:dyDescent="0.3">
      <c r="C723" s="8">
        <v>8</v>
      </c>
      <c r="D723" s="5">
        <v>3</v>
      </c>
      <c r="E723" s="5">
        <v>2</v>
      </c>
      <c r="F723" s="2" t="s">
        <v>792</v>
      </c>
      <c r="G723" s="67" t="str">
        <f>IF(AND($C723=8,$D723=3,$E723=2),"L","")</f>
        <v>L</v>
      </c>
      <c r="H723" s="71"/>
    </row>
    <row r="724" spans="3:8" x14ac:dyDescent="0.3">
      <c r="C724" s="8">
        <v>8</v>
      </c>
      <c r="D724" s="5">
        <v>3</v>
      </c>
      <c r="E724" s="5">
        <v>3</v>
      </c>
      <c r="F724" s="2" t="s">
        <v>793</v>
      </c>
      <c r="G724" s="67" t="str">
        <f>IF(AND($C724=8,$D724=3,$E724=3),"L","")</f>
        <v>L</v>
      </c>
      <c r="H724" s="71"/>
    </row>
    <row r="725" spans="3:8" x14ac:dyDescent="0.3">
      <c r="C725" s="8">
        <v>8</v>
      </c>
      <c r="D725" s="5">
        <v>3</v>
      </c>
      <c r="E725" s="5">
        <v>4</v>
      </c>
      <c r="F725" s="2" t="s">
        <v>794</v>
      </c>
      <c r="G725" s="67" t="str">
        <f>IF(AND($C725=8,$D725=3,$E725=4),"L","")</f>
        <v>L</v>
      </c>
      <c r="H725" s="71"/>
    </row>
    <row r="726" spans="3:8" x14ac:dyDescent="0.3">
      <c r="C726" s="8">
        <v>8</v>
      </c>
      <c r="D726" s="5">
        <v>3</v>
      </c>
      <c r="E726" s="5">
        <v>5</v>
      </c>
      <c r="F726" s="2" t="s">
        <v>795</v>
      </c>
      <c r="G726" s="68" t="str">
        <f>IF(AND($C726=8,$D726=3,$E726=5),"M","")</f>
        <v>M</v>
      </c>
      <c r="H726" s="71"/>
    </row>
    <row r="727" spans="3:8" x14ac:dyDescent="0.3">
      <c r="C727" s="8">
        <v>8</v>
      </c>
      <c r="D727" s="5">
        <v>3</v>
      </c>
      <c r="E727" s="5">
        <v>6</v>
      </c>
      <c r="F727" s="2" t="s">
        <v>796</v>
      </c>
      <c r="G727" s="68" t="str">
        <f>IF(AND($C727=8,$D727=3,$E727=6),"M","")</f>
        <v>M</v>
      </c>
      <c r="H727" s="71"/>
    </row>
    <row r="728" spans="3:8" x14ac:dyDescent="0.3">
      <c r="C728" s="8">
        <v>8</v>
      </c>
      <c r="D728" s="5">
        <v>3</v>
      </c>
      <c r="E728" s="5">
        <v>7</v>
      </c>
      <c r="F728" s="2" t="s">
        <v>797</v>
      </c>
      <c r="G728" s="68" t="str">
        <f>IF(AND($C728=8,$D728=3,$E728=7),"M","")</f>
        <v>M</v>
      </c>
      <c r="H728" s="71"/>
    </row>
    <row r="729" spans="3:8" x14ac:dyDescent="0.3">
      <c r="C729" s="8">
        <v>8</v>
      </c>
      <c r="D729" s="5">
        <v>3</v>
      </c>
      <c r="E729" s="5">
        <v>8</v>
      </c>
      <c r="F729" s="2" t="s">
        <v>798</v>
      </c>
      <c r="G729" s="68" t="str">
        <f>IF(AND($C729=8,$D729=3,$E729=8),"M","")</f>
        <v>M</v>
      </c>
      <c r="H729" s="71"/>
    </row>
    <row r="730" spans="3:8" x14ac:dyDescent="0.3">
      <c r="C730" s="8">
        <v>8</v>
      </c>
      <c r="D730" s="5">
        <v>3</v>
      </c>
      <c r="E730" s="5">
        <v>9</v>
      </c>
      <c r="F730" s="2" t="s">
        <v>799</v>
      </c>
      <c r="G730" s="68" t="str">
        <f>IF(AND($C730=8,$D730=3,$E730=9),"M","")</f>
        <v>M</v>
      </c>
      <c r="H730" s="71"/>
    </row>
    <row r="731" spans="3:8" x14ac:dyDescent="0.3">
      <c r="C731" s="8">
        <v>8</v>
      </c>
      <c r="D731" s="5">
        <v>3</v>
      </c>
      <c r="E731" s="5">
        <v>10</v>
      </c>
      <c r="F731" s="2" t="s">
        <v>800</v>
      </c>
      <c r="G731" s="68" t="str">
        <f>IF(AND($C731=8,$D731=3,$E731=10),"M","")</f>
        <v>M</v>
      </c>
      <c r="H731" s="71"/>
    </row>
    <row r="732" spans="3:8" x14ac:dyDescent="0.3">
      <c r="C732" s="8">
        <v>8</v>
      </c>
      <c r="D732" s="5">
        <v>4</v>
      </c>
      <c r="E732" s="5">
        <v>1</v>
      </c>
      <c r="F732" s="2" t="s">
        <v>801</v>
      </c>
      <c r="G732" s="68" t="str">
        <f>IF(AND($C732=8,$D732=4,$E732=1),"M","")</f>
        <v>M</v>
      </c>
      <c r="H732" s="71"/>
    </row>
    <row r="733" spans="3:8" x14ac:dyDescent="0.3">
      <c r="C733" s="8">
        <v>8</v>
      </c>
      <c r="D733" s="5">
        <v>4</v>
      </c>
      <c r="E733" s="5">
        <v>2</v>
      </c>
      <c r="F733" s="2" t="s">
        <v>802</v>
      </c>
      <c r="G733" s="68" t="str">
        <f>IF(AND($C733=8,$D733=4,$E733=2),"M","")</f>
        <v>M</v>
      </c>
      <c r="H733" s="71"/>
    </row>
    <row r="734" spans="3:8" x14ac:dyDescent="0.3">
      <c r="C734" s="8">
        <v>8</v>
      </c>
      <c r="D734" s="5">
        <v>4</v>
      </c>
      <c r="E734" s="5">
        <v>3</v>
      </c>
      <c r="F734" s="2" t="s">
        <v>803</v>
      </c>
      <c r="G734" s="68" t="str">
        <f>IF(AND($C734=8,$D734=4,$E734=3),"M","")</f>
        <v>M</v>
      </c>
      <c r="H734" s="71"/>
    </row>
    <row r="735" spans="3:8" x14ac:dyDescent="0.3">
      <c r="C735" s="8">
        <v>8</v>
      </c>
      <c r="D735" s="5">
        <v>4</v>
      </c>
      <c r="E735" s="5">
        <v>4</v>
      </c>
      <c r="F735" s="2" t="s">
        <v>804</v>
      </c>
      <c r="G735" s="68" t="str">
        <f>IF(AND($C735=8,$D735=4,$E735=4),"M","")</f>
        <v>M</v>
      </c>
      <c r="H735" s="71"/>
    </row>
    <row r="736" spans="3:8" x14ac:dyDescent="0.3">
      <c r="C736" s="8">
        <v>8</v>
      </c>
      <c r="D736" s="5">
        <v>4</v>
      </c>
      <c r="E736" s="5">
        <v>5</v>
      </c>
      <c r="F736" s="2" t="s">
        <v>805</v>
      </c>
      <c r="G736" s="68" t="str">
        <f>IF(AND($C736=8,$D736=4,$E736=5),"M","")</f>
        <v>M</v>
      </c>
      <c r="H736" s="71"/>
    </row>
    <row r="737" spans="3:8" x14ac:dyDescent="0.3">
      <c r="C737" s="8">
        <v>8</v>
      </c>
      <c r="D737" s="5">
        <v>4</v>
      </c>
      <c r="E737" s="5">
        <v>6</v>
      </c>
      <c r="F737" s="2" t="s">
        <v>806</v>
      </c>
      <c r="G737" s="68" t="str">
        <f>IF(AND($C737=8,$D737=4,$E737=6),"M","")</f>
        <v>M</v>
      </c>
      <c r="H737" s="71"/>
    </row>
    <row r="738" spans="3:8" x14ac:dyDescent="0.3">
      <c r="C738" s="8">
        <v>8</v>
      </c>
      <c r="D738" s="5">
        <v>4</v>
      </c>
      <c r="E738" s="5">
        <v>7</v>
      </c>
      <c r="F738" s="2" t="s">
        <v>807</v>
      </c>
      <c r="G738" s="69" t="str">
        <f>IF(AND($C738=8,$D738=4,$E738=7),"H","")</f>
        <v>H</v>
      </c>
      <c r="H738" s="71"/>
    </row>
    <row r="739" spans="3:8" x14ac:dyDescent="0.3">
      <c r="C739" s="8">
        <v>8</v>
      </c>
      <c r="D739" s="5">
        <v>4</v>
      </c>
      <c r="E739" s="5">
        <v>8</v>
      </c>
      <c r="F739" s="2" t="s">
        <v>808</v>
      </c>
      <c r="G739" s="69" t="str">
        <f>IF(AND($C739=8,$D739=4,$E739=8),"H","")</f>
        <v>H</v>
      </c>
      <c r="H739" s="71"/>
    </row>
    <row r="740" spans="3:8" x14ac:dyDescent="0.3">
      <c r="C740" s="8">
        <v>8</v>
      </c>
      <c r="D740" s="5">
        <v>4</v>
      </c>
      <c r="E740" s="5">
        <v>9</v>
      </c>
      <c r="F740" s="2" t="s">
        <v>809</v>
      </c>
      <c r="G740" s="69" t="str">
        <f>IF(AND($C740=8,$D740=4,$E740=9),"H","")</f>
        <v>H</v>
      </c>
      <c r="H740" s="71"/>
    </row>
    <row r="741" spans="3:8" x14ac:dyDescent="0.3">
      <c r="C741" s="8">
        <v>8</v>
      </c>
      <c r="D741" s="5">
        <v>4</v>
      </c>
      <c r="E741" s="5">
        <v>10</v>
      </c>
      <c r="F741" s="2" t="s">
        <v>810</v>
      </c>
      <c r="G741" s="69" t="str">
        <f>IF(AND($C741=8,$D741=4,$E741=10),"H","")</f>
        <v>H</v>
      </c>
      <c r="H741" s="71"/>
    </row>
    <row r="742" spans="3:8" x14ac:dyDescent="0.3">
      <c r="C742" s="8">
        <v>8</v>
      </c>
      <c r="D742" s="5">
        <v>5</v>
      </c>
      <c r="E742" s="5">
        <v>1</v>
      </c>
      <c r="F742" s="2" t="s">
        <v>811</v>
      </c>
      <c r="G742" s="68" t="str">
        <f>IF(AND($C742=8,$D742=5,$E742=1),"M","")</f>
        <v>M</v>
      </c>
      <c r="H742" s="71"/>
    </row>
    <row r="743" spans="3:8" x14ac:dyDescent="0.3">
      <c r="C743" s="8">
        <v>8</v>
      </c>
      <c r="D743" s="5">
        <v>5</v>
      </c>
      <c r="E743" s="5">
        <v>2</v>
      </c>
      <c r="F743" s="2" t="s">
        <v>812</v>
      </c>
      <c r="G743" s="68" t="str">
        <f>IF(AND($C743=8,$D743=5,$E743=2),"M","")</f>
        <v>M</v>
      </c>
      <c r="H743" s="71"/>
    </row>
    <row r="744" spans="3:8" x14ac:dyDescent="0.3">
      <c r="C744" s="8">
        <v>8</v>
      </c>
      <c r="D744" s="5">
        <v>5</v>
      </c>
      <c r="E744" s="5">
        <v>3</v>
      </c>
      <c r="F744" s="2" t="s">
        <v>813</v>
      </c>
      <c r="G744" s="68" t="str">
        <f>IF(AND($C744=8,$D744=5,$E744=3),"M","")</f>
        <v>M</v>
      </c>
      <c r="H744" s="71"/>
    </row>
    <row r="745" spans="3:8" x14ac:dyDescent="0.3">
      <c r="C745" s="8">
        <v>8</v>
      </c>
      <c r="D745" s="5">
        <v>5</v>
      </c>
      <c r="E745" s="5">
        <v>4</v>
      </c>
      <c r="F745" s="2" t="s">
        <v>814</v>
      </c>
      <c r="G745" s="68" t="str">
        <f>IF(AND($C745=8,$D745=5,$E745=4),"M","")</f>
        <v>M</v>
      </c>
      <c r="H745" s="71"/>
    </row>
    <row r="746" spans="3:8" x14ac:dyDescent="0.3">
      <c r="C746" s="8">
        <v>8</v>
      </c>
      <c r="D746" s="5">
        <v>5</v>
      </c>
      <c r="E746" s="5">
        <v>5</v>
      </c>
      <c r="F746" s="2" t="s">
        <v>815</v>
      </c>
      <c r="G746" s="68" t="str">
        <f>IF(AND($C746=8,$D746=5,$E746=5),"M","")</f>
        <v>M</v>
      </c>
      <c r="H746" s="71"/>
    </row>
    <row r="747" spans="3:8" x14ac:dyDescent="0.3">
      <c r="C747" s="8">
        <v>8</v>
      </c>
      <c r="D747" s="5">
        <v>5</v>
      </c>
      <c r="E747" s="5">
        <v>6</v>
      </c>
      <c r="F747" s="2" t="s">
        <v>816</v>
      </c>
      <c r="G747" s="68" t="str">
        <f>IF(AND($C747=8,$D747=5,$E747=6),"M","")</f>
        <v>M</v>
      </c>
      <c r="H747" s="71"/>
    </row>
    <row r="748" spans="3:8" x14ac:dyDescent="0.3">
      <c r="C748" s="8">
        <v>8</v>
      </c>
      <c r="D748" s="5">
        <v>5</v>
      </c>
      <c r="E748" s="5">
        <v>7</v>
      </c>
      <c r="F748" s="2" t="s">
        <v>817</v>
      </c>
      <c r="G748" s="69" t="str">
        <f>IF(AND($C748=8,$D748=5,$E748=7),"H","")</f>
        <v>H</v>
      </c>
      <c r="H748" s="71"/>
    </row>
    <row r="749" spans="3:8" x14ac:dyDescent="0.3">
      <c r="C749" s="8">
        <v>8</v>
      </c>
      <c r="D749" s="5">
        <v>5</v>
      </c>
      <c r="E749" s="5">
        <v>8</v>
      </c>
      <c r="F749" s="2" t="s">
        <v>818</v>
      </c>
      <c r="G749" s="69" t="str">
        <f>IF(AND($C749=8,$D749=5,$E749=8),"H","")</f>
        <v>H</v>
      </c>
      <c r="H749" s="71"/>
    </row>
    <row r="750" spans="3:8" x14ac:dyDescent="0.3">
      <c r="C750" s="8">
        <v>8</v>
      </c>
      <c r="D750" s="5">
        <v>5</v>
      </c>
      <c r="E750" s="5">
        <v>9</v>
      </c>
      <c r="F750" s="2" t="s">
        <v>819</v>
      </c>
      <c r="G750" s="69" t="str">
        <f>IF(AND($C750=8,$D750=5,$E750=9),"H","")</f>
        <v>H</v>
      </c>
      <c r="H750" s="71"/>
    </row>
    <row r="751" spans="3:8" x14ac:dyDescent="0.3">
      <c r="C751" s="8">
        <v>8</v>
      </c>
      <c r="D751" s="5">
        <v>5</v>
      </c>
      <c r="E751" s="5">
        <v>10</v>
      </c>
      <c r="F751" s="2" t="s">
        <v>820</v>
      </c>
      <c r="G751" s="69" t="str">
        <f>IF(AND($C751=8,$D751=5,$E751=10),"H","")</f>
        <v>H</v>
      </c>
      <c r="H751" s="71"/>
    </row>
    <row r="752" spans="3:8" x14ac:dyDescent="0.3">
      <c r="C752" s="8">
        <v>8</v>
      </c>
      <c r="D752" s="5">
        <v>6</v>
      </c>
      <c r="E752" s="5">
        <v>1</v>
      </c>
      <c r="F752" s="2" t="s">
        <v>821</v>
      </c>
      <c r="G752" s="68" t="str">
        <f>IF(AND($C752=8,$D752=6,$E752=1),"M","")</f>
        <v>M</v>
      </c>
      <c r="H752" s="71"/>
    </row>
    <row r="753" spans="3:8" x14ac:dyDescent="0.3">
      <c r="C753" s="8">
        <v>8</v>
      </c>
      <c r="D753" s="5">
        <v>6</v>
      </c>
      <c r="E753" s="5">
        <v>2</v>
      </c>
      <c r="F753" s="2" t="s">
        <v>822</v>
      </c>
      <c r="G753" s="69" t="str">
        <f>IF(AND($C753=8,$D753=6,$E753=2),"H","")</f>
        <v>H</v>
      </c>
      <c r="H753" s="71"/>
    </row>
    <row r="754" spans="3:8" x14ac:dyDescent="0.3">
      <c r="C754" s="8">
        <v>8</v>
      </c>
      <c r="D754" s="5">
        <v>6</v>
      </c>
      <c r="E754" s="5">
        <v>3</v>
      </c>
      <c r="F754" s="2" t="s">
        <v>823</v>
      </c>
      <c r="G754" s="69" t="str">
        <f>IF(AND($C754=8,$D754=6,$E754=3),"H","")</f>
        <v>H</v>
      </c>
      <c r="H754" s="71"/>
    </row>
    <row r="755" spans="3:8" x14ac:dyDescent="0.3">
      <c r="C755" s="8">
        <v>8</v>
      </c>
      <c r="D755" s="5">
        <v>6</v>
      </c>
      <c r="E755" s="5">
        <v>4</v>
      </c>
      <c r="F755" s="2" t="s">
        <v>824</v>
      </c>
      <c r="G755" s="69" t="str">
        <f>IF(AND($C755=8,$D755=6,$E755=4),"H","")</f>
        <v>H</v>
      </c>
      <c r="H755" s="71"/>
    </row>
    <row r="756" spans="3:8" x14ac:dyDescent="0.3">
      <c r="C756" s="8">
        <v>8</v>
      </c>
      <c r="D756" s="5">
        <v>6</v>
      </c>
      <c r="E756" s="5">
        <v>5</v>
      </c>
      <c r="F756" s="2" t="s">
        <v>825</v>
      </c>
      <c r="G756" s="69" t="str">
        <f>IF(AND($C756=8,$D756=6,$E756=5),"H","")</f>
        <v>H</v>
      </c>
      <c r="H756" s="71"/>
    </row>
    <row r="757" spans="3:8" x14ac:dyDescent="0.3">
      <c r="C757" s="8">
        <v>8</v>
      </c>
      <c r="D757" s="5">
        <v>6</v>
      </c>
      <c r="E757" s="5">
        <v>6</v>
      </c>
      <c r="F757" s="2" t="s">
        <v>826</v>
      </c>
      <c r="G757" s="69" t="str">
        <f>IF(AND($C757=8,$D757=6,$E757=6),"H","")</f>
        <v>H</v>
      </c>
      <c r="H757" s="71"/>
    </row>
    <row r="758" spans="3:8" x14ac:dyDescent="0.3">
      <c r="C758" s="8">
        <v>8</v>
      </c>
      <c r="D758" s="5">
        <v>6</v>
      </c>
      <c r="E758" s="5">
        <v>7</v>
      </c>
      <c r="F758" s="2" t="s">
        <v>827</v>
      </c>
      <c r="G758" s="69" t="str">
        <f>IF(AND($C758=8,$D758=6,$E758=7),"H","")</f>
        <v>H</v>
      </c>
      <c r="H758" s="71"/>
    </row>
    <row r="759" spans="3:8" x14ac:dyDescent="0.3">
      <c r="C759" s="8">
        <v>8</v>
      </c>
      <c r="D759" s="5">
        <v>6</v>
      </c>
      <c r="E759" s="5">
        <v>8</v>
      </c>
      <c r="F759" s="2" t="s">
        <v>828</v>
      </c>
      <c r="G759" s="69" t="str">
        <f>IF(AND($C759=8,$D759=6,$E759=8),"H","")</f>
        <v>H</v>
      </c>
      <c r="H759" s="71"/>
    </row>
    <row r="760" spans="3:8" x14ac:dyDescent="0.3">
      <c r="C760" s="8">
        <v>8</v>
      </c>
      <c r="D760" s="5">
        <v>6</v>
      </c>
      <c r="E760" s="5">
        <v>9</v>
      </c>
      <c r="F760" s="2" t="s">
        <v>829</v>
      </c>
      <c r="G760" s="69" t="str">
        <f>IF(AND($C760=8,$D760=6,$E760=9),"H","")</f>
        <v>H</v>
      </c>
      <c r="H760" s="71"/>
    </row>
    <row r="761" spans="3:8" x14ac:dyDescent="0.3">
      <c r="C761" s="8">
        <v>8</v>
      </c>
      <c r="D761" s="5">
        <v>6</v>
      </c>
      <c r="E761" s="5">
        <v>10</v>
      </c>
      <c r="F761" s="2" t="s">
        <v>830</v>
      </c>
      <c r="G761" s="69" t="str">
        <f>IF(AND($C761=8,$D761=6,$E761=10),"H","")</f>
        <v>H</v>
      </c>
      <c r="H761" s="71"/>
    </row>
    <row r="762" spans="3:8" x14ac:dyDescent="0.3">
      <c r="C762" s="8">
        <v>8</v>
      </c>
      <c r="D762" s="5">
        <v>7</v>
      </c>
      <c r="E762" s="5">
        <v>1</v>
      </c>
      <c r="F762" s="2" t="s">
        <v>831</v>
      </c>
      <c r="G762" s="68" t="str">
        <f>IF(AND($C762=8,$D762=7,$E762=1),"M","")</f>
        <v>M</v>
      </c>
      <c r="H762" s="71"/>
    </row>
    <row r="763" spans="3:8" x14ac:dyDescent="0.3">
      <c r="C763" s="8">
        <v>8</v>
      </c>
      <c r="D763" s="5">
        <v>7</v>
      </c>
      <c r="E763" s="5">
        <v>2</v>
      </c>
      <c r="F763" s="2" t="s">
        <v>832</v>
      </c>
      <c r="G763" s="69" t="str">
        <f>IF(AND($C763=8,$D763=7,$E763=2),"H","")</f>
        <v>H</v>
      </c>
      <c r="H763" s="71"/>
    </row>
    <row r="764" spans="3:8" x14ac:dyDescent="0.3">
      <c r="C764" s="8">
        <v>8</v>
      </c>
      <c r="D764" s="5">
        <v>7</v>
      </c>
      <c r="E764" s="5">
        <v>3</v>
      </c>
      <c r="F764" s="2" t="s">
        <v>833</v>
      </c>
      <c r="G764" s="69" t="str">
        <f>IF(AND($C764=8,$D764=7,$E764=3),"H","")</f>
        <v>H</v>
      </c>
      <c r="H764" s="71"/>
    </row>
    <row r="765" spans="3:8" x14ac:dyDescent="0.3">
      <c r="C765" s="8">
        <v>8</v>
      </c>
      <c r="D765" s="5">
        <v>7</v>
      </c>
      <c r="E765" s="5">
        <v>4</v>
      </c>
      <c r="F765" s="2" t="s">
        <v>834</v>
      </c>
      <c r="G765" s="69" t="str">
        <f>IF(AND($C765=8,$D765=7,$E765=4),"H","")</f>
        <v>H</v>
      </c>
      <c r="H765" s="71"/>
    </row>
    <row r="766" spans="3:8" x14ac:dyDescent="0.3">
      <c r="C766" s="8">
        <v>8</v>
      </c>
      <c r="D766" s="5">
        <v>7</v>
      </c>
      <c r="E766" s="5">
        <v>5</v>
      </c>
      <c r="F766" s="2" t="s">
        <v>835</v>
      </c>
      <c r="G766" s="69" t="str">
        <f>IF(AND($C766=8,$D766=7,$E766=5),"H","")</f>
        <v>H</v>
      </c>
      <c r="H766" s="71"/>
    </row>
    <row r="767" spans="3:8" x14ac:dyDescent="0.3">
      <c r="C767" s="8">
        <v>8</v>
      </c>
      <c r="D767" s="5">
        <v>7</v>
      </c>
      <c r="E767" s="5">
        <v>6</v>
      </c>
      <c r="F767" s="2" t="s">
        <v>836</v>
      </c>
      <c r="G767" s="69" t="str">
        <f>IF(AND($C767=8,$D767=7,$E767=6),"H","")</f>
        <v>H</v>
      </c>
      <c r="H767" s="71"/>
    </row>
    <row r="768" spans="3:8" x14ac:dyDescent="0.3">
      <c r="C768" s="8">
        <v>8</v>
      </c>
      <c r="D768" s="5">
        <v>7</v>
      </c>
      <c r="E768" s="5">
        <v>7</v>
      </c>
      <c r="F768" s="2" t="s">
        <v>837</v>
      </c>
      <c r="G768" s="69" t="str">
        <f>IF(AND($C768=8,$D768=7,$E768=7),"H","")</f>
        <v>H</v>
      </c>
      <c r="H768" s="71"/>
    </row>
    <row r="769" spans="3:8" x14ac:dyDescent="0.3">
      <c r="C769" s="8">
        <v>8</v>
      </c>
      <c r="D769" s="5">
        <v>7</v>
      </c>
      <c r="E769" s="5">
        <v>8</v>
      </c>
      <c r="F769" s="2" t="s">
        <v>838</v>
      </c>
      <c r="G769" s="69" t="str">
        <f>IF(AND($C769=8,$D769=7,$E769=8),"H","")</f>
        <v>H</v>
      </c>
      <c r="H769" s="71"/>
    </row>
    <row r="770" spans="3:8" x14ac:dyDescent="0.3">
      <c r="C770" s="8">
        <v>8</v>
      </c>
      <c r="D770" s="5">
        <v>7</v>
      </c>
      <c r="E770" s="5">
        <v>9</v>
      </c>
      <c r="F770" s="2" t="s">
        <v>839</v>
      </c>
      <c r="G770" s="69" t="str">
        <f>IF(AND($C770=8,$D770=7,$E770=9),"H","")</f>
        <v>H</v>
      </c>
      <c r="H770" s="71"/>
    </row>
    <row r="771" spans="3:8" x14ac:dyDescent="0.3">
      <c r="C771" s="8">
        <v>8</v>
      </c>
      <c r="D771" s="5">
        <v>7</v>
      </c>
      <c r="E771" s="5">
        <v>10</v>
      </c>
      <c r="F771" s="2" t="s">
        <v>840</v>
      </c>
      <c r="G771" s="69" t="str">
        <f>IF(AND($C771=8,$D771=7,$E771=10),"H","")</f>
        <v>H</v>
      </c>
      <c r="H771" s="71"/>
    </row>
    <row r="772" spans="3:8" x14ac:dyDescent="0.3">
      <c r="C772" s="8">
        <v>8</v>
      </c>
      <c r="D772" s="5">
        <v>8</v>
      </c>
      <c r="E772" s="5">
        <v>1</v>
      </c>
      <c r="F772" s="2" t="s">
        <v>841</v>
      </c>
      <c r="G772" s="69" t="str">
        <f>IF(AND($C772=8,$D772=8,$E772=1),"H","")</f>
        <v>H</v>
      </c>
      <c r="H772" s="71"/>
    </row>
    <row r="773" spans="3:8" x14ac:dyDescent="0.3">
      <c r="C773" s="8">
        <v>8</v>
      </c>
      <c r="D773" s="5">
        <v>8</v>
      </c>
      <c r="E773" s="5">
        <v>2</v>
      </c>
      <c r="F773" s="2" t="s">
        <v>842</v>
      </c>
      <c r="G773" s="69" t="str">
        <f>IF(AND($C773=8,$D773=8,$E773=2),"H","")</f>
        <v>H</v>
      </c>
      <c r="H773" s="71"/>
    </row>
    <row r="774" spans="3:8" x14ac:dyDescent="0.3">
      <c r="C774" s="8">
        <v>8</v>
      </c>
      <c r="D774" s="5">
        <v>8</v>
      </c>
      <c r="E774" s="5">
        <v>3</v>
      </c>
      <c r="F774" s="2" t="s">
        <v>843</v>
      </c>
      <c r="G774" s="69" t="str">
        <f>IF(AND($C774=8,$D774=8,$E774=3),"H","")</f>
        <v>H</v>
      </c>
      <c r="H774" s="71"/>
    </row>
    <row r="775" spans="3:8" x14ac:dyDescent="0.3">
      <c r="C775" s="8">
        <v>8</v>
      </c>
      <c r="D775" s="5">
        <v>8</v>
      </c>
      <c r="E775" s="5">
        <v>4</v>
      </c>
      <c r="F775" s="2" t="s">
        <v>844</v>
      </c>
      <c r="G775" s="69" t="str">
        <f>IF(AND($C775=8,$D775=8,$E775=4),"H","")</f>
        <v>H</v>
      </c>
      <c r="H775" s="71"/>
    </row>
    <row r="776" spans="3:8" x14ac:dyDescent="0.3">
      <c r="C776" s="8">
        <v>8</v>
      </c>
      <c r="D776" s="5">
        <v>8</v>
      </c>
      <c r="E776" s="5">
        <v>5</v>
      </c>
      <c r="F776" s="2" t="s">
        <v>845</v>
      </c>
      <c r="G776" s="69" t="str">
        <f>IF(AND($C776=8,$D776=8,$E776=5),"H","")</f>
        <v>H</v>
      </c>
      <c r="H776" s="71"/>
    </row>
    <row r="777" spans="3:8" x14ac:dyDescent="0.3">
      <c r="C777" s="8">
        <v>8</v>
      </c>
      <c r="D777" s="5">
        <v>8</v>
      </c>
      <c r="E777" s="5">
        <v>6</v>
      </c>
      <c r="F777" s="2" t="s">
        <v>846</v>
      </c>
      <c r="G777" s="69" t="str">
        <f>IF(AND($C777=8,$D777=8,$E777=6),"H","")</f>
        <v>H</v>
      </c>
      <c r="H777" s="71"/>
    </row>
    <row r="778" spans="3:8" x14ac:dyDescent="0.3">
      <c r="C778" s="8">
        <v>8</v>
      </c>
      <c r="D778" s="5">
        <v>8</v>
      </c>
      <c r="E778" s="5">
        <v>7</v>
      </c>
      <c r="F778" s="2" t="s">
        <v>847</v>
      </c>
      <c r="G778" s="69" t="str">
        <f>IF(AND($C778=8,$D778=8,$E778=7),"H","")</f>
        <v>H</v>
      </c>
      <c r="H778" s="71"/>
    </row>
    <row r="779" spans="3:8" x14ac:dyDescent="0.3">
      <c r="C779" s="8">
        <v>8</v>
      </c>
      <c r="D779" s="5">
        <v>8</v>
      </c>
      <c r="E779" s="5">
        <v>8</v>
      </c>
      <c r="F779" s="2" t="s">
        <v>848</v>
      </c>
      <c r="G779" s="69" t="str">
        <f>IF(AND($C779=8,$D779=8,$E779=8),"H","")</f>
        <v>H</v>
      </c>
      <c r="H779" s="71"/>
    </row>
    <row r="780" spans="3:8" x14ac:dyDescent="0.3">
      <c r="C780" s="8">
        <v>8</v>
      </c>
      <c r="D780" s="5">
        <v>8</v>
      </c>
      <c r="E780" s="5">
        <v>9</v>
      </c>
      <c r="F780" s="2" t="s">
        <v>849</v>
      </c>
      <c r="G780" s="69" t="str">
        <f>IF(AND($C780=8,$D780=8,$E780=9),"H","")</f>
        <v>H</v>
      </c>
      <c r="H780" s="71"/>
    </row>
    <row r="781" spans="3:8" x14ac:dyDescent="0.3">
      <c r="C781" s="8">
        <v>8</v>
      </c>
      <c r="D781" s="5">
        <v>8</v>
      </c>
      <c r="E781" s="5">
        <v>10</v>
      </c>
      <c r="F781" s="2" t="s">
        <v>850</v>
      </c>
      <c r="G781" s="69" t="str">
        <f>IF(AND($C781=8,$D781=8,$E781=10),"H","")</f>
        <v>H</v>
      </c>
      <c r="H781" s="71"/>
    </row>
    <row r="782" spans="3:8" x14ac:dyDescent="0.3">
      <c r="C782" s="8">
        <v>8</v>
      </c>
      <c r="D782" s="5">
        <v>9</v>
      </c>
      <c r="E782" s="5">
        <v>1</v>
      </c>
      <c r="F782" s="2" t="s">
        <v>851</v>
      </c>
      <c r="G782" s="69" t="str">
        <f>IF(AND($C782=8,$D782=9,$E782=1),"H","")</f>
        <v>H</v>
      </c>
      <c r="H782" s="71"/>
    </row>
    <row r="783" spans="3:8" x14ac:dyDescent="0.3">
      <c r="C783" s="8">
        <v>8</v>
      </c>
      <c r="D783" s="5">
        <v>9</v>
      </c>
      <c r="E783" s="5">
        <v>2</v>
      </c>
      <c r="F783" s="2" t="s">
        <v>852</v>
      </c>
      <c r="G783" s="69" t="str">
        <f>IF(AND($C783=8,$D783=9,$E783=2),"H","")</f>
        <v>H</v>
      </c>
      <c r="H783" s="71"/>
    </row>
    <row r="784" spans="3:8" x14ac:dyDescent="0.3">
      <c r="C784" s="8">
        <v>8</v>
      </c>
      <c r="D784" s="5">
        <v>9</v>
      </c>
      <c r="E784" s="5">
        <v>3</v>
      </c>
      <c r="F784" s="2" t="s">
        <v>853</v>
      </c>
      <c r="G784" s="69" t="str">
        <f>IF(AND($C784=8,$D784=9,$E784=3),"H","")</f>
        <v>H</v>
      </c>
      <c r="H784" s="71"/>
    </row>
    <row r="785" spans="3:8" x14ac:dyDescent="0.3">
      <c r="C785" s="8">
        <v>8</v>
      </c>
      <c r="D785" s="5">
        <v>9</v>
      </c>
      <c r="E785" s="5">
        <v>4</v>
      </c>
      <c r="F785" s="2" t="s">
        <v>854</v>
      </c>
      <c r="G785" s="69" t="str">
        <f>IF(AND($C785=8,$D785=9,$E785=4),"H","")</f>
        <v>H</v>
      </c>
      <c r="H785" s="71"/>
    </row>
    <row r="786" spans="3:8" x14ac:dyDescent="0.3">
      <c r="C786" s="8">
        <v>8</v>
      </c>
      <c r="D786" s="5">
        <v>9</v>
      </c>
      <c r="E786" s="5">
        <v>5</v>
      </c>
      <c r="F786" s="2" t="s">
        <v>855</v>
      </c>
      <c r="G786" s="69" t="str">
        <f>IF(AND($C786=8,$D786=9,$E786=5),"H","")</f>
        <v>H</v>
      </c>
      <c r="H786" s="71"/>
    </row>
    <row r="787" spans="3:8" x14ac:dyDescent="0.3">
      <c r="C787" s="8">
        <v>8</v>
      </c>
      <c r="D787" s="5">
        <v>9</v>
      </c>
      <c r="E787" s="5">
        <v>6</v>
      </c>
      <c r="F787" s="2" t="s">
        <v>856</v>
      </c>
      <c r="G787" s="69" t="str">
        <f>IF(AND($C787=8,$D787=9,$E787=6),"H","")</f>
        <v>H</v>
      </c>
      <c r="H787" s="71"/>
    </row>
    <row r="788" spans="3:8" x14ac:dyDescent="0.3">
      <c r="C788" s="8">
        <v>8</v>
      </c>
      <c r="D788" s="5">
        <v>9</v>
      </c>
      <c r="E788" s="5">
        <v>7</v>
      </c>
      <c r="F788" s="2" t="s">
        <v>857</v>
      </c>
      <c r="G788" s="69" t="str">
        <f>IF(AND($C788=8,$D788=9,$E788=7),"H","")</f>
        <v>H</v>
      </c>
      <c r="H788" s="71"/>
    </row>
    <row r="789" spans="3:8" x14ac:dyDescent="0.3">
      <c r="C789" s="8">
        <v>8</v>
      </c>
      <c r="D789" s="5">
        <v>9</v>
      </c>
      <c r="E789" s="5">
        <v>8</v>
      </c>
      <c r="F789" s="2" t="s">
        <v>858</v>
      </c>
      <c r="G789" s="69" t="str">
        <f>IF(AND($C789=8,$D789=9,$E789=8),"H","")</f>
        <v>H</v>
      </c>
      <c r="H789" s="71"/>
    </row>
    <row r="790" spans="3:8" x14ac:dyDescent="0.3">
      <c r="C790" s="8">
        <v>8</v>
      </c>
      <c r="D790" s="5">
        <v>9</v>
      </c>
      <c r="E790" s="5">
        <v>9</v>
      </c>
      <c r="F790" s="2" t="s">
        <v>859</v>
      </c>
      <c r="G790" s="69" t="str">
        <f>IF(AND($C790=8,$D790=9,$E790=9),"H","")</f>
        <v>H</v>
      </c>
      <c r="H790" s="71"/>
    </row>
    <row r="791" spans="3:8" x14ac:dyDescent="0.3">
      <c r="C791" s="8">
        <v>8</v>
      </c>
      <c r="D791" s="5">
        <v>9</v>
      </c>
      <c r="E791" s="5">
        <v>10</v>
      </c>
      <c r="F791" s="2" t="s">
        <v>860</v>
      </c>
      <c r="G791" s="69" t="str">
        <f>IF(AND($C791=8,$D791=9,$E791=10),"H","")</f>
        <v>H</v>
      </c>
      <c r="H791" s="71"/>
    </row>
    <row r="792" spans="3:8" x14ac:dyDescent="0.3">
      <c r="C792" s="8">
        <v>8</v>
      </c>
      <c r="D792" s="5">
        <v>10</v>
      </c>
      <c r="E792" s="5">
        <v>1</v>
      </c>
      <c r="F792" s="2" t="s">
        <v>861</v>
      </c>
      <c r="G792" s="69" t="str">
        <f>IF(AND($C792=8,$D792=10,$E792=1),"H","")</f>
        <v>H</v>
      </c>
      <c r="H792" s="71"/>
    </row>
    <row r="793" spans="3:8" x14ac:dyDescent="0.3">
      <c r="C793" s="8">
        <v>8</v>
      </c>
      <c r="D793" s="5">
        <v>10</v>
      </c>
      <c r="E793" s="5">
        <v>2</v>
      </c>
      <c r="F793" s="2" t="s">
        <v>862</v>
      </c>
      <c r="G793" s="69" t="str">
        <f>IF(AND($C793=8,$D793=10,$E793=2),"H","")</f>
        <v>H</v>
      </c>
      <c r="H793" s="71"/>
    </row>
    <row r="794" spans="3:8" x14ac:dyDescent="0.3">
      <c r="C794" s="8">
        <v>8</v>
      </c>
      <c r="D794" s="5">
        <v>10</v>
      </c>
      <c r="E794" s="5">
        <v>3</v>
      </c>
      <c r="F794" s="2" t="s">
        <v>863</v>
      </c>
      <c r="G794" s="69" t="str">
        <f>IF(AND($C794=8,$D794=10,$E794=3),"H","")</f>
        <v>H</v>
      </c>
      <c r="H794" s="71"/>
    </row>
    <row r="795" spans="3:8" x14ac:dyDescent="0.3">
      <c r="C795" s="8">
        <v>8</v>
      </c>
      <c r="D795" s="5">
        <v>10</v>
      </c>
      <c r="E795" s="5">
        <v>4</v>
      </c>
      <c r="F795" s="2" t="s">
        <v>864</v>
      </c>
      <c r="G795" s="69" t="str">
        <f>IF(AND($C795=8,$D795=10,$E795=4),"H","")</f>
        <v>H</v>
      </c>
      <c r="H795" s="71"/>
    </row>
    <row r="796" spans="3:8" x14ac:dyDescent="0.3">
      <c r="C796" s="8">
        <v>8</v>
      </c>
      <c r="D796" s="5">
        <v>10</v>
      </c>
      <c r="E796" s="5">
        <v>5</v>
      </c>
      <c r="F796" s="2" t="s">
        <v>865</v>
      </c>
      <c r="G796" s="69" t="str">
        <f>IF(AND($C796=8,$D796=10,$E796=5),"H","")</f>
        <v>H</v>
      </c>
      <c r="H796" s="71"/>
    </row>
    <row r="797" spans="3:8" x14ac:dyDescent="0.3">
      <c r="C797" s="8">
        <v>8</v>
      </c>
      <c r="D797" s="5">
        <v>10</v>
      </c>
      <c r="E797" s="5">
        <v>6</v>
      </c>
      <c r="F797" s="2" t="s">
        <v>866</v>
      </c>
      <c r="G797" s="69" t="str">
        <f>IF(AND($C797=8,$D797=10,$E797=6),"H","")</f>
        <v>H</v>
      </c>
      <c r="H797" s="71"/>
    </row>
    <row r="798" spans="3:8" x14ac:dyDescent="0.3">
      <c r="C798" s="8">
        <v>8</v>
      </c>
      <c r="D798" s="5">
        <v>10</v>
      </c>
      <c r="E798" s="5">
        <v>7</v>
      </c>
      <c r="F798" s="2" t="s">
        <v>867</v>
      </c>
      <c r="G798" s="69" t="str">
        <f>IF(AND($C798=8,$D798=10,$E798=7),"H","")</f>
        <v>H</v>
      </c>
      <c r="H798" s="71"/>
    </row>
    <row r="799" spans="3:8" x14ac:dyDescent="0.3">
      <c r="C799" s="8">
        <v>8</v>
      </c>
      <c r="D799" s="5">
        <v>10</v>
      </c>
      <c r="E799" s="5">
        <v>8</v>
      </c>
      <c r="F799" s="2" t="s">
        <v>868</v>
      </c>
      <c r="G799" s="69" t="str">
        <f>IF(AND($C799=8,$D799=10,$E799=8),"H","")</f>
        <v>H</v>
      </c>
      <c r="H799" s="71"/>
    </row>
    <row r="800" spans="3:8" x14ac:dyDescent="0.3">
      <c r="C800" s="8">
        <v>8</v>
      </c>
      <c r="D800" s="5">
        <v>10</v>
      </c>
      <c r="E800" s="5">
        <v>9</v>
      </c>
      <c r="F800" s="2" t="s">
        <v>869</v>
      </c>
      <c r="G800" s="69" t="str">
        <f>IF(AND($C800=8,$D800=10,$E800=9),"H","")</f>
        <v>H</v>
      </c>
      <c r="H800" s="71"/>
    </row>
    <row r="801" spans="3:8" x14ac:dyDescent="0.3">
      <c r="C801" s="8">
        <v>8</v>
      </c>
      <c r="D801" s="5">
        <v>10</v>
      </c>
      <c r="E801" s="5">
        <v>10</v>
      </c>
      <c r="F801" s="2" t="s">
        <v>870</v>
      </c>
      <c r="G801" s="69" t="str">
        <f>IF(AND($C801=8,$D801=10,$E801=10),"H","")</f>
        <v>H</v>
      </c>
      <c r="H801" s="71"/>
    </row>
    <row r="802" spans="3:8" x14ac:dyDescent="0.3">
      <c r="C802" s="8">
        <v>9</v>
      </c>
      <c r="D802" s="5">
        <v>1</v>
      </c>
      <c r="E802" s="5">
        <v>1</v>
      </c>
      <c r="F802" s="2" t="s">
        <v>871</v>
      </c>
      <c r="G802" s="67" t="str">
        <f>IF(AND($C802=9,$D802=1,$E802=1),"L","")</f>
        <v>L</v>
      </c>
      <c r="H802" s="71"/>
    </row>
    <row r="803" spans="3:8" x14ac:dyDescent="0.3">
      <c r="C803" s="8">
        <v>9</v>
      </c>
      <c r="D803" s="5">
        <v>1</v>
      </c>
      <c r="E803" s="5">
        <v>2</v>
      </c>
      <c r="F803" s="2" t="s">
        <v>872</v>
      </c>
      <c r="G803" s="67" t="str">
        <f>IF(AND($C803=9,$D803=1,$E803=2),"L","")</f>
        <v>L</v>
      </c>
      <c r="H803" s="71"/>
    </row>
    <row r="804" spans="3:8" x14ac:dyDescent="0.3">
      <c r="C804" s="8">
        <v>9</v>
      </c>
      <c r="D804" s="5">
        <v>1</v>
      </c>
      <c r="E804" s="5">
        <v>3</v>
      </c>
      <c r="F804" s="2" t="s">
        <v>873</v>
      </c>
      <c r="G804" s="67" t="str">
        <f>IF(AND($C804=9,$D804=1,$E804=3),"L","")</f>
        <v>L</v>
      </c>
      <c r="H804" s="71"/>
    </row>
    <row r="805" spans="3:8" x14ac:dyDescent="0.3">
      <c r="C805" s="8">
        <v>9</v>
      </c>
      <c r="D805" s="5">
        <v>1</v>
      </c>
      <c r="E805" s="5">
        <v>4</v>
      </c>
      <c r="F805" s="2" t="s">
        <v>874</v>
      </c>
      <c r="G805" s="67" t="str">
        <f>IF(AND($C805=9,$D805=1,$E805=4),"L","")</f>
        <v>L</v>
      </c>
      <c r="H805" s="71"/>
    </row>
    <row r="806" spans="3:8" x14ac:dyDescent="0.3">
      <c r="C806" s="8">
        <v>9</v>
      </c>
      <c r="D806" s="5">
        <v>1</v>
      </c>
      <c r="E806" s="5">
        <v>5</v>
      </c>
      <c r="F806" s="2" t="s">
        <v>875</v>
      </c>
      <c r="G806" s="67" t="str">
        <f>IF(AND($C806=9,$D806=1,$E806=5),"L","")</f>
        <v>L</v>
      </c>
      <c r="H806" s="71"/>
    </row>
    <row r="807" spans="3:8" x14ac:dyDescent="0.3">
      <c r="C807" s="8">
        <v>9</v>
      </c>
      <c r="D807" s="5">
        <v>1</v>
      </c>
      <c r="E807" s="5">
        <v>6</v>
      </c>
      <c r="F807" s="2" t="s">
        <v>876</v>
      </c>
      <c r="G807" s="67" t="str">
        <f>IF(AND($C807=9,$D807=1,$E807=6),"L","")</f>
        <v>L</v>
      </c>
      <c r="H807" s="71"/>
    </row>
    <row r="808" spans="3:8" x14ac:dyDescent="0.3">
      <c r="C808" s="8">
        <v>9</v>
      </c>
      <c r="D808" s="5">
        <v>1</v>
      </c>
      <c r="E808" s="5">
        <v>7</v>
      </c>
      <c r="F808" s="2" t="s">
        <v>877</v>
      </c>
      <c r="G808" s="67" t="str">
        <f>IF(AND($C808=9,$D808=1,$E808=7),"L","")</f>
        <v>L</v>
      </c>
      <c r="H808" s="71"/>
    </row>
    <row r="809" spans="3:8" x14ac:dyDescent="0.3">
      <c r="C809" s="8">
        <v>9</v>
      </c>
      <c r="D809" s="5">
        <v>1</v>
      </c>
      <c r="E809" s="5">
        <v>8</v>
      </c>
      <c r="F809" s="2" t="s">
        <v>878</v>
      </c>
      <c r="G809" s="67" t="str">
        <f>IF(AND($C809=9,$D809=1,$E809=8),"L","")</f>
        <v>L</v>
      </c>
      <c r="H809" s="71"/>
    </row>
    <row r="810" spans="3:8" x14ac:dyDescent="0.3">
      <c r="C810" s="8">
        <v>9</v>
      </c>
      <c r="D810" s="5">
        <v>1</v>
      </c>
      <c r="E810" s="5">
        <v>9</v>
      </c>
      <c r="F810" s="2" t="s">
        <v>879</v>
      </c>
      <c r="G810" s="67" t="str">
        <f>IF(AND($C810=9,$D810=1,$E810=9),"L","")</f>
        <v>L</v>
      </c>
      <c r="H810" s="71"/>
    </row>
    <row r="811" spans="3:8" x14ac:dyDescent="0.3">
      <c r="C811" s="8">
        <v>9</v>
      </c>
      <c r="D811" s="5">
        <v>1</v>
      </c>
      <c r="E811" s="5">
        <v>10</v>
      </c>
      <c r="F811" s="2" t="s">
        <v>880</v>
      </c>
      <c r="G811" s="67" t="str">
        <f>IF(AND($C811=9,$D811=1,$E811=10),"L","")</f>
        <v>L</v>
      </c>
      <c r="H811" s="71"/>
    </row>
    <row r="812" spans="3:8" x14ac:dyDescent="0.3">
      <c r="C812" s="8">
        <v>9</v>
      </c>
      <c r="D812" s="5">
        <v>2</v>
      </c>
      <c r="E812" s="5">
        <v>1</v>
      </c>
      <c r="F812" s="2" t="s">
        <v>881</v>
      </c>
      <c r="G812" s="67" t="str">
        <f>IF(AND($C812=9,$D812=2,$E812=1),"L","")</f>
        <v>L</v>
      </c>
      <c r="H812" s="71"/>
    </row>
    <row r="813" spans="3:8" x14ac:dyDescent="0.3">
      <c r="C813" s="8">
        <v>9</v>
      </c>
      <c r="D813" s="5">
        <v>2</v>
      </c>
      <c r="E813" s="5">
        <v>2</v>
      </c>
      <c r="F813" s="2" t="s">
        <v>882</v>
      </c>
      <c r="G813" s="67" t="str">
        <f>IF(AND($C813=9,$D813=2,$E813=2),"L","")</f>
        <v>L</v>
      </c>
      <c r="H813" s="71"/>
    </row>
    <row r="814" spans="3:8" x14ac:dyDescent="0.3">
      <c r="C814" s="8">
        <v>9</v>
      </c>
      <c r="D814" s="5">
        <v>2</v>
      </c>
      <c r="E814" s="5">
        <v>3</v>
      </c>
      <c r="F814" s="2" t="s">
        <v>883</v>
      </c>
      <c r="G814" s="67" t="str">
        <f>IF(AND($C814=9,$D814=2,$E814=3),"L","")</f>
        <v>L</v>
      </c>
      <c r="H814" s="71"/>
    </row>
    <row r="815" spans="3:8" x14ac:dyDescent="0.3">
      <c r="C815" s="8">
        <v>9</v>
      </c>
      <c r="D815" s="5">
        <v>2</v>
      </c>
      <c r="E815" s="5">
        <v>4</v>
      </c>
      <c r="F815" s="2" t="s">
        <v>884</v>
      </c>
      <c r="G815" s="67" t="str">
        <f>IF(AND($C815=9,$D815=2,$E815=4),"L","")</f>
        <v>L</v>
      </c>
      <c r="H815" s="71"/>
    </row>
    <row r="816" spans="3:8" x14ac:dyDescent="0.3">
      <c r="C816" s="8">
        <v>9</v>
      </c>
      <c r="D816" s="5">
        <v>2</v>
      </c>
      <c r="E816" s="5">
        <v>5</v>
      </c>
      <c r="F816" s="2" t="s">
        <v>885</v>
      </c>
      <c r="G816" s="68" t="str">
        <f>IF(AND($C816=9,$D816=2,$E816=5),"M","")</f>
        <v>M</v>
      </c>
      <c r="H816" s="71"/>
    </row>
    <row r="817" spans="3:8" x14ac:dyDescent="0.3">
      <c r="C817" s="8">
        <v>9</v>
      </c>
      <c r="D817" s="5">
        <v>2</v>
      </c>
      <c r="E817" s="5">
        <v>6</v>
      </c>
      <c r="F817" s="2" t="s">
        <v>886</v>
      </c>
      <c r="G817" s="68" t="str">
        <f>IF(AND($C817=9,$D817=2,$E817=6),"M","")</f>
        <v>M</v>
      </c>
      <c r="H817" s="71"/>
    </row>
    <row r="818" spans="3:8" x14ac:dyDescent="0.3">
      <c r="C818" s="8">
        <v>9</v>
      </c>
      <c r="D818" s="5">
        <v>2</v>
      </c>
      <c r="E818" s="5">
        <v>7</v>
      </c>
      <c r="F818" s="2" t="s">
        <v>887</v>
      </c>
      <c r="G818" s="69" t="str">
        <f>IF(AND($C818=9,$D818=2,$E818=7),"H","")</f>
        <v>H</v>
      </c>
      <c r="H818" s="71"/>
    </row>
    <row r="819" spans="3:8" x14ac:dyDescent="0.3">
      <c r="C819" s="8">
        <v>9</v>
      </c>
      <c r="D819" s="5">
        <v>2</v>
      </c>
      <c r="E819" s="5">
        <v>8</v>
      </c>
      <c r="F819" s="2" t="s">
        <v>888</v>
      </c>
      <c r="G819" s="69" t="str">
        <f>IF(AND($C819=9,$D819=2,$E819=8),"H","")</f>
        <v>H</v>
      </c>
      <c r="H819" s="71"/>
    </row>
    <row r="820" spans="3:8" x14ac:dyDescent="0.3">
      <c r="C820" s="8">
        <v>9</v>
      </c>
      <c r="D820" s="5">
        <v>2</v>
      </c>
      <c r="E820" s="5">
        <v>9</v>
      </c>
      <c r="F820" s="2" t="s">
        <v>889</v>
      </c>
      <c r="G820" s="69" t="str">
        <f>IF(AND($C820=9,$D820=2,$E820=9),"H","")</f>
        <v>H</v>
      </c>
      <c r="H820" s="71"/>
    </row>
    <row r="821" spans="3:8" x14ac:dyDescent="0.3">
      <c r="C821" s="8">
        <v>9</v>
      </c>
      <c r="D821" s="5">
        <v>2</v>
      </c>
      <c r="E821" s="5">
        <v>10</v>
      </c>
      <c r="F821" s="2" t="s">
        <v>890</v>
      </c>
      <c r="G821" s="69" t="str">
        <f>IF(AND($C821=9,$D821=2,$E821=10),"H","")</f>
        <v>H</v>
      </c>
      <c r="H821" s="71"/>
    </row>
    <row r="822" spans="3:8" x14ac:dyDescent="0.3">
      <c r="C822" s="8">
        <v>9</v>
      </c>
      <c r="D822" s="5">
        <v>3</v>
      </c>
      <c r="E822" s="5">
        <v>1</v>
      </c>
      <c r="F822" s="2" t="s">
        <v>891</v>
      </c>
      <c r="G822" s="67" t="str">
        <f>IF(AND($C822=9,$D822=3,$E822=1),"L","")</f>
        <v>L</v>
      </c>
      <c r="H822" s="71"/>
    </row>
    <row r="823" spans="3:8" x14ac:dyDescent="0.3">
      <c r="C823" s="8">
        <v>9</v>
      </c>
      <c r="D823" s="5">
        <v>3</v>
      </c>
      <c r="E823" s="5">
        <v>2</v>
      </c>
      <c r="F823" s="2" t="s">
        <v>892</v>
      </c>
      <c r="G823" s="67" t="str">
        <f>IF(AND($C823=9,$D823=3,$E823=2),"L","")</f>
        <v>L</v>
      </c>
      <c r="H823" s="71"/>
    </row>
    <row r="824" spans="3:8" x14ac:dyDescent="0.3">
      <c r="C824" s="8">
        <v>9</v>
      </c>
      <c r="D824" s="5">
        <v>3</v>
      </c>
      <c r="E824" s="5">
        <v>3</v>
      </c>
      <c r="F824" s="2" t="s">
        <v>893</v>
      </c>
      <c r="G824" s="67" t="str">
        <f>IF(AND($C824=9,$D824=3,$E824=3),"L","")</f>
        <v>L</v>
      </c>
      <c r="H824" s="71"/>
    </row>
    <row r="825" spans="3:8" x14ac:dyDescent="0.3">
      <c r="C825" s="8">
        <v>9</v>
      </c>
      <c r="D825" s="5">
        <v>3</v>
      </c>
      <c r="E825" s="5">
        <v>4</v>
      </c>
      <c r="F825" s="2" t="s">
        <v>894</v>
      </c>
      <c r="G825" s="67" t="str">
        <f>IF(AND($C825=9,$D825=3,$E825=4),"L","")</f>
        <v>L</v>
      </c>
      <c r="H825" s="71"/>
    </row>
    <row r="826" spans="3:8" x14ac:dyDescent="0.3">
      <c r="C826" s="8">
        <v>9</v>
      </c>
      <c r="D826" s="5">
        <v>3</v>
      </c>
      <c r="E826" s="5">
        <v>5</v>
      </c>
      <c r="F826" s="2" t="s">
        <v>895</v>
      </c>
      <c r="G826" s="68" t="str">
        <f>IF(AND($C826=9,$D826=3,$E826=5),"M","")</f>
        <v>M</v>
      </c>
      <c r="H826" s="71"/>
    </row>
    <row r="827" spans="3:8" x14ac:dyDescent="0.3">
      <c r="C827" s="8">
        <v>9</v>
      </c>
      <c r="D827" s="5">
        <v>3</v>
      </c>
      <c r="E827" s="5">
        <v>6</v>
      </c>
      <c r="F827" s="2" t="s">
        <v>896</v>
      </c>
      <c r="G827" s="68" t="str">
        <f>IF(AND($C827=9,$D827=3,$E827=6),"M","")</f>
        <v>M</v>
      </c>
      <c r="H827" s="71"/>
    </row>
    <row r="828" spans="3:8" x14ac:dyDescent="0.3">
      <c r="C828" s="8">
        <v>9</v>
      </c>
      <c r="D828" s="5">
        <v>3</v>
      </c>
      <c r="E828" s="5">
        <v>7</v>
      </c>
      <c r="F828" s="2" t="s">
        <v>897</v>
      </c>
      <c r="G828" s="69" t="str">
        <f>IF(AND($C828=9,$D828=3,$E828=7),"H","")</f>
        <v>H</v>
      </c>
      <c r="H828" s="71"/>
    </row>
    <row r="829" spans="3:8" x14ac:dyDescent="0.3">
      <c r="C829" s="8">
        <v>9</v>
      </c>
      <c r="D829" s="5">
        <v>3</v>
      </c>
      <c r="E829" s="5">
        <v>8</v>
      </c>
      <c r="F829" s="2" t="s">
        <v>898</v>
      </c>
      <c r="G829" s="69" t="str">
        <f>IF(AND($C829=9,$D829=3,$E829=8),"H","")</f>
        <v>H</v>
      </c>
      <c r="H829" s="71"/>
    </row>
    <row r="830" spans="3:8" x14ac:dyDescent="0.3">
      <c r="C830" s="8">
        <v>9</v>
      </c>
      <c r="D830" s="5">
        <v>3</v>
      </c>
      <c r="E830" s="5">
        <v>9</v>
      </c>
      <c r="F830" s="2" t="s">
        <v>899</v>
      </c>
      <c r="G830" s="69" t="str">
        <f>IF(AND($C830=9,$D830=3,$E830=9),"H","")</f>
        <v>H</v>
      </c>
      <c r="H830" s="71"/>
    </row>
    <row r="831" spans="3:8" x14ac:dyDescent="0.3">
      <c r="C831" s="8">
        <v>9</v>
      </c>
      <c r="D831" s="5">
        <v>3</v>
      </c>
      <c r="E831" s="5">
        <v>10</v>
      </c>
      <c r="F831" s="2" t="s">
        <v>900</v>
      </c>
      <c r="G831" s="69" t="str">
        <f>IF(AND($C831=9,$D831=3,$E831=10),"H","")</f>
        <v>H</v>
      </c>
      <c r="H831" s="71"/>
    </row>
    <row r="832" spans="3:8" x14ac:dyDescent="0.3">
      <c r="C832" s="8">
        <v>9</v>
      </c>
      <c r="D832" s="5">
        <v>4</v>
      </c>
      <c r="E832" s="5">
        <v>1</v>
      </c>
      <c r="F832" s="2" t="s">
        <v>901</v>
      </c>
      <c r="G832" s="68" t="str">
        <f>IF(AND($C832=9,$D832=4,$E832=1),"M","")</f>
        <v>M</v>
      </c>
      <c r="H832" s="71"/>
    </row>
    <row r="833" spans="3:8" x14ac:dyDescent="0.3">
      <c r="C833" s="8">
        <v>9</v>
      </c>
      <c r="D833" s="5">
        <v>4</v>
      </c>
      <c r="E833" s="5">
        <v>2</v>
      </c>
      <c r="F833" s="2" t="s">
        <v>902</v>
      </c>
      <c r="G833" s="69" t="str">
        <f>IF(AND($C833=9,$D833=4,$E833=2),"H","")</f>
        <v>H</v>
      </c>
      <c r="H833" s="71"/>
    </row>
    <row r="834" spans="3:8" x14ac:dyDescent="0.3">
      <c r="C834" s="8">
        <v>9</v>
      </c>
      <c r="D834" s="5">
        <v>4</v>
      </c>
      <c r="E834" s="5">
        <v>3</v>
      </c>
      <c r="F834" s="2" t="s">
        <v>903</v>
      </c>
      <c r="G834" s="69" t="str">
        <f>IF(AND($C834=9,$D834=4,$E834=3),"H","")</f>
        <v>H</v>
      </c>
      <c r="H834" s="71"/>
    </row>
    <row r="835" spans="3:8" x14ac:dyDescent="0.3">
      <c r="C835" s="8">
        <v>9</v>
      </c>
      <c r="D835" s="5">
        <v>4</v>
      </c>
      <c r="E835" s="5">
        <v>4</v>
      </c>
      <c r="F835" s="2" t="s">
        <v>904</v>
      </c>
      <c r="G835" s="69" t="str">
        <f>IF(AND($C835=9,$D835=4,$E835=4),"H","")</f>
        <v>H</v>
      </c>
      <c r="H835" s="71"/>
    </row>
    <row r="836" spans="3:8" x14ac:dyDescent="0.3">
      <c r="C836" s="8">
        <v>9</v>
      </c>
      <c r="D836" s="5">
        <v>4</v>
      </c>
      <c r="E836" s="5">
        <v>5</v>
      </c>
      <c r="F836" s="2" t="s">
        <v>905</v>
      </c>
      <c r="G836" s="69" t="str">
        <f>IF(AND($C836=9,$D836=4,$E836=5),"H","")</f>
        <v>H</v>
      </c>
      <c r="H836" s="71"/>
    </row>
    <row r="837" spans="3:8" x14ac:dyDescent="0.3">
      <c r="C837" s="8">
        <v>9</v>
      </c>
      <c r="D837" s="5">
        <v>4</v>
      </c>
      <c r="E837" s="5">
        <v>6</v>
      </c>
      <c r="F837" s="2" t="s">
        <v>906</v>
      </c>
      <c r="G837" s="69" t="str">
        <f>IF(AND($C837=9,$D837=4,$E837=6),"H","")</f>
        <v>H</v>
      </c>
      <c r="H837" s="71"/>
    </row>
    <row r="838" spans="3:8" x14ac:dyDescent="0.3">
      <c r="C838" s="8">
        <v>9</v>
      </c>
      <c r="D838" s="5">
        <v>4</v>
      </c>
      <c r="E838" s="5">
        <v>7</v>
      </c>
      <c r="F838" s="2" t="s">
        <v>907</v>
      </c>
      <c r="G838" s="69" t="str">
        <f>IF(AND($C838=9,$D838=4,$E838=7),"H","")</f>
        <v>H</v>
      </c>
      <c r="H838" s="71"/>
    </row>
    <row r="839" spans="3:8" x14ac:dyDescent="0.3">
      <c r="C839" s="8">
        <v>9</v>
      </c>
      <c r="D839" s="5">
        <v>4</v>
      </c>
      <c r="E839" s="5">
        <v>8</v>
      </c>
      <c r="F839" s="2" t="s">
        <v>908</v>
      </c>
      <c r="G839" s="69" t="str">
        <f>IF(AND($C839=9,$D839=4,$E839=8),"H","")</f>
        <v>H</v>
      </c>
      <c r="H839" s="71"/>
    </row>
    <row r="840" spans="3:8" x14ac:dyDescent="0.3">
      <c r="C840" s="8">
        <v>9</v>
      </c>
      <c r="D840" s="5">
        <v>4</v>
      </c>
      <c r="E840" s="5">
        <v>9</v>
      </c>
      <c r="F840" s="2" t="s">
        <v>909</v>
      </c>
      <c r="G840" s="69" t="str">
        <f>IF(AND($C840=9,$D840=4,$E840=9),"H","")</f>
        <v>H</v>
      </c>
      <c r="H840" s="71"/>
    </row>
    <row r="841" spans="3:8" x14ac:dyDescent="0.3">
      <c r="C841" s="8">
        <v>9</v>
      </c>
      <c r="D841" s="5">
        <v>4</v>
      </c>
      <c r="E841" s="5">
        <v>10</v>
      </c>
      <c r="F841" s="2" t="s">
        <v>910</v>
      </c>
      <c r="G841" s="69" t="str">
        <f>IF(AND($C841=9,$D841=4,$E841=10),"H","")</f>
        <v>H</v>
      </c>
      <c r="H841" s="71"/>
    </row>
    <row r="842" spans="3:8" x14ac:dyDescent="0.3">
      <c r="C842" s="8">
        <v>9</v>
      </c>
      <c r="D842" s="5">
        <v>5</v>
      </c>
      <c r="E842" s="5">
        <v>1</v>
      </c>
      <c r="F842" s="2" t="s">
        <v>911</v>
      </c>
      <c r="G842" s="68" t="str">
        <f>IF(AND($C842=9,$D842=5,$E842=1),"M","")</f>
        <v>M</v>
      </c>
      <c r="H842" s="71"/>
    </row>
    <row r="843" spans="3:8" x14ac:dyDescent="0.3">
      <c r="C843" s="8">
        <v>9</v>
      </c>
      <c r="D843" s="5">
        <v>5</v>
      </c>
      <c r="E843" s="5">
        <v>2</v>
      </c>
      <c r="F843" s="2" t="s">
        <v>912</v>
      </c>
      <c r="G843" s="69" t="str">
        <f>IF(AND($C843=9,$D843=5,$E843=2),"H","")</f>
        <v>H</v>
      </c>
      <c r="H843" s="71"/>
    </row>
    <row r="844" spans="3:8" x14ac:dyDescent="0.3">
      <c r="C844" s="8">
        <v>9</v>
      </c>
      <c r="D844" s="5">
        <v>5</v>
      </c>
      <c r="E844" s="5">
        <v>3</v>
      </c>
      <c r="F844" s="2" t="s">
        <v>913</v>
      </c>
      <c r="G844" s="69" t="str">
        <f>IF(AND($C844=9,$D844=5,$E844=3),"H","")</f>
        <v>H</v>
      </c>
      <c r="H844" s="71"/>
    </row>
    <row r="845" spans="3:8" x14ac:dyDescent="0.3">
      <c r="C845" s="8">
        <v>9</v>
      </c>
      <c r="D845" s="5">
        <v>5</v>
      </c>
      <c r="E845" s="5">
        <v>4</v>
      </c>
      <c r="F845" s="2" t="s">
        <v>914</v>
      </c>
      <c r="G845" s="69" t="str">
        <f>IF(AND($C845=9,$D845=5,$E845=4),"H","")</f>
        <v>H</v>
      </c>
      <c r="H845" s="71"/>
    </row>
    <row r="846" spans="3:8" x14ac:dyDescent="0.3">
      <c r="C846" s="8">
        <v>9</v>
      </c>
      <c r="D846" s="5">
        <v>5</v>
      </c>
      <c r="E846" s="5">
        <v>5</v>
      </c>
      <c r="F846" s="2" t="s">
        <v>915</v>
      </c>
      <c r="G846" s="69" t="str">
        <f>IF(AND($C846=9,$D846=5,$E846=5),"H","")</f>
        <v>H</v>
      </c>
      <c r="H846" s="71"/>
    </row>
    <row r="847" spans="3:8" x14ac:dyDescent="0.3">
      <c r="C847" s="8">
        <v>9</v>
      </c>
      <c r="D847" s="5">
        <v>5</v>
      </c>
      <c r="E847" s="5">
        <v>6</v>
      </c>
      <c r="F847" s="2" t="s">
        <v>916</v>
      </c>
      <c r="G847" s="69" t="str">
        <f>IF(AND($C847=9,$D847=5,$E847=6),"H","")</f>
        <v>H</v>
      </c>
      <c r="H847" s="71"/>
    </row>
    <row r="848" spans="3:8" x14ac:dyDescent="0.3">
      <c r="C848" s="8">
        <v>9</v>
      </c>
      <c r="D848" s="5">
        <v>5</v>
      </c>
      <c r="E848" s="5">
        <v>7</v>
      </c>
      <c r="F848" s="2" t="s">
        <v>917</v>
      </c>
      <c r="G848" s="69" t="str">
        <f>IF(AND($C848=9,$D848=5,$E848=7),"H","")</f>
        <v>H</v>
      </c>
      <c r="H848" s="71"/>
    </row>
    <row r="849" spans="3:8" x14ac:dyDescent="0.3">
      <c r="C849" s="8">
        <v>9</v>
      </c>
      <c r="D849" s="5">
        <v>5</v>
      </c>
      <c r="E849" s="5">
        <v>8</v>
      </c>
      <c r="F849" s="2" t="s">
        <v>918</v>
      </c>
      <c r="G849" s="69" t="str">
        <f>IF(AND($C849=9,$D849=5,$E849=8),"H","")</f>
        <v>H</v>
      </c>
      <c r="H849" s="71"/>
    </row>
    <row r="850" spans="3:8" x14ac:dyDescent="0.3">
      <c r="C850" s="8">
        <v>9</v>
      </c>
      <c r="D850" s="5">
        <v>5</v>
      </c>
      <c r="E850" s="5">
        <v>9</v>
      </c>
      <c r="F850" s="2" t="s">
        <v>919</v>
      </c>
      <c r="G850" s="69" t="str">
        <f>IF(AND($C850=9,$D850=5,$E850=9),"H","")</f>
        <v>H</v>
      </c>
      <c r="H850" s="71"/>
    </row>
    <row r="851" spans="3:8" x14ac:dyDescent="0.3">
      <c r="C851" s="8">
        <v>9</v>
      </c>
      <c r="D851" s="5">
        <v>5</v>
      </c>
      <c r="E851" s="5">
        <v>10</v>
      </c>
      <c r="F851" s="2" t="s">
        <v>920</v>
      </c>
      <c r="G851" s="69" t="str">
        <f>IF(AND($C851=9,$D851=5,$E851=10),"H","")</f>
        <v>H</v>
      </c>
      <c r="H851" s="71"/>
    </row>
    <row r="852" spans="3:8" x14ac:dyDescent="0.3">
      <c r="C852" s="8">
        <v>9</v>
      </c>
      <c r="D852" s="5">
        <v>6</v>
      </c>
      <c r="E852" s="5">
        <v>1</v>
      </c>
      <c r="F852" s="2" t="s">
        <v>921</v>
      </c>
      <c r="G852" s="69" t="str">
        <f>IF(AND($C852=9,$D852=6,$E852=1),"H","")</f>
        <v>H</v>
      </c>
      <c r="H852" s="71"/>
    </row>
    <row r="853" spans="3:8" x14ac:dyDescent="0.3">
      <c r="C853" s="8">
        <v>9</v>
      </c>
      <c r="D853" s="5">
        <v>6</v>
      </c>
      <c r="E853" s="5">
        <v>2</v>
      </c>
      <c r="F853" s="2" t="s">
        <v>922</v>
      </c>
      <c r="G853" s="69" t="str">
        <f>IF(AND($C853=9,$D853=6,$E853=2),"H","")</f>
        <v>H</v>
      </c>
      <c r="H853" s="71"/>
    </row>
    <row r="854" spans="3:8" x14ac:dyDescent="0.3">
      <c r="C854" s="8">
        <v>9</v>
      </c>
      <c r="D854" s="5">
        <v>6</v>
      </c>
      <c r="E854" s="5">
        <v>3</v>
      </c>
      <c r="F854" s="2" t="s">
        <v>923</v>
      </c>
      <c r="G854" s="69" t="str">
        <f>IF(AND($C854=9,$D854=6,$E854=3),"H","")</f>
        <v>H</v>
      </c>
      <c r="H854" s="71"/>
    </row>
    <row r="855" spans="3:8" x14ac:dyDescent="0.3">
      <c r="C855" s="8">
        <v>9</v>
      </c>
      <c r="D855" s="5">
        <v>6</v>
      </c>
      <c r="E855" s="5">
        <v>4</v>
      </c>
      <c r="F855" s="2" t="s">
        <v>924</v>
      </c>
      <c r="G855" s="69" t="str">
        <f>IF(AND($C855=9,$D855=6,$E855=4),"H","")</f>
        <v>H</v>
      </c>
      <c r="H855" s="71"/>
    </row>
    <row r="856" spans="3:8" x14ac:dyDescent="0.3">
      <c r="C856" s="8">
        <v>9</v>
      </c>
      <c r="D856" s="5">
        <v>6</v>
      </c>
      <c r="E856" s="5">
        <v>5</v>
      </c>
      <c r="F856" s="2" t="s">
        <v>925</v>
      </c>
      <c r="G856" s="69" t="str">
        <f>IF(AND($C856=9,$D856=6,$E856=5),"H","")</f>
        <v>H</v>
      </c>
      <c r="H856" s="71"/>
    </row>
    <row r="857" spans="3:8" x14ac:dyDescent="0.3">
      <c r="C857" s="8">
        <v>9</v>
      </c>
      <c r="D857" s="5">
        <v>6</v>
      </c>
      <c r="E857" s="5">
        <v>6</v>
      </c>
      <c r="F857" s="2" t="s">
        <v>926</v>
      </c>
      <c r="G857" s="69" t="str">
        <f>IF(AND($C857=9,$D857=6,$E857=6),"H","")</f>
        <v>H</v>
      </c>
      <c r="H857" s="71"/>
    </row>
    <row r="858" spans="3:8" x14ac:dyDescent="0.3">
      <c r="C858" s="8">
        <v>9</v>
      </c>
      <c r="D858" s="5">
        <v>6</v>
      </c>
      <c r="E858" s="5">
        <v>7</v>
      </c>
      <c r="F858" s="2" t="s">
        <v>927</v>
      </c>
      <c r="G858" s="69" t="str">
        <f>IF(AND($C858=9,$D858=6,$E858=7),"H","")</f>
        <v>H</v>
      </c>
      <c r="H858" s="71"/>
    </row>
    <row r="859" spans="3:8" x14ac:dyDescent="0.3">
      <c r="C859" s="8">
        <v>9</v>
      </c>
      <c r="D859" s="5">
        <v>6</v>
      </c>
      <c r="E859" s="5">
        <v>8</v>
      </c>
      <c r="F859" s="2" t="s">
        <v>928</v>
      </c>
      <c r="G859" s="69" t="str">
        <f>IF(AND($C859=9,$D859=6,$E859=8),"H","")</f>
        <v>H</v>
      </c>
      <c r="H859" s="71"/>
    </row>
    <row r="860" spans="3:8" x14ac:dyDescent="0.3">
      <c r="C860" s="8">
        <v>9</v>
      </c>
      <c r="D860" s="5">
        <v>6</v>
      </c>
      <c r="E860" s="5">
        <v>9</v>
      </c>
      <c r="F860" s="2" t="s">
        <v>929</v>
      </c>
      <c r="G860" s="69" t="str">
        <f>IF(AND($C860=9,$D860=6,$E860=9),"H","")</f>
        <v>H</v>
      </c>
      <c r="H860" s="71"/>
    </row>
    <row r="861" spans="3:8" x14ac:dyDescent="0.3">
      <c r="C861" s="8">
        <v>9</v>
      </c>
      <c r="D861" s="5">
        <v>6</v>
      </c>
      <c r="E861" s="5">
        <v>10</v>
      </c>
      <c r="F861" s="2" t="s">
        <v>930</v>
      </c>
      <c r="G861" s="69" t="str">
        <f>IF(AND($C861=9,$D861=6,$E861=10),"H","")</f>
        <v>H</v>
      </c>
      <c r="H861" s="71"/>
    </row>
    <row r="862" spans="3:8" x14ac:dyDescent="0.3">
      <c r="C862" s="8">
        <v>9</v>
      </c>
      <c r="D862" s="5">
        <v>7</v>
      </c>
      <c r="E862" s="5">
        <v>1</v>
      </c>
      <c r="F862" s="2" t="s">
        <v>931</v>
      </c>
      <c r="G862" s="69" t="str">
        <f>IF(AND($C862=9,$D862=7,$E862=1),"H","")</f>
        <v>H</v>
      </c>
      <c r="H862" s="71"/>
    </row>
    <row r="863" spans="3:8" x14ac:dyDescent="0.3">
      <c r="C863" s="8">
        <v>9</v>
      </c>
      <c r="D863" s="5">
        <v>7</v>
      </c>
      <c r="E863" s="5">
        <v>2</v>
      </c>
      <c r="F863" s="2" t="s">
        <v>932</v>
      </c>
      <c r="G863" s="69" t="str">
        <f>IF(AND($C863=9,$D863=7,$E863=2),"H","")</f>
        <v>H</v>
      </c>
      <c r="H863" s="71"/>
    </row>
    <row r="864" spans="3:8" x14ac:dyDescent="0.3">
      <c r="C864" s="8">
        <v>9</v>
      </c>
      <c r="D864" s="5">
        <v>7</v>
      </c>
      <c r="E864" s="5">
        <v>3</v>
      </c>
      <c r="F864" s="2" t="s">
        <v>933</v>
      </c>
      <c r="G864" s="69" t="str">
        <f>IF(AND($C864=9,$D864=7,$E864=3),"H","")</f>
        <v>H</v>
      </c>
      <c r="H864" s="71"/>
    </row>
    <row r="865" spans="3:8" x14ac:dyDescent="0.3">
      <c r="C865" s="8">
        <v>9</v>
      </c>
      <c r="D865" s="5">
        <v>7</v>
      </c>
      <c r="E865" s="5">
        <v>4</v>
      </c>
      <c r="F865" s="2" t="s">
        <v>934</v>
      </c>
      <c r="G865" s="69" t="str">
        <f>IF(AND($C865=9,$D865=7,$E865=4),"H","")</f>
        <v>H</v>
      </c>
      <c r="H865" s="71"/>
    </row>
    <row r="866" spans="3:8" x14ac:dyDescent="0.3">
      <c r="C866" s="8">
        <v>9</v>
      </c>
      <c r="D866" s="5">
        <v>7</v>
      </c>
      <c r="E866" s="5">
        <v>5</v>
      </c>
      <c r="F866" s="2" t="s">
        <v>935</v>
      </c>
      <c r="G866" s="69" t="str">
        <f>IF(AND($C866=9,$D866=7,$E866=5),"H","")</f>
        <v>H</v>
      </c>
      <c r="H866" s="71"/>
    </row>
    <row r="867" spans="3:8" x14ac:dyDescent="0.3">
      <c r="C867" s="8">
        <v>9</v>
      </c>
      <c r="D867" s="5">
        <v>7</v>
      </c>
      <c r="E867" s="5">
        <v>6</v>
      </c>
      <c r="F867" s="2" t="s">
        <v>936</v>
      </c>
      <c r="G867" s="69" t="str">
        <f>IF(AND($C867=9,$D867=7,$E867=6),"H","")</f>
        <v>H</v>
      </c>
      <c r="H867" s="71"/>
    </row>
    <row r="868" spans="3:8" x14ac:dyDescent="0.3">
      <c r="C868" s="8">
        <v>9</v>
      </c>
      <c r="D868" s="5">
        <v>7</v>
      </c>
      <c r="E868" s="5">
        <v>7</v>
      </c>
      <c r="F868" s="2" t="s">
        <v>937</v>
      </c>
      <c r="G868" s="69" t="str">
        <f>IF(AND($C868=9,$D868=7,$E868=7),"H","")</f>
        <v>H</v>
      </c>
      <c r="H868" s="71"/>
    </row>
    <row r="869" spans="3:8" x14ac:dyDescent="0.3">
      <c r="C869" s="8">
        <v>9</v>
      </c>
      <c r="D869" s="5">
        <v>7</v>
      </c>
      <c r="E869" s="5">
        <v>8</v>
      </c>
      <c r="F869" s="2" t="s">
        <v>938</v>
      </c>
      <c r="G869" s="69" t="str">
        <f>IF(AND($C869=9,$D869=7,$E869=8),"H","")</f>
        <v>H</v>
      </c>
      <c r="H869" s="71"/>
    </row>
    <row r="870" spans="3:8" x14ac:dyDescent="0.3">
      <c r="C870" s="8">
        <v>9</v>
      </c>
      <c r="D870" s="5">
        <v>7</v>
      </c>
      <c r="E870" s="5">
        <v>9</v>
      </c>
      <c r="F870" s="2" t="s">
        <v>939</v>
      </c>
      <c r="G870" s="69" t="str">
        <f>IF(AND($C870=9,$D870=7,$E870=9),"H","")</f>
        <v>H</v>
      </c>
      <c r="H870" s="71"/>
    </row>
    <row r="871" spans="3:8" x14ac:dyDescent="0.3">
      <c r="C871" s="8">
        <v>9</v>
      </c>
      <c r="D871" s="5">
        <v>7</v>
      </c>
      <c r="E871" s="5">
        <v>10</v>
      </c>
      <c r="F871" s="2" t="s">
        <v>940</v>
      </c>
      <c r="G871" s="69" t="str">
        <f>IF(AND($C871=9,$D871=7,$E871=10),"H","")</f>
        <v>H</v>
      </c>
      <c r="H871" s="71"/>
    </row>
    <row r="872" spans="3:8" x14ac:dyDescent="0.3">
      <c r="C872" s="8">
        <v>9</v>
      </c>
      <c r="D872" s="5">
        <v>8</v>
      </c>
      <c r="E872" s="5">
        <v>1</v>
      </c>
      <c r="F872" s="2" t="s">
        <v>941</v>
      </c>
      <c r="G872" s="69" t="str">
        <f>IF(AND($C872=9,$D872=8,$E872=1),"H","")</f>
        <v>H</v>
      </c>
      <c r="H872" s="71"/>
    </row>
    <row r="873" spans="3:8" x14ac:dyDescent="0.3">
      <c r="C873" s="8">
        <v>9</v>
      </c>
      <c r="D873" s="5">
        <v>8</v>
      </c>
      <c r="E873" s="5">
        <v>2</v>
      </c>
      <c r="F873" s="2" t="s">
        <v>942</v>
      </c>
      <c r="G873" s="69" t="str">
        <f>IF(AND($C873=9,$D873=8,$E873=2),"H","")</f>
        <v>H</v>
      </c>
      <c r="H873" s="71"/>
    </row>
    <row r="874" spans="3:8" x14ac:dyDescent="0.3">
      <c r="C874" s="8">
        <v>9</v>
      </c>
      <c r="D874" s="5">
        <v>8</v>
      </c>
      <c r="E874" s="5">
        <v>3</v>
      </c>
      <c r="F874" s="2" t="s">
        <v>943</v>
      </c>
      <c r="G874" s="69" t="str">
        <f>IF(AND($C874=9,$D874=8,$E874=3),"H","")</f>
        <v>H</v>
      </c>
      <c r="H874" s="71"/>
    </row>
    <row r="875" spans="3:8" x14ac:dyDescent="0.3">
      <c r="C875" s="8">
        <v>9</v>
      </c>
      <c r="D875" s="5">
        <v>8</v>
      </c>
      <c r="E875" s="5">
        <v>4</v>
      </c>
      <c r="F875" s="2" t="s">
        <v>944</v>
      </c>
      <c r="G875" s="69" t="str">
        <f>IF(AND($C875=9,$D875=8,$E875=4),"H","")</f>
        <v>H</v>
      </c>
      <c r="H875" s="71"/>
    </row>
    <row r="876" spans="3:8" x14ac:dyDescent="0.3">
      <c r="C876" s="8">
        <v>9</v>
      </c>
      <c r="D876" s="5">
        <v>8</v>
      </c>
      <c r="E876" s="5">
        <v>5</v>
      </c>
      <c r="F876" s="2" t="s">
        <v>945</v>
      </c>
      <c r="G876" s="69" t="str">
        <f>IF(AND($C876=9,$D876=8,$E876=5),"H","")</f>
        <v>H</v>
      </c>
      <c r="H876" s="71"/>
    </row>
    <row r="877" spans="3:8" x14ac:dyDescent="0.3">
      <c r="C877" s="8">
        <v>9</v>
      </c>
      <c r="D877" s="5">
        <v>8</v>
      </c>
      <c r="E877" s="5">
        <v>6</v>
      </c>
      <c r="F877" s="2" t="s">
        <v>946</v>
      </c>
      <c r="G877" s="69" t="str">
        <f>IF(AND($C877=9,$D877=8,$E877=6),"H","")</f>
        <v>H</v>
      </c>
      <c r="H877" s="71"/>
    </row>
    <row r="878" spans="3:8" x14ac:dyDescent="0.3">
      <c r="C878" s="8">
        <v>9</v>
      </c>
      <c r="D878" s="5">
        <v>8</v>
      </c>
      <c r="E878" s="5">
        <v>7</v>
      </c>
      <c r="F878" s="2" t="s">
        <v>947</v>
      </c>
      <c r="G878" s="69" t="str">
        <f>IF(AND($C878=9,$D878=8,$E878=7),"H","")</f>
        <v>H</v>
      </c>
      <c r="H878" s="71"/>
    </row>
    <row r="879" spans="3:8" x14ac:dyDescent="0.3">
      <c r="C879" s="8">
        <v>9</v>
      </c>
      <c r="D879" s="5">
        <v>8</v>
      </c>
      <c r="E879" s="5">
        <v>8</v>
      </c>
      <c r="F879" s="2" t="s">
        <v>948</v>
      </c>
      <c r="G879" s="69" t="str">
        <f>IF(AND($C879=9,$D879=8,$E879=8),"H","")</f>
        <v>H</v>
      </c>
      <c r="H879" s="71"/>
    </row>
    <row r="880" spans="3:8" x14ac:dyDescent="0.3">
      <c r="C880" s="8">
        <v>9</v>
      </c>
      <c r="D880" s="5">
        <v>8</v>
      </c>
      <c r="E880" s="5">
        <v>9</v>
      </c>
      <c r="F880" s="2" t="s">
        <v>949</v>
      </c>
      <c r="G880" s="69" t="str">
        <f>IF(AND($C880=9,$D880=8,$E880=9),"H","")</f>
        <v>H</v>
      </c>
      <c r="H880" s="71"/>
    </row>
    <row r="881" spans="3:8" x14ac:dyDescent="0.3">
      <c r="C881" s="8">
        <v>9</v>
      </c>
      <c r="D881" s="5">
        <v>8</v>
      </c>
      <c r="E881" s="5">
        <v>10</v>
      </c>
      <c r="F881" s="2" t="s">
        <v>950</v>
      </c>
      <c r="G881" s="69" t="str">
        <f>IF(AND($C881=9,$D881=8,$E881=10),"H","")</f>
        <v>H</v>
      </c>
      <c r="H881" s="71"/>
    </row>
    <row r="882" spans="3:8" x14ac:dyDescent="0.3">
      <c r="C882" s="8">
        <v>9</v>
      </c>
      <c r="D882" s="5">
        <v>9</v>
      </c>
      <c r="E882" s="5">
        <v>1</v>
      </c>
      <c r="F882" s="2" t="s">
        <v>951</v>
      </c>
      <c r="G882" s="69" t="str">
        <f>IF(AND($C882=9,$D882=9,$E882=1),"H","")</f>
        <v>H</v>
      </c>
      <c r="H882" s="71"/>
    </row>
    <row r="883" spans="3:8" x14ac:dyDescent="0.3">
      <c r="C883" s="8">
        <v>9</v>
      </c>
      <c r="D883" s="5">
        <v>9</v>
      </c>
      <c r="E883" s="5">
        <v>2</v>
      </c>
      <c r="F883" s="2" t="s">
        <v>952</v>
      </c>
      <c r="G883" s="69" t="str">
        <f>IF(AND($C883=9,$D883=9,$E883=2),"H","")</f>
        <v>H</v>
      </c>
      <c r="H883" s="71"/>
    </row>
    <row r="884" spans="3:8" x14ac:dyDescent="0.3">
      <c r="C884" s="8">
        <v>9</v>
      </c>
      <c r="D884" s="5">
        <v>9</v>
      </c>
      <c r="E884" s="5">
        <v>3</v>
      </c>
      <c r="F884" s="2" t="s">
        <v>953</v>
      </c>
      <c r="G884" s="69" t="str">
        <f>IF(AND($C884=9,$D884=9,$E884=3),"H","")</f>
        <v>H</v>
      </c>
      <c r="H884" s="71"/>
    </row>
    <row r="885" spans="3:8" x14ac:dyDescent="0.3">
      <c r="C885" s="8">
        <v>9</v>
      </c>
      <c r="D885" s="5">
        <v>9</v>
      </c>
      <c r="E885" s="5">
        <v>4</v>
      </c>
      <c r="F885" s="2" t="s">
        <v>954</v>
      </c>
      <c r="G885" s="69" t="str">
        <f>IF(AND($C885=9,$D885=9,$E885=4),"H","")</f>
        <v>H</v>
      </c>
      <c r="H885" s="71"/>
    </row>
    <row r="886" spans="3:8" x14ac:dyDescent="0.3">
      <c r="C886" s="8">
        <v>9</v>
      </c>
      <c r="D886" s="5">
        <v>9</v>
      </c>
      <c r="E886" s="5">
        <v>5</v>
      </c>
      <c r="F886" s="2" t="s">
        <v>955</v>
      </c>
      <c r="G886" s="69" t="str">
        <f>IF(AND($C886=9,$D886=9,$E886=5),"H","")</f>
        <v>H</v>
      </c>
      <c r="H886" s="71"/>
    </row>
    <row r="887" spans="3:8" x14ac:dyDescent="0.3">
      <c r="C887" s="8">
        <v>9</v>
      </c>
      <c r="D887" s="5">
        <v>9</v>
      </c>
      <c r="E887" s="5">
        <v>6</v>
      </c>
      <c r="F887" s="2" t="s">
        <v>956</v>
      </c>
      <c r="G887" s="69" t="str">
        <f>IF(AND($C887=9,$D887=9,$E887=6),"H","")</f>
        <v>H</v>
      </c>
      <c r="H887" s="71"/>
    </row>
    <row r="888" spans="3:8" x14ac:dyDescent="0.3">
      <c r="C888" s="8">
        <v>9</v>
      </c>
      <c r="D888" s="5">
        <v>9</v>
      </c>
      <c r="E888" s="5">
        <v>7</v>
      </c>
      <c r="F888" s="2" t="s">
        <v>957</v>
      </c>
      <c r="G888" s="69" t="str">
        <f>IF(AND($C888=9,$D888=9,$E888=7),"H","")</f>
        <v>H</v>
      </c>
      <c r="H888" s="71"/>
    </row>
    <row r="889" spans="3:8" x14ac:dyDescent="0.3">
      <c r="C889" s="8">
        <v>9</v>
      </c>
      <c r="D889" s="5">
        <v>9</v>
      </c>
      <c r="E889" s="5">
        <v>8</v>
      </c>
      <c r="F889" s="2" t="s">
        <v>958</v>
      </c>
      <c r="G889" s="69" t="str">
        <f>IF(AND($C889=9,$D889=9,$E889=8),"H","")</f>
        <v>H</v>
      </c>
      <c r="H889" s="71"/>
    </row>
    <row r="890" spans="3:8" x14ac:dyDescent="0.3">
      <c r="C890" s="8">
        <v>9</v>
      </c>
      <c r="D890" s="5">
        <v>9</v>
      </c>
      <c r="E890" s="5">
        <v>9</v>
      </c>
      <c r="F890" s="2" t="s">
        <v>959</v>
      </c>
      <c r="G890" s="69" t="str">
        <f>IF(AND($C890=9,$D890=9,$E890=9),"H","")</f>
        <v>H</v>
      </c>
      <c r="H890" s="71"/>
    </row>
    <row r="891" spans="3:8" x14ac:dyDescent="0.3">
      <c r="C891" s="8">
        <v>9</v>
      </c>
      <c r="D891" s="5">
        <v>9</v>
      </c>
      <c r="E891" s="5">
        <v>10</v>
      </c>
      <c r="F891" s="2" t="s">
        <v>960</v>
      </c>
      <c r="G891" s="69" t="str">
        <f>IF(AND($C891=9,$D891=9,$E891=10),"H","")</f>
        <v>H</v>
      </c>
      <c r="H891" s="71"/>
    </row>
    <row r="892" spans="3:8" x14ac:dyDescent="0.3">
      <c r="C892" s="8">
        <v>9</v>
      </c>
      <c r="D892" s="5">
        <v>10</v>
      </c>
      <c r="E892" s="5">
        <v>1</v>
      </c>
      <c r="F892" s="2" t="s">
        <v>961</v>
      </c>
      <c r="G892" s="69" t="str">
        <f>IF(AND($C892=9,$D892=10,$E892=1),"H","")</f>
        <v>H</v>
      </c>
      <c r="H892" s="71"/>
    </row>
    <row r="893" spans="3:8" x14ac:dyDescent="0.3">
      <c r="C893" s="8">
        <v>9</v>
      </c>
      <c r="D893" s="5">
        <v>10</v>
      </c>
      <c r="E893" s="5">
        <v>2</v>
      </c>
      <c r="F893" s="2" t="s">
        <v>962</v>
      </c>
      <c r="G893" s="69" t="str">
        <f>IF(AND($C893=9,$D893=10,$E893=2),"H","")</f>
        <v>H</v>
      </c>
      <c r="H893" s="71"/>
    </row>
    <row r="894" spans="3:8" x14ac:dyDescent="0.3">
      <c r="C894" s="8">
        <v>9</v>
      </c>
      <c r="D894" s="5">
        <v>10</v>
      </c>
      <c r="E894" s="5">
        <v>3</v>
      </c>
      <c r="F894" s="2" t="s">
        <v>963</v>
      </c>
      <c r="G894" s="69" t="str">
        <f>IF(AND($C894=9,$D894=10,$E894=3),"H","")</f>
        <v>H</v>
      </c>
      <c r="H894" s="71"/>
    </row>
    <row r="895" spans="3:8" x14ac:dyDescent="0.3">
      <c r="C895" s="8">
        <v>9</v>
      </c>
      <c r="D895" s="5">
        <v>10</v>
      </c>
      <c r="E895" s="5">
        <v>4</v>
      </c>
      <c r="F895" s="2" t="s">
        <v>964</v>
      </c>
      <c r="G895" s="69" t="str">
        <f>IF(AND($C895=9,$D895=10,$E895=4),"H","")</f>
        <v>H</v>
      </c>
      <c r="H895" s="71"/>
    </row>
    <row r="896" spans="3:8" x14ac:dyDescent="0.3">
      <c r="C896" s="8">
        <v>9</v>
      </c>
      <c r="D896" s="5">
        <v>10</v>
      </c>
      <c r="E896" s="5">
        <v>5</v>
      </c>
      <c r="F896" s="2" t="s">
        <v>965</v>
      </c>
      <c r="G896" s="69" t="str">
        <f>IF(AND($C896=9,$D896=10,$E896=5),"H","")</f>
        <v>H</v>
      </c>
      <c r="H896" s="71"/>
    </row>
    <row r="897" spans="3:8" x14ac:dyDescent="0.3">
      <c r="C897" s="8">
        <v>9</v>
      </c>
      <c r="D897" s="5">
        <v>10</v>
      </c>
      <c r="E897" s="5">
        <v>6</v>
      </c>
      <c r="F897" s="2" t="s">
        <v>966</v>
      </c>
      <c r="G897" s="69" t="str">
        <f>IF(AND($C897=9,$D897=10,$E897=6),"H","")</f>
        <v>H</v>
      </c>
      <c r="H897" s="71"/>
    </row>
    <row r="898" spans="3:8" x14ac:dyDescent="0.3">
      <c r="C898" s="8">
        <v>9</v>
      </c>
      <c r="D898" s="5">
        <v>10</v>
      </c>
      <c r="E898" s="5">
        <v>7</v>
      </c>
      <c r="F898" s="2" t="s">
        <v>967</v>
      </c>
      <c r="G898" s="69" t="str">
        <f>IF(AND($C898=9,$D898=10,$E898=7),"H","")</f>
        <v>H</v>
      </c>
      <c r="H898" s="71"/>
    </row>
    <row r="899" spans="3:8" x14ac:dyDescent="0.3">
      <c r="C899" s="8">
        <v>9</v>
      </c>
      <c r="D899" s="5">
        <v>10</v>
      </c>
      <c r="E899" s="5">
        <v>8</v>
      </c>
      <c r="F899" s="2" t="s">
        <v>968</v>
      </c>
      <c r="G899" s="69" t="str">
        <f>IF(AND($C899=9,$D899=10,$E899=8),"H","")</f>
        <v>H</v>
      </c>
      <c r="H899" s="71"/>
    </row>
    <row r="900" spans="3:8" x14ac:dyDescent="0.3">
      <c r="C900" s="8">
        <v>9</v>
      </c>
      <c r="D900" s="5">
        <v>10</v>
      </c>
      <c r="E900" s="5">
        <v>9</v>
      </c>
      <c r="F900" s="2" t="s">
        <v>969</v>
      </c>
      <c r="G900" s="69" t="str">
        <f>IF(AND($C900=9,$D900=10,$E900=9),"H","")</f>
        <v>H</v>
      </c>
      <c r="H900" s="71"/>
    </row>
    <row r="901" spans="3:8" x14ac:dyDescent="0.3">
      <c r="C901" s="8">
        <v>9</v>
      </c>
      <c r="D901" s="5">
        <v>10</v>
      </c>
      <c r="E901" s="5">
        <v>10</v>
      </c>
      <c r="F901" s="2" t="s">
        <v>970</v>
      </c>
      <c r="G901" s="69" t="str">
        <f>IF(AND($C901=9,$D901=10,$E901=10),"H","")</f>
        <v>H</v>
      </c>
      <c r="H901" s="71"/>
    </row>
    <row r="902" spans="3:8" x14ac:dyDescent="0.3">
      <c r="C902" s="8">
        <v>10</v>
      </c>
      <c r="D902" s="5">
        <v>1</v>
      </c>
      <c r="E902" s="5">
        <v>1</v>
      </c>
      <c r="F902" s="2" t="s">
        <v>971</v>
      </c>
      <c r="G902" s="67" t="str">
        <f>IF(AND($C902=10,$D902=1,$E902=1),"L","")</f>
        <v>L</v>
      </c>
      <c r="H902" s="71"/>
    </row>
    <row r="903" spans="3:8" x14ac:dyDescent="0.3">
      <c r="C903" s="8">
        <v>10</v>
      </c>
      <c r="D903" s="5">
        <v>1</v>
      </c>
      <c r="E903" s="5">
        <v>2</v>
      </c>
      <c r="F903" s="2" t="s">
        <v>972</v>
      </c>
      <c r="G903" s="67" t="str">
        <f>IF(AND($C903=10,$D903=1,$E903=2),"L","")</f>
        <v>L</v>
      </c>
      <c r="H903" s="71"/>
    </row>
    <row r="904" spans="3:8" x14ac:dyDescent="0.3">
      <c r="C904" s="8">
        <v>10</v>
      </c>
      <c r="D904" s="5">
        <v>1</v>
      </c>
      <c r="E904" s="5">
        <v>3</v>
      </c>
      <c r="F904" s="2" t="s">
        <v>973</v>
      </c>
      <c r="G904" s="67" t="str">
        <f>IF(AND($C904=10,$D904=1,$E904=3),"L","")</f>
        <v>L</v>
      </c>
      <c r="H904" s="71"/>
    </row>
    <row r="905" spans="3:8" x14ac:dyDescent="0.3">
      <c r="C905" s="8">
        <v>10</v>
      </c>
      <c r="D905" s="5">
        <v>1</v>
      </c>
      <c r="E905" s="5">
        <v>4</v>
      </c>
      <c r="F905" s="2" t="s">
        <v>974</v>
      </c>
      <c r="G905" s="67" t="str">
        <f>IF(AND($C905=10,$D905=1,$E905=4),"L","")</f>
        <v>L</v>
      </c>
      <c r="H905" s="71"/>
    </row>
    <row r="906" spans="3:8" x14ac:dyDescent="0.3">
      <c r="C906" s="8">
        <v>10</v>
      </c>
      <c r="D906" s="5">
        <v>1</v>
      </c>
      <c r="E906" s="5">
        <v>5</v>
      </c>
      <c r="F906" s="2" t="s">
        <v>975</v>
      </c>
      <c r="G906" s="67" t="str">
        <f>IF(AND($C906=10,$D906=1,$E906=5),"L","")</f>
        <v>L</v>
      </c>
      <c r="H906" s="71"/>
    </row>
    <row r="907" spans="3:8" x14ac:dyDescent="0.3">
      <c r="C907" s="8">
        <v>10</v>
      </c>
      <c r="D907" s="5">
        <v>1</v>
      </c>
      <c r="E907" s="5">
        <v>6</v>
      </c>
      <c r="F907" s="2" t="s">
        <v>976</v>
      </c>
      <c r="G907" s="67" t="str">
        <f>IF(AND($C907=10,$D907=1,$E907=6),"L","")</f>
        <v>L</v>
      </c>
      <c r="H907" s="71"/>
    </row>
    <row r="908" spans="3:8" x14ac:dyDescent="0.3">
      <c r="C908" s="8">
        <v>10</v>
      </c>
      <c r="D908" s="5">
        <v>1</v>
      </c>
      <c r="E908" s="5">
        <v>7</v>
      </c>
      <c r="F908" s="2" t="s">
        <v>977</v>
      </c>
      <c r="G908" s="67" t="str">
        <f>IF(AND($C908=10,$D908=1,$E908=7),"L","")</f>
        <v>L</v>
      </c>
      <c r="H908" s="71"/>
    </row>
    <row r="909" spans="3:8" x14ac:dyDescent="0.3">
      <c r="C909" s="8">
        <v>10</v>
      </c>
      <c r="D909" s="5">
        <v>1</v>
      </c>
      <c r="E909" s="5">
        <v>8</v>
      </c>
      <c r="F909" s="2" t="s">
        <v>978</v>
      </c>
      <c r="G909" s="67" t="str">
        <f>IF(AND($C909=10,$D909=1,$E909=8),"L","")</f>
        <v>L</v>
      </c>
      <c r="H909" s="71"/>
    </row>
    <row r="910" spans="3:8" x14ac:dyDescent="0.3">
      <c r="C910" s="8">
        <v>10</v>
      </c>
      <c r="D910" s="5">
        <v>1</v>
      </c>
      <c r="E910" s="5">
        <v>9</v>
      </c>
      <c r="F910" s="2" t="s">
        <v>979</v>
      </c>
      <c r="G910" s="67" t="str">
        <f>IF(AND($C910=10,$D910=1,$E910=9),"L","")</f>
        <v>L</v>
      </c>
      <c r="H910" s="71"/>
    </row>
    <row r="911" spans="3:8" x14ac:dyDescent="0.3">
      <c r="C911" s="8">
        <v>10</v>
      </c>
      <c r="D911" s="5">
        <v>1</v>
      </c>
      <c r="E911" s="5">
        <v>10</v>
      </c>
      <c r="F911" s="2" t="s">
        <v>980</v>
      </c>
      <c r="G911" s="67" t="str">
        <f>IF(AND($C911=10,$D911=1,$E911=10),"L","")</f>
        <v>L</v>
      </c>
      <c r="H911" s="71"/>
    </row>
    <row r="912" spans="3:8" x14ac:dyDescent="0.3">
      <c r="C912" s="8">
        <v>10</v>
      </c>
      <c r="D912" s="5">
        <v>2</v>
      </c>
      <c r="E912" s="5">
        <v>1</v>
      </c>
      <c r="F912" s="2" t="s">
        <v>981</v>
      </c>
      <c r="G912" s="67" t="str">
        <f>IF(AND($C912=10,$D912=2,$E912=1),"L","")</f>
        <v>L</v>
      </c>
      <c r="H912" s="71"/>
    </row>
    <row r="913" spans="3:8" x14ac:dyDescent="0.3">
      <c r="C913" s="8">
        <v>10</v>
      </c>
      <c r="D913" s="5">
        <v>2</v>
      </c>
      <c r="E913" s="5">
        <v>2</v>
      </c>
      <c r="F913" s="2" t="s">
        <v>982</v>
      </c>
      <c r="G913" s="67" t="str">
        <f>IF(AND($C913=10,$D913=2,$E913=2),"L","")</f>
        <v>L</v>
      </c>
      <c r="H913" s="71"/>
    </row>
    <row r="914" spans="3:8" x14ac:dyDescent="0.3">
      <c r="C914" s="8">
        <v>10</v>
      </c>
      <c r="D914" s="5">
        <v>2</v>
      </c>
      <c r="E914" s="5">
        <v>3</v>
      </c>
      <c r="F914" s="2" t="s">
        <v>983</v>
      </c>
      <c r="G914" s="67" t="str">
        <f>IF(AND($C914=10,$D914=2,$E914=3),"L","")</f>
        <v>L</v>
      </c>
      <c r="H914" s="71"/>
    </row>
    <row r="915" spans="3:8" x14ac:dyDescent="0.3">
      <c r="C915" s="8">
        <v>10</v>
      </c>
      <c r="D915" s="5">
        <v>2</v>
      </c>
      <c r="E915" s="5">
        <v>4</v>
      </c>
      <c r="F915" s="2" t="s">
        <v>984</v>
      </c>
      <c r="G915" s="67" t="str">
        <f>IF(AND($C915=10,$D915=2,$E915=4),"L","")</f>
        <v>L</v>
      </c>
      <c r="H915" s="71"/>
    </row>
    <row r="916" spans="3:8" x14ac:dyDescent="0.3">
      <c r="C916" s="8">
        <v>10</v>
      </c>
      <c r="D916" s="5">
        <v>2</v>
      </c>
      <c r="E916" s="5">
        <v>5</v>
      </c>
      <c r="F916" s="2" t="s">
        <v>985</v>
      </c>
      <c r="G916" s="68" t="str">
        <f>IF(AND($C916=10,$D916=2,$E916=5),"M","")</f>
        <v>M</v>
      </c>
      <c r="H916" s="71"/>
    </row>
    <row r="917" spans="3:8" x14ac:dyDescent="0.3">
      <c r="C917" s="8">
        <v>10</v>
      </c>
      <c r="D917" s="5">
        <v>2</v>
      </c>
      <c r="E917" s="5">
        <v>6</v>
      </c>
      <c r="F917" s="2" t="s">
        <v>986</v>
      </c>
      <c r="G917" s="68" t="str">
        <f>IF(AND($C917=10,$D917=2,$E917=6),"M","")</f>
        <v>M</v>
      </c>
      <c r="H917" s="71"/>
    </row>
    <row r="918" spans="3:8" x14ac:dyDescent="0.3">
      <c r="C918" s="8">
        <v>10</v>
      </c>
      <c r="D918" s="5">
        <v>2</v>
      </c>
      <c r="E918" s="5">
        <v>7</v>
      </c>
      <c r="F918" s="2" t="s">
        <v>987</v>
      </c>
      <c r="G918" s="69" t="str">
        <f>IF(AND($C918=10,$D918=2,$E918=7),"H","")</f>
        <v>H</v>
      </c>
      <c r="H918" s="71"/>
    </row>
    <row r="919" spans="3:8" x14ac:dyDescent="0.3">
      <c r="C919" s="8">
        <v>10</v>
      </c>
      <c r="D919" s="5">
        <v>2</v>
      </c>
      <c r="E919" s="5">
        <v>8</v>
      </c>
      <c r="F919" s="2" t="s">
        <v>988</v>
      </c>
      <c r="G919" s="69" t="str">
        <f>IF(AND($C919=10,$D919=2,$E919=8),"H","")</f>
        <v>H</v>
      </c>
      <c r="H919" s="71"/>
    </row>
    <row r="920" spans="3:8" x14ac:dyDescent="0.3">
      <c r="C920" s="8">
        <v>10</v>
      </c>
      <c r="D920" s="5">
        <v>2</v>
      </c>
      <c r="E920" s="5">
        <v>9</v>
      </c>
      <c r="F920" s="2" t="s">
        <v>989</v>
      </c>
      <c r="G920" s="69" t="str">
        <f>IF(AND($C920=10,$D920=2,$E920=9),"H","")</f>
        <v>H</v>
      </c>
      <c r="H920" s="71"/>
    </row>
    <row r="921" spans="3:8" x14ac:dyDescent="0.3">
      <c r="C921" s="8">
        <v>10</v>
      </c>
      <c r="D921" s="5">
        <v>2</v>
      </c>
      <c r="E921" s="5">
        <v>10</v>
      </c>
      <c r="F921" s="2" t="s">
        <v>990</v>
      </c>
      <c r="G921" s="69" t="str">
        <f>IF(AND($C921=10,$D921=2,$E921=10),"H","")</f>
        <v>H</v>
      </c>
      <c r="H921" s="71"/>
    </row>
    <row r="922" spans="3:8" x14ac:dyDescent="0.3">
      <c r="C922" s="8">
        <v>10</v>
      </c>
      <c r="D922" s="5">
        <v>3</v>
      </c>
      <c r="E922" s="5">
        <v>1</v>
      </c>
      <c r="F922" s="2" t="s">
        <v>991</v>
      </c>
      <c r="G922" s="67" t="str">
        <f>IF(AND($C922=10,$D922=3,$E922=1),"L","")</f>
        <v>L</v>
      </c>
      <c r="H922" s="71"/>
    </row>
    <row r="923" spans="3:8" x14ac:dyDescent="0.3">
      <c r="C923" s="8">
        <v>10</v>
      </c>
      <c r="D923" s="5">
        <v>3</v>
      </c>
      <c r="E923" s="5">
        <v>2</v>
      </c>
      <c r="F923" s="2" t="s">
        <v>992</v>
      </c>
      <c r="G923" s="67" t="str">
        <f>IF(AND($C923=10,$D923=3,$E923=2),"L","")</f>
        <v>L</v>
      </c>
      <c r="H923" s="71"/>
    </row>
    <row r="924" spans="3:8" x14ac:dyDescent="0.3">
      <c r="C924" s="8">
        <v>10</v>
      </c>
      <c r="D924" s="5">
        <v>3</v>
      </c>
      <c r="E924" s="5">
        <v>3</v>
      </c>
      <c r="F924" s="2" t="s">
        <v>993</v>
      </c>
      <c r="G924" s="67" t="str">
        <f>IF(AND($C924=10,$D924=3,$E924=3),"L","")</f>
        <v>L</v>
      </c>
      <c r="H924" s="71"/>
    </row>
    <row r="925" spans="3:8" x14ac:dyDescent="0.3">
      <c r="C925" s="8">
        <v>10</v>
      </c>
      <c r="D925" s="5">
        <v>3</v>
      </c>
      <c r="E925" s="5">
        <v>4</v>
      </c>
      <c r="F925" s="2" t="s">
        <v>994</v>
      </c>
      <c r="G925" s="67" t="str">
        <f>IF(AND($C925=10,$D925=3,$E925=4),"L","")</f>
        <v>L</v>
      </c>
      <c r="H925" s="71"/>
    </row>
    <row r="926" spans="3:8" x14ac:dyDescent="0.3">
      <c r="C926" s="8">
        <v>10</v>
      </c>
      <c r="D926" s="5">
        <v>3</v>
      </c>
      <c r="E926" s="5">
        <v>5</v>
      </c>
      <c r="F926" s="2" t="s">
        <v>995</v>
      </c>
      <c r="G926" s="68" t="str">
        <f>IF(AND($C926=10,$D926=3,$E926=5),"M","")</f>
        <v>M</v>
      </c>
      <c r="H926" s="71"/>
    </row>
    <row r="927" spans="3:8" x14ac:dyDescent="0.3">
      <c r="C927" s="8">
        <v>10</v>
      </c>
      <c r="D927" s="5">
        <v>3</v>
      </c>
      <c r="E927" s="5">
        <v>6</v>
      </c>
      <c r="F927" s="2" t="s">
        <v>996</v>
      </c>
      <c r="G927" s="68" t="str">
        <f>IF(AND($C927=10,$D927=3,$E927=6),"M","")</f>
        <v>M</v>
      </c>
      <c r="H927" s="71"/>
    </row>
    <row r="928" spans="3:8" x14ac:dyDescent="0.3">
      <c r="C928" s="8">
        <v>10</v>
      </c>
      <c r="D928" s="5">
        <v>3</v>
      </c>
      <c r="E928" s="5">
        <v>7</v>
      </c>
      <c r="F928" s="2" t="s">
        <v>997</v>
      </c>
      <c r="G928" s="69" t="str">
        <f>IF(AND($C928=10,$D928=3,$E928=7),"H","")</f>
        <v>H</v>
      </c>
      <c r="H928" s="71"/>
    </row>
    <row r="929" spans="3:8" x14ac:dyDescent="0.3">
      <c r="C929" s="8">
        <v>10</v>
      </c>
      <c r="D929" s="5">
        <v>3</v>
      </c>
      <c r="E929" s="5">
        <v>8</v>
      </c>
      <c r="F929" s="2" t="s">
        <v>998</v>
      </c>
      <c r="G929" s="69" t="str">
        <f>IF(AND($C929=10,$D929=3,$E929=8),"H","")</f>
        <v>H</v>
      </c>
      <c r="H929" s="71"/>
    </row>
    <row r="930" spans="3:8" x14ac:dyDescent="0.3">
      <c r="C930" s="8">
        <v>10</v>
      </c>
      <c r="D930" s="5">
        <v>3</v>
      </c>
      <c r="E930" s="5">
        <v>9</v>
      </c>
      <c r="F930" s="2" t="s">
        <v>999</v>
      </c>
      <c r="G930" s="69" t="str">
        <f>IF(AND($C930=10,$D930=3,$E930=9),"H","")</f>
        <v>H</v>
      </c>
      <c r="H930" s="71"/>
    </row>
    <row r="931" spans="3:8" x14ac:dyDescent="0.3">
      <c r="C931" s="8">
        <v>10</v>
      </c>
      <c r="D931" s="5">
        <v>3</v>
      </c>
      <c r="E931" s="5">
        <v>10</v>
      </c>
      <c r="F931" s="2" t="s">
        <v>1000</v>
      </c>
      <c r="G931" s="69" t="str">
        <f>IF(AND($C931=10,$D931=3,$E931=10),"H","")</f>
        <v>H</v>
      </c>
      <c r="H931" s="71"/>
    </row>
    <row r="932" spans="3:8" x14ac:dyDescent="0.3">
      <c r="C932" s="8">
        <v>10</v>
      </c>
      <c r="D932" s="5">
        <v>4</v>
      </c>
      <c r="E932" s="5">
        <v>1</v>
      </c>
      <c r="F932" s="2" t="s">
        <v>1001</v>
      </c>
      <c r="G932" s="68" t="str">
        <f>IF(AND($C932=10,$D932=4,$E932=1),"M","")</f>
        <v>M</v>
      </c>
      <c r="H932" s="71"/>
    </row>
    <row r="933" spans="3:8" x14ac:dyDescent="0.3">
      <c r="C933" s="8">
        <v>10</v>
      </c>
      <c r="D933" s="5">
        <v>4</v>
      </c>
      <c r="E933" s="5">
        <v>2</v>
      </c>
      <c r="F933" s="2" t="s">
        <v>1002</v>
      </c>
      <c r="G933" s="69" t="str">
        <f>IF(AND($C933=10,$D933=4,$E933=2),"H","")</f>
        <v>H</v>
      </c>
      <c r="H933" s="71"/>
    </row>
    <row r="934" spans="3:8" x14ac:dyDescent="0.3">
      <c r="C934" s="8">
        <v>10</v>
      </c>
      <c r="D934" s="5">
        <v>4</v>
      </c>
      <c r="E934" s="5">
        <v>3</v>
      </c>
      <c r="F934" s="2" t="s">
        <v>1003</v>
      </c>
      <c r="G934" s="69" t="str">
        <f>IF(AND($C934=10,$D934=4,$E934=3),"H","")</f>
        <v>H</v>
      </c>
      <c r="H934" s="71"/>
    </row>
    <row r="935" spans="3:8" x14ac:dyDescent="0.3">
      <c r="C935" s="8">
        <v>10</v>
      </c>
      <c r="D935" s="5">
        <v>4</v>
      </c>
      <c r="E935" s="5">
        <v>4</v>
      </c>
      <c r="F935" s="2" t="s">
        <v>1004</v>
      </c>
      <c r="G935" s="69" t="str">
        <f>IF(AND($C935=10,$D935=4,$E935=4),"H","")</f>
        <v>H</v>
      </c>
      <c r="H935" s="71"/>
    </row>
    <row r="936" spans="3:8" x14ac:dyDescent="0.3">
      <c r="C936" s="8">
        <v>10</v>
      </c>
      <c r="D936" s="5">
        <v>4</v>
      </c>
      <c r="E936" s="5">
        <v>5</v>
      </c>
      <c r="F936" s="2" t="s">
        <v>1005</v>
      </c>
      <c r="G936" s="69" t="str">
        <f>IF(AND($C936=10,$D936=4,$E936=5),"H","")</f>
        <v>H</v>
      </c>
      <c r="H936" s="71"/>
    </row>
    <row r="937" spans="3:8" x14ac:dyDescent="0.3">
      <c r="C937" s="8">
        <v>10</v>
      </c>
      <c r="D937" s="5">
        <v>4</v>
      </c>
      <c r="E937" s="5">
        <v>6</v>
      </c>
      <c r="F937" s="2" t="s">
        <v>1006</v>
      </c>
      <c r="G937" s="69" t="str">
        <f>IF(AND($C937=10,$D937=4,$E937=6),"H","")</f>
        <v>H</v>
      </c>
      <c r="H937" s="71"/>
    </row>
    <row r="938" spans="3:8" x14ac:dyDescent="0.3">
      <c r="C938" s="8">
        <v>10</v>
      </c>
      <c r="D938" s="5">
        <v>4</v>
      </c>
      <c r="E938" s="5">
        <v>7</v>
      </c>
      <c r="F938" s="2" t="s">
        <v>1007</v>
      </c>
      <c r="G938" s="69" t="str">
        <f>IF(AND($C938=10,$D938=4,$E938=7),"H","")</f>
        <v>H</v>
      </c>
      <c r="H938" s="71"/>
    </row>
    <row r="939" spans="3:8" x14ac:dyDescent="0.3">
      <c r="C939" s="8">
        <v>10</v>
      </c>
      <c r="D939" s="5">
        <v>4</v>
      </c>
      <c r="E939" s="5">
        <v>8</v>
      </c>
      <c r="F939" s="2" t="s">
        <v>1008</v>
      </c>
      <c r="G939" s="69" t="str">
        <f>IF(AND($C939=10,$D939=4,$E939=8),"H","")</f>
        <v>H</v>
      </c>
      <c r="H939" s="71"/>
    </row>
    <row r="940" spans="3:8" x14ac:dyDescent="0.3">
      <c r="C940" s="8">
        <v>10</v>
      </c>
      <c r="D940" s="5">
        <v>4</v>
      </c>
      <c r="E940" s="5">
        <v>9</v>
      </c>
      <c r="F940" s="2" t="s">
        <v>1009</v>
      </c>
      <c r="G940" s="69" t="str">
        <f>IF(AND($C940=10,$D940=4,$E940=9),"H","")</f>
        <v>H</v>
      </c>
      <c r="H940" s="71"/>
    </row>
    <row r="941" spans="3:8" x14ac:dyDescent="0.3">
      <c r="C941" s="8">
        <v>10</v>
      </c>
      <c r="D941" s="5">
        <v>4</v>
      </c>
      <c r="E941" s="5">
        <v>10</v>
      </c>
      <c r="F941" s="2" t="s">
        <v>1010</v>
      </c>
      <c r="G941" s="69" t="str">
        <f>IF(AND($C941=10,$D941=4,$E941=10),"H","")</f>
        <v>H</v>
      </c>
      <c r="H941" s="71"/>
    </row>
    <row r="942" spans="3:8" x14ac:dyDescent="0.3">
      <c r="C942" s="8">
        <v>10</v>
      </c>
      <c r="D942" s="5">
        <v>5</v>
      </c>
      <c r="E942" s="5">
        <v>1</v>
      </c>
      <c r="F942" s="2" t="s">
        <v>1011</v>
      </c>
      <c r="G942" s="68" t="str">
        <f>IF(AND($C942=10,$D942=5,$E942=1),"M","")</f>
        <v>M</v>
      </c>
      <c r="H942" s="71"/>
    </row>
    <row r="943" spans="3:8" x14ac:dyDescent="0.3">
      <c r="C943" s="8">
        <v>10</v>
      </c>
      <c r="D943" s="5">
        <v>5</v>
      </c>
      <c r="E943" s="5">
        <v>2</v>
      </c>
      <c r="F943" s="2" t="s">
        <v>1012</v>
      </c>
      <c r="G943" s="69" t="str">
        <f>IF(AND($C943=10,$D943=5,$E943=2),"H","")</f>
        <v>H</v>
      </c>
      <c r="H943" s="71"/>
    </row>
    <row r="944" spans="3:8" x14ac:dyDescent="0.3">
      <c r="C944" s="8">
        <v>10</v>
      </c>
      <c r="D944" s="5">
        <v>5</v>
      </c>
      <c r="E944" s="5">
        <v>3</v>
      </c>
      <c r="F944" s="2" t="s">
        <v>1013</v>
      </c>
      <c r="G944" s="69" t="str">
        <f>IF(AND($C944=10,$D944=5,$E944=3),"H","")</f>
        <v>H</v>
      </c>
      <c r="H944" s="71"/>
    </row>
    <row r="945" spans="3:8" x14ac:dyDescent="0.3">
      <c r="C945" s="8">
        <v>10</v>
      </c>
      <c r="D945" s="5">
        <v>5</v>
      </c>
      <c r="E945" s="5">
        <v>4</v>
      </c>
      <c r="F945" s="2" t="s">
        <v>1014</v>
      </c>
      <c r="G945" s="69" t="str">
        <f>IF(AND($C945=10,$D945=5,$E945=4),"H","")</f>
        <v>H</v>
      </c>
      <c r="H945" s="71"/>
    </row>
    <row r="946" spans="3:8" x14ac:dyDescent="0.3">
      <c r="C946" s="8">
        <v>10</v>
      </c>
      <c r="D946" s="5">
        <v>5</v>
      </c>
      <c r="E946" s="5">
        <v>5</v>
      </c>
      <c r="F946" s="2" t="s">
        <v>1015</v>
      </c>
      <c r="G946" s="69" t="str">
        <f>IF(AND($C946=10,$D946=5,$E946=5),"H","")</f>
        <v>H</v>
      </c>
      <c r="H946" s="71"/>
    </row>
    <row r="947" spans="3:8" x14ac:dyDescent="0.3">
      <c r="C947" s="8">
        <v>10</v>
      </c>
      <c r="D947" s="5">
        <v>5</v>
      </c>
      <c r="E947" s="5">
        <v>6</v>
      </c>
      <c r="F947" s="2" t="s">
        <v>1016</v>
      </c>
      <c r="G947" s="69" t="str">
        <f>IF(AND($C947=10,$D947=5,$E947=6),"H","")</f>
        <v>H</v>
      </c>
      <c r="H947" s="71"/>
    </row>
    <row r="948" spans="3:8" x14ac:dyDescent="0.3">
      <c r="C948" s="8">
        <v>10</v>
      </c>
      <c r="D948" s="5">
        <v>5</v>
      </c>
      <c r="E948" s="5">
        <v>7</v>
      </c>
      <c r="F948" s="2" t="s">
        <v>1017</v>
      </c>
      <c r="G948" s="69" t="str">
        <f>IF(AND($C948=10,$D948=5,$E948=7),"H","")</f>
        <v>H</v>
      </c>
      <c r="H948" s="71"/>
    </row>
    <row r="949" spans="3:8" x14ac:dyDescent="0.3">
      <c r="C949" s="8">
        <v>10</v>
      </c>
      <c r="D949" s="5">
        <v>5</v>
      </c>
      <c r="E949" s="5">
        <v>8</v>
      </c>
      <c r="F949" s="2" t="s">
        <v>1018</v>
      </c>
      <c r="G949" s="69" t="str">
        <f>IF(AND($C949=10,$D949=5,$E949=8),"H","")</f>
        <v>H</v>
      </c>
      <c r="H949" s="71"/>
    </row>
    <row r="950" spans="3:8" x14ac:dyDescent="0.3">
      <c r="C950" s="8">
        <v>10</v>
      </c>
      <c r="D950" s="5">
        <v>5</v>
      </c>
      <c r="E950" s="5">
        <v>9</v>
      </c>
      <c r="F950" s="2" t="s">
        <v>1019</v>
      </c>
      <c r="G950" s="69" t="str">
        <f>IF(AND($C950=10,$D950=5,$E950=9),"H","")</f>
        <v>H</v>
      </c>
      <c r="H950" s="71"/>
    </row>
    <row r="951" spans="3:8" x14ac:dyDescent="0.3">
      <c r="C951" s="8">
        <v>10</v>
      </c>
      <c r="D951" s="5">
        <v>5</v>
      </c>
      <c r="E951" s="5">
        <v>10</v>
      </c>
      <c r="F951" s="2" t="s">
        <v>1020</v>
      </c>
      <c r="G951" s="69" t="str">
        <f>IF(AND($C951=10,$D951=5,$E951=10),"H","")</f>
        <v>H</v>
      </c>
      <c r="H951" s="71"/>
    </row>
    <row r="952" spans="3:8" x14ac:dyDescent="0.3">
      <c r="C952" s="8">
        <v>10</v>
      </c>
      <c r="D952" s="5">
        <v>6</v>
      </c>
      <c r="E952" s="5">
        <v>1</v>
      </c>
      <c r="F952" s="2" t="s">
        <v>1021</v>
      </c>
      <c r="G952" s="69" t="str">
        <f>IF(AND($C952=10,$D952=6,$E952=1),"H","")</f>
        <v>H</v>
      </c>
      <c r="H952" s="71"/>
    </row>
    <row r="953" spans="3:8" x14ac:dyDescent="0.3">
      <c r="C953" s="8">
        <v>10</v>
      </c>
      <c r="D953" s="5">
        <v>6</v>
      </c>
      <c r="E953" s="5">
        <v>2</v>
      </c>
      <c r="F953" s="2" t="s">
        <v>1022</v>
      </c>
      <c r="G953" s="69" t="str">
        <f>IF(AND($C953=10,$D953=6,$E953=2),"H","")</f>
        <v>H</v>
      </c>
      <c r="H953" s="71"/>
    </row>
    <row r="954" spans="3:8" x14ac:dyDescent="0.3">
      <c r="C954" s="8">
        <v>10</v>
      </c>
      <c r="D954" s="5">
        <v>6</v>
      </c>
      <c r="E954" s="5">
        <v>3</v>
      </c>
      <c r="F954" s="2" t="s">
        <v>1023</v>
      </c>
      <c r="G954" s="69" t="str">
        <f>IF(AND($C954=10,$D954=6,$E954=3),"H","")</f>
        <v>H</v>
      </c>
      <c r="H954" s="71"/>
    </row>
    <row r="955" spans="3:8" x14ac:dyDescent="0.3">
      <c r="C955" s="8">
        <v>10</v>
      </c>
      <c r="D955" s="5">
        <v>6</v>
      </c>
      <c r="E955" s="5">
        <v>4</v>
      </c>
      <c r="F955" s="2" t="s">
        <v>1024</v>
      </c>
      <c r="G955" s="69" t="str">
        <f>IF(AND($C955=10,$D955=6,$E955=4),"H","")</f>
        <v>H</v>
      </c>
      <c r="H955" s="71"/>
    </row>
    <row r="956" spans="3:8" x14ac:dyDescent="0.3">
      <c r="C956" s="8">
        <v>10</v>
      </c>
      <c r="D956" s="5">
        <v>6</v>
      </c>
      <c r="E956" s="5">
        <v>5</v>
      </c>
      <c r="F956" s="2" t="s">
        <v>1025</v>
      </c>
      <c r="G956" s="69" t="str">
        <f>IF(AND($C956=10,$D956=6,$E956=5),"H","")</f>
        <v>H</v>
      </c>
      <c r="H956" s="71"/>
    </row>
    <row r="957" spans="3:8" x14ac:dyDescent="0.3">
      <c r="C957" s="8">
        <v>10</v>
      </c>
      <c r="D957" s="5">
        <v>6</v>
      </c>
      <c r="E957" s="5">
        <v>6</v>
      </c>
      <c r="F957" s="2" t="s">
        <v>1026</v>
      </c>
      <c r="G957" s="69" t="str">
        <f>IF(AND($C957=10,$D957=6,$E957=6),"H","")</f>
        <v>H</v>
      </c>
      <c r="H957" s="71"/>
    </row>
    <row r="958" spans="3:8" x14ac:dyDescent="0.3">
      <c r="C958" s="8">
        <v>10</v>
      </c>
      <c r="D958" s="5">
        <v>6</v>
      </c>
      <c r="E958" s="5">
        <v>7</v>
      </c>
      <c r="F958" s="2" t="s">
        <v>1027</v>
      </c>
      <c r="G958" s="69" t="str">
        <f>IF(AND($C958=10,$D958=6,$E958=7),"H","")</f>
        <v>H</v>
      </c>
      <c r="H958" s="71"/>
    </row>
    <row r="959" spans="3:8" x14ac:dyDescent="0.3">
      <c r="C959" s="8">
        <v>10</v>
      </c>
      <c r="D959" s="5">
        <v>6</v>
      </c>
      <c r="E959" s="5">
        <v>8</v>
      </c>
      <c r="F959" s="2" t="s">
        <v>1028</v>
      </c>
      <c r="G959" s="69" t="str">
        <f>IF(AND($C959=10,$D959=6,$E959=8),"H","")</f>
        <v>H</v>
      </c>
      <c r="H959" s="71"/>
    </row>
    <row r="960" spans="3:8" x14ac:dyDescent="0.3">
      <c r="C960" s="8">
        <v>10</v>
      </c>
      <c r="D960" s="5">
        <v>6</v>
      </c>
      <c r="E960" s="5">
        <v>9</v>
      </c>
      <c r="F960" s="2" t="s">
        <v>1029</v>
      </c>
      <c r="G960" s="69" t="str">
        <f>IF(AND($C960=10,$D960=6,$E960=9),"H","")</f>
        <v>H</v>
      </c>
      <c r="H960" s="71"/>
    </row>
    <row r="961" spans="3:8" x14ac:dyDescent="0.3">
      <c r="C961" s="8">
        <v>10</v>
      </c>
      <c r="D961" s="5">
        <v>6</v>
      </c>
      <c r="E961" s="5">
        <v>10</v>
      </c>
      <c r="F961" s="2" t="s">
        <v>1030</v>
      </c>
      <c r="G961" s="69" t="str">
        <f>IF(AND($C961=10,$D961=6,$E961=10),"H","")</f>
        <v>H</v>
      </c>
      <c r="H961" s="71"/>
    </row>
    <row r="962" spans="3:8" x14ac:dyDescent="0.3">
      <c r="C962" s="8">
        <v>10</v>
      </c>
      <c r="D962" s="5">
        <v>7</v>
      </c>
      <c r="E962" s="5">
        <v>1</v>
      </c>
      <c r="F962" s="2" t="s">
        <v>1031</v>
      </c>
      <c r="G962" s="69" t="str">
        <f>IF(AND($C962=10,$D962=7,$E962=1),"H","")</f>
        <v>H</v>
      </c>
      <c r="H962" s="71"/>
    </row>
    <row r="963" spans="3:8" x14ac:dyDescent="0.3">
      <c r="C963" s="8">
        <v>10</v>
      </c>
      <c r="D963" s="5">
        <v>7</v>
      </c>
      <c r="E963" s="5">
        <v>2</v>
      </c>
      <c r="F963" s="2" t="s">
        <v>1032</v>
      </c>
      <c r="G963" s="69" t="str">
        <f>IF(AND($C963=10,$D963=7,$E963=2),"H","")</f>
        <v>H</v>
      </c>
      <c r="H963" s="71"/>
    </row>
    <row r="964" spans="3:8" x14ac:dyDescent="0.3">
      <c r="C964" s="8">
        <v>10</v>
      </c>
      <c r="D964" s="5">
        <v>7</v>
      </c>
      <c r="E964" s="5">
        <v>3</v>
      </c>
      <c r="F964" s="2" t="s">
        <v>1033</v>
      </c>
      <c r="G964" s="69" t="str">
        <f>IF(AND($C964=10,$D964=7,$E964=3),"H","")</f>
        <v>H</v>
      </c>
      <c r="H964" s="71"/>
    </row>
    <row r="965" spans="3:8" x14ac:dyDescent="0.3">
      <c r="C965" s="8">
        <v>10</v>
      </c>
      <c r="D965" s="5">
        <v>7</v>
      </c>
      <c r="E965" s="5">
        <v>4</v>
      </c>
      <c r="F965" s="2" t="s">
        <v>1034</v>
      </c>
      <c r="G965" s="69" t="str">
        <f>IF(AND($C965=10,$D965=7,$E965=4),"H","")</f>
        <v>H</v>
      </c>
      <c r="H965" s="71"/>
    </row>
    <row r="966" spans="3:8" x14ac:dyDescent="0.3">
      <c r="C966" s="8">
        <v>10</v>
      </c>
      <c r="D966" s="5">
        <v>7</v>
      </c>
      <c r="E966" s="5">
        <v>5</v>
      </c>
      <c r="F966" s="2" t="s">
        <v>1035</v>
      </c>
      <c r="G966" s="69" t="str">
        <f>IF(AND($C966=10,$D966=7,$E966=5),"H","")</f>
        <v>H</v>
      </c>
      <c r="H966" s="71"/>
    </row>
    <row r="967" spans="3:8" x14ac:dyDescent="0.3">
      <c r="C967" s="8">
        <v>10</v>
      </c>
      <c r="D967" s="5">
        <v>7</v>
      </c>
      <c r="E967" s="5">
        <v>6</v>
      </c>
      <c r="F967" s="2" t="s">
        <v>1036</v>
      </c>
      <c r="G967" s="69" t="str">
        <f>IF(AND($C967=10,$D967=7,$E967=6),"H","")</f>
        <v>H</v>
      </c>
      <c r="H967" s="71"/>
    </row>
    <row r="968" spans="3:8" x14ac:dyDescent="0.3">
      <c r="C968" s="8">
        <v>10</v>
      </c>
      <c r="D968" s="5">
        <v>7</v>
      </c>
      <c r="E968" s="5">
        <v>7</v>
      </c>
      <c r="F968" s="2" t="s">
        <v>1037</v>
      </c>
      <c r="G968" s="69" t="str">
        <f>IF(AND($C968=10,$D968=7,$E968=7),"H","")</f>
        <v>H</v>
      </c>
      <c r="H968" s="71"/>
    </row>
    <row r="969" spans="3:8" x14ac:dyDescent="0.3">
      <c r="C969" s="8">
        <v>10</v>
      </c>
      <c r="D969" s="5">
        <v>7</v>
      </c>
      <c r="E969" s="5">
        <v>8</v>
      </c>
      <c r="F969" s="2" t="s">
        <v>1038</v>
      </c>
      <c r="G969" s="69" t="str">
        <f>IF(AND($C969=10,$D969=7,$E969=8),"H","")</f>
        <v>H</v>
      </c>
      <c r="H969" s="71"/>
    </row>
    <row r="970" spans="3:8" x14ac:dyDescent="0.3">
      <c r="C970" s="8">
        <v>10</v>
      </c>
      <c r="D970" s="5">
        <v>7</v>
      </c>
      <c r="E970" s="5">
        <v>9</v>
      </c>
      <c r="F970" s="2" t="s">
        <v>1039</v>
      </c>
      <c r="G970" s="69" t="str">
        <f>IF(AND($C970=10,$D970=7,$E970=9),"H","")</f>
        <v>H</v>
      </c>
      <c r="H970" s="71"/>
    </row>
    <row r="971" spans="3:8" x14ac:dyDescent="0.3">
      <c r="C971" s="8">
        <v>10</v>
      </c>
      <c r="D971" s="5">
        <v>7</v>
      </c>
      <c r="E971" s="5">
        <v>10</v>
      </c>
      <c r="F971" s="2" t="s">
        <v>1040</v>
      </c>
      <c r="G971" s="69" t="str">
        <f>IF(AND($C971=10,$D971=7,$E971=10),"H","")</f>
        <v>H</v>
      </c>
      <c r="H971" s="71"/>
    </row>
    <row r="972" spans="3:8" x14ac:dyDescent="0.3">
      <c r="C972" s="8">
        <v>10</v>
      </c>
      <c r="D972" s="5">
        <v>8</v>
      </c>
      <c r="E972" s="5">
        <v>1</v>
      </c>
      <c r="F972" s="2" t="s">
        <v>1041</v>
      </c>
      <c r="G972" s="69" t="str">
        <f>IF(AND($C972=10,$D972=8,$E972=1),"H","")</f>
        <v>H</v>
      </c>
      <c r="H972" s="71"/>
    </row>
    <row r="973" spans="3:8" x14ac:dyDescent="0.3">
      <c r="C973" s="8">
        <v>10</v>
      </c>
      <c r="D973" s="5">
        <v>8</v>
      </c>
      <c r="E973" s="5">
        <v>2</v>
      </c>
      <c r="F973" s="2" t="s">
        <v>1042</v>
      </c>
      <c r="G973" s="69" t="str">
        <f>IF(AND($C973=10,$D973=8,$E973=2),"H","")</f>
        <v>H</v>
      </c>
      <c r="H973" s="71"/>
    </row>
    <row r="974" spans="3:8" x14ac:dyDescent="0.3">
      <c r="C974" s="8">
        <v>10</v>
      </c>
      <c r="D974" s="5">
        <v>8</v>
      </c>
      <c r="E974" s="5">
        <v>3</v>
      </c>
      <c r="F974" s="2" t="s">
        <v>1043</v>
      </c>
      <c r="G974" s="69" t="str">
        <f>IF(AND($C974=10,$D974=8,$E974=3),"H","")</f>
        <v>H</v>
      </c>
      <c r="H974" s="71"/>
    </row>
    <row r="975" spans="3:8" x14ac:dyDescent="0.3">
      <c r="C975" s="8">
        <v>10</v>
      </c>
      <c r="D975" s="5">
        <v>8</v>
      </c>
      <c r="E975" s="5">
        <v>4</v>
      </c>
      <c r="F975" s="2" t="s">
        <v>1044</v>
      </c>
      <c r="G975" s="69" t="str">
        <f>IF(AND($C975=10,$D975=8,$E975=4),"H","")</f>
        <v>H</v>
      </c>
      <c r="H975" s="71"/>
    </row>
    <row r="976" spans="3:8" x14ac:dyDescent="0.3">
      <c r="C976" s="8">
        <v>10</v>
      </c>
      <c r="D976" s="5">
        <v>8</v>
      </c>
      <c r="E976" s="5">
        <v>5</v>
      </c>
      <c r="F976" s="2" t="s">
        <v>1045</v>
      </c>
      <c r="G976" s="69" t="str">
        <f>IF(AND($C976=10,$D976=8,$E976=5),"H","")</f>
        <v>H</v>
      </c>
      <c r="H976" s="71"/>
    </row>
    <row r="977" spans="3:8" x14ac:dyDescent="0.3">
      <c r="C977" s="8">
        <v>10</v>
      </c>
      <c r="D977" s="5">
        <v>8</v>
      </c>
      <c r="E977" s="5">
        <v>6</v>
      </c>
      <c r="F977" s="2" t="s">
        <v>1046</v>
      </c>
      <c r="G977" s="69" t="str">
        <f>IF(AND($C977=10,$D977=8,$E977=6),"H","")</f>
        <v>H</v>
      </c>
      <c r="H977" s="71"/>
    </row>
    <row r="978" spans="3:8" x14ac:dyDescent="0.3">
      <c r="C978" s="8">
        <v>10</v>
      </c>
      <c r="D978" s="5">
        <v>8</v>
      </c>
      <c r="E978" s="5">
        <v>7</v>
      </c>
      <c r="F978" s="2" t="s">
        <v>1047</v>
      </c>
      <c r="G978" s="69" t="str">
        <f>IF(AND($C978=10,$D978=8,$E978=7),"H","")</f>
        <v>H</v>
      </c>
      <c r="H978" s="71"/>
    </row>
    <row r="979" spans="3:8" x14ac:dyDescent="0.3">
      <c r="C979" s="8">
        <v>10</v>
      </c>
      <c r="D979" s="5">
        <v>8</v>
      </c>
      <c r="E979" s="5">
        <v>8</v>
      </c>
      <c r="F979" s="2" t="s">
        <v>1048</v>
      </c>
      <c r="G979" s="69" t="str">
        <f>IF(AND($C979=10,$D979=8,$E979=8),"H","")</f>
        <v>H</v>
      </c>
      <c r="H979" s="71"/>
    </row>
    <row r="980" spans="3:8" x14ac:dyDescent="0.3">
      <c r="C980" s="8">
        <v>10</v>
      </c>
      <c r="D980" s="5">
        <v>8</v>
      </c>
      <c r="E980" s="5">
        <v>9</v>
      </c>
      <c r="F980" s="2" t="s">
        <v>1049</v>
      </c>
      <c r="G980" s="69" t="str">
        <f>IF(AND($C980=10,$D980=8,$E980=9),"H","")</f>
        <v>H</v>
      </c>
      <c r="H980" s="71"/>
    </row>
    <row r="981" spans="3:8" x14ac:dyDescent="0.3">
      <c r="C981" s="8">
        <v>10</v>
      </c>
      <c r="D981" s="5">
        <v>8</v>
      </c>
      <c r="E981" s="5">
        <v>10</v>
      </c>
      <c r="F981" s="2" t="s">
        <v>1050</v>
      </c>
      <c r="G981" s="69" t="str">
        <f>IF(AND($C981=10,$D981=8,$E981=10),"H","")</f>
        <v>H</v>
      </c>
      <c r="H981" s="71"/>
    </row>
    <row r="982" spans="3:8" x14ac:dyDescent="0.3">
      <c r="C982" s="8">
        <v>10</v>
      </c>
      <c r="D982" s="5">
        <v>9</v>
      </c>
      <c r="E982" s="5">
        <v>1</v>
      </c>
      <c r="F982" s="2" t="s">
        <v>1051</v>
      </c>
      <c r="G982" s="69" t="str">
        <f>IF(AND($C982=10,$D982=9,$E982=1),"H","")</f>
        <v>H</v>
      </c>
      <c r="H982" s="71"/>
    </row>
    <row r="983" spans="3:8" x14ac:dyDescent="0.3">
      <c r="C983" s="8">
        <v>10</v>
      </c>
      <c r="D983" s="5">
        <v>9</v>
      </c>
      <c r="E983" s="5">
        <v>2</v>
      </c>
      <c r="F983" s="2" t="s">
        <v>1052</v>
      </c>
      <c r="G983" s="69" t="str">
        <f>IF(AND($C983=10,$D983=9,$E983=2),"H","")</f>
        <v>H</v>
      </c>
      <c r="H983" s="71"/>
    </row>
    <row r="984" spans="3:8" x14ac:dyDescent="0.3">
      <c r="C984" s="8">
        <v>10</v>
      </c>
      <c r="D984" s="5">
        <v>9</v>
      </c>
      <c r="E984" s="5">
        <v>3</v>
      </c>
      <c r="F984" s="2" t="s">
        <v>1053</v>
      </c>
      <c r="G984" s="69" t="str">
        <f>IF(AND($C984=10,$D984=9,$E984=3),"H","")</f>
        <v>H</v>
      </c>
      <c r="H984" s="71"/>
    </row>
    <row r="985" spans="3:8" x14ac:dyDescent="0.3">
      <c r="C985" s="8">
        <v>10</v>
      </c>
      <c r="D985" s="5">
        <v>9</v>
      </c>
      <c r="E985" s="5">
        <v>4</v>
      </c>
      <c r="F985" s="2" t="s">
        <v>1054</v>
      </c>
      <c r="G985" s="69" t="str">
        <f>IF(AND($C985=10,$D985=9,$E985=4),"H","")</f>
        <v>H</v>
      </c>
      <c r="H985" s="71"/>
    </row>
    <row r="986" spans="3:8" x14ac:dyDescent="0.3">
      <c r="C986" s="8">
        <v>10</v>
      </c>
      <c r="D986" s="5">
        <v>9</v>
      </c>
      <c r="E986" s="5">
        <v>5</v>
      </c>
      <c r="F986" s="2" t="s">
        <v>1055</v>
      </c>
      <c r="G986" s="69" t="str">
        <f>IF(AND($C986=10,$D986=9,$E986=5),"H","")</f>
        <v>H</v>
      </c>
      <c r="H986" s="71"/>
    </row>
    <row r="987" spans="3:8" x14ac:dyDescent="0.3">
      <c r="C987" s="8">
        <v>10</v>
      </c>
      <c r="D987" s="5">
        <v>9</v>
      </c>
      <c r="E987" s="5">
        <v>6</v>
      </c>
      <c r="F987" s="2" t="s">
        <v>1056</v>
      </c>
      <c r="G987" s="69" t="str">
        <f>IF(AND($C987=10,$D987=9,$E987=6),"H","")</f>
        <v>H</v>
      </c>
      <c r="H987" s="71"/>
    </row>
    <row r="988" spans="3:8" x14ac:dyDescent="0.3">
      <c r="C988" s="8">
        <v>10</v>
      </c>
      <c r="D988" s="5">
        <v>9</v>
      </c>
      <c r="E988" s="5">
        <v>7</v>
      </c>
      <c r="F988" s="2" t="s">
        <v>1057</v>
      </c>
      <c r="G988" s="69" t="str">
        <f>IF(AND($C988=10,$D988=9,$E988=7),"H","")</f>
        <v>H</v>
      </c>
      <c r="H988" s="71"/>
    </row>
    <row r="989" spans="3:8" x14ac:dyDescent="0.3">
      <c r="C989" s="8">
        <v>10</v>
      </c>
      <c r="D989" s="5">
        <v>9</v>
      </c>
      <c r="E989" s="5">
        <v>8</v>
      </c>
      <c r="F989" s="2" t="s">
        <v>1058</v>
      </c>
      <c r="G989" s="69" t="str">
        <f>IF(AND($C989=10,$D989=9,$E989=8),"H","")</f>
        <v>H</v>
      </c>
      <c r="H989" s="71"/>
    </row>
    <row r="990" spans="3:8" x14ac:dyDescent="0.3">
      <c r="C990" s="8">
        <v>10</v>
      </c>
      <c r="D990" s="5">
        <v>9</v>
      </c>
      <c r="E990" s="5">
        <v>9</v>
      </c>
      <c r="F990" s="2" t="s">
        <v>1059</v>
      </c>
      <c r="G990" s="69" t="str">
        <f>IF(AND($C990=10,$D990=9,$E990=9),"H","")</f>
        <v>H</v>
      </c>
      <c r="H990" s="71"/>
    </row>
    <row r="991" spans="3:8" x14ac:dyDescent="0.3">
      <c r="C991" s="8">
        <v>10</v>
      </c>
      <c r="D991" s="5">
        <v>9</v>
      </c>
      <c r="E991" s="5">
        <v>10</v>
      </c>
      <c r="F991" s="2" t="s">
        <v>1060</v>
      </c>
      <c r="G991" s="69" t="str">
        <f>IF(AND($C991=10,$D991=9,$E991=10),"H","")</f>
        <v>H</v>
      </c>
      <c r="H991" s="71"/>
    </row>
    <row r="992" spans="3:8" x14ac:dyDescent="0.3">
      <c r="C992" s="8">
        <v>10</v>
      </c>
      <c r="D992" s="5">
        <v>10</v>
      </c>
      <c r="E992" s="5">
        <v>1</v>
      </c>
      <c r="F992" s="2" t="s">
        <v>1061</v>
      </c>
      <c r="G992" s="69" t="str">
        <f>IF(AND($C992=10,$D992=10,$E992=1),"H","")</f>
        <v>H</v>
      </c>
      <c r="H992" s="71"/>
    </row>
    <row r="993" spans="3:8" x14ac:dyDescent="0.3">
      <c r="C993" s="8">
        <v>10</v>
      </c>
      <c r="D993" s="5">
        <v>10</v>
      </c>
      <c r="E993" s="5">
        <v>2</v>
      </c>
      <c r="F993" s="2" t="s">
        <v>1062</v>
      </c>
      <c r="G993" s="69" t="str">
        <f>IF(AND($C993=10,$D993=10,$E993=2),"H","")</f>
        <v>H</v>
      </c>
      <c r="H993" s="71"/>
    </row>
    <row r="994" spans="3:8" x14ac:dyDescent="0.3">
      <c r="C994" s="8">
        <v>10</v>
      </c>
      <c r="D994" s="5">
        <v>10</v>
      </c>
      <c r="E994" s="5">
        <v>3</v>
      </c>
      <c r="F994" s="2" t="s">
        <v>1063</v>
      </c>
      <c r="G994" s="69" t="str">
        <f>IF(AND($C994=10,$D994=10,$E994=3),"H","")</f>
        <v>H</v>
      </c>
      <c r="H994" s="71"/>
    </row>
    <row r="995" spans="3:8" x14ac:dyDescent="0.3">
      <c r="C995" s="8">
        <v>10</v>
      </c>
      <c r="D995" s="5">
        <v>10</v>
      </c>
      <c r="E995" s="5">
        <v>4</v>
      </c>
      <c r="F995" s="2" t="s">
        <v>1064</v>
      </c>
      <c r="G995" s="69" t="str">
        <f>IF(AND($C995=10,$D995=10,$E995=4),"H","")</f>
        <v>H</v>
      </c>
      <c r="H995" s="71"/>
    </row>
    <row r="996" spans="3:8" x14ac:dyDescent="0.3">
      <c r="C996" s="8">
        <v>10</v>
      </c>
      <c r="D996" s="5">
        <v>10</v>
      </c>
      <c r="E996" s="5">
        <v>5</v>
      </c>
      <c r="F996" s="2" t="s">
        <v>1065</v>
      </c>
      <c r="G996" s="69" t="str">
        <f>IF(AND($C996=10,$D996=10,$E996=5),"H","")</f>
        <v>H</v>
      </c>
      <c r="H996" s="71"/>
    </row>
    <row r="997" spans="3:8" x14ac:dyDescent="0.3">
      <c r="C997" s="8">
        <v>10</v>
      </c>
      <c r="D997" s="5">
        <v>10</v>
      </c>
      <c r="E997" s="5">
        <v>6</v>
      </c>
      <c r="F997" s="2" t="s">
        <v>1066</v>
      </c>
      <c r="G997" s="69" t="str">
        <f>IF(AND($C997=10,$D997=10,$E997=6),"H","")</f>
        <v>H</v>
      </c>
      <c r="H997" s="71"/>
    </row>
    <row r="998" spans="3:8" x14ac:dyDescent="0.3">
      <c r="C998" s="8">
        <v>10</v>
      </c>
      <c r="D998" s="5">
        <v>10</v>
      </c>
      <c r="E998" s="5">
        <v>7</v>
      </c>
      <c r="F998" s="2" t="s">
        <v>1067</v>
      </c>
      <c r="G998" s="69" t="str">
        <f>IF(AND($C998=10,$D998=10,$E998=7),"H","")</f>
        <v>H</v>
      </c>
      <c r="H998" s="71"/>
    </row>
    <row r="999" spans="3:8" x14ac:dyDescent="0.3">
      <c r="C999" s="8">
        <v>10</v>
      </c>
      <c r="D999" s="5">
        <v>10</v>
      </c>
      <c r="E999" s="5">
        <v>8</v>
      </c>
      <c r="F999" s="2" t="s">
        <v>1068</v>
      </c>
      <c r="G999" s="69" t="str">
        <f>IF(AND($C999=10,$D999=10,$E999=8),"H","")</f>
        <v>H</v>
      </c>
      <c r="H999" s="71"/>
    </row>
    <row r="1000" spans="3:8" x14ac:dyDescent="0.3">
      <c r="C1000" s="8">
        <v>10</v>
      </c>
      <c r="D1000" s="5">
        <v>10</v>
      </c>
      <c r="E1000" s="5">
        <v>9</v>
      </c>
      <c r="F1000" s="2" t="s">
        <v>1069</v>
      </c>
      <c r="G1000" s="69" t="str">
        <f>IF(AND($C1000=10,$D1000=10,$E1000=9),"H","")</f>
        <v>H</v>
      </c>
      <c r="H1000" s="71"/>
    </row>
    <row r="1001" spans="3:8" ht="15" thickBot="1" x14ac:dyDescent="0.35">
      <c r="C1001" s="9">
        <v>10</v>
      </c>
      <c r="D1001" s="10">
        <v>10</v>
      </c>
      <c r="E1001" s="10">
        <v>10</v>
      </c>
      <c r="F1001" s="2" t="s">
        <v>1070</v>
      </c>
      <c r="G1001" s="70" t="str">
        <f>IF(AND($C1001=10,$D1001=10,$E1001=10),"H","")</f>
        <v>H</v>
      </c>
      <c r="H1001" s="71"/>
    </row>
  </sheetData>
  <conditionalFormatting sqref="C1:E1001 H1:H1001">
    <cfRule type="containsText" priority="10" operator="containsText" text="H">
      <formula>NOT(ISERROR(SEARCH("H",C1)))</formula>
    </cfRule>
  </conditionalFormatting>
  <conditionalFormatting sqref="H1:H1001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G1001">
    <cfRule type="containsText" priority="2" operator="containsText" text="H">
      <formula>NOT(ISERROR(SEARCH("H",G2)))</formula>
    </cfRule>
  </conditionalFormatting>
  <conditionalFormatting sqref="G2:G100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AMDEC</vt:lpstr>
      <vt:lpstr>Liste déroulante</vt:lpstr>
      <vt:lpstr>Matrice 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LEVAULT</dc:creator>
  <cp:lastModifiedBy>Antoine LEVAULT</cp:lastModifiedBy>
  <dcterms:created xsi:type="dcterms:W3CDTF">2021-10-28T06:18:55Z</dcterms:created>
  <dcterms:modified xsi:type="dcterms:W3CDTF">2021-11-04T08:03:05Z</dcterms:modified>
</cp:coreProperties>
</file>