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U673132\Desktop\"/>
    </mc:Choice>
  </mc:AlternateContent>
  <xr:revisionPtr revIDLastSave="0" documentId="13_ncr:1_{B3A4A431-5E9A-4DD3-8116-C72F06DAF34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38" i="1" l="1"/>
  <c r="AC38" i="1"/>
  <c r="N38" i="1"/>
  <c r="AR37" i="1"/>
  <c r="AC37" i="1"/>
  <c r="N37" i="1"/>
  <c r="AR36" i="1"/>
  <c r="AC36" i="1"/>
  <c r="N36" i="1"/>
  <c r="AR35" i="1"/>
  <c r="AC35" i="1"/>
  <c r="N35" i="1"/>
  <c r="AR34" i="1"/>
  <c r="AC34" i="1"/>
  <c r="N34" i="1"/>
  <c r="AR33" i="1"/>
  <c r="AC33" i="1"/>
  <c r="N33" i="1"/>
  <c r="AR32" i="1"/>
  <c r="AC32" i="1"/>
  <c r="N32" i="1"/>
  <c r="AR31" i="1"/>
  <c r="AC31" i="1"/>
  <c r="N31" i="1"/>
  <c r="AR30" i="1"/>
  <c r="AE30" i="1"/>
  <c r="AE31" i="1" s="1"/>
  <c r="AE32" i="1" s="1"/>
  <c r="AE33" i="1" s="1"/>
  <c r="AE34" i="1" s="1"/>
  <c r="AE35" i="1" s="1"/>
  <c r="AE36" i="1" s="1"/>
  <c r="AE37" i="1" s="1"/>
  <c r="AE38" i="1" s="1"/>
  <c r="AC30" i="1"/>
  <c r="N30" i="1"/>
  <c r="AR29" i="1"/>
  <c r="AE29" i="1"/>
  <c r="AC29" i="1"/>
  <c r="P29" i="1"/>
  <c r="P30" i="1" s="1"/>
  <c r="P31" i="1" s="1"/>
  <c r="P32" i="1" s="1"/>
  <c r="P33" i="1" s="1"/>
  <c r="P34" i="1" s="1"/>
  <c r="P35" i="1" s="1"/>
  <c r="P36" i="1" s="1"/>
  <c r="P37" i="1" s="1"/>
  <c r="P38" i="1" s="1"/>
  <c r="N29" i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R28" i="1"/>
  <c r="AC28" i="1"/>
  <c r="N28" i="1"/>
  <c r="N22" i="1"/>
  <c r="P21" i="1"/>
  <c r="N21" i="1"/>
  <c r="E21" i="1"/>
  <c r="B21" i="1"/>
  <c r="B22" i="1" s="1"/>
  <c r="V20" i="1"/>
  <c r="R20" i="1" s="1"/>
  <c r="Q20" i="1"/>
  <c r="T20" i="1" s="1"/>
  <c r="H20" i="1"/>
  <c r="F20" i="1"/>
  <c r="K20" i="1" s="1"/>
  <c r="V19" i="1"/>
  <c r="R19" i="1"/>
  <c r="Q19" i="1"/>
  <c r="T19" i="1" s="1"/>
  <c r="H19" i="1"/>
  <c r="F19" i="1"/>
  <c r="K19" i="1" s="1"/>
  <c r="V18" i="1"/>
  <c r="R18" i="1"/>
  <c r="Q18" i="1"/>
  <c r="T18" i="1" s="1"/>
  <c r="K18" i="1"/>
  <c r="H18" i="1"/>
  <c r="F18" i="1"/>
  <c r="V17" i="1"/>
  <c r="R17" i="1"/>
  <c r="Q17" i="1"/>
  <c r="T17" i="1" s="1"/>
  <c r="K17" i="1"/>
  <c r="H17" i="1"/>
  <c r="F17" i="1"/>
  <c r="V16" i="1"/>
  <c r="R16" i="1"/>
  <c r="Q16" i="1"/>
  <c r="T16" i="1" s="1"/>
  <c r="K16" i="1"/>
  <c r="H16" i="1"/>
  <c r="F16" i="1"/>
  <c r="V15" i="1"/>
  <c r="R15" i="1"/>
  <c r="Q15" i="1"/>
  <c r="T15" i="1" s="1"/>
  <c r="K15" i="1"/>
  <c r="H15" i="1"/>
  <c r="F15" i="1"/>
  <c r="V14" i="1"/>
  <c r="R14" i="1"/>
  <c r="H14" i="1"/>
  <c r="V13" i="1"/>
  <c r="R13" i="1"/>
  <c r="H13" i="1"/>
  <c r="V12" i="1"/>
  <c r="R12" i="1"/>
  <c r="R21" i="1" s="1"/>
  <c r="H12" i="1"/>
  <c r="V11" i="1"/>
  <c r="R11" i="1"/>
  <c r="H11" i="1"/>
  <c r="V10" i="1"/>
  <c r="R10" i="1"/>
  <c r="Q10" i="1"/>
  <c r="Q11" i="1" s="1"/>
  <c r="H10" i="1"/>
  <c r="C10" i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V9" i="1"/>
  <c r="R9" i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Q9" i="1"/>
  <c r="O9" i="1"/>
  <c r="T9" i="1" s="1"/>
  <c r="H9" i="1"/>
  <c r="I9" i="1" s="1"/>
  <c r="F9" i="1"/>
  <c r="F10" i="1" s="1"/>
  <c r="C9" i="1"/>
  <c r="A5" i="1"/>
  <c r="N4" i="1"/>
  <c r="N3" i="1"/>
  <c r="N2" i="1"/>
  <c r="K10" i="1" l="1"/>
  <c r="F11" i="1"/>
  <c r="D19" i="1"/>
  <c r="G17" i="1"/>
  <c r="D9" i="1"/>
  <c r="D10" i="1"/>
  <c r="D20" i="1"/>
  <c r="D21" i="1" s="1"/>
  <c r="G18" i="1"/>
  <c r="D18" i="1"/>
  <c r="G16" i="1"/>
  <c r="D17" i="1"/>
  <c r="G15" i="1"/>
  <c r="D14" i="1"/>
  <c r="D13" i="1"/>
  <c r="G10" i="1"/>
  <c r="D11" i="1"/>
  <c r="G20" i="1"/>
  <c r="G21" i="1" s="1"/>
  <c r="G19" i="1"/>
  <c r="G9" i="1"/>
  <c r="D16" i="1"/>
  <c r="G14" i="1"/>
  <c r="J21" i="1"/>
  <c r="D15" i="1"/>
  <c r="G13" i="1"/>
  <c r="G12" i="1"/>
  <c r="G11" i="1"/>
  <c r="D12" i="1"/>
  <c r="R22" i="1"/>
  <c r="P22" i="1" s="1"/>
  <c r="O21" i="1"/>
  <c r="O22" i="1" s="1"/>
  <c r="I10" i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Q12" i="1"/>
  <c r="K9" i="1"/>
  <c r="H21" i="1"/>
  <c r="O10" i="1"/>
  <c r="D22" i="1" l="1"/>
  <c r="G22" i="1" s="1"/>
  <c r="T10" i="1"/>
  <c r="O11" i="1"/>
  <c r="H22" i="1"/>
  <c r="C21" i="1"/>
  <c r="C22" i="1" s="1"/>
  <c r="F12" i="1"/>
  <c r="K11" i="1"/>
  <c r="Q13" i="1"/>
  <c r="Q14" i="1" l="1"/>
  <c r="K12" i="1"/>
  <c r="F13" i="1"/>
  <c r="O12" i="1"/>
  <c r="T11" i="1"/>
  <c r="K13" i="1" l="1"/>
  <c r="F14" i="1"/>
  <c r="O13" i="1"/>
  <c r="T12" i="1"/>
  <c r="O14" i="1" l="1"/>
  <c r="T13" i="1"/>
  <c r="K14" i="1"/>
  <c r="S2" i="1" s="1"/>
  <c r="F21" i="1"/>
  <c r="F22" i="1" s="1"/>
  <c r="S4" i="1" l="1"/>
  <c r="T3" i="1"/>
  <c r="O15" i="1"/>
  <c r="O16" i="1" s="1"/>
  <c r="O17" i="1" s="1"/>
  <c r="O18" i="1" s="1"/>
  <c r="O19" i="1" s="1"/>
  <c r="O20" i="1" s="1"/>
  <c r="T14" i="1"/>
  <c r="P2" i="1" s="1"/>
  <c r="Q21" i="1"/>
  <c r="Q22" i="1" s="1"/>
  <c r="P4" i="1" l="1"/>
  <c r="Q3" i="1"/>
</calcChain>
</file>

<file path=xl/sharedStrings.xml><?xml version="1.0" encoding="utf-8"?>
<sst xmlns="http://schemas.openxmlformats.org/spreadsheetml/2006/main" count="113" uniqueCount="53">
  <si>
    <t>ELEC BP</t>
  </si>
  <si>
    <t>Fabrication graphique</t>
  </si>
  <si>
    <t>Graphique</t>
  </si>
  <si>
    <t>Coût</t>
  </si>
  <si>
    <t>Pour aiguille</t>
  </si>
  <si>
    <t>Conso</t>
  </si>
  <si>
    <t>Normal</t>
  </si>
  <si>
    <t>Valeur</t>
  </si>
  <si>
    <t>Attention</t>
  </si>
  <si>
    <t>Epaisseur</t>
  </si>
  <si>
    <t>Dépassement</t>
  </si>
  <si>
    <t>Aveugle 1</t>
  </si>
  <si>
    <t>Aveugle</t>
  </si>
  <si>
    <t>Aveugle 2</t>
  </si>
  <si>
    <t>Consommation ELEC</t>
  </si>
  <si>
    <t>Coût ELEC</t>
  </si>
  <si>
    <t>PU/MWh</t>
  </si>
  <si>
    <t>MOIS</t>
  </si>
  <si>
    <t>Budget Conso
(kWh)</t>
  </si>
  <si>
    <t>Budget Conso cumulé (kWh)</t>
  </si>
  <si>
    <t>Budget Ratio
(kWh/Jtr)</t>
  </si>
  <si>
    <t>Conso (kWh)</t>
  </si>
  <si>
    <t>Conso Cumulé (kWh)</t>
  </si>
  <si>
    <t>Conso (kWh/Jtr)</t>
  </si>
  <si>
    <t>Atterissage</t>
  </si>
  <si>
    <t>Atterrissage cumulé</t>
  </si>
  <si>
    <t>Jtr</t>
  </si>
  <si>
    <t>Ratio
cumulé</t>
  </si>
  <si>
    <t>Budget Euro</t>
  </si>
  <si>
    <t>Budget cumulé</t>
  </si>
  <si>
    <t>Coût (€)</t>
  </si>
  <si>
    <t>Coût cumulé (€)</t>
  </si>
  <si>
    <t>Atterrisage
cumulé</t>
  </si>
  <si>
    <t>PU Budget</t>
  </si>
  <si>
    <t>PU Centrale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</si>
  <si>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</si>
  <si>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</si>
  <si>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</si>
  <si>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</si>
  <si>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</si>
  <si>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</si>
  <si>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</si>
  <si>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</si>
  <si>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</si>
  <si>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</si>
  <si>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</si>
  <si>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</si>
  <si>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</t>
  </si>
  <si>
    <t>ECART</t>
  </si>
  <si>
    <t>Historique MWh</t>
  </si>
  <si>
    <t>Total</t>
  </si>
  <si>
    <t>Historique MWh/Jtr</t>
  </si>
  <si>
    <t>Historique 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</si>
</sst>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#,##0\ &quot;€&quot;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8"/>
      <color rgb="FF000000"/>
      <name val="Peugeot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Alignment="1">
      <alignment vertical="center"/>
    </xf>
    <xf numFmtId="0" fontId="4" fillId="3" borderId="4" xfId="0" applyFont="1" applyFill="1" applyBorder="1" applyAlignment="1">
      <alignment wrapText="1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4" xfId="0" applyFill="1" applyBorder="1"/>
    <xf numFmtId="9" fontId="0" fillId="3" borderId="4" xfId="0" applyNumberFormat="1" applyFill="1" applyBorder="1"/>
    <xf numFmtId="1" fontId="0" fillId="0" borderId="0" xfId="0" applyNumberFormat="1" applyAlignment="1">
      <alignment horizontal="right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3" fontId="5" fillId="0" borderId="0" xfId="0" quotePrefix="1" applyNumberFormat="1" applyFont="1" applyAlignment="1">
      <alignment horizontal="center" vertical="center"/>
    </xf>
    <xf numFmtId="9" fontId="0" fillId="3" borderId="4" xfId="3" applyFont="1" applyFill="1" applyBorder="1"/>
    <xf numFmtId="3" fontId="0" fillId="0" borderId="0" xfId="0" quotePrefix="1" applyNumberFormat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3" fontId="8" fillId="6" borderId="4" xfId="0" applyNumberFormat="1" applyFont="1" applyFill="1" applyBorder="1" applyAlignment="1">
      <alignment horizontal="center" vertical="center"/>
    </xf>
    <xf numFmtId="3" fontId="8" fillId="8" borderId="4" xfId="0" applyNumberFormat="1" applyFont="1" applyFill="1" applyBorder="1" applyAlignment="1">
      <alignment horizontal="center" vertical="center"/>
    </xf>
    <xf numFmtId="3" fontId="8" fillId="9" borderId="4" xfId="1" applyNumberFormat="1" applyFont="1" applyFill="1" applyBorder="1" applyAlignment="1">
      <alignment horizontal="center" vertical="center"/>
    </xf>
    <xf numFmtId="3" fontId="8" fillId="10" borderId="4" xfId="0" applyNumberFormat="1" applyFont="1" applyFill="1" applyBorder="1" applyAlignment="1">
      <alignment horizontal="center" vertical="center"/>
    </xf>
    <xf numFmtId="3" fontId="8" fillId="10" borderId="5" xfId="0" applyNumberFormat="1" applyFont="1" applyFill="1" applyBorder="1" applyAlignment="1">
      <alignment horizontal="center" vertical="center"/>
    </xf>
    <xf numFmtId="3" fontId="10" fillId="3" borderId="4" xfId="0" applyNumberFormat="1" applyFont="1" applyFill="1" applyBorder="1" applyAlignment="1">
      <alignment horizontal="right" vertical="center"/>
    </xf>
    <xf numFmtId="3" fontId="10" fillId="3" borderId="18" xfId="0" applyNumberFormat="1" applyFont="1" applyFill="1" applyBorder="1" applyAlignment="1">
      <alignment horizontal="right" vertical="center"/>
    </xf>
    <xf numFmtId="9" fontId="8" fillId="3" borderId="4" xfId="3" applyFont="1" applyFill="1" applyBorder="1" applyAlignment="1">
      <alignment horizontal="center" vertical="center"/>
    </xf>
    <xf numFmtId="3" fontId="8" fillId="6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3" fontId="8" fillId="10" borderId="5" xfId="1" applyNumberFormat="1" applyFont="1" applyFill="1" applyBorder="1" applyAlignment="1">
      <alignment horizontal="center" vertical="center"/>
    </xf>
    <xf numFmtId="3" fontId="10" fillId="3" borderId="4" xfId="1" applyNumberFormat="1" applyFont="1" applyFill="1" applyBorder="1" applyAlignment="1">
      <alignment horizontal="center" vertical="center"/>
    </xf>
    <xf numFmtId="9" fontId="10" fillId="3" borderId="4" xfId="0" applyNumberFormat="1" applyFont="1" applyFill="1" applyBorder="1" applyAlignment="1">
      <alignment horizontal="right" vertical="center"/>
    </xf>
    <xf numFmtId="3" fontId="0" fillId="0" borderId="0" xfId="0" applyNumberFormat="1"/>
    <xf numFmtId="44" fontId="11" fillId="3" borderId="4" xfId="2" applyFont="1" applyFill="1" applyBorder="1"/>
    <xf numFmtId="44" fontId="8" fillId="9" borderId="4" xfId="2" applyFont="1" applyFill="1" applyBorder="1" applyAlignment="1">
      <alignment horizontal="right" vertical="center"/>
    </xf>
    <xf numFmtId="3" fontId="8" fillId="10" borderId="4" xfId="1" applyNumberFormat="1" applyFont="1" applyFill="1" applyBorder="1" applyAlignment="1">
      <alignment horizontal="center" vertical="center"/>
    </xf>
    <xf numFmtId="44" fontId="8" fillId="9" borderId="4" xfId="2" applyFont="1" applyFill="1" applyBorder="1"/>
    <xf numFmtId="3" fontId="8" fillId="9" borderId="4" xfId="0" applyNumberFormat="1" applyFont="1" applyFill="1" applyBorder="1" applyAlignment="1">
      <alignment horizontal="center" vertical="center"/>
    </xf>
    <xf numFmtId="44" fontId="8" fillId="9" borderId="4" xfId="2" applyFont="1" applyFill="1" applyBorder="1" applyAlignment="1">
      <alignment horizontal="center" vertical="center"/>
    </xf>
    <xf numFmtId="44" fontId="12" fillId="9" borderId="4" xfId="2" quotePrefix="1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3" fontId="8" fillId="6" borderId="21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3" fontId="8" fillId="9" borderId="21" xfId="0" applyNumberFormat="1" applyFont="1" applyFill="1" applyBorder="1" applyAlignment="1">
      <alignment horizontal="center" vertical="center"/>
    </xf>
    <xf numFmtId="3" fontId="8" fillId="10" borderId="21" xfId="1" applyNumberFormat="1" applyFont="1" applyFill="1" applyBorder="1" applyAlignment="1">
      <alignment horizontal="center" vertical="center"/>
    </xf>
    <xf numFmtId="3" fontId="8" fillId="10" borderId="16" xfId="0" applyNumberFormat="1" applyFont="1" applyFill="1" applyBorder="1" applyAlignment="1">
      <alignment horizontal="center" vertical="center"/>
    </xf>
    <xf numFmtId="3" fontId="8" fillId="6" borderId="21" xfId="1" applyNumberFormat="1" applyFont="1" applyFill="1" applyBorder="1" applyAlignment="1">
      <alignment horizontal="center" vertical="center"/>
    </xf>
    <xf numFmtId="3" fontId="8" fillId="8" borderId="21" xfId="1" applyNumberFormat="1" applyFont="1" applyFill="1" applyBorder="1" applyAlignment="1">
      <alignment horizontal="center" vertical="center"/>
    </xf>
    <xf numFmtId="3" fontId="8" fillId="9" borderId="21" xfId="1" applyNumberFormat="1" applyFont="1" applyFill="1" applyBorder="1" applyAlignment="1">
      <alignment horizontal="center" vertical="center"/>
    </xf>
    <xf numFmtId="3" fontId="8" fillId="10" borderId="16" xfId="1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164" fontId="7" fillId="0" borderId="4" xfId="1" applyNumberFormat="1" applyFont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right" vertical="center"/>
    </xf>
    <xf numFmtId="3" fontId="4" fillId="3" borderId="18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165" fontId="13" fillId="4" borderId="4" xfId="2" applyNumberFormat="1" applyFont="1" applyFill="1" applyBorder="1" applyAlignment="1">
      <alignment horizontal="center" vertical="center"/>
    </xf>
    <xf numFmtId="165" fontId="7" fillId="0" borderId="4" xfId="2" applyNumberFormat="1" applyFont="1" applyBorder="1" applyAlignment="1">
      <alignment horizontal="center" vertical="center"/>
    </xf>
    <xf numFmtId="165" fontId="13" fillId="3" borderId="4" xfId="2" applyNumberFormat="1" applyFont="1" applyFill="1" applyBorder="1" applyAlignment="1">
      <alignment horizontal="center" vertical="center"/>
    </xf>
    <xf numFmtId="166" fontId="13" fillId="0" borderId="0" xfId="0" applyNumberFormat="1" applyFont="1" applyAlignment="1">
      <alignment horizontal="right" vertical="center"/>
    </xf>
    <xf numFmtId="167" fontId="7" fillId="0" borderId="4" xfId="0" applyNumberFormat="1" applyFont="1" applyBorder="1" applyAlignment="1">
      <alignment horizontal="center" vertical="center"/>
    </xf>
    <xf numFmtId="10" fontId="0" fillId="3" borderId="4" xfId="3" applyNumberFormat="1" applyFont="1" applyFill="1" applyBorder="1"/>
    <xf numFmtId="167" fontId="7" fillId="0" borderId="4" xfId="2" applyNumberFormat="1" applyFont="1" applyBorder="1" applyAlignment="1">
      <alignment horizontal="center" vertical="center"/>
    </xf>
    <xf numFmtId="10" fontId="0" fillId="0" borderId="0" xfId="3" applyNumberFormat="1" applyFont="1" applyFill="1" applyBorder="1"/>
    <xf numFmtId="10" fontId="0" fillId="0" borderId="0" xfId="0" applyNumberFormat="1"/>
    <xf numFmtId="164" fontId="0" fillId="0" borderId="0" xfId="1" applyNumberFormat="1" applyFont="1"/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6" fontId="8" fillId="0" borderId="0" xfId="0" applyNumberFormat="1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6" fillId="0" borderId="0" xfId="1" applyNumberFormat="1" applyFont="1"/>
    <xf numFmtId="43" fontId="0" fillId="0" borderId="0" xfId="1" applyFont="1"/>
    <xf numFmtId="43" fontId="6" fillId="0" borderId="0" xfId="1" applyFont="1"/>
    <xf numFmtId="3" fontId="5" fillId="0" borderId="0" xfId="0" applyNumberFormat="1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7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* #,##0_-;\-* #,##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1190625</xdr:colOff>
          <xdr:row>0</xdr:row>
          <xdr:rowOff>85725</xdr:rowOff>
        </xdr:from>
        <xdr:to>
          <xdr:col>8</xdr:col>
          <xdr:colOff>828675</xdr:colOff>
          <xdr:row>2</xdr:row>
          <xdr:rowOff>247650</xdr:rowOff>
        </xdr:to>
        <xdr:sp macro="" textlink="">
          <xdr:nvSpPr>
            <xdr:cNvPr id="1025" name="Bouton 5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4864" rIns="64008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Peugeot"/>
                </a:rPr>
                <a:t>Historisation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3_Pilotage_MULTI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Suivi_conso"/>
      <sheetName val="A3"/>
      <sheetName val="Synthèse"/>
      <sheetName val="ELEC BP"/>
      <sheetName val="GAZ BP"/>
      <sheetName val="EAU BP"/>
      <sheetName val="ELEC CY"/>
      <sheetName val="GAZ CY"/>
      <sheetName val="EAU CY"/>
      <sheetName val="ELEC VV"/>
      <sheetName val="GAZ VV"/>
      <sheetName val="EAU VV"/>
      <sheetName val="7. Administratif"/>
    </sheetNames>
    <sheetDataSet>
      <sheetData sheetId="0">
        <row r="3">
          <cell r="AK3" t="str">
            <v>Juin</v>
          </cell>
          <cell r="AN3">
            <v>2023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EC0F8-038B-4E60-808E-41D3785A54E6}" name="MWhELECBP" displayName="MWhELECBP" ref="A27:N38" totalsRowShown="0" headerRowDxfId="63">
  <autoFilter ref="A27:N38" xr:uid="{92FEC0F8-038B-4E60-808E-41D3785A54E6}"/>
  <tableColumns count="14">
    <tableColumn id="1" xr3:uid="{C49FA11B-DBB7-46B9-BDC7-C4DE7AAEE795}" name="Historique MWh" dataDxfId="62"/>
    <tableColumn id="3" xr3:uid="{1DE8A534-2B08-4306-8F40-EF21A3E59EF4}" name="Janvier" dataDxfId="61" dataCellStyle="Milliers"/>
    <tableColumn id="4" xr3:uid="{9CB333F4-A542-4232-86A1-20800E4221C6}" name="Février" dataDxfId="60" dataCellStyle="Milliers"/>
    <tableColumn id="5" xr3:uid="{33469809-71AA-481B-811E-1CF01C036E22}" name="Mars" dataDxfId="59" dataCellStyle="Milliers"/>
    <tableColumn id="6" xr3:uid="{6ACDEB71-2201-4999-8ED1-789D92A1517B}" name="Avril" dataDxfId="58" dataCellStyle="Milliers"/>
    <tableColumn id="7" xr3:uid="{BDFB6588-5387-4CC8-8C18-C3819F49A649}" name="Mai" dataDxfId="57" dataCellStyle="Milliers"/>
    <tableColumn id="8" xr3:uid="{2E0670E1-64AE-4774-9FB8-6C798E0E0630}" name="Juin" dataDxfId="56" dataCellStyle="Milliers"/>
    <tableColumn id="9" xr3:uid="{8C9EDBAB-7C97-45EB-B04E-9FF7A684FF05}" name="Juillet" dataDxfId="55" dataCellStyle="Milliers"/>
    <tableColumn id="10" xr3:uid="{62C601C3-2BC0-4548-99B6-2C4BE288C3AF}" name="Août" dataDxfId="54" dataCellStyle="Milliers"/>
    <tableColumn id="11" xr3:uid="{7E8DEBB4-98F5-432C-94DD-1C09845D7AA0}" name="Septembre" dataDxfId="53" dataCellStyle="Milliers"/>
    <tableColumn id="12" xr3:uid="{BF855D39-D79A-4541-86D5-1493C660594B}" name="Octobre" dataDxfId="52" dataCellStyle="Milliers"/>
    <tableColumn id="13" xr3:uid="{AC556A06-83DA-46A1-9DED-016217E5D25F}" name="Novembre" dataDxfId="51" dataCellStyle="Milliers"/>
    <tableColumn id="14" xr3:uid="{D36E26FC-FA12-46B3-9254-7DBA323C299F}" name="Décembre" dataDxfId="50" dataCellStyle="Milliers"/>
    <tableColumn id="15" xr3:uid="{C2588F26-C0BF-48EF-B5AB-F01C9469964C}" name="Total" dataDxfId="49" dataCellStyle="Milliers">
      <calculatedColumnFormula>SUM(MWhELECBP[[#This Row],[Janvier]:[Décembre]])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84E455-1D6E-4065-A232-70C5A8A8565C}" name="RatioELECBP" displayName="RatioELECBP" ref="P27:AC38" totalsRowShown="0" headerRowDxfId="48">
  <autoFilter ref="P27:AC38" xr:uid="{0C84E455-1D6E-4065-A232-70C5A8A8565C}"/>
  <tableColumns count="14">
    <tableColumn id="1" xr3:uid="{0E6001FF-D171-4139-91B2-CF6DADC1D2A6}" name="Historique MWh/Jtr" dataDxfId="47"/>
    <tableColumn id="3" xr3:uid="{4254C935-39F6-4A67-8F49-6E9DC23582F0}" name="Janvier" dataDxfId="46" dataCellStyle="Milliers"/>
    <tableColumn id="4" xr3:uid="{0D882094-CD94-43FE-802C-0EF0CB84D2FA}" name="Février" dataDxfId="45" dataCellStyle="Milliers"/>
    <tableColumn id="5" xr3:uid="{EE9EDEB8-5231-473B-9705-669EDDC34533}" name="Mars" dataDxfId="44" dataCellStyle="Milliers"/>
    <tableColumn id="6" xr3:uid="{C63E3B9F-BD31-4796-B438-102D60AFA5AA}" name="Avril" dataDxfId="43" dataCellStyle="Milliers"/>
    <tableColumn id="7" xr3:uid="{E2E09EC1-E23D-4FF2-98D9-93870D9D4590}" name="Mai" dataDxfId="42" dataCellStyle="Milliers"/>
    <tableColumn id="8" xr3:uid="{0E4C75BC-C052-4BA0-A9A1-0F2DC212BE63}" name="Juin" dataDxfId="41" dataCellStyle="Milliers"/>
    <tableColumn id="9" xr3:uid="{231DBA38-5D6C-4D74-ABB2-634C47D70E45}" name="Juillet" dataDxfId="40" dataCellStyle="Milliers"/>
    <tableColumn id="10" xr3:uid="{EA12704C-AD55-430B-B717-33A23588A5DE}" name="Août" dataDxfId="39" dataCellStyle="Milliers"/>
    <tableColumn id="11" xr3:uid="{7FA06433-2959-4D15-BBBF-BD26BBD52157}" name="Septembre" dataDxfId="38" dataCellStyle="Milliers"/>
    <tableColumn id="12" xr3:uid="{F3C63CD4-BB21-4D85-9173-C22466AB9936}" name="Octobre" dataDxfId="37" dataCellStyle="Milliers"/>
    <tableColumn id="13" xr3:uid="{BB1215BE-002A-41BF-9F5B-12291DEFEFAC}" name="Novembre" dataDxfId="36" dataCellStyle="Milliers"/>
    <tableColumn id="14" xr3:uid="{1F3F19F9-2AF7-4700-9FA7-6FA71F2F3D71}" name="Décembre" dataDxfId="35" dataCellStyle="Milliers"/>
    <tableColumn id="15" xr3:uid="{3BF7E4C4-0A42-4A70-A59F-97ABE03EEA6A}" name="Total" dataDxfId="34" dataCellStyle="Milliers">
      <calculatedColumnFormula>RatioELECBP[[#This Row],[Décembre]]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D24C28-211D-4A60-BAEA-7BB9DAEFE269}" name="CoutELECBP" displayName="CoutELECBP" ref="AE27:AR38" totalsRowShown="0" headerRowDxfId="33">
  <autoFilter ref="AE27:AR38" xr:uid="{83D24C28-211D-4A60-BAEA-7BB9DAEFE269}"/>
  <tableColumns count="14">
    <tableColumn id="1" xr3:uid="{020BEDBC-D177-4E64-BF0F-243F859C1633}" name="Historique Coût" dataDxfId="32"/>
    <tableColumn id="3" xr3:uid="{3D6249A4-AE51-4505-856C-CFEAA01D143E}" name="Janvier" dataDxfId="31" dataCellStyle="Milliers"/>
    <tableColumn id="4" xr3:uid="{F970B73B-86FC-4E2F-A017-BAEB2B196E5F}" name="Février" dataDxfId="30" dataCellStyle="Milliers"/>
    <tableColumn id="5" xr3:uid="{C82189BF-1228-4193-BBD0-8BF71241C9C3}" name="Mars" dataDxfId="29" dataCellStyle="Milliers"/>
    <tableColumn id="6" xr3:uid="{03D716EB-0A8B-4110-A8A9-EE8274C13651}" name="Avril" dataDxfId="28" dataCellStyle="Milliers"/>
    <tableColumn id="7" xr3:uid="{FEA78AC3-4038-4ECA-95FF-D3A6B9B15AF5}" name="Mai" dataDxfId="27" dataCellStyle="Milliers"/>
    <tableColumn id="8" xr3:uid="{B6787F7B-7A75-43D9-B4B9-FC89914A2E13}" name="Juin" dataDxfId="26" dataCellStyle="Milliers"/>
    <tableColumn id="9" xr3:uid="{DB7980E4-8813-4B5D-BD90-148B2C219EEA}" name="Juillet" dataDxfId="25" dataCellStyle="Milliers"/>
    <tableColumn id="10" xr3:uid="{AB78EA73-C01E-4DD8-8FE1-86D0B08BD64E}" name="Août" dataDxfId="24" dataCellStyle="Milliers"/>
    <tableColumn id="11" xr3:uid="{CF5F7D11-D8E5-4C61-A61E-86004C69B7D0}" name="Septembre" dataDxfId="23" dataCellStyle="Milliers"/>
    <tableColumn id="12" xr3:uid="{32488D1B-AA93-4F83-8674-D19C7295B7F1}" name="Octobre" dataDxfId="22" dataCellStyle="Milliers"/>
    <tableColumn id="13" xr3:uid="{9A79067F-98FD-4D1E-B16F-1B55C2E4A1D3}" name="Novembre" dataDxfId="21" dataCellStyle="Milliers"/>
    <tableColumn id="14" xr3:uid="{084EE776-A71B-49D1-944D-DDD907DE7A0C}" name="Décembre" dataDxfId="20" dataCellStyle="Milliers"/>
    <tableColumn id="15" xr3:uid="{1B970903-3297-4F25-A12A-DF6132901D4F}" name="Total" dataDxfId="19" dataCellStyle="Milliers">
      <calculatedColumnFormula>SUM(CoutELECBP[[#This Row],[Janvier]:[Décembre]])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CD4F86-3B38-44EE-A40C-4D52A0B92434}" name="DonnéesBP1" displayName="DonnéesBP1" ref="A8:G20" totalsRowShown="0" headerRowDxfId="18" headerRowBorderDxfId="17" tableBorderDxfId="16" totalsRowBorderDxfId="15">
  <autoFilter ref="A8:G20" xr:uid="{ADCD4F86-3B38-44EE-A40C-4D52A0B92434}"/>
  <tableColumns count="7">
    <tableColumn id="1" xr3:uid="{4ED74939-96BF-4657-90E3-11033A976315}" name="MOIS" dataDxfId="14"/>
    <tableColumn id="2" xr3:uid="{F16DF5BA-88BB-44C2-88F3-C2B7ABEC8CD0}" name="Budget Conso_x000a_(kWh)" dataDxfId="13"/>
    <tableColumn id="3" xr3:uid="{CAEA6400-4499-4539-B789-CF9D3BF68D9F}" name="Budget Conso cumulé (kWh)" dataDxfId="12">
      <calculatedColumnFormula>C8+B9</calculatedColumnFormula>
    </tableColumn>
    <tableColumn id="4" xr3:uid="{587ACFCF-9DAF-453F-B80A-BCFA5D116174}" name="Budget Ratio_x000a_(kWh/Jtr)" dataDxfId="11">
      <calculatedColumnFormula>SUM(B$9:B9)/SUM(J$9:J9)</calculatedColumnFormula>
    </tableColumn>
    <tableColumn id="5" xr3:uid="{8FA4ED32-9FC5-4A5C-8703-3D4A7BA33E3A}" name="Conso (kWh)" dataDxfId="10"/>
    <tableColumn id="6" xr3:uid="{75514263-E399-43BD-8CBD-CA298BD45A0C}" name="Conso Cumulé (kWh)" dataDxfId="9" dataCellStyle="Milliers">
      <calculatedColumnFormula>IF(E9="",NA(),E9+F8)</calculatedColumnFormula>
    </tableColumn>
    <tableColumn id="7" xr3:uid="{CE018B02-A3FE-409D-8658-5D3DAFC2B0A4}" name="Conso (kWh/Jtr)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784482-1E60-43C9-9014-507716623006}" name="DonnéesBP2" displayName="DonnéesBP2" ref="M8:Q20" totalsRowShown="0" headerRowBorderDxfId="7" tableBorderDxfId="6" totalsRowBorderDxfId="5">
  <autoFilter ref="M8:Q20" xr:uid="{1A784482-1E60-43C9-9014-507716623006}"/>
  <tableColumns count="5">
    <tableColumn id="1" xr3:uid="{DF0B8770-6AD7-43C7-B6B1-B20452A8A024}" name="MOIS" dataDxfId="4"/>
    <tableColumn id="2" xr3:uid="{9FCB0DB2-2C23-47C0-A491-502081C3D851}" name="Budget Euro" dataDxfId="3" dataCellStyle="Milliers"/>
    <tableColumn id="3" xr3:uid="{C520A490-2A54-4E92-9B4C-7C9CDDC2791B}" name="Budget cumulé" dataDxfId="2" dataCellStyle="Milliers">
      <calculatedColumnFormula>O8+N9</calculatedColumnFormula>
    </tableColumn>
    <tableColumn id="4" xr3:uid="{5AAB1FEA-352D-4467-9416-964FFB615C83}" name="Coût (€)" dataDxfId="1" dataCellStyle="Milliers"/>
    <tableColumn id="5" xr3:uid="{37EE7667-64C2-468B-A900-30C071517E6E}" name="Coût cumulé (€)" dataDxfId="0" dataCellStyle="Milliers">
      <calculatedColumnFormula>IF(P9="",NA(),P9+Q8)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ctrlProp" Target="../ctrlProps/ctrlProp1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39"/>
  <sheetViews>
    <sheetView tabSelected="1" zoomScale="55" zoomScaleNormal="55" workbookViewId="0">
      <selection activeCell="K2" sqref="K2"/>
    </sheetView>
  </sheetViews>
  <sheetFormatPr baseColWidth="10" defaultRowHeight="15" x14ac:dyDescent="0.25"/>
  <cols>
    <col min="1" max="1" width="33.140625" bestFit="1" customWidth="1"/>
    <col min="2" max="2" width="22.7109375" customWidth="1"/>
    <col min="3" max="3" width="35" customWidth="1"/>
    <col min="4" max="4" width="22.7109375" customWidth="1"/>
    <col min="5" max="5" width="26.42578125" bestFit="1" customWidth="1"/>
    <col min="6" max="6" width="30.140625" customWidth="1"/>
    <col min="7" max="7" width="24.140625" customWidth="1"/>
    <col min="8" max="8" width="18" bestFit="1" customWidth="1"/>
    <col min="9" max="9" width="18.85546875" customWidth="1"/>
    <col min="10" max="10" width="26.140625" bestFit="1" customWidth="1"/>
    <col min="11" max="14" width="22.7109375" customWidth="1"/>
    <col min="15" max="15" width="27.42578125" bestFit="1" customWidth="1"/>
    <col min="16" max="16" width="23.28515625" bestFit="1" customWidth="1"/>
    <col min="17" max="17" width="27.42578125" bestFit="1" customWidth="1"/>
    <col min="18" max="18" width="19" bestFit="1" customWidth="1"/>
    <col min="19" max="19" width="12.5703125" bestFit="1" customWidth="1"/>
    <col min="20" max="20" width="13.140625" bestFit="1" customWidth="1"/>
    <col min="21" max="21" width="10.28515625" bestFit="1" customWidth="1"/>
    <col min="22" max="22" width="18" bestFit="1" customWidth="1"/>
    <col min="23" max="23" width="14.7109375" bestFit="1" customWidth="1"/>
    <col min="24" max="30" width="11.7109375" customWidth="1"/>
    <col min="31" max="31" width="19.42578125" bestFit="1" customWidth="1"/>
    <col min="32" max="43" width="11.7109375" customWidth="1"/>
    <col min="44" max="44" width="17" bestFit="1" customWidth="1"/>
    <col min="45" max="46" width="11.7109375" customWidth="1"/>
    <col min="47" max="47" width="8.7109375" customWidth="1"/>
    <col min="48" max="77" width="11.7109375" customWidth="1"/>
  </cols>
  <sheetData>
    <row r="1" spans="1:49" ht="33.75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3"/>
      <c r="K1" s="1"/>
      <c r="L1" s="2" t="s">
        <v>1</v>
      </c>
      <c r="M1" s="100" t="s">
        <v>2</v>
      </c>
      <c r="N1" s="101"/>
      <c r="O1" s="100" t="s">
        <v>3</v>
      </c>
      <c r="P1" s="102"/>
      <c r="Q1" s="3" t="s">
        <v>4</v>
      </c>
      <c r="R1" s="100" t="s">
        <v>5</v>
      </c>
      <c r="S1" s="102"/>
      <c r="T1" s="4" t="s">
        <v>4</v>
      </c>
      <c r="U1" s="5"/>
    </row>
    <row r="2" spans="1:49" ht="33.75" x14ac:dyDescent="0.25">
      <c r="A2" s="94"/>
      <c r="B2" s="95"/>
      <c r="C2" s="95"/>
      <c r="D2" s="95"/>
      <c r="E2" s="95"/>
      <c r="F2" s="95"/>
      <c r="G2" s="95"/>
      <c r="H2" s="95"/>
      <c r="I2" s="95"/>
      <c r="J2" s="96"/>
      <c r="K2" s="1"/>
      <c r="L2" s="6" t="s">
        <v>6</v>
      </c>
      <c r="M2" s="7">
        <v>0.95</v>
      </c>
      <c r="N2" s="7">
        <f>M2</f>
        <v>0.95</v>
      </c>
      <c r="O2" s="7" t="s">
        <v>7</v>
      </c>
      <c r="P2" s="7">
        <f>VLOOKUP(9^9,T9:T20,1)</f>
        <v>1.1118652922855694</v>
      </c>
      <c r="Q2" s="7"/>
      <c r="R2" s="7" t="s">
        <v>7</v>
      </c>
      <c r="S2" s="7">
        <f>VLOOKUP(9^9,K9:K20,1)</f>
        <v>0.833936606612105</v>
      </c>
      <c r="T2" s="7"/>
      <c r="AL2" s="8"/>
      <c r="AO2" s="9"/>
      <c r="AU2" s="10"/>
      <c r="AV2" s="11"/>
      <c r="AW2" s="11"/>
    </row>
    <row r="3" spans="1:49" ht="33.75" x14ac:dyDescent="0.25">
      <c r="A3" s="94"/>
      <c r="B3" s="95"/>
      <c r="C3" s="95"/>
      <c r="D3" s="95"/>
      <c r="E3" s="95"/>
      <c r="F3" s="95"/>
      <c r="G3" s="95"/>
      <c r="H3" s="95"/>
      <c r="I3" s="95"/>
      <c r="J3" s="96"/>
      <c r="K3" s="1"/>
      <c r="L3" s="6" t="s">
        <v>8</v>
      </c>
      <c r="M3" s="7">
        <v>0.05</v>
      </c>
      <c r="N3" s="7">
        <f>M2+M3</f>
        <v>1</v>
      </c>
      <c r="O3" s="7" t="s">
        <v>9</v>
      </c>
      <c r="P3" s="7">
        <v>0.02</v>
      </c>
      <c r="Q3" s="7">
        <f>P2</f>
        <v>1.1118652922855694</v>
      </c>
      <c r="R3" s="7" t="s">
        <v>9</v>
      </c>
      <c r="S3" s="7">
        <v>0.02</v>
      </c>
      <c r="T3" s="7">
        <f>S2</f>
        <v>0.833936606612105</v>
      </c>
    </row>
    <row r="4" spans="1:49" ht="34.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9"/>
      <c r="K4" s="1"/>
      <c r="L4" s="6" t="s">
        <v>10</v>
      </c>
      <c r="M4" s="7">
        <v>0.2</v>
      </c>
      <c r="N4" s="7">
        <f>M2+M3+M4</f>
        <v>1.2</v>
      </c>
      <c r="O4" s="7" t="s">
        <v>11</v>
      </c>
      <c r="P4" s="7">
        <f>SUM(M2:M5)-(P2+P3)</f>
        <v>0.86813470771443058</v>
      </c>
      <c r="Q4" s="7"/>
      <c r="R4" s="7" t="s">
        <v>11</v>
      </c>
      <c r="S4" s="7">
        <f>SUM(M2:M5)-(S2+S3)</f>
        <v>1.146063393387895</v>
      </c>
      <c r="T4" s="7"/>
    </row>
    <row r="5" spans="1:49" ht="15" customHeight="1" x14ac:dyDescent="0.25">
      <c r="A5" s="103">
        <f>[1]TDB!AN3</f>
        <v>2023</v>
      </c>
      <c r="L5" s="6" t="s">
        <v>12</v>
      </c>
      <c r="M5" s="12">
        <v>0.8</v>
      </c>
      <c r="N5" s="6"/>
      <c r="O5" s="6" t="s">
        <v>13</v>
      </c>
      <c r="P5" s="6">
        <v>2</v>
      </c>
      <c r="Q5" s="6"/>
      <c r="R5" s="6" t="s">
        <v>13</v>
      </c>
      <c r="S5" s="6">
        <v>2</v>
      </c>
      <c r="T5" s="6"/>
    </row>
    <row r="6" spans="1:49" ht="15" customHeight="1" x14ac:dyDescent="0.25">
      <c r="A6" s="104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</row>
    <row r="7" spans="1:49" ht="33.75" x14ac:dyDescent="0.25">
      <c r="A7" s="105" t="s">
        <v>14</v>
      </c>
      <c r="B7" s="106"/>
      <c r="C7" s="106"/>
      <c r="D7" s="106"/>
      <c r="E7" s="106"/>
      <c r="F7" s="106"/>
      <c r="G7" s="106"/>
      <c r="H7" s="107"/>
      <c r="I7" s="107"/>
      <c r="J7" s="107"/>
      <c r="K7" s="90"/>
      <c r="M7" s="105" t="s">
        <v>15</v>
      </c>
      <c r="N7" s="106"/>
      <c r="O7" s="106"/>
      <c r="P7" s="106"/>
      <c r="Q7" s="106"/>
      <c r="R7" s="107"/>
      <c r="S7" s="107"/>
      <c r="T7" s="90"/>
      <c r="V7" s="89" t="s">
        <v>16</v>
      </c>
      <c r="W7" s="90"/>
      <c r="Z7" s="9"/>
      <c r="AF7" s="10"/>
      <c r="AG7" s="13"/>
      <c r="AH7" s="11"/>
      <c r="AI7" s="13"/>
      <c r="AJ7" s="11"/>
      <c r="AK7" s="11"/>
      <c r="AL7" s="11"/>
      <c r="AM7" s="11"/>
      <c r="AN7" s="11"/>
      <c r="AO7" s="11"/>
      <c r="AP7" s="11"/>
      <c r="AQ7" s="11"/>
      <c r="AR7" s="11"/>
      <c r="AS7" s="10"/>
    </row>
    <row r="8" spans="1:49" ht="42" x14ac:dyDescent="0.25">
      <c r="A8" s="14" t="s">
        <v>17</v>
      </c>
      <c r="B8" s="15" t="s">
        <v>18</v>
      </c>
      <c r="C8" s="15" t="s">
        <v>19</v>
      </c>
      <c r="D8" s="15" t="s">
        <v>20</v>
      </c>
      <c r="E8" s="16" t="s">
        <v>21</v>
      </c>
      <c r="F8" s="17" t="s">
        <v>22</v>
      </c>
      <c r="G8" s="18" t="s">
        <v>23</v>
      </c>
      <c r="H8" s="19" t="s">
        <v>24</v>
      </c>
      <c r="I8" s="20" t="s">
        <v>25</v>
      </c>
      <c r="J8" s="19" t="s">
        <v>26</v>
      </c>
      <c r="K8" s="21" t="s">
        <v>27</v>
      </c>
      <c r="M8" s="14" t="s">
        <v>17</v>
      </c>
      <c r="N8" s="22" t="s">
        <v>28</v>
      </c>
      <c r="O8" s="22" t="s">
        <v>29</v>
      </c>
      <c r="P8" s="23" t="s">
        <v>30</v>
      </c>
      <c r="Q8" s="24" t="s">
        <v>31</v>
      </c>
      <c r="R8" s="25" t="s">
        <v>24</v>
      </c>
      <c r="S8" s="26" t="s">
        <v>32</v>
      </c>
      <c r="T8" s="27" t="s">
        <v>27</v>
      </c>
      <c r="V8" s="28" t="s">
        <v>33</v>
      </c>
      <c r="W8" s="29" t="s">
        <v>34</v>
      </c>
      <c r="Y8" s="10"/>
      <c r="Z8" s="10"/>
      <c r="AA8" s="10"/>
      <c r="AB8" s="10"/>
      <c r="AC8" s="10"/>
      <c r="AD8" s="10"/>
    </row>
    <row r="9" spans="1:49" ht="23.25" x14ac:dyDescent="0.35">
      <c r="A9" s="30" t="s">
        <v>35</v>
      </c>
      <c r="B9" s="31">
        <v>2472638</v>
      </c>
      <c r="C9" s="32">
        <f>B9</f>
        <v>2472638</v>
      </c>
      <c r="D9" s="32">
        <f>B9/J9</f>
        <v>112392.63636363637</v>
      </c>
      <c r="E9" s="33">
        <v>1980570</v>
      </c>
      <c r="F9" s="34">
        <f>IF(E9="",NA(),E9)</f>
        <v>1980570</v>
      </c>
      <c r="G9" s="35">
        <f>E9/J9</f>
        <v>90025.909090909088</v>
      </c>
      <c r="H9" s="36">
        <f t="shared" ref="H9:H20" si="0">IF(E9="",B9,E9)</f>
        <v>1980570</v>
      </c>
      <c r="I9" s="37">
        <f>H9</f>
        <v>1980570</v>
      </c>
      <c r="J9" s="19">
        <v>22</v>
      </c>
      <c r="K9" s="38">
        <f t="shared" ref="K9:K20" si="1">IF(F9="","",F9/C9)</f>
        <v>0.80099472708904418</v>
      </c>
      <c r="M9" s="30" t="s">
        <v>35</v>
      </c>
      <c r="N9" s="39">
        <v>785995</v>
      </c>
      <c r="O9" s="40">
        <f>N9</f>
        <v>785995</v>
      </c>
      <c r="P9" s="33">
        <v>917554</v>
      </c>
      <c r="Q9" s="41">
        <f>IF(P9="",NA(),P9)</f>
        <v>917554</v>
      </c>
      <c r="R9" s="42">
        <f>IF(P9="",(N9/V9)*W9,P9)</f>
        <v>917554</v>
      </c>
      <c r="S9" s="36">
        <f>R9</f>
        <v>917554</v>
      </c>
      <c r="T9" s="43">
        <f>IF(Q9="","",Q9/O9)</f>
        <v>1.167378927346866</v>
      </c>
      <c r="U9" s="44"/>
      <c r="V9" s="45">
        <f>N9/B9*1000</f>
        <v>317.87710129828952</v>
      </c>
      <c r="W9" s="46">
        <v>425</v>
      </c>
      <c r="Y9" s="10"/>
      <c r="Z9" s="10"/>
      <c r="AA9" s="10"/>
      <c r="AB9" s="10"/>
      <c r="AC9" s="10"/>
      <c r="AD9" s="10"/>
    </row>
    <row r="10" spans="1:49" ht="23.25" x14ac:dyDescent="0.35">
      <c r="A10" s="30" t="s">
        <v>36</v>
      </c>
      <c r="B10" s="31">
        <v>2212953</v>
      </c>
      <c r="C10" s="32">
        <f>C9+B10</f>
        <v>4685591</v>
      </c>
      <c r="D10" s="32">
        <f>SUM(B$9:B10)/SUM(J$9:J10)</f>
        <v>111561.69047619047</v>
      </c>
      <c r="E10" s="33">
        <v>1908920</v>
      </c>
      <c r="F10" s="47">
        <f>IF(E10="",NA(),E10+F9)</f>
        <v>3889490</v>
      </c>
      <c r="G10" s="35">
        <f>SUM(E$9:E10)/SUM($J$9:J10)</f>
        <v>92606.904761904763</v>
      </c>
      <c r="H10" s="36">
        <f t="shared" si="0"/>
        <v>1908920</v>
      </c>
      <c r="I10" s="37">
        <f>H10+I9</f>
        <v>3889490</v>
      </c>
      <c r="J10" s="19">
        <v>20</v>
      </c>
      <c r="K10" s="38">
        <f t="shared" si="1"/>
        <v>0.83009592599951643</v>
      </c>
      <c r="M10" s="30" t="s">
        <v>36</v>
      </c>
      <c r="N10" s="39">
        <v>451718</v>
      </c>
      <c r="O10" s="40">
        <f>O9+N10</f>
        <v>1237713</v>
      </c>
      <c r="P10" s="33">
        <v>578159</v>
      </c>
      <c r="Q10" s="41">
        <f>IF(P10="",NA(),P10+Q9)</f>
        <v>1495713</v>
      </c>
      <c r="R10" s="42">
        <f t="shared" ref="R10:R20" si="2">IF(P10="",(N10/V10)*W10,P10)</f>
        <v>578159</v>
      </c>
      <c r="S10" s="36">
        <f>S9+R10</f>
        <v>1495713</v>
      </c>
      <c r="T10" s="43">
        <f>IF(Q10="","",Q10/O10)</f>
        <v>1.2084489699954675</v>
      </c>
      <c r="U10" s="44"/>
      <c r="V10" s="45">
        <f t="shared" ref="V10:V20" si="3">N10/B10*1000</f>
        <v>204.12453405020349</v>
      </c>
      <c r="W10" s="48">
        <v>278</v>
      </c>
      <c r="Y10" s="10"/>
      <c r="Z10" s="10"/>
      <c r="AA10" s="10"/>
      <c r="AB10" s="10"/>
      <c r="AC10" s="10"/>
      <c r="AD10" s="10"/>
    </row>
    <row r="11" spans="1:49" ht="23.25" x14ac:dyDescent="0.35">
      <c r="A11" s="30" t="s">
        <v>37</v>
      </c>
      <c r="B11" s="31">
        <v>2294386</v>
      </c>
      <c r="C11" s="32">
        <f t="shared" ref="C11:C20" si="4">C10+B11</f>
        <v>6979977</v>
      </c>
      <c r="D11" s="32">
        <f>SUM(B$9:B11)/SUM(J$9:J11)</f>
        <v>107384.26153846153</v>
      </c>
      <c r="E11" s="33">
        <v>1964650</v>
      </c>
      <c r="F11" s="47">
        <f t="shared" ref="F11:F20" si="5">IF(E11="",NA(),E11+F10)</f>
        <v>5854140</v>
      </c>
      <c r="G11" s="35">
        <f>SUM(E$9:E11)/SUM($J$9:J11)</f>
        <v>90063.692307692312</v>
      </c>
      <c r="H11" s="36">
        <f t="shared" si="0"/>
        <v>1964650</v>
      </c>
      <c r="I11" s="37">
        <f t="shared" ref="I11:I20" si="6">H11+I10</f>
        <v>5854140</v>
      </c>
      <c r="J11" s="19">
        <v>23</v>
      </c>
      <c r="K11" s="38">
        <f t="shared" si="1"/>
        <v>0.83870476937101657</v>
      </c>
      <c r="M11" s="30" t="s">
        <v>37</v>
      </c>
      <c r="N11" s="39">
        <v>471025</v>
      </c>
      <c r="O11" s="40">
        <f t="shared" ref="O11:O20" si="7">O10+N11</f>
        <v>1708738</v>
      </c>
      <c r="P11" s="33">
        <v>559522</v>
      </c>
      <c r="Q11" s="41">
        <f t="shared" ref="Q11:Q20" si="8">IF(P11="",NA(),P11+Q10)</f>
        <v>2055235</v>
      </c>
      <c r="R11" s="42">
        <f t="shared" si="2"/>
        <v>559522</v>
      </c>
      <c r="S11" s="36">
        <f t="shared" ref="S11:S20" si="9">S10+R11</f>
        <v>2055235</v>
      </c>
      <c r="T11" s="43">
        <f>IF(Q11="","",Q11/O11)</f>
        <v>1.2027794781879961</v>
      </c>
      <c r="U11" s="44"/>
      <c r="V11" s="45">
        <f t="shared" si="3"/>
        <v>205.29457554221477</v>
      </c>
      <c r="W11" s="48">
        <v>270</v>
      </c>
      <c r="Y11" s="10"/>
      <c r="Z11" s="10"/>
      <c r="AA11" s="10"/>
      <c r="AB11" s="10"/>
      <c r="AC11" s="10"/>
      <c r="AD11" s="10"/>
    </row>
    <row r="12" spans="1:49" ht="23.25" x14ac:dyDescent="0.35">
      <c r="A12" s="30" t="s">
        <v>38</v>
      </c>
      <c r="B12" s="31">
        <v>1971631</v>
      </c>
      <c r="C12" s="32">
        <f t="shared" si="4"/>
        <v>8951608</v>
      </c>
      <c r="D12" s="32">
        <f>SUM(B$9:B12)/SUM(J$9:J12)</f>
        <v>106566.76190476191</v>
      </c>
      <c r="E12" s="49">
        <v>1559183</v>
      </c>
      <c r="F12" s="47">
        <f t="shared" si="5"/>
        <v>7413323</v>
      </c>
      <c r="G12" s="35">
        <f>SUM(E$9:E12)/SUM($J$9:J12)</f>
        <v>88253.845238095237</v>
      </c>
      <c r="H12" s="36">
        <f t="shared" si="0"/>
        <v>1559183</v>
      </c>
      <c r="I12" s="37">
        <f t="shared" si="6"/>
        <v>7413323</v>
      </c>
      <c r="J12" s="19">
        <v>19</v>
      </c>
      <c r="K12" s="38">
        <f t="shared" si="1"/>
        <v>0.82815545542208724</v>
      </c>
      <c r="M12" s="30" t="s">
        <v>38</v>
      </c>
      <c r="N12" s="39">
        <v>225452</v>
      </c>
      <c r="O12" s="40">
        <f t="shared" si="7"/>
        <v>1934190</v>
      </c>
      <c r="P12" s="33">
        <v>189533</v>
      </c>
      <c r="Q12" s="41">
        <f t="shared" si="8"/>
        <v>2244768</v>
      </c>
      <c r="R12" s="42">
        <f t="shared" si="2"/>
        <v>189533</v>
      </c>
      <c r="S12" s="36">
        <f t="shared" si="9"/>
        <v>2244768</v>
      </c>
      <c r="T12" s="43">
        <f t="shared" ref="T12:T20" si="10">IF(Q12="","",Q12/O12)</f>
        <v>1.1605726428117196</v>
      </c>
      <c r="U12" s="44"/>
      <c r="V12" s="45">
        <f t="shared" si="3"/>
        <v>114.3479687629176</v>
      </c>
      <c r="W12" s="48">
        <v>119</v>
      </c>
      <c r="Y12" s="10"/>
      <c r="Z12" s="10"/>
      <c r="AA12" s="10"/>
      <c r="AB12" s="10"/>
      <c r="AC12" s="10"/>
      <c r="AD12" s="10"/>
    </row>
    <row r="13" spans="1:49" ht="23.25" x14ac:dyDescent="0.35">
      <c r="A13" s="30" t="s">
        <v>39</v>
      </c>
      <c r="B13" s="31">
        <v>1749775</v>
      </c>
      <c r="C13" s="32">
        <f t="shared" si="4"/>
        <v>10701383</v>
      </c>
      <c r="D13" s="32">
        <f>SUM(B$9:B13)/SUM(J$9:J13)</f>
        <v>104915.51960784313</v>
      </c>
      <c r="E13" s="49">
        <v>1468407</v>
      </c>
      <c r="F13" s="47">
        <f t="shared" si="5"/>
        <v>8881730</v>
      </c>
      <c r="G13" s="35">
        <f>SUM(E$9:E13)/SUM($J$9:J13)</f>
        <v>87075.784313725497</v>
      </c>
      <c r="H13" s="36">
        <f t="shared" si="0"/>
        <v>1468407</v>
      </c>
      <c r="I13" s="37">
        <f t="shared" si="6"/>
        <v>8881730</v>
      </c>
      <c r="J13" s="19">
        <v>18</v>
      </c>
      <c r="K13" s="38">
        <f t="shared" si="1"/>
        <v>0.82996094990712888</v>
      </c>
      <c r="M13" s="30" t="s">
        <v>39</v>
      </c>
      <c r="N13" s="39">
        <v>196327</v>
      </c>
      <c r="O13" s="40">
        <f t="shared" si="7"/>
        <v>2130517</v>
      </c>
      <c r="P13" s="33">
        <v>180867</v>
      </c>
      <c r="Q13" s="41">
        <f t="shared" si="8"/>
        <v>2425635</v>
      </c>
      <c r="R13" s="42">
        <f t="shared" si="2"/>
        <v>180867</v>
      </c>
      <c r="S13" s="36">
        <f t="shared" si="9"/>
        <v>2425635</v>
      </c>
      <c r="T13" s="43">
        <f t="shared" si="10"/>
        <v>1.1385194297909851</v>
      </c>
      <c r="U13" s="44"/>
      <c r="V13" s="45">
        <f t="shared" si="3"/>
        <v>112.20128302210284</v>
      </c>
      <c r="W13" s="48">
        <v>120</v>
      </c>
      <c r="Y13" s="10"/>
      <c r="Z13" s="10"/>
      <c r="AA13" s="10"/>
      <c r="AB13" s="10"/>
      <c r="AC13" s="10"/>
      <c r="AD13" s="10"/>
    </row>
    <row r="14" spans="1:49" ht="23.25" x14ac:dyDescent="0.35">
      <c r="A14" s="30" t="s">
        <v>40</v>
      </c>
      <c r="B14" s="31">
        <v>2056793</v>
      </c>
      <c r="C14" s="32">
        <f t="shared" si="4"/>
        <v>12758176</v>
      </c>
      <c r="D14" s="32">
        <f>SUM(B$9:B14)/SUM(J$9:J14)</f>
        <v>102888.51612903226</v>
      </c>
      <c r="E14" s="49">
        <v>1757780</v>
      </c>
      <c r="F14" s="47">
        <f t="shared" si="5"/>
        <v>10639510</v>
      </c>
      <c r="G14" s="35">
        <f>SUM(E$9:E14)/SUM($J$9:J14)</f>
        <v>85802.5</v>
      </c>
      <c r="H14" s="36">
        <f t="shared" si="0"/>
        <v>1757780</v>
      </c>
      <c r="I14" s="37">
        <f t="shared" si="6"/>
        <v>10639510</v>
      </c>
      <c r="J14" s="19">
        <v>22</v>
      </c>
      <c r="K14" s="38">
        <f>IF(F14="","",F14/C14)</f>
        <v>0.833936606612105</v>
      </c>
      <c r="M14" s="30" t="s">
        <v>40</v>
      </c>
      <c r="N14" s="39">
        <v>250579</v>
      </c>
      <c r="O14" s="40">
        <f t="shared" si="7"/>
        <v>2381096</v>
      </c>
      <c r="P14" s="33">
        <v>221823</v>
      </c>
      <c r="Q14" s="41">
        <f t="shared" si="8"/>
        <v>2647458</v>
      </c>
      <c r="R14" s="42">
        <f t="shared" si="2"/>
        <v>221823</v>
      </c>
      <c r="S14" s="36">
        <f t="shared" si="9"/>
        <v>2647458</v>
      </c>
      <c r="T14" s="43">
        <f>IF(Q14="","",Q14/O14)</f>
        <v>1.1118652922855694</v>
      </c>
      <c r="U14" s="44"/>
      <c r="V14" s="45">
        <f t="shared" si="3"/>
        <v>121.82995566398758</v>
      </c>
      <c r="W14" s="48">
        <v>110</v>
      </c>
      <c r="Y14" s="10"/>
      <c r="Z14" s="10"/>
      <c r="AA14" s="10"/>
      <c r="AB14" s="10"/>
      <c r="AC14" s="10"/>
      <c r="AD14" s="10"/>
    </row>
    <row r="15" spans="1:49" ht="23.25" x14ac:dyDescent="0.35">
      <c r="A15" s="30" t="s">
        <v>41</v>
      </c>
      <c r="B15" s="31">
        <v>1977847</v>
      </c>
      <c r="C15" s="32">
        <f t="shared" si="4"/>
        <v>14736023</v>
      </c>
      <c r="D15" s="32">
        <f>SUM(B$9:B15)/SUM(J$9:J15)</f>
        <v>102333.49305555556</v>
      </c>
      <c r="E15" s="49"/>
      <c r="F15" s="47" t="e">
        <f t="shared" si="5"/>
        <v>#N/A</v>
      </c>
      <c r="G15" s="35">
        <f>SUM(E$9:E15)/SUM($J$9:J15)</f>
        <v>73885.486111111109</v>
      </c>
      <c r="H15" s="36">
        <f t="shared" si="0"/>
        <v>1977847</v>
      </c>
      <c r="I15" s="37">
        <f t="shared" si="6"/>
        <v>12617357</v>
      </c>
      <c r="J15" s="19">
        <v>20</v>
      </c>
      <c r="K15" s="38" t="e">
        <f t="shared" si="1"/>
        <v>#N/A</v>
      </c>
      <c r="M15" s="30" t="s">
        <v>41</v>
      </c>
      <c r="N15" s="39">
        <v>212400</v>
      </c>
      <c r="O15" s="40">
        <f t="shared" si="7"/>
        <v>2593496</v>
      </c>
      <c r="P15" s="33"/>
      <c r="Q15" s="41" t="e">
        <f t="shared" si="8"/>
        <v>#N/A</v>
      </c>
      <c r="R15" s="42">
        <f t="shared" si="2"/>
        <v>189873.31200000003</v>
      </c>
      <c r="S15" s="36">
        <f t="shared" si="9"/>
        <v>2837331.3119999999</v>
      </c>
      <c r="T15" s="43" t="e">
        <f t="shared" si="10"/>
        <v>#N/A</v>
      </c>
      <c r="U15" s="44"/>
      <c r="V15" s="45">
        <f t="shared" si="3"/>
        <v>107.38949979447348</v>
      </c>
      <c r="W15" s="48">
        <v>96</v>
      </c>
      <c r="Y15" s="10"/>
      <c r="Z15" s="10"/>
      <c r="AA15" s="10"/>
      <c r="AB15" s="10"/>
      <c r="AC15" s="10"/>
      <c r="AD15" s="10"/>
    </row>
    <row r="16" spans="1:49" ht="23.25" x14ac:dyDescent="0.35">
      <c r="A16" s="30" t="s">
        <v>42</v>
      </c>
      <c r="B16" s="31">
        <v>1501123</v>
      </c>
      <c r="C16" s="32">
        <f t="shared" si="4"/>
        <v>16237146</v>
      </c>
      <c r="D16" s="32">
        <f>SUM(B$9:B16)/SUM(J$9:J16)</f>
        <v>97814.132530120478</v>
      </c>
      <c r="E16" s="49"/>
      <c r="F16" s="47" t="e">
        <f t="shared" si="5"/>
        <v>#N/A</v>
      </c>
      <c r="G16" s="35">
        <f>SUM(E$9:E16)/SUM($J$9:J16)</f>
        <v>64093.433734939761</v>
      </c>
      <c r="H16" s="36">
        <f t="shared" si="0"/>
        <v>1501123</v>
      </c>
      <c r="I16" s="37">
        <f t="shared" si="6"/>
        <v>14118480</v>
      </c>
      <c r="J16" s="19">
        <v>22</v>
      </c>
      <c r="K16" s="38" t="e">
        <f t="shared" si="1"/>
        <v>#N/A</v>
      </c>
      <c r="M16" s="30" t="s">
        <v>42</v>
      </c>
      <c r="N16" s="39">
        <v>173085</v>
      </c>
      <c r="O16" s="40">
        <f t="shared" si="7"/>
        <v>2766581</v>
      </c>
      <c r="P16" s="33"/>
      <c r="Q16" s="41" t="e">
        <f t="shared" si="8"/>
        <v>#N/A</v>
      </c>
      <c r="R16" s="42">
        <f t="shared" si="2"/>
        <v>178633.63700000002</v>
      </c>
      <c r="S16" s="36">
        <f t="shared" si="9"/>
        <v>3015964.949</v>
      </c>
      <c r="T16" s="43" t="e">
        <f t="shared" si="10"/>
        <v>#N/A</v>
      </c>
      <c r="U16" s="44"/>
      <c r="V16" s="45">
        <f t="shared" si="3"/>
        <v>115.3036759812487</v>
      </c>
      <c r="W16" s="48">
        <v>119</v>
      </c>
      <c r="Y16" s="10"/>
      <c r="Z16" s="10"/>
      <c r="AA16" s="10"/>
      <c r="AB16" s="10"/>
      <c r="AC16" s="10"/>
      <c r="AD16" s="10"/>
    </row>
    <row r="17" spans="1:44" ht="23.25" x14ac:dyDescent="0.35">
      <c r="A17" s="30" t="s">
        <v>43</v>
      </c>
      <c r="B17" s="31">
        <v>2113489</v>
      </c>
      <c r="C17" s="32">
        <f t="shared" si="4"/>
        <v>18350635</v>
      </c>
      <c r="D17" s="32">
        <f>SUM(B$9:B17)/SUM(J$9:J17)</f>
        <v>98131.737967914436</v>
      </c>
      <c r="E17" s="49"/>
      <c r="F17" s="47" t="e">
        <f t="shared" si="5"/>
        <v>#N/A</v>
      </c>
      <c r="G17" s="35">
        <f>SUM(E$9:E17)/SUM($J$9:J17)</f>
        <v>56895.775401069521</v>
      </c>
      <c r="H17" s="36">
        <f t="shared" si="0"/>
        <v>2113489</v>
      </c>
      <c r="I17" s="37">
        <f t="shared" si="6"/>
        <v>16231969</v>
      </c>
      <c r="J17" s="19">
        <v>21</v>
      </c>
      <c r="K17" s="38" t="e">
        <f t="shared" si="1"/>
        <v>#N/A</v>
      </c>
      <c r="M17" s="30" t="s">
        <v>43</v>
      </c>
      <c r="N17" s="39">
        <v>228670</v>
      </c>
      <c r="O17" s="40">
        <f t="shared" si="7"/>
        <v>2995251</v>
      </c>
      <c r="P17" s="33"/>
      <c r="Q17" s="41" t="e">
        <f t="shared" si="8"/>
        <v>#N/A</v>
      </c>
      <c r="R17" s="42">
        <f t="shared" si="2"/>
        <v>236710.76800000001</v>
      </c>
      <c r="S17" s="36">
        <f t="shared" si="9"/>
        <v>3252675.7170000002</v>
      </c>
      <c r="T17" s="43" t="e">
        <f t="shared" si="10"/>
        <v>#N/A</v>
      </c>
      <c r="V17" s="45">
        <f t="shared" si="3"/>
        <v>108.19550042607271</v>
      </c>
      <c r="W17" s="48">
        <v>112</v>
      </c>
      <c r="Y17" s="10"/>
      <c r="Z17" s="10"/>
      <c r="AA17" s="10"/>
      <c r="AB17" s="10"/>
      <c r="AC17" s="10"/>
      <c r="AD17" s="10"/>
    </row>
    <row r="18" spans="1:44" ht="23.25" x14ac:dyDescent="0.35">
      <c r="A18" s="30" t="s">
        <v>44</v>
      </c>
      <c r="B18" s="31">
        <v>2011859</v>
      </c>
      <c r="C18" s="32">
        <f t="shared" si="4"/>
        <v>20362494</v>
      </c>
      <c r="D18" s="32">
        <f>SUM(B$9:B18)/SUM(J$9:J18)</f>
        <v>97428.200956937799</v>
      </c>
      <c r="E18" s="49"/>
      <c r="F18" s="47" t="e">
        <f t="shared" si="5"/>
        <v>#N/A</v>
      </c>
      <c r="G18" s="35">
        <f>SUM(E$9:E18)/SUM($J$9:J18)</f>
        <v>50906.746411483255</v>
      </c>
      <c r="H18" s="36">
        <f t="shared" si="0"/>
        <v>2011859</v>
      </c>
      <c r="I18" s="37">
        <f t="shared" si="6"/>
        <v>18243828</v>
      </c>
      <c r="J18" s="19">
        <v>22</v>
      </c>
      <c r="K18" s="38" t="e">
        <f t="shared" si="1"/>
        <v>#N/A</v>
      </c>
      <c r="M18" s="30" t="s">
        <v>44</v>
      </c>
      <c r="N18" s="39">
        <v>368203</v>
      </c>
      <c r="O18" s="40">
        <f t="shared" si="7"/>
        <v>3363454</v>
      </c>
      <c r="P18" s="33"/>
      <c r="Q18" s="41" t="e">
        <f t="shared" si="8"/>
        <v>#N/A</v>
      </c>
      <c r="R18" s="42">
        <f t="shared" si="2"/>
        <v>342016.03</v>
      </c>
      <c r="S18" s="36">
        <f t="shared" si="9"/>
        <v>3594691.7470000004</v>
      </c>
      <c r="T18" s="43" t="e">
        <f t="shared" si="10"/>
        <v>#N/A</v>
      </c>
      <c r="V18" s="45">
        <f t="shared" si="3"/>
        <v>183.01630482056643</v>
      </c>
      <c r="W18" s="50">
        <v>170</v>
      </c>
      <c r="Y18" s="10"/>
      <c r="Z18" s="10"/>
      <c r="AA18" s="10"/>
      <c r="AB18" s="10"/>
      <c r="AC18" s="10"/>
      <c r="AD18" s="10"/>
    </row>
    <row r="19" spans="1:44" ht="23.25" x14ac:dyDescent="0.35">
      <c r="A19" s="30" t="s">
        <v>45</v>
      </c>
      <c r="B19" s="31">
        <v>2285975</v>
      </c>
      <c r="C19" s="32">
        <f t="shared" si="4"/>
        <v>22648469</v>
      </c>
      <c r="D19" s="32">
        <f>SUM(B$9:B19)/SUM(J$9:J19)</f>
        <v>98471.604347826084</v>
      </c>
      <c r="E19" s="49"/>
      <c r="F19" s="47" t="e">
        <f t="shared" si="5"/>
        <v>#N/A</v>
      </c>
      <c r="G19" s="35">
        <f>SUM(E$9:E19)/SUM($J$9:J19)</f>
        <v>46258.739130434784</v>
      </c>
      <c r="H19" s="36">
        <f t="shared" si="0"/>
        <v>2285975</v>
      </c>
      <c r="I19" s="37">
        <f t="shared" si="6"/>
        <v>20529803</v>
      </c>
      <c r="J19" s="19">
        <v>21</v>
      </c>
      <c r="K19" s="38" t="e">
        <f t="shared" si="1"/>
        <v>#N/A</v>
      </c>
      <c r="M19" s="30" t="s">
        <v>45</v>
      </c>
      <c r="N19" s="39">
        <v>458496</v>
      </c>
      <c r="O19" s="40">
        <f t="shared" si="7"/>
        <v>3821950</v>
      </c>
      <c r="P19" s="33"/>
      <c r="Q19" s="41" t="e">
        <f t="shared" si="8"/>
        <v>#N/A</v>
      </c>
      <c r="R19" s="42">
        <f t="shared" si="2"/>
        <v>509772.42499999999</v>
      </c>
      <c r="S19" s="36">
        <f t="shared" si="9"/>
        <v>4104464.1720000003</v>
      </c>
      <c r="T19" s="43" t="e">
        <f t="shared" si="10"/>
        <v>#N/A</v>
      </c>
      <c r="V19" s="45">
        <f t="shared" si="3"/>
        <v>200.56912258445522</v>
      </c>
      <c r="W19" s="51">
        <v>223</v>
      </c>
      <c r="Y19" s="10"/>
      <c r="Z19" s="10"/>
      <c r="AA19" s="10"/>
      <c r="AB19" s="10"/>
      <c r="AC19" s="10"/>
      <c r="AD19" s="10"/>
    </row>
    <row r="20" spans="1:44" ht="23.25" x14ac:dyDescent="0.35">
      <c r="A20" s="52" t="s">
        <v>46</v>
      </c>
      <c r="B20" s="53">
        <v>1587773</v>
      </c>
      <c r="C20" s="54">
        <f t="shared" si="4"/>
        <v>24236242</v>
      </c>
      <c r="D20" s="54">
        <f>SUM(B$9:B20)/SUM(J$9:J20)</f>
        <v>98521.308943089432</v>
      </c>
      <c r="E20" s="55"/>
      <c r="F20" s="56" t="e">
        <f t="shared" si="5"/>
        <v>#N/A</v>
      </c>
      <c r="G20" s="57">
        <f>SUM(E$9:E20)/SUM(J$9:J20)</f>
        <v>43250.040650406503</v>
      </c>
      <c r="H20" s="36">
        <f t="shared" si="0"/>
        <v>1587773</v>
      </c>
      <c r="I20" s="37">
        <f t="shared" si="6"/>
        <v>22117576</v>
      </c>
      <c r="J20" s="19">
        <v>16</v>
      </c>
      <c r="K20" s="38" t="e">
        <f t="shared" si="1"/>
        <v>#N/A</v>
      </c>
      <c r="M20" s="52" t="s">
        <v>46</v>
      </c>
      <c r="N20" s="58">
        <v>299330</v>
      </c>
      <c r="O20" s="59">
        <f t="shared" si="7"/>
        <v>4121280</v>
      </c>
      <c r="P20" s="60"/>
      <c r="Q20" s="61" t="e">
        <f t="shared" si="8"/>
        <v>#N/A</v>
      </c>
      <c r="R20" s="42">
        <f t="shared" si="2"/>
        <v>338195.64899999998</v>
      </c>
      <c r="S20" s="36">
        <f t="shared" si="9"/>
        <v>4442659.8210000005</v>
      </c>
      <c r="T20" s="43" t="e">
        <f t="shared" si="10"/>
        <v>#N/A</v>
      </c>
      <c r="V20" s="45">
        <f t="shared" si="3"/>
        <v>188.52191087768844</v>
      </c>
      <c r="W20" s="51">
        <v>213</v>
      </c>
    </row>
    <row r="21" spans="1:44" ht="31.5" x14ac:dyDescent="0.25">
      <c r="A21" s="62" t="s">
        <v>47</v>
      </c>
      <c r="B21" s="63">
        <f>SUM(B9:B20)</f>
        <v>24236242</v>
      </c>
      <c r="C21" s="64">
        <f>H21-B21</f>
        <v>-2118666</v>
      </c>
      <c r="D21" s="63">
        <f>D20</f>
        <v>98521.308943089432</v>
      </c>
      <c r="E21" s="63">
        <f>SUM(E9:E20)</f>
        <v>10639510</v>
      </c>
      <c r="F21" s="64">
        <f>(VLOOKUP([1]TDB!AK3,A9:F20,6,FALSE))-(VLOOKUP([1]TDB!AK3,A9:F20,3,FALSE))</f>
        <v>-2118666</v>
      </c>
      <c r="G21" s="63">
        <f>G20</f>
        <v>43250.040650406503</v>
      </c>
      <c r="H21" s="65">
        <f>SUM(H9:H20)</f>
        <v>22117576</v>
      </c>
      <c r="I21" s="66"/>
      <c r="J21" s="19">
        <f>SUM(J9:J20)</f>
        <v>246</v>
      </c>
      <c r="K21" s="67"/>
      <c r="M21" s="62" t="s">
        <v>47</v>
      </c>
      <c r="N21" s="68">
        <f>SUM(N9:N20)</f>
        <v>4121280</v>
      </c>
      <c r="O21" s="69">
        <f>R21-N21</f>
        <v>321379.82100000046</v>
      </c>
      <c r="P21" s="68">
        <f>SUM(P9:P20)</f>
        <v>2647458</v>
      </c>
      <c r="Q21" s="69">
        <f>(VLOOKUP([1]TDB!AK3,M9:Q20,5,FALSE))-(VLOOKUP([1]TDB!AK3,M9:Q20,3,FALSE))</f>
        <v>266362</v>
      </c>
      <c r="R21" s="70">
        <f>SUM(R9:R20)</f>
        <v>4442659.8210000005</v>
      </c>
      <c r="S21" s="71"/>
    </row>
    <row r="22" spans="1:44" ht="31.5" x14ac:dyDescent="0.25">
      <c r="A22" s="62" t="s">
        <v>48</v>
      </c>
      <c r="B22" s="7">
        <f>B21/B21</f>
        <v>1</v>
      </c>
      <c r="C22" s="72">
        <f>C21/B21</f>
        <v>-8.7417265432487429E-2</v>
      </c>
      <c r="D22" s="73">
        <f>G21/D21</f>
        <v>0.43899173807556469</v>
      </c>
      <c r="E22" s="73"/>
      <c r="F22" s="74">
        <f>F21/B21</f>
        <v>-8.7417265432487429E-2</v>
      </c>
      <c r="G22" s="73">
        <f>D22-B22</f>
        <v>-0.56100826192443531</v>
      </c>
      <c r="H22" s="73">
        <f>H21/B21</f>
        <v>0.9125827345675126</v>
      </c>
      <c r="I22" s="75"/>
      <c r="J22" s="76"/>
      <c r="K22" s="77"/>
      <c r="M22" s="62" t="s">
        <v>48</v>
      </c>
      <c r="N22" s="7">
        <f>N21/N21</f>
        <v>1</v>
      </c>
      <c r="O22" s="72">
        <f>O21/N21</f>
        <v>7.7980583944793957E-2</v>
      </c>
      <c r="P22" s="73">
        <f>R22-N22</f>
        <v>7.7980583944794013E-2</v>
      </c>
      <c r="Q22" s="74">
        <f>Q21/N21</f>
        <v>6.463089137355385E-2</v>
      </c>
      <c r="R22" s="73">
        <f>R21/N21</f>
        <v>1.077980583944794</v>
      </c>
    </row>
    <row r="23" spans="1:44" ht="15" customHeight="1" x14ac:dyDescent="0.25"/>
    <row r="24" spans="1:44" ht="15" customHeight="1" x14ac:dyDescent="0.25">
      <c r="C24" s="44"/>
      <c r="E24" s="44"/>
      <c r="F24" s="44"/>
    </row>
    <row r="25" spans="1:44" ht="33.75" x14ac:dyDescent="0.25">
      <c r="A25" s="78"/>
      <c r="B25" s="1"/>
      <c r="C25" s="1"/>
      <c r="D25" s="1"/>
      <c r="E25" s="1"/>
      <c r="F25" s="1"/>
      <c r="G25" s="1"/>
      <c r="H25" s="1"/>
      <c r="I25" s="1"/>
      <c r="K25" s="1"/>
      <c r="Y25" s="79"/>
      <c r="Z25" s="79"/>
      <c r="AA25" s="80"/>
      <c r="AB25" s="80"/>
      <c r="AC25" s="80"/>
      <c r="AD25" s="80"/>
    </row>
    <row r="26" spans="1:44" ht="26.25" x14ac:dyDescent="0.25">
      <c r="A26" s="78"/>
      <c r="B26" s="79"/>
      <c r="C26" s="79"/>
      <c r="D26" s="79"/>
      <c r="E26" s="81"/>
      <c r="F26" s="81"/>
      <c r="G26" s="81"/>
      <c r="H26" s="81"/>
      <c r="I26" s="81"/>
      <c r="K26" s="81"/>
      <c r="Y26" s="79"/>
      <c r="Z26" s="79"/>
      <c r="AA26" s="80"/>
      <c r="AB26" s="80"/>
      <c r="AC26" s="80"/>
      <c r="AD26" s="80"/>
    </row>
    <row r="27" spans="1:44" ht="46.5" x14ac:dyDescent="0.25">
      <c r="A27" s="82" t="s">
        <v>49</v>
      </c>
      <c r="B27" s="82" t="s">
        <v>35</v>
      </c>
      <c r="C27" s="82" t="s">
        <v>36</v>
      </c>
      <c r="D27" s="82" t="s">
        <v>37</v>
      </c>
      <c r="E27" s="82" t="s">
        <v>38</v>
      </c>
      <c r="F27" s="82" t="s">
        <v>39</v>
      </c>
      <c r="G27" s="82" t="s">
        <v>40</v>
      </c>
      <c r="H27" s="82" t="s">
        <v>41</v>
      </c>
      <c r="I27" s="82" t="s">
        <v>42</v>
      </c>
      <c r="J27" s="82" t="s">
        <v>43</v>
      </c>
      <c r="K27" s="82" t="s">
        <v>44</v>
      </c>
      <c r="L27" s="82" t="s">
        <v>45</v>
      </c>
      <c r="M27" s="82" t="s">
        <v>46</v>
      </c>
      <c r="N27" s="82" t="s">
        <v>50</v>
      </c>
      <c r="P27" s="83" t="s">
        <v>51</v>
      </c>
      <c r="Q27" s="82" t="s">
        <v>35</v>
      </c>
      <c r="R27" s="82" t="s">
        <v>36</v>
      </c>
      <c r="S27" s="82" t="s">
        <v>37</v>
      </c>
      <c r="T27" s="82" t="s">
        <v>38</v>
      </c>
      <c r="U27" s="82" t="s">
        <v>39</v>
      </c>
      <c r="V27" s="82" t="s">
        <v>40</v>
      </c>
      <c r="W27" s="82" t="s">
        <v>41</v>
      </c>
      <c r="X27" s="82" t="s">
        <v>42</v>
      </c>
      <c r="Y27" s="82" t="s">
        <v>43</v>
      </c>
      <c r="Z27" s="82" t="s">
        <v>44</v>
      </c>
      <c r="AA27" s="82" t="s">
        <v>45</v>
      </c>
      <c r="AB27" s="82" t="s">
        <v>46</v>
      </c>
      <c r="AC27" s="82" t="s">
        <v>50</v>
      </c>
      <c r="AE27" s="83" t="s">
        <v>52</v>
      </c>
      <c r="AF27" s="82" t="s">
        <v>35</v>
      </c>
      <c r="AG27" s="82" t="s">
        <v>36</v>
      </c>
      <c r="AH27" s="82" t="s">
        <v>37</v>
      </c>
      <c r="AI27" s="82" t="s">
        <v>38</v>
      </c>
      <c r="AJ27" s="82" t="s">
        <v>39</v>
      </c>
      <c r="AK27" s="82" t="s">
        <v>40</v>
      </c>
      <c r="AL27" s="82" t="s">
        <v>41</v>
      </c>
      <c r="AM27" s="82" t="s">
        <v>42</v>
      </c>
      <c r="AN27" s="82" t="s">
        <v>43</v>
      </c>
      <c r="AO27" s="82" t="s">
        <v>44</v>
      </c>
      <c r="AP27" s="82" t="s">
        <v>45</v>
      </c>
      <c r="AQ27" s="82" t="s">
        <v>46</v>
      </c>
      <c r="AR27" s="82" t="s">
        <v>50</v>
      </c>
    </row>
    <row r="28" spans="1:44" ht="18.75" x14ac:dyDescent="0.3">
      <c r="A28" s="84">
        <v>2012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>
        <v>2488.1590000000001</v>
      </c>
      <c r="N28" s="85">
        <f>SUM(MWhELECBP[[#This Row],[Janvier]:[Décembre]])</f>
        <v>2488.1590000000001</v>
      </c>
      <c r="P28" s="84">
        <v>2012</v>
      </c>
      <c r="Q28" s="86">
        <v>149.03233333333333</v>
      </c>
      <c r="R28" s="86">
        <v>151.47688095238095</v>
      </c>
      <c r="S28" s="86">
        <v>145.904421875</v>
      </c>
      <c r="T28" s="86">
        <v>141.64051190476189</v>
      </c>
      <c r="U28" s="86">
        <v>140.62004950495049</v>
      </c>
      <c r="V28" s="86">
        <v>136.66040163934426</v>
      </c>
      <c r="W28" s="86">
        <v>133.09544444444444</v>
      </c>
      <c r="X28" s="86">
        <v>126.09533734939757</v>
      </c>
      <c r="Y28" s="86">
        <v>125.41418279569891</v>
      </c>
      <c r="Z28" s="86">
        <v>124.44762200956936</v>
      </c>
      <c r="AA28" s="86">
        <v>125.51212227074235</v>
      </c>
      <c r="AB28" s="86">
        <v>127.99358606557377</v>
      </c>
      <c r="AC28" s="87">
        <f>RatioELECBP[[#This Row],[Décembre]]</f>
        <v>127.99358606557377</v>
      </c>
      <c r="AE28" s="84">
        <v>2012</v>
      </c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85">
        <f>SUM(CoutELECBP[[#This Row],[Janvier]:[Décembre]])</f>
        <v>0</v>
      </c>
    </row>
    <row r="29" spans="1:44" ht="18.75" x14ac:dyDescent="0.3">
      <c r="A29" s="84">
        <f>A28+1</f>
        <v>2013</v>
      </c>
      <c r="B29" s="77">
        <v>2957.6119999999996</v>
      </c>
      <c r="C29" s="77">
        <v>2856.8369999999995</v>
      </c>
      <c r="D29" s="77">
        <v>2865.4060000000004</v>
      </c>
      <c r="E29" s="77">
        <v>2669.188000000001</v>
      </c>
      <c r="F29" s="77">
        <v>2381.4389999999999</v>
      </c>
      <c r="G29" s="77">
        <v>2513.674</v>
      </c>
      <c r="H29" s="77">
        <v>2688.8399999999988</v>
      </c>
      <c r="I29" s="77">
        <v>1806.4259999999999</v>
      </c>
      <c r="J29" s="77">
        <v>2367.1970000000006</v>
      </c>
      <c r="K29" s="77">
        <v>2531.0519999999997</v>
      </c>
      <c r="L29" s="77">
        <v>2563.2730000000006</v>
      </c>
      <c r="M29" s="77">
        <v>2180.1590000000001</v>
      </c>
      <c r="N29" s="85">
        <f>SUM(MWhELECBP[[#This Row],[Janvier]:[Décembre]])</f>
        <v>30381.103000000003</v>
      </c>
      <c r="P29" s="84">
        <f>P28+1</f>
        <v>2013</v>
      </c>
      <c r="Q29" s="86">
        <v>134.43690909090907</v>
      </c>
      <c r="R29" s="86">
        <v>138.43926190476188</v>
      </c>
      <c r="S29" s="86">
        <v>137.77547619047618</v>
      </c>
      <c r="T29" s="86">
        <v>135.10765476190477</v>
      </c>
      <c r="U29" s="86">
        <v>133.3056504854369</v>
      </c>
      <c r="V29" s="86">
        <v>132.06630894308944</v>
      </c>
      <c r="W29" s="86">
        <v>129.67805479452056</v>
      </c>
      <c r="X29" s="86">
        <v>124.18815568862277</v>
      </c>
      <c r="Y29" s="86">
        <v>122.90754787234044</v>
      </c>
      <c r="Z29" s="86">
        <v>121.50554976303319</v>
      </c>
      <c r="AA29" s="86">
        <v>122.61280000000001</v>
      </c>
      <c r="AB29" s="86">
        <v>123.50041869918701</v>
      </c>
      <c r="AC29" s="87">
        <f>RatioELECBP[[#This Row],[Décembre]]</f>
        <v>123.50041869918701</v>
      </c>
      <c r="AE29" s="84">
        <f>AE28+1</f>
        <v>2013</v>
      </c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85">
        <f>SUM(CoutELECBP[[#This Row],[Janvier]:[Décembre]])</f>
        <v>0</v>
      </c>
    </row>
    <row r="30" spans="1:44" ht="18.75" x14ac:dyDescent="0.3">
      <c r="A30" s="84">
        <f t="shared" ref="A30:A38" si="11">A29+1</f>
        <v>2014</v>
      </c>
      <c r="B30" s="77">
        <v>2526.047</v>
      </c>
      <c r="C30" s="77">
        <v>2499.1410000000005</v>
      </c>
      <c r="D30" s="77">
        <v>2700.9770000000003</v>
      </c>
      <c r="E30" s="77">
        <v>2473.3169999999996</v>
      </c>
      <c r="F30" s="77">
        <v>2306.8789999999999</v>
      </c>
      <c r="G30" s="77">
        <v>2243.239</v>
      </c>
      <c r="H30" s="77">
        <v>2342.8429999999998</v>
      </c>
      <c r="I30" s="77">
        <v>1739.8340000000003</v>
      </c>
      <c r="J30" s="77">
        <v>2159.3739999999998</v>
      </c>
      <c r="K30" s="77">
        <v>2412.2199999999998</v>
      </c>
      <c r="L30" s="77">
        <v>2341.6279999999997</v>
      </c>
      <c r="M30" s="77">
        <v>2066.692</v>
      </c>
      <c r="N30" s="85">
        <f>SUM(MWhELECBP[[#This Row],[Janvier]:[Décembre]])</f>
        <v>27812.190999999999</v>
      </c>
      <c r="P30" s="84">
        <f t="shared" ref="P30:P38" si="12">P29+1</f>
        <v>2014</v>
      </c>
      <c r="Q30" s="86">
        <v>126.30235</v>
      </c>
      <c r="R30" s="86">
        <v>125.6297</v>
      </c>
      <c r="S30" s="86">
        <v>126.65844262295083</v>
      </c>
      <c r="T30" s="86">
        <v>124.38392682926829</v>
      </c>
      <c r="U30" s="86">
        <v>123.82535643564357</v>
      </c>
      <c r="V30" s="86">
        <v>121.89752066115703</v>
      </c>
      <c r="W30" s="86">
        <v>119.52757342657343</v>
      </c>
      <c r="X30" s="86">
        <v>115.5354417177914</v>
      </c>
      <c r="Y30" s="86">
        <v>113.46838378378378</v>
      </c>
      <c r="Z30" s="86">
        <v>112.51861057692307</v>
      </c>
      <c r="AA30" s="86">
        <v>113.9181371681416</v>
      </c>
      <c r="AB30" s="86">
        <v>115.40328215767634</v>
      </c>
      <c r="AC30" s="87">
        <f>RatioELECBP[[#This Row],[Décembre]]</f>
        <v>115.40328215767634</v>
      </c>
      <c r="AE30" s="84">
        <f t="shared" ref="AE30:AE38" si="13">AE29+1</f>
        <v>2014</v>
      </c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85">
        <f>SUM(CoutELECBP[[#This Row],[Janvier]:[Décembre]])</f>
        <v>0</v>
      </c>
    </row>
    <row r="31" spans="1:44" ht="18.75" x14ac:dyDescent="0.3">
      <c r="A31" s="84">
        <f t="shared" si="11"/>
        <v>2015</v>
      </c>
      <c r="B31" s="77">
        <v>2464.9370000000004</v>
      </c>
      <c r="C31" s="77">
        <v>2560.1750000000002</v>
      </c>
      <c r="D31" s="77">
        <v>2591.7850000000008</v>
      </c>
      <c r="E31" s="77">
        <v>2426.1729999999998</v>
      </c>
      <c r="F31" s="77">
        <v>2041.3650000000002</v>
      </c>
      <c r="G31" s="77">
        <v>2145.0110000000004</v>
      </c>
      <c r="H31" s="77">
        <v>2392.7339999999999</v>
      </c>
      <c r="I31" s="77">
        <v>1656.7910000000002</v>
      </c>
      <c r="J31" s="77">
        <v>2185.9899999999998</v>
      </c>
      <c r="K31" s="77">
        <v>2313.971</v>
      </c>
      <c r="L31" s="77">
        <v>2454.4959999999996</v>
      </c>
      <c r="M31" s="77">
        <v>2107.942</v>
      </c>
      <c r="N31" s="85">
        <f>SUM(MWhELECBP[[#This Row],[Janvier]:[Décembre]])</f>
        <v>27341.370000000003</v>
      </c>
      <c r="P31" s="84">
        <f t="shared" si="12"/>
        <v>2015</v>
      </c>
      <c r="Q31" s="86">
        <v>123.24685000000002</v>
      </c>
      <c r="R31" s="86">
        <v>125.62780000000002</v>
      </c>
      <c r="S31" s="86">
        <v>122.85317741935486</v>
      </c>
      <c r="T31" s="86">
        <v>121.00084337349399</v>
      </c>
      <c r="U31" s="86">
        <v>122.06500000000001</v>
      </c>
      <c r="V31" s="86">
        <v>117.59872727272729</v>
      </c>
      <c r="W31" s="86">
        <v>117.05760563380282</v>
      </c>
      <c r="X31" s="86">
        <v>112.1409263803681</v>
      </c>
      <c r="Y31" s="86">
        <v>110.62141081081083</v>
      </c>
      <c r="Z31" s="86">
        <v>110.04314975845412</v>
      </c>
      <c r="AA31" s="86">
        <v>111.16047577092513</v>
      </c>
      <c r="AB31" s="86">
        <v>112.05479508196723</v>
      </c>
      <c r="AC31" s="87">
        <f>RatioELECBP[[#This Row],[Décembre]]</f>
        <v>112.05479508196723</v>
      </c>
      <c r="AE31" s="84">
        <f t="shared" si="13"/>
        <v>2015</v>
      </c>
      <c r="AF31" s="77">
        <v>247796.46</v>
      </c>
      <c r="AG31" s="77">
        <v>254455.47999999998</v>
      </c>
      <c r="AH31" s="77">
        <v>240675.52999999997</v>
      </c>
      <c r="AI31" s="77">
        <v>176246.07</v>
      </c>
      <c r="AJ31" s="77">
        <v>151850.98000000001</v>
      </c>
      <c r="AK31" s="77">
        <v>158190.82</v>
      </c>
      <c r="AL31" s="77">
        <v>174807.67</v>
      </c>
      <c r="AM31" s="77">
        <v>133099.72999999998</v>
      </c>
      <c r="AN31" s="77">
        <v>165589.6</v>
      </c>
      <c r="AO31" s="77">
        <v>173475.28</v>
      </c>
      <c r="AP31" s="77">
        <v>233696.69</v>
      </c>
      <c r="AQ31" s="77">
        <v>220325.21109495635</v>
      </c>
      <c r="AR31" s="85">
        <f>SUM(CoutELECBP[[#This Row],[Janvier]:[Décembre]])</f>
        <v>2330209.5210949564</v>
      </c>
    </row>
    <row r="32" spans="1:44" ht="18.75" x14ac:dyDescent="0.3">
      <c r="A32" s="84">
        <f t="shared" si="11"/>
        <v>2016</v>
      </c>
      <c r="B32" s="77">
        <v>2527.029</v>
      </c>
      <c r="C32" s="77">
        <v>2485.2550000000001</v>
      </c>
      <c r="D32" s="77">
        <v>2538.462</v>
      </c>
      <c r="E32" s="77">
        <v>2255.9459999999999</v>
      </c>
      <c r="F32" s="77">
        <v>2039.95</v>
      </c>
      <c r="G32" s="77">
        <v>2178.2339999999999</v>
      </c>
      <c r="H32" s="77">
        <v>2067.123</v>
      </c>
      <c r="I32" s="77">
        <v>1633.4209999999996</v>
      </c>
      <c r="J32" s="77">
        <v>2241.4609999999998</v>
      </c>
      <c r="K32" s="77">
        <v>2312.4460000000008</v>
      </c>
      <c r="L32" s="77">
        <v>2421.7339999999995</v>
      </c>
      <c r="M32" s="77">
        <v>2125.9490000000001</v>
      </c>
      <c r="N32" s="85">
        <f>SUM(MWhELECBP[[#This Row],[Janvier]:[Décembre]])</f>
        <v>26827.01</v>
      </c>
      <c r="P32" s="84">
        <f t="shared" si="12"/>
        <v>2016</v>
      </c>
      <c r="Q32" s="86">
        <v>126.35145</v>
      </c>
      <c r="R32" s="86">
        <v>122.25082926829268</v>
      </c>
      <c r="S32" s="86">
        <v>119.8531111111111</v>
      </c>
      <c r="T32" s="86">
        <v>116.74633333333333</v>
      </c>
      <c r="U32" s="86">
        <v>115.01594174757281</v>
      </c>
      <c r="V32" s="86">
        <v>112.19900800000001</v>
      </c>
      <c r="W32" s="86">
        <v>111.74999305555555</v>
      </c>
      <c r="X32" s="86">
        <v>106.77963855421686</v>
      </c>
      <c r="Y32" s="86">
        <v>106.20681382978722</v>
      </c>
      <c r="Z32" s="86">
        <v>107.11214903846152</v>
      </c>
      <c r="AA32" s="86">
        <v>108.33798684210525</v>
      </c>
      <c r="AB32" s="86">
        <v>109.49799999999999</v>
      </c>
      <c r="AC32" s="87">
        <f>RatioELECBP[[#This Row],[Décembre]]</f>
        <v>109.49799999999999</v>
      </c>
      <c r="AE32" s="84">
        <f t="shared" si="13"/>
        <v>2016</v>
      </c>
      <c r="AF32" s="77">
        <v>239778.19</v>
      </c>
      <c r="AG32" s="77">
        <v>220283.45578990647</v>
      </c>
      <c r="AH32" s="77">
        <v>209967.03921394792</v>
      </c>
      <c r="AI32" s="77">
        <v>157124.93325</v>
      </c>
      <c r="AJ32" s="77">
        <v>143850.77000000002</v>
      </c>
      <c r="AK32" s="77">
        <v>217984.50999999995</v>
      </c>
      <c r="AL32" s="77">
        <v>160004.62119865313</v>
      </c>
      <c r="AM32" s="77">
        <v>149548.2084232152</v>
      </c>
      <c r="AN32" s="77">
        <v>172593.95587774762</v>
      </c>
      <c r="AO32" s="77">
        <v>210020.99177889377</v>
      </c>
      <c r="AP32" s="77">
        <v>220850.05</v>
      </c>
      <c r="AQ32" s="77">
        <v>266537.42697670171</v>
      </c>
      <c r="AR32" s="85">
        <f>SUM(CoutELECBP[[#This Row],[Janvier]:[Décembre]])</f>
        <v>2368544.1525090658</v>
      </c>
    </row>
    <row r="33" spans="1:44" ht="18.75" x14ac:dyDescent="0.3">
      <c r="A33" s="84">
        <f t="shared" si="11"/>
        <v>2017</v>
      </c>
      <c r="B33" s="77">
        <v>2672.8569999999995</v>
      </c>
      <c r="C33" s="77">
        <v>2200.297</v>
      </c>
      <c r="D33" s="77">
        <v>2395.7180000000003</v>
      </c>
      <c r="E33" s="77">
        <v>2170.614</v>
      </c>
      <c r="F33" s="77">
        <v>2097.8440000000005</v>
      </c>
      <c r="G33" s="77">
        <v>2214.721</v>
      </c>
      <c r="H33" s="77">
        <v>2108.826</v>
      </c>
      <c r="I33" s="77">
        <v>1632.5340000000003</v>
      </c>
      <c r="J33" s="77">
        <v>2150.2839999999997</v>
      </c>
      <c r="K33" s="77">
        <v>2337.3660000000004</v>
      </c>
      <c r="L33" s="77">
        <v>2326.038</v>
      </c>
      <c r="M33" s="77">
        <v>2079.2220000000002</v>
      </c>
      <c r="N33" s="85">
        <f>SUM(MWhELECBP[[#This Row],[Janvier]:[Décembre]])</f>
        <v>26386.321000000004</v>
      </c>
      <c r="P33" s="84">
        <f t="shared" si="12"/>
        <v>2017</v>
      </c>
      <c r="Q33" s="86">
        <v>121.49349999999998</v>
      </c>
      <c r="R33" s="86">
        <v>116.02747619047618</v>
      </c>
      <c r="S33" s="86">
        <v>111.82879999999999</v>
      </c>
      <c r="T33" s="86">
        <v>112.37483333333333</v>
      </c>
      <c r="U33" s="86">
        <v>110.93586538461538</v>
      </c>
      <c r="V33" s="86">
        <v>110.016408</v>
      </c>
      <c r="W33" s="86">
        <v>109.38535862068966</v>
      </c>
      <c r="X33" s="86">
        <v>104.75096407185629</v>
      </c>
      <c r="Y33" s="86">
        <v>104.48773936170213</v>
      </c>
      <c r="Z33" s="86">
        <v>104.67171904761905</v>
      </c>
      <c r="AA33" s="86">
        <v>105.2255367965368</v>
      </c>
      <c r="AB33" s="86">
        <v>106.82721052631581</v>
      </c>
      <c r="AC33" s="87">
        <f>RatioELECBP[[#This Row],[Décembre]]</f>
        <v>106.82721052631581</v>
      </c>
      <c r="AE33" s="84">
        <f t="shared" si="13"/>
        <v>2017</v>
      </c>
      <c r="AF33" s="77">
        <v>208227.46955363126</v>
      </c>
      <c r="AG33" s="77">
        <v>171519.16493050638</v>
      </c>
      <c r="AH33" s="77">
        <v>174429.57139243104</v>
      </c>
      <c r="AI33" s="77">
        <v>124475.68606164359</v>
      </c>
      <c r="AJ33" s="77">
        <v>122749.55484378034</v>
      </c>
      <c r="AK33" s="77">
        <v>128892.06</v>
      </c>
      <c r="AL33" s="77">
        <v>125598.43058558056</v>
      </c>
      <c r="AM33" s="77">
        <v>92561.24</v>
      </c>
      <c r="AN33" s="77">
        <v>121403.11780000001</v>
      </c>
      <c r="AO33" s="77">
        <v>161747.97684999998</v>
      </c>
      <c r="AP33" s="77">
        <v>193946.8608736</v>
      </c>
      <c r="AQ33" s="77">
        <v>173995.34160000001</v>
      </c>
      <c r="AR33" s="85">
        <f>SUM(CoutELECBP[[#This Row],[Janvier]:[Décembre]])</f>
        <v>1799546.4744911732</v>
      </c>
    </row>
    <row r="34" spans="1:44" ht="18.75" x14ac:dyDescent="0.3">
      <c r="A34" s="84">
        <f t="shared" si="11"/>
        <v>2018</v>
      </c>
      <c r="B34" s="77">
        <v>2451.3569999999995</v>
      </c>
      <c r="C34" s="77">
        <v>2485.6349999999998</v>
      </c>
      <c r="D34" s="77">
        <v>2591.8809999999994</v>
      </c>
      <c r="E34" s="77">
        <v>2157.2760000000003</v>
      </c>
      <c r="F34" s="77">
        <v>1816.758</v>
      </c>
      <c r="G34" s="77">
        <v>2066.3910000000001</v>
      </c>
      <c r="H34" s="77">
        <v>2150.192</v>
      </c>
      <c r="I34" s="77">
        <v>1799.7830000000001</v>
      </c>
      <c r="J34" s="77">
        <v>2083.6780000000003</v>
      </c>
      <c r="K34" s="77">
        <v>2369.2212999999997</v>
      </c>
      <c r="L34" s="77">
        <v>2341.5479999999998</v>
      </c>
      <c r="M34" s="77">
        <v>1901.0760000000002</v>
      </c>
      <c r="N34" s="85">
        <f>SUM(MWhELECBP[[#This Row],[Janvier]:[Décembre]])</f>
        <v>26214.796299999998</v>
      </c>
      <c r="P34" s="84">
        <f t="shared" si="12"/>
        <v>2018</v>
      </c>
      <c r="Q34" s="86">
        <v>111.42531818181816</v>
      </c>
      <c r="R34" s="86">
        <v>117.54742857142855</v>
      </c>
      <c r="S34" s="86">
        <v>117.63864062499998</v>
      </c>
      <c r="T34" s="86">
        <v>115.31129761904761</v>
      </c>
      <c r="U34" s="86">
        <v>112.77359803921568</v>
      </c>
      <c r="V34" s="86">
        <v>110.31949593495933</v>
      </c>
      <c r="W34" s="86">
        <v>108.41027586206896</v>
      </c>
      <c r="X34" s="86">
        <v>104.90582634730538</v>
      </c>
      <c r="Y34" s="86">
        <v>104.82861497326202</v>
      </c>
      <c r="Z34" s="86">
        <v>104.6293919047619</v>
      </c>
      <c r="AA34" s="86">
        <v>105.25420043290042</v>
      </c>
      <c r="AB34" s="86">
        <v>106.13277854251011</v>
      </c>
      <c r="AC34" s="87">
        <f>RatioELECBP[[#This Row],[Décembre]]</f>
        <v>106.13277854251011</v>
      </c>
      <c r="AE34" s="84">
        <f t="shared" si="13"/>
        <v>2018</v>
      </c>
      <c r="AF34" s="77">
        <v>202400.56489857601</v>
      </c>
      <c r="AG34" s="77">
        <v>202004.043135488</v>
      </c>
      <c r="AH34" s="77">
        <v>208833.59419999999</v>
      </c>
      <c r="AI34" s="77">
        <v>128683.12</v>
      </c>
      <c r="AJ34" s="77">
        <v>108426.48999999999</v>
      </c>
      <c r="AK34" s="77">
        <v>124244.69</v>
      </c>
      <c r="AL34" s="77">
        <v>134032.24117857599</v>
      </c>
      <c r="AM34" s="77">
        <v>113699.6666</v>
      </c>
      <c r="AN34" s="77">
        <v>164191.2703</v>
      </c>
      <c r="AO34" s="77">
        <v>217900.57</v>
      </c>
      <c r="AP34" s="77">
        <v>238210.59867887999</v>
      </c>
      <c r="AQ34" s="77">
        <v>188619.56279999999</v>
      </c>
      <c r="AR34" s="85">
        <f>SUM(CoutELECBP[[#This Row],[Janvier]:[Décembre]])</f>
        <v>2031246.41179152</v>
      </c>
    </row>
    <row r="35" spans="1:44" ht="18.75" x14ac:dyDescent="0.3">
      <c r="A35" s="84">
        <f t="shared" si="11"/>
        <v>2019</v>
      </c>
      <c r="B35" s="77">
        <v>2628.915</v>
      </c>
      <c r="C35" s="77">
        <v>2286.7129999999997</v>
      </c>
      <c r="D35" s="77">
        <v>2166.6669999999999</v>
      </c>
      <c r="E35" s="77">
        <v>1970.1780000000001</v>
      </c>
      <c r="F35" s="77">
        <v>2056.0789999999997</v>
      </c>
      <c r="G35" s="77">
        <v>1981.895</v>
      </c>
      <c r="H35" s="77">
        <v>2202.8069999999998</v>
      </c>
      <c r="I35" s="77">
        <v>1337.9679999999998</v>
      </c>
      <c r="J35" s="77">
        <v>1994.0819999999999</v>
      </c>
      <c r="K35" s="77">
        <v>2185.317</v>
      </c>
      <c r="L35" s="77">
        <v>2196.598</v>
      </c>
      <c r="M35" s="77">
        <v>1799.925</v>
      </c>
      <c r="N35" s="85">
        <f>SUM(MWhELECBP[[#This Row],[Janvier]:[Décembre]])</f>
        <v>24807.143999999997</v>
      </c>
      <c r="P35" s="84">
        <f t="shared" si="12"/>
        <v>2019</v>
      </c>
      <c r="Q35" s="86">
        <v>125.18642857142856</v>
      </c>
      <c r="R35" s="86">
        <v>119.89336585365852</v>
      </c>
      <c r="S35" s="86">
        <v>114.23056451612904</v>
      </c>
      <c r="T35" s="86">
        <v>109.06593975903614</v>
      </c>
      <c r="U35" s="86">
        <v>108.9073725490196</v>
      </c>
      <c r="V35" s="86">
        <v>108.18551239669422</v>
      </c>
      <c r="W35" s="86">
        <v>106.20315277777779</v>
      </c>
      <c r="X35" s="86">
        <v>100.79528484848485</v>
      </c>
      <c r="Y35" s="86">
        <v>100.13604301075269</v>
      </c>
      <c r="Z35" s="86">
        <v>99.572349282296642</v>
      </c>
      <c r="AA35" s="86">
        <v>100.90885526315789</v>
      </c>
      <c r="AB35" s="86">
        <v>102.087012345679</v>
      </c>
      <c r="AC35" s="87">
        <f>RatioELECBP[[#This Row],[Décembre]]</f>
        <v>102.087012345679</v>
      </c>
      <c r="AE35" s="84">
        <f t="shared" si="13"/>
        <v>2019</v>
      </c>
      <c r="AF35" s="77">
        <v>285973.90355809603</v>
      </c>
      <c r="AG35" s="77">
        <v>245543.98847053436</v>
      </c>
      <c r="AH35" s="77">
        <v>226465.95139999999</v>
      </c>
      <c r="AI35" s="77">
        <v>156426.543864395</v>
      </c>
      <c r="AJ35" s="77">
        <v>164231.49419999999</v>
      </c>
      <c r="AK35" s="77">
        <v>156825.32</v>
      </c>
      <c r="AL35" s="77">
        <v>186764.17660200002</v>
      </c>
      <c r="AM35" s="77">
        <v>114404.25785628799</v>
      </c>
      <c r="AN35" s="77">
        <v>168883.29</v>
      </c>
      <c r="AO35" s="77">
        <v>221477.73730000001</v>
      </c>
      <c r="AP35" s="77">
        <v>243405.07222</v>
      </c>
      <c r="AQ35" s="77">
        <v>189182.71830628801</v>
      </c>
      <c r="AR35" s="85">
        <f>SUM(CoutELECBP[[#This Row],[Janvier]:[Décembre]])</f>
        <v>2359584.4537776019</v>
      </c>
    </row>
    <row r="36" spans="1:44" ht="18.75" x14ac:dyDescent="0.3">
      <c r="A36" s="84">
        <f t="shared" si="11"/>
        <v>2020</v>
      </c>
      <c r="B36" s="77">
        <v>2303.4439999999995</v>
      </c>
      <c r="C36" s="77">
        <v>2105.6669999999999</v>
      </c>
      <c r="D36" s="77">
        <v>2089.6040000000003</v>
      </c>
      <c r="E36" s="77">
        <v>1445.0940000000005</v>
      </c>
      <c r="F36" s="77">
        <v>1371.2130000000002</v>
      </c>
      <c r="G36" s="77">
        <v>1846.2820000000002</v>
      </c>
      <c r="H36" s="77">
        <v>1873.4850000000001</v>
      </c>
      <c r="I36" s="77">
        <v>1352.6419999999998</v>
      </c>
      <c r="J36" s="77">
        <v>1981.6889999999994</v>
      </c>
      <c r="K36" s="77">
        <v>2264.6060000000002</v>
      </c>
      <c r="L36" s="77">
        <v>2187.971</v>
      </c>
      <c r="M36" s="77">
        <v>1930.1510000000005</v>
      </c>
      <c r="N36" s="85">
        <f>SUM(MWhELECBP[[#This Row],[Janvier]:[Décembre]])</f>
        <v>22751.848000000002</v>
      </c>
      <c r="P36" s="84">
        <f t="shared" si="12"/>
        <v>2020</v>
      </c>
      <c r="Q36" s="86">
        <v>104.70199999999998</v>
      </c>
      <c r="R36" s="86">
        <v>104.97883333333331</v>
      </c>
      <c r="S36" s="86">
        <v>101.54242187499999</v>
      </c>
      <c r="T36" s="86">
        <v>93.456576470588232</v>
      </c>
      <c r="U36" s="86">
        <v>91.323745098039211</v>
      </c>
      <c r="V36" s="86">
        <v>90.742308943089427</v>
      </c>
      <c r="W36" s="86">
        <v>89.895096551724137</v>
      </c>
      <c r="X36" s="86">
        <v>86.671271084337349</v>
      </c>
      <c r="Y36" s="86">
        <v>87.06978723404255</v>
      </c>
      <c r="Z36" s="86">
        <v>88.732028571428572</v>
      </c>
      <c r="AA36" s="86">
        <v>90.529117391304354</v>
      </c>
      <c r="AB36" s="86">
        <v>92.112744939271266</v>
      </c>
      <c r="AC36" s="87">
        <f>RatioELECBP[[#This Row],[Décembre]]</f>
        <v>92.112744939271266</v>
      </c>
      <c r="AE36" s="84">
        <f t="shared" si="13"/>
        <v>2020</v>
      </c>
      <c r="AF36" s="77">
        <v>251622.57315628801</v>
      </c>
      <c r="AG36" s="77">
        <v>223815.39</v>
      </c>
      <c r="AH36" s="77">
        <v>217433.97397628802</v>
      </c>
      <c r="AI36" s="77">
        <v>149273.84299</v>
      </c>
      <c r="AJ36" s="77">
        <v>122261.42000000001</v>
      </c>
      <c r="AK36" s="77">
        <v>151475.6</v>
      </c>
      <c r="AL36" s="77">
        <v>153710.73014999999</v>
      </c>
      <c r="AM36" s="77">
        <v>112422.3</v>
      </c>
      <c r="AN36" s="77">
        <v>163549.6</v>
      </c>
      <c r="AO36" s="77">
        <v>206821.59400916798</v>
      </c>
      <c r="AP36" s="77">
        <v>220269.19755983999</v>
      </c>
      <c r="AQ36" s="77">
        <v>217209.47999999998</v>
      </c>
      <c r="AR36" s="85">
        <f>SUM(CoutELECBP[[#This Row],[Janvier]:[Décembre]])</f>
        <v>2189865.7018415844</v>
      </c>
    </row>
    <row r="37" spans="1:44" ht="18.75" x14ac:dyDescent="0.3">
      <c r="A37" s="84">
        <f t="shared" si="11"/>
        <v>2021</v>
      </c>
      <c r="B37" s="77">
        <v>2223.5940000000005</v>
      </c>
      <c r="C37" s="77">
        <v>2077.1749999999997</v>
      </c>
      <c r="D37" s="77">
        <v>2410.2069999999999</v>
      </c>
      <c r="E37" s="77">
        <v>2104.5389999999998</v>
      </c>
      <c r="F37" s="77">
        <v>1864.17</v>
      </c>
      <c r="G37" s="77">
        <v>2041.5270000000005</v>
      </c>
      <c r="H37" s="77">
        <v>1905.848</v>
      </c>
      <c r="I37" s="77">
        <v>1104.367</v>
      </c>
      <c r="J37" s="77">
        <v>1900.201</v>
      </c>
      <c r="K37" s="77">
        <v>1921.9169999999999</v>
      </c>
      <c r="L37" s="77">
        <v>1993.3579999999999</v>
      </c>
      <c r="M37" s="77">
        <v>1637.9379999999999</v>
      </c>
      <c r="N37" s="85">
        <f>SUM(MWhELECBP[[#This Row],[Janvier]:[Décembre]])</f>
        <v>23184.841</v>
      </c>
      <c r="P37" s="84">
        <f t="shared" si="12"/>
        <v>2021</v>
      </c>
      <c r="Q37" s="86">
        <v>111.17970000000003</v>
      </c>
      <c r="R37" s="86">
        <v>107.51922500000001</v>
      </c>
      <c r="S37" s="86">
        <v>106.52342857142858</v>
      </c>
      <c r="T37" s="86">
        <v>104.94660714285713</v>
      </c>
      <c r="U37" s="86">
        <v>104.70279411764706</v>
      </c>
      <c r="V37" s="86">
        <v>101.769696</v>
      </c>
      <c r="W37" s="86">
        <v>100.18534246575342</v>
      </c>
      <c r="X37" s="86">
        <v>93.639446428571432</v>
      </c>
      <c r="Y37" s="86">
        <v>92.798042105263164</v>
      </c>
      <c r="Z37" s="86">
        <v>92.670829383886272</v>
      </c>
      <c r="AA37" s="86">
        <v>93.276636363636371</v>
      </c>
      <c r="AB37" s="86">
        <v>93.487262096774188</v>
      </c>
      <c r="AC37" s="87">
        <f>RatioELECBP[[#This Row],[Décembre]]</f>
        <v>93.487262096774188</v>
      </c>
      <c r="AE37" s="84">
        <f t="shared" si="13"/>
        <v>2021</v>
      </c>
      <c r="AF37" s="77">
        <v>237400.55000000002</v>
      </c>
      <c r="AG37" s="77">
        <v>227833.71</v>
      </c>
      <c r="AH37" s="77">
        <v>245414.77000000002</v>
      </c>
      <c r="AI37" s="77">
        <v>155626.26</v>
      </c>
      <c r="AJ37" s="77">
        <v>142811.97</v>
      </c>
      <c r="AK37" s="77">
        <v>165918.1</v>
      </c>
      <c r="AL37" s="77">
        <v>155797.65</v>
      </c>
      <c r="AM37" s="77">
        <v>95953.69</v>
      </c>
      <c r="AN37" s="77">
        <v>168728.42</v>
      </c>
      <c r="AO37" s="77">
        <v>232394.71999999997</v>
      </c>
      <c r="AP37" s="77">
        <v>334937.46000000002</v>
      </c>
      <c r="AQ37" s="77">
        <v>327612.94999999995</v>
      </c>
      <c r="AR37" s="85">
        <f>SUM(CoutELECBP[[#This Row],[Janvier]:[Décembre]])</f>
        <v>2490430.25</v>
      </c>
    </row>
    <row r="38" spans="1:44" ht="18.75" x14ac:dyDescent="0.3">
      <c r="A38" s="84">
        <f t="shared" si="11"/>
        <v>2022</v>
      </c>
      <c r="B38" s="77">
        <v>2309.377</v>
      </c>
      <c r="C38" s="77">
        <v>2039.3040000000001</v>
      </c>
      <c r="D38" s="77">
        <v>2123.9949999999999</v>
      </c>
      <c r="E38" s="77">
        <v>1788.33</v>
      </c>
      <c r="F38" s="77">
        <v>1557.5989999999999</v>
      </c>
      <c r="G38" s="77">
        <v>1804.7099999999998</v>
      </c>
      <c r="H38" s="77">
        <v>1697.7869999999998</v>
      </c>
      <c r="I38" s="77">
        <v>1151.1110000000001</v>
      </c>
      <c r="J38" s="77">
        <v>1609.6879999999996</v>
      </c>
      <c r="K38" s="77">
        <v>1598.998</v>
      </c>
      <c r="L38" s="77">
        <v>1754.557</v>
      </c>
      <c r="M38" s="77">
        <v>1757.9700000000003</v>
      </c>
      <c r="N38" s="85">
        <f>SUM(MWhELECBP[[#This Row],[Janvier]:[Décembre]])</f>
        <v>21193.426000000003</v>
      </c>
      <c r="P38" s="84">
        <f t="shared" si="12"/>
        <v>2022</v>
      </c>
      <c r="Q38" s="86">
        <v>109.97033333333333</v>
      </c>
      <c r="R38" s="86">
        <v>106.06539024390246</v>
      </c>
      <c r="S38" s="86">
        <v>101.13556250000001</v>
      </c>
      <c r="T38" s="86">
        <v>98.345309523809533</v>
      </c>
      <c r="U38" s="86">
        <v>94.409663461538472</v>
      </c>
      <c r="V38" s="86">
        <v>92.986519999999999</v>
      </c>
      <c r="W38" s="86">
        <v>91.869668965517249</v>
      </c>
      <c r="X38" s="86">
        <v>86.65995808383235</v>
      </c>
      <c r="Y38" s="86">
        <v>85.08942328042329</v>
      </c>
      <c r="Z38" s="86">
        <v>84.194757142857142</v>
      </c>
      <c r="AA38" s="86">
        <v>84.501982608695656</v>
      </c>
      <c r="AB38" s="86">
        <v>85.803344129554674</v>
      </c>
      <c r="AC38" s="87">
        <f>RatioELECBP[[#This Row],[Décembre]]</f>
        <v>85.803344129554674</v>
      </c>
      <c r="AE38" s="84">
        <f t="shared" si="13"/>
        <v>2022</v>
      </c>
      <c r="AF38" s="77">
        <v>731710.30999999994</v>
      </c>
      <c r="AG38" s="77">
        <v>442318.25</v>
      </c>
      <c r="AH38" s="77">
        <v>383063.67000000004</v>
      </c>
      <c r="AI38" s="77">
        <v>379183.70999999996</v>
      </c>
      <c r="AJ38" s="77">
        <v>252593.03999999998</v>
      </c>
      <c r="AK38" s="77">
        <v>24628.62999999999</v>
      </c>
      <c r="AL38" s="77">
        <v>235194.83</v>
      </c>
      <c r="AM38" s="77">
        <v>233751.78999999998</v>
      </c>
      <c r="AN38" s="77">
        <v>450182.58</v>
      </c>
      <c r="AO38" s="77">
        <v>428058.31999999995</v>
      </c>
      <c r="AP38" s="77">
        <v>580015.12</v>
      </c>
      <c r="AQ38" s="77">
        <v>696724.75000000012</v>
      </c>
      <c r="AR38" s="85">
        <f>SUM(CoutELECBP[[#This Row],[Janvier]:[Décembre]])</f>
        <v>4837425</v>
      </c>
    </row>
    <row r="39" spans="1:44" ht="26.25" x14ac:dyDescent="0.25">
      <c r="A39" s="78"/>
      <c r="B39" s="79"/>
      <c r="C39" s="79"/>
      <c r="D39" s="81"/>
      <c r="E39" s="81"/>
      <c r="F39" s="81"/>
      <c r="H39" s="88"/>
      <c r="M39" s="81"/>
      <c r="N39" s="81"/>
    </row>
  </sheetData>
  <mergeCells count="8">
    <mergeCell ref="V7:W7"/>
    <mergeCell ref="A1:J4"/>
    <mergeCell ref="M1:N1"/>
    <mergeCell ref="O1:P1"/>
    <mergeCell ref="R1:S1"/>
    <mergeCell ref="A5:A6"/>
    <mergeCell ref="A7:K7"/>
    <mergeCell ref="M7:T7"/>
  </mergeCells>
  <conditionalFormatting sqref="P22 E22 G22">
    <cfRule type="cellIs" dxfId="78" priority="11" operator="lessThanOrEqual">
      <formula>0</formula>
    </cfRule>
    <cfRule type="cellIs" dxfId="77" priority="12" operator="greaterThan">
      <formula>0</formula>
    </cfRule>
  </conditionalFormatting>
  <conditionalFormatting sqref="D22">
    <cfRule type="cellIs" dxfId="76" priority="9" operator="lessThanOrEqual">
      <formula>1</formula>
    </cfRule>
    <cfRule type="cellIs" dxfId="75" priority="10" operator="greaterThan">
      <formula>1</formula>
    </cfRule>
  </conditionalFormatting>
  <conditionalFormatting sqref="R22 H22">
    <cfRule type="cellIs" dxfId="74" priority="13" operator="lessThan">
      <formula>1</formula>
    </cfRule>
    <cfRule type="cellIs" dxfId="73" priority="14" operator="greaterThan">
      <formula>1</formula>
    </cfRule>
    <cfRule type="top10" dxfId="72" priority="15" percent="1" rank="10"/>
  </conditionalFormatting>
  <conditionalFormatting sqref="C21:C22">
    <cfRule type="cellIs" dxfId="71" priority="7" operator="lessThan">
      <formula>0</formula>
    </cfRule>
    <cfRule type="cellIs" dxfId="70" priority="8" operator="greaterThan">
      <formula>0</formula>
    </cfRule>
  </conditionalFormatting>
  <conditionalFormatting sqref="O21:O22">
    <cfRule type="cellIs" dxfId="69" priority="5" operator="lessThan">
      <formula>0</formula>
    </cfRule>
    <cfRule type="cellIs" dxfId="68" priority="6" operator="greaterThan">
      <formula>0</formula>
    </cfRule>
  </conditionalFormatting>
  <conditionalFormatting sqref="Q21:Q22">
    <cfRule type="cellIs" dxfId="67" priority="3" operator="lessThan">
      <formula>0</formula>
    </cfRule>
    <cfRule type="cellIs" dxfId="66" priority="4" operator="greaterThan">
      <formula>0</formula>
    </cfRule>
  </conditionalFormatting>
  <conditionalFormatting sqref="F21:F22">
    <cfRule type="cellIs" dxfId="65" priority="1" operator="lessThan">
      <formula>0</formula>
    </cfRule>
    <cfRule type="cellIs" dxfId="64" priority="2" operator="greater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outon 5">
              <controlPr defaultSize="0" print="0" autoFill="0" autoPict="0">
                <anchor moveWithCells="1" sizeWithCells="1">
                  <from>
                    <xdr:col>6</xdr:col>
                    <xdr:colOff>1190625</xdr:colOff>
                    <xdr:row>0</xdr:row>
                    <xdr:rowOff>85725</xdr:rowOff>
                  </from>
                  <to>
                    <xdr:col>8</xdr:col>
                    <xdr:colOff>828675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5"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MOUYSSET (EXTERNAL)</dc:creator>
  <cp:lastModifiedBy>FABRICE MOUYSSET (EXTERNAL)</cp:lastModifiedBy>
  <dcterms:created xsi:type="dcterms:W3CDTF">2015-06-05T18:17:20Z</dcterms:created>
  <dcterms:modified xsi:type="dcterms:W3CDTF">2023-09-14T13:11:47Z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2023-09-14T13:04:37Z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f4749c8c-c348-4a59-9e8b-d1cdb8d2b418</vt:lpwstr>
  </property>
  <property fmtid="{D5CDD505-2E9C-101B-9397-08002B2CF9AE}" pid="8" name="MSIP_Label_2fd53d93-3f4c-4b90-b511-bd6bdbb4fba9_ContentBits">
    <vt:lpwstr>0</vt:lpwstr>
  </property>
</Properties>
</file>