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ml.chartshapes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3.xml" ContentType="application/vnd.openxmlformats-officedocument.drawingml.chartshapes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4.xml" ContentType="application/vnd.openxmlformats-officedocument.drawingml.chartshapes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5.xml" ContentType="application/vnd.openxmlformats-officedocument.drawingml.chartsha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\U673132\Documents\Pilotage Energie\A3 Pilotage\"/>
    </mc:Choice>
  </mc:AlternateContent>
  <xr:revisionPtr revIDLastSave="0" documentId="13_ncr:1_{1CE817AC-88B4-4D25-A62A-917818A69AC0}" xr6:coauthVersionLast="47" xr6:coauthVersionMax="47" xr10:uidLastSave="{00000000-0000-0000-0000-000000000000}"/>
  <bookViews>
    <workbookView xWindow="-120" yWindow="-120" windowWidth="29040" windowHeight="15990" tabRatio="842" xr2:uid="{00000000-000D-0000-FFFF-FFFF00000000}"/>
  </bookViews>
  <sheets>
    <sheet name="A3" sheetId="1" r:id="rId1"/>
    <sheet name="1. Context" sheetId="2" r:id="rId2"/>
    <sheet name="2. Objectifs" sheetId="3" r:id="rId3"/>
    <sheet name="3. Résultats" sheetId="4" r:id="rId4"/>
    <sheet name="3.1 ELEC" sheetId="5" r:id="rId5"/>
    <sheet name="3.2 GAZ" sheetId="6" r:id="rId6"/>
    <sheet name="3.3 EAU" sheetId="7" r:id="rId7"/>
    <sheet name="4. Grille de labélisation" sheetId="8" r:id="rId8"/>
    <sheet name="5. Points durs" sheetId="9" r:id="rId9"/>
    <sheet name="6. Plan d'actions" sheetId="10" r:id="rId10"/>
    <sheet name="7. Administratif" sheetId="12" r:id="rId1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41" i="7" l="1"/>
  <c r="V41" i="7"/>
  <c r="S41" i="7"/>
  <c r="P41" i="7"/>
  <c r="M41" i="7"/>
  <c r="J41" i="7"/>
  <c r="G41" i="7"/>
  <c r="D41" i="7"/>
  <c r="BF41" i="7"/>
  <c r="BC41" i="7"/>
  <c r="AZ41" i="7"/>
  <c r="AW41" i="7"/>
  <c r="AT41" i="7"/>
  <c r="AQ41" i="7"/>
  <c r="AN41" i="7"/>
  <c r="AK41" i="7"/>
  <c r="AH41" i="7"/>
  <c r="AE41" i="7"/>
  <c r="AB41" i="7"/>
  <c r="U29" i="7"/>
  <c r="U30" i="7" s="1"/>
  <c r="U31" i="7" s="1"/>
  <c r="U32" i="7" s="1"/>
  <c r="U33" i="7" s="1"/>
  <c r="U34" i="7" s="1"/>
  <c r="U35" i="7" s="1"/>
  <c r="U36" i="7" s="1"/>
  <c r="U37" i="7" s="1"/>
  <c r="U38" i="7" s="1"/>
  <c r="U39" i="7" s="1"/>
  <c r="U40" i="7" s="1"/>
  <c r="U41" i="7" s="1"/>
  <c r="R29" i="7"/>
  <c r="R30" i="7" s="1"/>
  <c r="R31" i="7" s="1"/>
  <c r="R32" i="7" s="1"/>
  <c r="R33" i="7" s="1"/>
  <c r="R34" i="7" s="1"/>
  <c r="R35" i="7" s="1"/>
  <c r="R36" i="7" s="1"/>
  <c r="R37" i="7" s="1"/>
  <c r="R38" i="7" s="1"/>
  <c r="R39" i="7" s="1"/>
  <c r="R40" i="7" s="1"/>
  <c r="R41" i="7" s="1"/>
  <c r="L29" i="7"/>
  <c r="L30" i="7" s="1"/>
  <c r="L31" i="7" s="1"/>
  <c r="L32" i="7" s="1"/>
  <c r="L33" i="7" s="1"/>
  <c r="L34" i="7" s="1"/>
  <c r="L35" i="7" s="1"/>
  <c r="L36" i="7" s="1"/>
  <c r="L37" i="7" s="1"/>
  <c r="L38" i="7" s="1"/>
  <c r="L39" i="7" s="1"/>
  <c r="L40" i="7" s="1"/>
  <c r="L41" i="7" s="1"/>
  <c r="I29" i="7"/>
  <c r="I30" i="7" s="1"/>
  <c r="I31" i="7" s="1"/>
  <c r="I32" i="7" s="1"/>
  <c r="I33" i="7" s="1"/>
  <c r="I34" i="7" s="1"/>
  <c r="I35" i="7" s="1"/>
  <c r="I36" i="7" s="1"/>
  <c r="I37" i="7" s="1"/>
  <c r="I38" i="7" s="1"/>
  <c r="I39" i="7" s="1"/>
  <c r="I40" i="7" s="1"/>
  <c r="I41" i="7" s="1"/>
  <c r="C29" i="7"/>
  <c r="C30" i="7" s="1"/>
  <c r="C31" i="7" s="1"/>
  <c r="C32" i="7" s="1"/>
  <c r="C33" i="7" s="1"/>
  <c r="C34" i="7" s="1"/>
  <c r="C35" i="7" s="1"/>
  <c r="C36" i="7" s="1"/>
  <c r="C37" i="7" s="1"/>
  <c r="C38" i="7" s="1"/>
  <c r="C39" i="7" s="1"/>
  <c r="C40" i="7" s="1"/>
  <c r="C41" i="7" s="1"/>
  <c r="F29" i="7"/>
  <c r="F30" i="7" s="1"/>
  <c r="F31" i="7" s="1"/>
  <c r="F32" i="7" s="1"/>
  <c r="F33" i="7" s="1"/>
  <c r="F34" i="7" s="1"/>
  <c r="F35" i="7" s="1"/>
  <c r="F36" i="7" s="1"/>
  <c r="F37" i="7" s="1"/>
  <c r="F38" i="7" s="1"/>
  <c r="F39" i="7" s="1"/>
  <c r="F40" i="7" s="1"/>
  <c r="F41" i="7" s="1"/>
  <c r="O29" i="7"/>
  <c r="O30" i="7" s="1"/>
  <c r="O31" i="7" s="1"/>
  <c r="O32" i="7" s="1"/>
  <c r="O33" i="7" s="1"/>
  <c r="O34" i="7" s="1"/>
  <c r="O35" i="7" s="1"/>
  <c r="O36" i="7" s="1"/>
  <c r="O37" i="7" s="1"/>
  <c r="O38" i="7" s="1"/>
  <c r="O39" i="7" s="1"/>
  <c r="O40" i="7" s="1"/>
  <c r="O41" i="7" s="1"/>
  <c r="BE30" i="7"/>
  <c r="BE31" i="7" s="1"/>
  <c r="BE32" i="7" s="1"/>
  <c r="BE33" i="7" s="1"/>
  <c r="BE34" i="7" s="1"/>
  <c r="BE35" i="7" s="1"/>
  <c r="BE36" i="7" s="1"/>
  <c r="BE37" i="7" s="1"/>
  <c r="BE38" i="7" s="1"/>
  <c r="BE39" i="7" s="1"/>
  <c r="BE40" i="7" s="1"/>
  <c r="BE41" i="7" s="1"/>
  <c r="BE29" i="7"/>
  <c r="BB30" i="7"/>
  <c r="BB31" i="7" s="1"/>
  <c r="BB32" i="7" s="1"/>
  <c r="BB33" i="7" s="1"/>
  <c r="BB34" i="7" s="1"/>
  <c r="BB35" i="7" s="1"/>
  <c r="BB36" i="7" s="1"/>
  <c r="BB37" i="7" s="1"/>
  <c r="BB38" i="7" s="1"/>
  <c r="BB39" i="7" s="1"/>
  <c r="BB40" i="7" s="1"/>
  <c r="BB41" i="7" s="1"/>
  <c r="BB29" i="7"/>
  <c r="AY30" i="7"/>
  <c r="AY31" i="7" s="1"/>
  <c r="AY32" i="7" s="1"/>
  <c r="AY33" i="7" s="1"/>
  <c r="AY34" i="7" s="1"/>
  <c r="AY35" i="7" s="1"/>
  <c r="AY36" i="7" s="1"/>
  <c r="AY37" i="7" s="1"/>
  <c r="AY38" i="7" s="1"/>
  <c r="AY39" i="7" s="1"/>
  <c r="AY40" i="7" s="1"/>
  <c r="AY41" i="7" s="1"/>
  <c r="AY29" i="7"/>
  <c r="AV30" i="7"/>
  <c r="AV31" i="7" s="1"/>
  <c r="AV32" i="7" s="1"/>
  <c r="AV33" i="7" s="1"/>
  <c r="AV34" i="7" s="1"/>
  <c r="AV35" i="7" s="1"/>
  <c r="AV36" i="7" s="1"/>
  <c r="AV37" i="7" s="1"/>
  <c r="AV38" i="7" s="1"/>
  <c r="AV39" i="7" s="1"/>
  <c r="AV40" i="7" s="1"/>
  <c r="AV41" i="7" s="1"/>
  <c r="AV29" i="7"/>
  <c r="AS30" i="7"/>
  <c r="AS31" i="7" s="1"/>
  <c r="AS32" i="7" s="1"/>
  <c r="AS33" i="7" s="1"/>
  <c r="AS34" i="7" s="1"/>
  <c r="AS35" i="7" s="1"/>
  <c r="AS36" i="7" s="1"/>
  <c r="AS37" i="7" s="1"/>
  <c r="AS38" i="7" s="1"/>
  <c r="AS39" i="7" s="1"/>
  <c r="AS40" i="7" s="1"/>
  <c r="AS41" i="7" s="1"/>
  <c r="AS29" i="7"/>
  <c r="AP30" i="7"/>
  <c r="AP31" i="7" s="1"/>
  <c r="AP32" i="7" s="1"/>
  <c r="AP33" i="7" s="1"/>
  <c r="AP34" i="7" s="1"/>
  <c r="AP35" i="7" s="1"/>
  <c r="AP36" i="7" s="1"/>
  <c r="AP37" i="7" s="1"/>
  <c r="AP38" i="7" s="1"/>
  <c r="AP39" i="7" s="1"/>
  <c r="AP40" i="7" s="1"/>
  <c r="AP41" i="7" s="1"/>
  <c r="AP29" i="7"/>
  <c r="AM30" i="7"/>
  <c r="AM31" i="7" s="1"/>
  <c r="AM32" i="7" s="1"/>
  <c r="AM33" i="7" s="1"/>
  <c r="AM34" i="7" s="1"/>
  <c r="AM35" i="7" s="1"/>
  <c r="AM36" i="7" s="1"/>
  <c r="AM37" i="7" s="1"/>
  <c r="AM38" i="7" s="1"/>
  <c r="AM39" i="7" s="1"/>
  <c r="AM40" i="7" s="1"/>
  <c r="AM41" i="7" s="1"/>
  <c r="AM29" i="7"/>
  <c r="AJ30" i="7"/>
  <c r="AJ31" i="7" s="1"/>
  <c r="AJ32" i="7" s="1"/>
  <c r="AJ33" i="7" s="1"/>
  <c r="AJ34" i="7" s="1"/>
  <c r="AJ35" i="7" s="1"/>
  <c r="AJ36" i="7" s="1"/>
  <c r="AJ37" i="7" s="1"/>
  <c r="AJ38" i="7" s="1"/>
  <c r="AJ39" i="7" s="1"/>
  <c r="AJ40" i="7" s="1"/>
  <c r="AJ41" i="7" s="1"/>
  <c r="AJ29" i="7"/>
  <c r="AG30" i="7"/>
  <c r="AG31" i="7" s="1"/>
  <c r="AG32" i="7" s="1"/>
  <c r="AG33" i="7" s="1"/>
  <c r="AG34" i="7" s="1"/>
  <c r="AG35" i="7" s="1"/>
  <c r="AG36" i="7" s="1"/>
  <c r="AG37" i="7" s="1"/>
  <c r="AG38" i="7" s="1"/>
  <c r="AG39" i="7" s="1"/>
  <c r="AG40" i="7" s="1"/>
  <c r="AG41" i="7" s="1"/>
  <c r="AG29" i="7"/>
  <c r="AD30" i="7"/>
  <c r="AD31" i="7" s="1"/>
  <c r="AD32" i="7" s="1"/>
  <c r="AD33" i="7" s="1"/>
  <c r="AD34" i="7" s="1"/>
  <c r="AD35" i="7" s="1"/>
  <c r="AD36" i="7" s="1"/>
  <c r="AD37" i="7" s="1"/>
  <c r="AD38" i="7" s="1"/>
  <c r="AD39" i="7" s="1"/>
  <c r="AD40" i="7" s="1"/>
  <c r="AD41" i="7" s="1"/>
  <c r="AD29" i="7"/>
  <c r="AA30" i="7"/>
  <c r="AA31" i="7" s="1"/>
  <c r="AA32" i="7" s="1"/>
  <c r="AA33" i="7" s="1"/>
  <c r="AA34" i="7" s="1"/>
  <c r="AA35" i="7" s="1"/>
  <c r="AA36" i="7" s="1"/>
  <c r="AA37" i="7" s="1"/>
  <c r="AA38" i="7" s="1"/>
  <c r="AA39" i="7" s="1"/>
  <c r="AA40" i="7" s="1"/>
  <c r="AA41" i="7" s="1"/>
  <c r="AA29" i="7"/>
  <c r="X41" i="7"/>
  <c r="X31" i="7"/>
  <c r="X32" i="7" s="1"/>
  <c r="X33" i="7" s="1"/>
  <c r="X34" i="7" s="1"/>
  <c r="X35" i="7" s="1"/>
  <c r="X36" i="7" s="1"/>
  <c r="X37" i="7" s="1"/>
  <c r="X38" i="7" s="1"/>
  <c r="X39" i="7" s="1"/>
  <c r="X40" i="7" s="1"/>
  <c r="X30" i="7"/>
  <c r="X29" i="7"/>
  <c r="AO41" i="7"/>
  <c r="AR41" i="7"/>
  <c r="AU41" i="7"/>
  <c r="AX41" i="7"/>
  <c r="BA41" i="7"/>
  <c r="BD41" i="7"/>
  <c r="E41" i="7"/>
  <c r="H41" i="7"/>
  <c r="K41" i="7"/>
  <c r="N41" i="7"/>
  <c r="Q41" i="7"/>
  <c r="T41" i="7"/>
  <c r="W41" i="7"/>
  <c r="Z41" i="7"/>
  <c r="AC41" i="7"/>
  <c r="AF41" i="7"/>
  <c r="AI41" i="7"/>
  <c r="AL41" i="7"/>
  <c r="B41" i="7" l="1"/>
  <c r="Y40" i="5" l="1"/>
  <c r="V40" i="5"/>
  <c r="S40" i="5"/>
  <c r="P40" i="5"/>
  <c r="BE29" i="5"/>
  <c r="BE30" i="5"/>
  <c r="BE31" i="5"/>
  <c r="BE32" i="5"/>
  <c r="BE33" i="5"/>
  <c r="BE34" i="5"/>
  <c r="BE35" i="5"/>
  <c r="BE36" i="5"/>
  <c r="BE37" i="5"/>
  <c r="BE38" i="5"/>
  <c r="BE39" i="5"/>
  <c r="BE28" i="5"/>
  <c r="BB29" i="5"/>
  <c r="BB30" i="5"/>
  <c r="BB31" i="5"/>
  <c r="BB32" i="5"/>
  <c r="BB33" i="5"/>
  <c r="BB34" i="5"/>
  <c r="BB35" i="5"/>
  <c r="BB36" i="5"/>
  <c r="BB37" i="5"/>
  <c r="BB38" i="5"/>
  <c r="BB39" i="5"/>
  <c r="BB40" i="5" s="1"/>
  <c r="BB28" i="5"/>
  <c r="AY29" i="5"/>
  <c r="AY30" i="5"/>
  <c r="AY31" i="5"/>
  <c r="AY32" i="5"/>
  <c r="AY33" i="5"/>
  <c r="AY34" i="5"/>
  <c r="AY35" i="5"/>
  <c r="AY36" i="5"/>
  <c r="AY37" i="5"/>
  <c r="AY38" i="5"/>
  <c r="AY39" i="5"/>
  <c r="AY40" i="5" s="1"/>
  <c r="AY28" i="5"/>
  <c r="AV29" i="5"/>
  <c r="AV30" i="5"/>
  <c r="AV31" i="5"/>
  <c r="AV32" i="5"/>
  <c r="AV33" i="5"/>
  <c r="AV34" i="5"/>
  <c r="AV35" i="5"/>
  <c r="AV36" i="5"/>
  <c r="AV37" i="5"/>
  <c r="AV38" i="5"/>
  <c r="AV39" i="5"/>
  <c r="AV40" i="5"/>
  <c r="AV28" i="5"/>
  <c r="AS29" i="5"/>
  <c r="AS30" i="5"/>
  <c r="AS31" i="5"/>
  <c r="AS32" i="5"/>
  <c r="AS33" i="5"/>
  <c r="AS34" i="5"/>
  <c r="AS35" i="5"/>
  <c r="AS36" i="5"/>
  <c r="AS37" i="5"/>
  <c r="AS38" i="5"/>
  <c r="AS39" i="5"/>
  <c r="AS40" i="5"/>
  <c r="AS28" i="5"/>
  <c r="AP29" i="5"/>
  <c r="AP30" i="5"/>
  <c r="AP31" i="5"/>
  <c r="AP32" i="5"/>
  <c r="AP33" i="5"/>
  <c r="AP34" i="5"/>
  <c r="AP35" i="5"/>
  <c r="AP36" i="5"/>
  <c r="AP37" i="5"/>
  <c r="AP38" i="5"/>
  <c r="AP39" i="5"/>
  <c r="AP40" i="5" s="1"/>
  <c r="AP28" i="5"/>
  <c r="AM29" i="5"/>
  <c r="AM30" i="5"/>
  <c r="AM31" i="5"/>
  <c r="AM32" i="5"/>
  <c r="AM33" i="5"/>
  <c r="AM34" i="5"/>
  <c r="AM35" i="5"/>
  <c r="AM36" i="5"/>
  <c r="AM37" i="5"/>
  <c r="AM38" i="5"/>
  <c r="AM39" i="5"/>
  <c r="AM40" i="5" s="1"/>
  <c r="AM28" i="5"/>
  <c r="AJ29" i="5"/>
  <c r="AJ30" i="5"/>
  <c r="AJ31" i="5"/>
  <c r="AJ32" i="5"/>
  <c r="AJ33" i="5"/>
  <c r="AJ34" i="5"/>
  <c r="AJ35" i="5"/>
  <c r="AJ36" i="5"/>
  <c r="AJ37" i="5"/>
  <c r="AJ38" i="5"/>
  <c r="AJ39" i="5"/>
  <c r="AJ28" i="5"/>
  <c r="AG29" i="5"/>
  <c r="AG30" i="5"/>
  <c r="AG31" i="5"/>
  <c r="AG32" i="5"/>
  <c r="AG33" i="5"/>
  <c r="AG34" i="5"/>
  <c r="AG35" i="5"/>
  <c r="AG36" i="5"/>
  <c r="AG37" i="5"/>
  <c r="AG38" i="5"/>
  <c r="AG39" i="5"/>
  <c r="AG28" i="5"/>
  <c r="AD29" i="5"/>
  <c r="AD30" i="5"/>
  <c r="AD31" i="5"/>
  <c r="AD32" i="5"/>
  <c r="AD33" i="5"/>
  <c r="AD34" i="5"/>
  <c r="AD35" i="5"/>
  <c r="AD36" i="5"/>
  <c r="AD37" i="5"/>
  <c r="AD38" i="5"/>
  <c r="AD39" i="5"/>
  <c r="AD28" i="5"/>
  <c r="AA29" i="5"/>
  <c r="AA30" i="5"/>
  <c r="AA31" i="5"/>
  <c r="AA32" i="5"/>
  <c r="AA33" i="5"/>
  <c r="AA34" i="5"/>
  <c r="AA35" i="5"/>
  <c r="AA36" i="5"/>
  <c r="AA37" i="5"/>
  <c r="AA38" i="5"/>
  <c r="AA39" i="5"/>
  <c r="AA28" i="5"/>
  <c r="X29" i="5"/>
  <c r="X30" i="5"/>
  <c r="X31" i="5"/>
  <c r="X32" i="5"/>
  <c r="X33" i="5"/>
  <c r="X34" i="5"/>
  <c r="X35" i="5"/>
  <c r="X36" i="5"/>
  <c r="X37" i="5"/>
  <c r="X38" i="5"/>
  <c r="X39" i="5"/>
  <c r="X28" i="5"/>
  <c r="U29" i="5"/>
  <c r="U30" i="5"/>
  <c r="U31" i="5"/>
  <c r="U32" i="5"/>
  <c r="U33" i="5"/>
  <c r="U34" i="5"/>
  <c r="U35" i="5"/>
  <c r="U36" i="5"/>
  <c r="U37" i="5"/>
  <c r="U38" i="5"/>
  <c r="U39" i="5"/>
  <c r="U28" i="5"/>
  <c r="R29" i="5"/>
  <c r="R30" i="5"/>
  <c r="R31" i="5"/>
  <c r="R32" i="5"/>
  <c r="R33" i="5"/>
  <c r="R34" i="5"/>
  <c r="R35" i="5"/>
  <c r="R36" i="5"/>
  <c r="R37" i="5"/>
  <c r="R38" i="5"/>
  <c r="R39" i="5"/>
  <c r="R40" i="5" s="1"/>
  <c r="R28" i="5"/>
  <c r="O29" i="5"/>
  <c r="O30" i="5"/>
  <c r="O31" i="5"/>
  <c r="O32" i="5"/>
  <c r="O33" i="5"/>
  <c r="O34" i="5"/>
  <c r="O35" i="5"/>
  <c r="O36" i="5"/>
  <c r="O37" i="5"/>
  <c r="O38" i="5"/>
  <c r="O39" i="5"/>
  <c r="O40" i="5"/>
  <c r="O28" i="5"/>
  <c r="L29" i="5"/>
  <c r="L30" i="5"/>
  <c r="L31" i="5"/>
  <c r="L32" i="5"/>
  <c r="L33" i="5"/>
  <c r="L34" i="5"/>
  <c r="L35" i="5"/>
  <c r="L36" i="5"/>
  <c r="L37" i="5"/>
  <c r="L38" i="5"/>
  <c r="L39" i="5"/>
  <c r="L40" i="5"/>
  <c r="L28" i="5"/>
  <c r="I29" i="5"/>
  <c r="I30" i="5"/>
  <c r="I31" i="5"/>
  <c r="I32" i="5"/>
  <c r="I33" i="5"/>
  <c r="I34" i="5"/>
  <c r="I35" i="5"/>
  <c r="I36" i="5"/>
  <c r="I37" i="5"/>
  <c r="I38" i="5"/>
  <c r="I39" i="5"/>
  <c r="I28" i="5"/>
  <c r="F29" i="5"/>
  <c r="F30" i="5"/>
  <c r="F31" i="5"/>
  <c r="F32" i="5"/>
  <c r="F33" i="5"/>
  <c r="F34" i="5"/>
  <c r="F35" i="5"/>
  <c r="F36" i="5"/>
  <c r="F37" i="5"/>
  <c r="F38" i="5"/>
  <c r="F39" i="5"/>
  <c r="F40" i="5"/>
  <c r="F28" i="5"/>
  <c r="C29" i="5"/>
  <c r="C30" i="5"/>
  <c r="C31" i="5"/>
  <c r="C32" i="5"/>
  <c r="C33" i="5"/>
  <c r="C34" i="5"/>
  <c r="C35" i="5"/>
  <c r="C36" i="5"/>
  <c r="C37" i="5"/>
  <c r="C38" i="5"/>
  <c r="C39" i="5"/>
  <c r="C28" i="5"/>
  <c r="J9" i="5" a="1"/>
  <c r="J9" i="5" s="1"/>
  <c r="I40" i="5"/>
  <c r="E40" i="5"/>
  <c r="H40" i="5"/>
  <c r="K40" i="5"/>
  <c r="M40" i="5"/>
  <c r="N40" i="5"/>
  <c r="Q40" i="5"/>
  <c r="T40" i="5"/>
  <c r="W40" i="5"/>
  <c r="X40" i="5"/>
  <c r="Z40" i="5"/>
  <c r="AB40" i="5"/>
  <c r="AC40" i="5"/>
  <c r="AD40" i="5"/>
  <c r="AE40" i="5"/>
  <c r="AF40" i="5"/>
  <c r="AG40" i="5"/>
  <c r="AH40" i="5"/>
  <c r="AI40" i="5"/>
  <c r="AJ40" i="5"/>
  <c r="AK40" i="5"/>
  <c r="AL40" i="5"/>
  <c r="AN40" i="5"/>
  <c r="AO40" i="5"/>
  <c r="AQ40" i="5"/>
  <c r="AR40" i="5"/>
  <c r="AT40" i="5"/>
  <c r="AU40" i="5"/>
  <c r="AW40" i="5"/>
  <c r="AX40" i="5"/>
  <c r="AZ40" i="5"/>
  <c r="BA40" i="5"/>
  <c r="BC40" i="5"/>
  <c r="BD40" i="5"/>
  <c r="BE40" i="5"/>
  <c r="BF40" i="5"/>
  <c r="B40" i="5"/>
  <c r="AA40" i="5" l="1"/>
  <c r="BP40" i="6"/>
  <c r="BS29" i="6"/>
  <c r="BS30" i="6"/>
  <c r="BS31" i="6"/>
  <c r="BS32" i="6"/>
  <c r="BS33" i="6"/>
  <c r="BS34" i="6"/>
  <c r="BS35" i="6"/>
  <c r="BS36" i="6"/>
  <c r="BS37" i="6"/>
  <c r="BS38" i="6"/>
  <c r="BS39" i="6"/>
  <c r="BS40" i="6" s="1"/>
  <c r="BS28" i="6"/>
  <c r="BO29" i="6"/>
  <c r="BO30" i="6"/>
  <c r="BO31" i="6"/>
  <c r="BO32" i="6"/>
  <c r="BO33" i="6"/>
  <c r="BO34" i="6"/>
  <c r="BO35" i="6"/>
  <c r="BO36" i="6"/>
  <c r="BO37" i="6"/>
  <c r="BO38" i="6"/>
  <c r="BO39" i="6"/>
  <c r="BO40" i="6" s="1"/>
  <c r="BO28" i="6"/>
  <c r="BR40" i="6"/>
  <c r="BT40" i="6"/>
  <c r="BU40" i="6"/>
  <c r="BN40" i="6"/>
  <c r="BQ40" i="6"/>
  <c r="AQ29" i="6"/>
  <c r="AQ30" i="6"/>
  <c r="AQ31" i="6"/>
  <c r="AQ32" i="6"/>
  <c r="AQ33" i="6"/>
  <c r="AQ34" i="6"/>
  <c r="AQ35" i="6"/>
  <c r="AQ36" i="6"/>
  <c r="AQ37" i="6"/>
  <c r="AQ38" i="6"/>
  <c r="AQ39" i="6"/>
  <c r="AQ28" i="6"/>
  <c r="AE29" i="6"/>
  <c r="AE30" i="6"/>
  <c r="AE31" i="6"/>
  <c r="AE32" i="6"/>
  <c r="AE33" i="6"/>
  <c r="AE34" i="6"/>
  <c r="AE35" i="6"/>
  <c r="AE36" i="6"/>
  <c r="AE37" i="6"/>
  <c r="AE38" i="6"/>
  <c r="AE39" i="6"/>
  <c r="AE28" i="6"/>
  <c r="AA29" i="6"/>
  <c r="AA30" i="6"/>
  <c r="AA31" i="6"/>
  <c r="AA32" i="6"/>
  <c r="AA33" i="6"/>
  <c r="AA34" i="6"/>
  <c r="AA35" i="6"/>
  <c r="AA36" i="6"/>
  <c r="AA37" i="6"/>
  <c r="AA38" i="6"/>
  <c r="AA39" i="6"/>
  <c r="AA28" i="6"/>
  <c r="W29" i="6"/>
  <c r="W30" i="6"/>
  <c r="W31" i="6"/>
  <c r="W32" i="6"/>
  <c r="W33" i="6"/>
  <c r="W34" i="6"/>
  <c r="W35" i="6"/>
  <c r="W36" i="6"/>
  <c r="W37" i="6"/>
  <c r="W38" i="6"/>
  <c r="W39" i="6"/>
  <c r="W28" i="6"/>
  <c r="S29" i="6"/>
  <c r="S30" i="6"/>
  <c r="S31" i="6"/>
  <c r="S32" i="6"/>
  <c r="S33" i="6"/>
  <c r="S34" i="6"/>
  <c r="S35" i="6"/>
  <c r="S36" i="6"/>
  <c r="S37" i="6"/>
  <c r="S38" i="6"/>
  <c r="S39" i="6"/>
  <c r="S28" i="6"/>
  <c r="O29" i="6"/>
  <c r="O30" i="6"/>
  <c r="O31" i="6"/>
  <c r="O32" i="6"/>
  <c r="O33" i="6"/>
  <c r="O34" i="6"/>
  <c r="O35" i="6"/>
  <c r="O36" i="6"/>
  <c r="O37" i="6"/>
  <c r="O38" i="6"/>
  <c r="O39" i="6"/>
  <c r="O28" i="6"/>
  <c r="K29" i="6"/>
  <c r="K30" i="6"/>
  <c r="K31" i="6"/>
  <c r="K32" i="6"/>
  <c r="K33" i="6"/>
  <c r="K34" i="6"/>
  <c r="K35" i="6"/>
  <c r="K36" i="6"/>
  <c r="K37" i="6"/>
  <c r="K38" i="6"/>
  <c r="K39" i="6"/>
  <c r="K28" i="6"/>
  <c r="G29" i="6"/>
  <c r="G30" i="6"/>
  <c r="G31" i="6"/>
  <c r="G32" i="6"/>
  <c r="G33" i="6"/>
  <c r="G34" i="6"/>
  <c r="G35" i="6"/>
  <c r="G36" i="6"/>
  <c r="G37" i="6"/>
  <c r="G38" i="6"/>
  <c r="G39" i="6"/>
  <c r="G28" i="6"/>
  <c r="C39" i="6"/>
  <c r="C32" i="6"/>
  <c r="C31" i="6"/>
  <c r="C30" i="6"/>
  <c r="C29" i="6"/>
  <c r="C33" i="6"/>
  <c r="C34" i="6"/>
  <c r="C35" i="6"/>
  <c r="C36" i="6"/>
  <c r="C37" i="6"/>
  <c r="C38" i="6"/>
  <c r="C28" i="6"/>
  <c r="BK29" i="6"/>
  <c r="BK30" i="6"/>
  <c r="BK31" i="6"/>
  <c r="BK32" i="6"/>
  <c r="BK33" i="6"/>
  <c r="BK34" i="6"/>
  <c r="BK35" i="6"/>
  <c r="BK36" i="6"/>
  <c r="BK37" i="6"/>
  <c r="BK38" i="6"/>
  <c r="BK39" i="6"/>
  <c r="BK28" i="6"/>
  <c r="BG29" i="6"/>
  <c r="BG30" i="6"/>
  <c r="BG31" i="6"/>
  <c r="BG32" i="6"/>
  <c r="BG33" i="6"/>
  <c r="BG34" i="6"/>
  <c r="BG35" i="6"/>
  <c r="BG36" i="6"/>
  <c r="BG37" i="6"/>
  <c r="BG38" i="6"/>
  <c r="BG39" i="6"/>
  <c r="BG28" i="6"/>
  <c r="BC29" i="6"/>
  <c r="BC30" i="6"/>
  <c r="BC31" i="6"/>
  <c r="BC32" i="6"/>
  <c r="BC33" i="6"/>
  <c r="BC34" i="6"/>
  <c r="BC35" i="6"/>
  <c r="BC36" i="6"/>
  <c r="BC37" i="6"/>
  <c r="BC38" i="6"/>
  <c r="BC39" i="6"/>
  <c r="BC28" i="6"/>
  <c r="AY29" i="6"/>
  <c r="AY30" i="6"/>
  <c r="AY31" i="6"/>
  <c r="AY32" i="6"/>
  <c r="AY33" i="6"/>
  <c r="AY34" i="6"/>
  <c r="AY35" i="6"/>
  <c r="AY36" i="6"/>
  <c r="AY37" i="6"/>
  <c r="AY38" i="6"/>
  <c r="AY39" i="6"/>
  <c r="AY28" i="6"/>
  <c r="AU29" i="6"/>
  <c r="AU30" i="6"/>
  <c r="AU31" i="6"/>
  <c r="AU32" i="6"/>
  <c r="AU33" i="6"/>
  <c r="AU34" i="6"/>
  <c r="AU35" i="6"/>
  <c r="AU36" i="6"/>
  <c r="AU37" i="6"/>
  <c r="AU38" i="6"/>
  <c r="AU39" i="6"/>
  <c r="AU28" i="6"/>
  <c r="AM29" i="6"/>
  <c r="AM30" i="6"/>
  <c r="AM31" i="6"/>
  <c r="AM32" i="6"/>
  <c r="AM33" i="6"/>
  <c r="AM34" i="6"/>
  <c r="AM35" i="6"/>
  <c r="AM36" i="6"/>
  <c r="AM37" i="6"/>
  <c r="AM38" i="6"/>
  <c r="AM39" i="6"/>
  <c r="AM28" i="6"/>
  <c r="AI29" i="6"/>
  <c r="AI30" i="6"/>
  <c r="AI31" i="6"/>
  <c r="AI32" i="6"/>
  <c r="AI33" i="6"/>
  <c r="AI34" i="6"/>
  <c r="AI35" i="6"/>
  <c r="AI36" i="6"/>
  <c r="AI37" i="6"/>
  <c r="AI38" i="6"/>
  <c r="AI39" i="6"/>
  <c r="AI28" i="6"/>
  <c r="G40" i="6" l="1"/>
  <c r="AU40" i="6"/>
  <c r="AY40" i="6"/>
  <c r="BG40" i="6"/>
  <c r="BK40" i="6"/>
  <c r="F40" i="6"/>
  <c r="H40" i="6"/>
  <c r="I40" i="6"/>
  <c r="J40" i="6"/>
  <c r="L40" i="6"/>
  <c r="M40" i="6"/>
  <c r="N40" i="6"/>
  <c r="P40" i="6"/>
  <c r="Q40" i="6"/>
  <c r="R40" i="6"/>
  <c r="T40" i="6"/>
  <c r="U40" i="6"/>
  <c r="V40" i="6"/>
  <c r="X40" i="6"/>
  <c r="Y40" i="6"/>
  <c r="Z40" i="6"/>
  <c r="AB40" i="6"/>
  <c r="AC40" i="6"/>
  <c r="AD40" i="6"/>
  <c r="AF40" i="6"/>
  <c r="AG40" i="6"/>
  <c r="AH40" i="6"/>
  <c r="AJ40" i="6"/>
  <c r="AK40" i="6"/>
  <c r="AL40" i="6"/>
  <c r="AN40" i="6"/>
  <c r="AO40" i="6"/>
  <c r="AP40" i="6"/>
  <c r="AR40" i="6"/>
  <c r="AS40" i="6"/>
  <c r="AT40" i="6"/>
  <c r="AV40" i="6"/>
  <c r="AW40" i="6"/>
  <c r="AX40" i="6"/>
  <c r="AZ40" i="6"/>
  <c r="BA40" i="6"/>
  <c r="BB40" i="6"/>
  <c r="BD40" i="6"/>
  <c r="BE40" i="6"/>
  <c r="BF40" i="6"/>
  <c r="BH40" i="6"/>
  <c r="BI40" i="6"/>
  <c r="BJ40" i="6"/>
  <c r="BL40" i="6"/>
  <c r="BM40" i="6"/>
  <c r="C40" i="6"/>
  <c r="B40" i="6"/>
  <c r="E40" i="6"/>
  <c r="D40" i="6"/>
  <c r="W40" i="6" l="1"/>
  <c r="AE40" i="6"/>
  <c r="AA40" i="6"/>
  <c r="K40" i="6"/>
  <c r="BC40" i="6"/>
  <c r="AQ40" i="6"/>
  <c r="AM40" i="6"/>
  <c r="O40" i="6" l="1"/>
  <c r="S40" i="6" l="1"/>
  <c r="F20" i="5" l="1"/>
  <c r="K20" i="5" s="1"/>
  <c r="F19" i="5"/>
  <c r="K19" i="5" s="1"/>
  <c r="F18" i="5"/>
  <c r="K18" i="5" s="1"/>
  <c r="F9" i="5"/>
  <c r="F10" i="5" s="1"/>
  <c r="G11" i="6"/>
  <c r="O11" i="6" s="1"/>
  <c r="G12" i="6"/>
  <c r="O12" i="6" s="1"/>
  <c r="G13" i="6"/>
  <c r="O13" i="6" s="1"/>
  <c r="G14" i="6"/>
  <c r="O14" i="6" s="1"/>
  <c r="G15" i="6"/>
  <c r="O15" i="6" s="1"/>
  <c r="G16" i="6"/>
  <c r="O16" i="6" s="1"/>
  <c r="G17" i="6"/>
  <c r="O17" i="6" s="1"/>
  <c r="G18" i="6"/>
  <c r="O18" i="6" s="1"/>
  <c r="G19" i="6"/>
  <c r="O19" i="6" s="1"/>
  <c r="G20" i="6"/>
  <c r="O20" i="6" s="1"/>
  <c r="G10" i="6"/>
  <c r="O10" i="6" s="1"/>
  <c r="G9" i="6"/>
  <c r="E11" i="7"/>
  <c r="I11" i="7" s="1"/>
  <c r="E12" i="7"/>
  <c r="I12" i="7" s="1"/>
  <c r="E13" i="7"/>
  <c r="I13" i="7" s="1"/>
  <c r="E14" i="7"/>
  <c r="I14" i="7" s="1"/>
  <c r="E15" i="7"/>
  <c r="I15" i="7" s="1"/>
  <c r="E16" i="7"/>
  <c r="I16" i="7" s="1"/>
  <c r="E17" i="7"/>
  <c r="I17" i="7" s="1"/>
  <c r="E18" i="7"/>
  <c r="I18" i="7" s="1"/>
  <c r="E19" i="7"/>
  <c r="I19" i="7" s="1"/>
  <c r="E20" i="7"/>
  <c r="I20" i="7" s="1"/>
  <c r="E10" i="7"/>
  <c r="I10" i="7" s="1"/>
  <c r="E9" i="7"/>
  <c r="F11" i="5" l="1"/>
  <c r="O11" i="7"/>
  <c r="O12" i="7"/>
  <c r="O13" i="7"/>
  <c r="O14" i="7"/>
  <c r="O15" i="7"/>
  <c r="O16" i="7"/>
  <c r="O17" i="7"/>
  <c r="O18" i="7"/>
  <c r="O19" i="7"/>
  <c r="O20" i="7"/>
  <c r="O10" i="7"/>
  <c r="R10" i="7" s="1"/>
  <c r="O9" i="7"/>
  <c r="U11" i="6"/>
  <c r="X11" i="6" s="1"/>
  <c r="U12" i="6"/>
  <c r="X12" i="6" s="1"/>
  <c r="U13" i="6"/>
  <c r="X13" i="6" s="1"/>
  <c r="U14" i="6"/>
  <c r="X14" i="6" s="1"/>
  <c r="U15" i="6"/>
  <c r="X15" i="6" s="1"/>
  <c r="U16" i="6"/>
  <c r="X16" i="6" s="1"/>
  <c r="U17" i="6"/>
  <c r="X17" i="6" s="1"/>
  <c r="U18" i="6"/>
  <c r="X18" i="6" s="1"/>
  <c r="U19" i="6"/>
  <c r="X19" i="6" s="1"/>
  <c r="U20" i="6"/>
  <c r="X20" i="6" s="1"/>
  <c r="U10" i="6"/>
  <c r="X10" i="6" s="1"/>
  <c r="U9" i="6"/>
  <c r="P10" i="7"/>
  <c r="P9" i="7"/>
  <c r="N4" i="7"/>
  <c r="N3" i="7"/>
  <c r="N2" i="7"/>
  <c r="M9" i="7"/>
  <c r="M10" i="7" s="1"/>
  <c r="K11" i="5" l="1"/>
  <c r="F12" i="5"/>
  <c r="R9" i="7"/>
  <c r="N21" i="7"/>
  <c r="L21" i="7"/>
  <c r="L22" i="7" s="1"/>
  <c r="D21" i="7"/>
  <c r="B21" i="7"/>
  <c r="B22" i="7" s="1"/>
  <c r="P20" i="7"/>
  <c r="F20" i="7"/>
  <c r="P19" i="7"/>
  <c r="R19" i="7"/>
  <c r="F19" i="7"/>
  <c r="P18" i="7"/>
  <c r="R18" i="7"/>
  <c r="F18" i="7"/>
  <c r="P17" i="7"/>
  <c r="R17" i="7"/>
  <c r="F17" i="7"/>
  <c r="P16" i="7"/>
  <c r="R16" i="7"/>
  <c r="F16" i="7"/>
  <c r="P15" i="7"/>
  <c r="R15" i="7"/>
  <c r="F15" i="7"/>
  <c r="P14" i="7"/>
  <c r="R14" i="7"/>
  <c r="F14" i="7"/>
  <c r="P13" i="7"/>
  <c r="R13" i="7"/>
  <c r="F13" i="7"/>
  <c r="P12" i="7"/>
  <c r="R12" i="7"/>
  <c r="F12" i="7"/>
  <c r="P11" i="7"/>
  <c r="R11" i="7"/>
  <c r="F11" i="7"/>
  <c r="F10" i="7"/>
  <c r="Q9" i="7"/>
  <c r="Q10" i="7" s="1"/>
  <c r="M11" i="7"/>
  <c r="M12" i="7" s="1"/>
  <c r="M13" i="7" s="1"/>
  <c r="M14" i="7" s="1"/>
  <c r="M15" i="7" s="1"/>
  <c r="M16" i="7" s="1"/>
  <c r="M17" i="7" s="1"/>
  <c r="M18" i="7" s="1"/>
  <c r="M19" i="7" s="1"/>
  <c r="M20" i="7" s="1"/>
  <c r="F9" i="7"/>
  <c r="G9" i="7" s="1"/>
  <c r="C9" i="7"/>
  <c r="A8" i="7"/>
  <c r="H16" i="7" s="1"/>
  <c r="N4" i="6"/>
  <c r="N3" i="6"/>
  <c r="N2" i="6"/>
  <c r="K12" i="5" l="1"/>
  <c r="F13" i="5"/>
  <c r="Q11" i="7"/>
  <c r="Q12" i="7" s="1"/>
  <c r="Q13" i="7" s="1"/>
  <c r="Q14" i="7" s="1"/>
  <c r="Q15" i="7" s="1"/>
  <c r="Q16" i="7" s="1"/>
  <c r="Q17" i="7" s="1"/>
  <c r="Q18" i="7" s="1"/>
  <c r="Q19" i="7" s="1"/>
  <c r="Q20" i="7" s="1"/>
  <c r="G10" i="7"/>
  <c r="G11" i="7" s="1"/>
  <c r="G12" i="7" s="1"/>
  <c r="G13" i="7" s="1"/>
  <c r="G14" i="7" s="1"/>
  <c r="G15" i="7" s="1"/>
  <c r="G16" i="7" s="1"/>
  <c r="G17" i="7" s="1"/>
  <c r="G18" i="7" s="1"/>
  <c r="G19" i="7" s="1"/>
  <c r="G20" i="7" s="1"/>
  <c r="C10" i="7"/>
  <c r="C11" i="7" s="1"/>
  <c r="C12" i="7" s="1"/>
  <c r="C13" i="7" s="1"/>
  <c r="C14" i="7" s="1"/>
  <c r="C15" i="7" s="1"/>
  <c r="C16" i="7" s="1"/>
  <c r="C17" i="7" s="1"/>
  <c r="C18" i="7" s="1"/>
  <c r="C19" i="7" s="1"/>
  <c r="C20" i="7" s="1"/>
  <c r="I9" i="7"/>
  <c r="S2" i="7" s="1"/>
  <c r="F21" i="7"/>
  <c r="C21" i="7" s="1"/>
  <c r="C22" i="7" s="1"/>
  <c r="R20" i="7"/>
  <c r="P2" i="7" s="1"/>
  <c r="H15" i="7"/>
  <c r="H11" i="7"/>
  <c r="H10" i="7"/>
  <c r="H12" i="7"/>
  <c r="P21" i="7"/>
  <c r="M21" i="7" s="1"/>
  <c r="H13" i="7"/>
  <c r="H9" i="7"/>
  <c r="H20" i="7"/>
  <c r="K8" i="7"/>
  <c r="H14" i="7"/>
  <c r="H19" i="7"/>
  <c r="H18" i="7"/>
  <c r="H17" i="7"/>
  <c r="K13" i="5" l="1"/>
  <c r="F14" i="5"/>
  <c r="S4" i="7"/>
  <c r="T3" i="7"/>
  <c r="F22" i="7"/>
  <c r="D22" i="7" s="1"/>
  <c r="P4" i="7"/>
  <c r="Q3" i="7"/>
  <c r="P22" i="7"/>
  <c r="N22" i="7" s="1"/>
  <c r="M22" i="7"/>
  <c r="H21" i="7"/>
  <c r="S9" i="6"/>
  <c r="K14" i="5" l="1"/>
  <c r="F15" i="5"/>
  <c r="S10" i="6"/>
  <c r="S11" i="6" s="1"/>
  <c r="S12" i="6" s="1"/>
  <c r="S13" i="6" s="1"/>
  <c r="S14" i="6" s="1"/>
  <c r="S15" i="6" s="1"/>
  <c r="S16" i="6" s="1"/>
  <c r="S17" i="6" s="1"/>
  <c r="S18" i="6" s="1"/>
  <c r="S19" i="6" s="1"/>
  <c r="S20" i="6" s="1"/>
  <c r="X9" i="6"/>
  <c r="P2" i="6" s="1"/>
  <c r="C9" i="6"/>
  <c r="K15" i="5" l="1"/>
  <c r="F16" i="5"/>
  <c r="C10" i="6"/>
  <c r="C11" i="6" s="1"/>
  <c r="C12" i="6" s="1"/>
  <c r="C13" i="6" s="1"/>
  <c r="C14" i="6" s="1"/>
  <c r="C15" i="6" s="1"/>
  <c r="C16" i="6" s="1"/>
  <c r="C17" i="6" s="1"/>
  <c r="C18" i="6" s="1"/>
  <c r="C19" i="6" s="1"/>
  <c r="C20" i="6" s="1"/>
  <c r="O9" i="6"/>
  <c r="S2" i="6" s="1"/>
  <c r="P4" i="6"/>
  <c r="Q3" i="6"/>
  <c r="Q9" i="5"/>
  <c r="Q10" i="5" s="1"/>
  <c r="Q12" i="5"/>
  <c r="Q13" i="5"/>
  <c r="Q14" i="5"/>
  <c r="Q15" i="5"/>
  <c r="Q16" i="5"/>
  <c r="Q17" i="5"/>
  <c r="Q18" i="5"/>
  <c r="Q19" i="5"/>
  <c r="Q20" i="5"/>
  <c r="K16" i="5" l="1"/>
  <c r="F17" i="5"/>
  <c r="K17" i="5" s="1"/>
  <c r="T10" i="5"/>
  <c r="Q11" i="5"/>
  <c r="T11" i="5" s="1"/>
  <c r="T3" i="6"/>
  <c r="S4" i="6"/>
  <c r="N2" i="5"/>
  <c r="R9" i="5" l="1"/>
  <c r="S9" i="5" s="1"/>
  <c r="R10" i="5"/>
  <c r="C9" i="5"/>
  <c r="T12" i="5"/>
  <c r="T13" i="5"/>
  <c r="T14" i="5"/>
  <c r="T15" i="5"/>
  <c r="T16" i="5"/>
  <c r="T17" i="5"/>
  <c r="T18" i="5"/>
  <c r="T19" i="5"/>
  <c r="T20" i="5"/>
  <c r="C10" i="5" l="1"/>
  <c r="K9" i="5"/>
  <c r="S10" i="5"/>
  <c r="S2" i="5" l="1"/>
  <c r="T3" i="5" s="1"/>
  <c r="C11" i="5"/>
  <c r="C12" i="5" s="1"/>
  <c r="C13" i="5" s="1"/>
  <c r="C14" i="5" s="1"/>
  <c r="C15" i="5" s="1"/>
  <c r="C16" i="5" s="1"/>
  <c r="C17" i="5" s="1"/>
  <c r="C18" i="5" s="1"/>
  <c r="C19" i="5" s="1"/>
  <c r="C20" i="5" s="1"/>
  <c r="K10" i="5"/>
  <c r="O9" i="5"/>
  <c r="T9" i="5" s="1"/>
  <c r="N4" i="5"/>
  <c r="N3" i="5"/>
  <c r="D11" i="6"/>
  <c r="D12" i="6"/>
  <c r="D13" i="6"/>
  <c r="D14" i="6"/>
  <c r="D15" i="6"/>
  <c r="D16" i="6"/>
  <c r="D17" i="6"/>
  <c r="D18" i="6"/>
  <c r="D19" i="6"/>
  <c r="D20" i="6"/>
  <c r="D21" i="6" s="1"/>
  <c r="D10" i="6"/>
  <c r="I21" i="6"/>
  <c r="C27" i="12"/>
  <c r="D27" i="12"/>
  <c r="E27" i="12"/>
  <c r="F27" i="12"/>
  <c r="G27" i="12"/>
  <c r="H27" i="12"/>
  <c r="I27" i="12"/>
  <c r="J27" i="12"/>
  <c r="K27" i="12"/>
  <c r="L27" i="12"/>
  <c r="M27" i="12"/>
  <c r="N27" i="12"/>
  <c r="O27" i="12"/>
  <c r="P27" i="12"/>
  <c r="Q27" i="12"/>
  <c r="R27" i="12"/>
  <c r="S27" i="12"/>
  <c r="T27" i="12"/>
  <c r="B27" i="12"/>
  <c r="S4" i="5" l="1"/>
  <c r="O10" i="5"/>
  <c r="O11" i="5" s="1"/>
  <c r="O12" i="5" s="1"/>
  <c r="O13" i="5" s="1"/>
  <c r="O14" i="5" s="1"/>
  <c r="O15" i="5" s="1"/>
  <c r="O16" i="5" s="1"/>
  <c r="O17" i="5" s="1"/>
  <c r="O18" i="5" s="1"/>
  <c r="O19" i="5" s="1"/>
  <c r="O20" i="5" s="1"/>
  <c r="P2" i="5"/>
  <c r="A8" i="6"/>
  <c r="N9" i="6" s="1" a="1"/>
  <c r="N9" i="6" s="1"/>
  <c r="T21" i="6"/>
  <c r="R21" i="6"/>
  <c r="R22" i="6" s="1"/>
  <c r="F21" i="6"/>
  <c r="B21" i="6"/>
  <c r="B22" i="6" s="1"/>
  <c r="V20" i="6"/>
  <c r="K20" i="6"/>
  <c r="V19" i="6"/>
  <c r="K19" i="6"/>
  <c r="V18" i="6"/>
  <c r="K18" i="6"/>
  <c r="V17" i="6"/>
  <c r="K17" i="6"/>
  <c r="V16" i="6"/>
  <c r="K16" i="6"/>
  <c r="V15" i="6"/>
  <c r="K15" i="6"/>
  <c r="V14" i="6"/>
  <c r="K14" i="6"/>
  <c r="V13" i="6"/>
  <c r="K13" i="6"/>
  <c r="V12" i="6"/>
  <c r="K12" i="6"/>
  <c r="V11" i="6"/>
  <c r="K11" i="6"/>
  <c r="V10" i="6"/>
  <c r="K10" i="6"/>
  <c r="V9" i="6"/>
  <c r="W9" i="6" s="1"/>
  <c r="K9" i="6"/>
  <c r="L9" i="6" s="1"/>
  <c r="L10" i="6" l="1"/>
  <c r="L11" i="6" s="1"/>
  <c r="L12" i="6" s="1"/>
  <c r="L13" i="6" s="1"/>
  <c r="L14" i="6" s="1"/>
  <c r="L15" i="6" s="1"/>
  <c r="L16" i="6" s="1"/>
  <c r="L17" i="6" s="1"/>
  <c r="L18" i="6" s="1"/>
  <c r="L19" i="6" s="1"/>
  <c r="L20" i="6" s="1"/>
  <c r="J9" i="6"/>
  <c r="J16" i="6"/>
  <c r="J18" i="6"/>
  <c r="J17" i="6"/>
  <c r="J15" i="6"/>
  <c r="J20" i="6"/>
  <c r="J12" i="6"/>
  <c r="J13" i="6"/>
  <c r="J10" i="6"/>
  <c r="J11" i="6"/>
  <c r="J14" i="6"/>
  <c r="J19" i="6"/>
  <c r="W10" i="6"/>
  <c r="W11" i="6" s="1"/>
  <c r="W12" i="6" s="1"/>
  <c r="W13" i="6" s="1"/>
  <c r="W14" i="6" s="1"/>
  <c r="W15" i="6" s="1"/>
  <c r="W16" i="6" s="1"/>
  <c r="W17" i="6" s="1"/>
  <c r="W18" i="6" s="1"/>
  <c r="W19" i="6" s="1"/>
  <c r="W20" i="6" s="1"/>
  <c r="P4" i="5"/>
  <c r="Q3" i="5"/>
  <c r="Q8" i="6"/>
  <c r="M20" i="6"/>
  <c r="M16" i="6"/>
  <c r="M12" i="6"/>
  <c r="M15" i="6"/>
  <c r="M19" i="6"/>
  <c r="M11" i="6"/>
  <c r="M18" i="6"/>
  <c r="M14" i="6"/>
  <c r="M10" i="6"/>
  <c r="M17" i="6"/>
  <c r="M13" i="6"/>
  <c r="M9" i="6"/>
  <c r="E9" i="6" s="1"/>
  <c r="K21" i="6"/>
  <c r="V21" i="6"/>
  <c r="A8" i="5"/>
  <c r="V22" i="6" l="1"/>
  <c r="T22" i="6" s="1"/>
  <c r="S21" i="6"/>
  <c r="S22" i="6" s="1"/>
  <c r="K22" i="6"/>
  <c r="F22" i="6" s="1"/>
  <c r="C21" i="6"/>
  <c r="C22" i="6" s="1"/>
  <c r="H12" i="6"/>
  <c r="E16" i="6"/>
  <c r="E17" i="6"/>
  <c r="E18" i="6"/>
  <c r="E19" i="6"/>
  <c r="E20" i="6"/>
  <c r="E10" i="6"/>
  <c r="E11" i="6"/>
  <c r="E12" i="6"/>
  <c r="E13" i="6"/>
  <c r="E14" i="6"/>
  <c r="E15" i="6"/>
  <c r="J21" i="6"/>
  <c r="M8" i="5"/>
  <c r="H11" i="6"/>
  <c r="H15" i="6"/>
  <c r="H19" i="6"/>
  <c r="H17" i="6"/>
  <c r="H18" i="6"/>
  <c r="H16" i="6"/>
  <c r="H20" i="6"/>
  <c r="H13" i="6"/>
  <c r="H10" i="6"/>
  <c r="H14" i="6"/>
  <c r="H9" i="6"/>
  <c r="M21" i="6"/>
  <c r="G9" i="5" l="1"/>
  <c r="D11" i="5"/>
  <c r="D15" i="5"/>
  <c r="D19" i="5"/>
  <c r="G20" i="5"/>
  <c r="G14" i="5"/>
  <c r="G18" i="5"/>
  <c r="D12" i="5"/>
  <c r="D16" i="5"/>
  <c r="G11" i="5"/>
  <c r="G15" i="5"/>
  <c r="G19" i="5"/>
  <c r="D13" i="5"/>
  <c r="D17" i="5"/>
  <c r="G12" i="5"/>
  <c r="G16" i="5"/>
  <c r="D14" i="5"/>
  <c r="G13" i="5"/>
  <c r="G17" i="5"/>
  <c r="D20" i="5"/>
  <c r="D21" i="5" s="1"/>
  <c r="D10" i="5"/>
  <c r="G10" i="5"/>
  <c r="D18" i="5"/>
  <c r="D9" i="5"/>
  <c r="H21" i="6"/>
  <c r="H22" i="6" s="1"/>
  <c r="J21" i="5"/>
  <c r="R20" i="5"/>
  <c r="R19" i="5"/>
  <c r="R18" i="5"/>
  <c r="R17" i="5"/>
  <c r="R16" i="5"/>
  <c r="R15" i="5"/>
  <c r="R14" i="5"/>
  <c r="R13" i="5"/>
  <c r="R12" i="5"/>
  <c r="R11" i="5"/>
  <c r="S11" i="5" s="1"/>
  <c r="H10" i="5"/>
  <c r="H11" i="5"/>
  <c r="H12" i="5"/>
  <c r="H13" i="5"/>
  <c r="H14" i="5"/>
  <c r="H15" i="5"/>
  <c r="H16" i="5"/>
  <c r="H17" i="5"/>
  <c r="H18" i="5"/>
  <c r="H19" i="5"/>
  <c r="H20" i="5"/>
  <c r="H9" i="5"/>
  <c r="I9" i="5" s="1"/>
  <c r="S12" i="5" l="1"/>
  <c r="S13" i="5" s="1"/>
  <c r="S14" i="5" s="1"/>
  <c r="S15" i="5" s="1"/>
  <c r="S16" i="5" s="1"/>
  <c r="S17" i="5" s="1"/>
  <c r="S18" i="5" s="1"/>
  <c r="S19" i="5" s="1"/>
  <c r="S20" i="5" s="1"/>
  <c r="I10" i="5"/>
  <c r="I11" i="5" s="1"/>
  <c r="I12" i="5" s="1"/>
  <c r="I13" i="5" s="1"/>
  <c r="I14" i="5" s="1"/>
  <c r="I15" i="5" s="1"/>
  <c r="I16" i="5" s="1"/>
  <c r="I17" i="5" s="1"/>
  <c r="I18" i="5" s="1"/>
  <c r="I19" i="5" s="1"/>
  <c r="I20" i="5" s="1"/>
  <c r="G21" i="5"/>
  <c r="D22" i="5" s="1"/>
  <c r="H21" i="5"/>
  <c r="R21" i="5"/>
  <c r="P21" i="5" l="1"/>
  <c r="E21" i="5"/>
  <c r="N21" i="5"/>
  <c r="N22" i="5" s="1"/>
  <c r="B21" i="5"/>
  <c r="C21" i="5" s="1"/>
  <c r="C22" i="5" s="1"/>
  <c r="O21" i="5" l="1"/>
  <c r="O22" i="5" s="1"/>
  <c r="R22" i="5"/>
  <c r="B22" i="5"/>
  <c r="G22" i="5" s="1"/>
  <c r="H22" i="5"/>
  <c r="E22" i="5" l="1"/>
  <c r="P22" i="5"/>
  <c r="AI40" i="6"/>
  <c r="C40" i="5"/>
  <c r="U40" i="5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<sst xmlns="http://schemas.openxmlformats.org/spreadsheetml/2006/main" count="470" uniqueCount="86">
  <si>
    <t>1. Context : D'où partons-nous ?</t>
  </si>
  <si>
    <t>2. Objectifs</t>
  </si>
  <si>
    <t>3. Résultats</t>
  </si>
  <si>
    <t>3.1 Electricité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</si>
  <si>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</si>
  <si>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</si>
  <si>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</si>
  <si>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</si>
  <si>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</si>
  <si>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</si>
  <si>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</si>
  <si>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</si>
  <si>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</si>
  <si>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</si>
  <si>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</si>
  <si>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</si>
  <si>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Nombre de jour travaillé</t>
  </si>
  <si>
    <t>TOTAL</t>
  </si>
  <si>
    <t>Année</t>
  </si>
  <si>
    <t>7. Administratif</t>
  </si>
  <si>
    <t>ANNUEL</t>
  </si>
  <si>
    <t>Atterissage</t>
  </si>
  <si>
    <t>Budget Euro</t>
  </si>
  <si>
    <t>ECART</t>
  </si>
  <si>
    <t>ANNÉE</t>
  </si>
  <si>
    <t>Budget Conso
(kWh)</t>
  </si>
  <si>
    <t>Conso
(kWh)</t>
  </si>
  <si>
    <t>Conso Cumulée
(kWh/Jtr)</t>
  </si>
  <si>
    <t>Historique ELEC</t>
  </si>
  <si>
    <t>Type</t>
  </si>
  <si>
    <t>MWh</t>
  </si>
  <si>
    <t>MWh/Jtr</t>
  </si>
  <si>
    <t>Coût</t>
  </si>
  <si>
    <t>Historique GAZ</t>
  </si>
  <si>
    <t>Jtr</t>
  </si>
  <si>
    <t>Coût ELEC</t>
  </si>
  <si>
    <t>Consommation ELEC</t>
  </si>
  <si>
    <t>Ratio (Wh/m²/DJU)</t>
  </si>
  <si>
    <t>Budget Ratio (Wh/m²/DJU)</t>
  </si>
  <si>
    <t>Consommation GAZ</t>
  </si>
  <si>
    <t>Coût GAZ</t>
  </si>
  <si>
    <r>
      <t>SURFACE (</t>
    </r>
    <r>
      <rPr>
        <sz val="20"/>
        <color rgb="FFFF0000"/>
        <rFont val="Calibri"/>
        <family val="2"/>
        <scheme val="minor"/>
      </rPr>
      <t>rouge = changement surface</t>
    </r>
    <r>
      <rPr>
        <sz val="20"/>
        <color theme="1"/>
        <rFont val="Calibri"/>
        <family val="2"/>
        <scheme val="minor"/>
      </rPr>
      <t>)</t>
    </r>
  </si>
  <si>
    <t>Surface</t>
  </si>
  <si>
    <t>DJU</t>
  </si>
  <si>
    <t>z</t>
  </si>
  <si>
    <t>Conso (kWh/Jtr)</t>
  </si>
  <si>
    <t>Valeur</t>
  </si>
  <si>
    <t>Normal</t>
  </si>
  <si>
    <t>Attention</t>
  </si>
  <si>
    <t>Dépassement</t>
  </si>
  <si>
    <t>Aveugle</t>
  </si>
  <si>
    <t>Fabrication graphique</t>
  </si>
  <si>
    <t>Epaisseur</t>
  </si>
  <si>
    <t>Aveugle 1</t>
  </si>
  <si>
    <t>Aveugle 2</t>
  </si>
  <si>
    <t>Budget cumulé</t>
  </si>
  <si>
    <t>Ratio</t>
  </si>
  <si>
    <t>Graphique</t>
  </si>
  <si>
    <t>Conso</t>
  </si>
  <si>
    <t>Pour aiguille</t>
  </si>
  <si>
    <t>Budget Ratio cumulé (Wh/m²/DJU)</t>
  </si>
  <si>
    <t>Budget Cumulé
(kWh)</t>
  </si>
  <si>
    <t>Budget Conso cumulé (kWh)</t>
  </si>
  <si>
    <t>Budget Ratio
(kWh/Jtr)</t>
  </si>
  <si>
    <t>Budget cumulé (€)</t>
  </si>
  <si>
    <t>Budget (€)</t>
  </si>
  <si>
    <t>Coût cumulé (€)</t>
  </si>
  <si>
    <t>Coût (€)</t>
  </si>
  <si>
    <t>3.2 GAZ</t>
  </si>
  <si>
    <t>3.3 EAU</t>
  </si>
  <si>
    <t>Atterrissage cumulé</t>
  </si>
  <si>
    <t>Consommation EAU</t>
  </si>
  <si>
    <t>Coût EAU</t>
  </si>
  <si>
    <t>Budget Conso
(m3)</t>
  </si>
  <si>
    <t>Budget Conso cumulé (m3)</t>
  </si>
  <si>
    <t>Ratio
cumulé</t>
  </si>
  <si>
    <t>Conso Cumulé (m3)</t>
  </si>
  <si>
    <t>Conso Cumulé (kWh)</t>
  </si>
  <si>
    <t>Atterrisage
cumulé</t>
  </si>
  <si>
    <t>Tableau de bord - BP</t>
  </si>
  <si>
    <t>Wh/m²/DJU</t>
  </si>
  <si>
    <t>m3</t>
  </si>
  <si>
    <t>m3 cumulé</t>
  </si>
  <si>
    <t>ELEC</t>
  </si>
  <si>
    <t>GAZ</t>
  </si>
  <si>
    <t>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</si>
</sst>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\ &quot;€&quot;"/>
    <numFmt numFmtId="165" formatCode="0.0%"/>
    <numFmt numFmtId="166" formatCode="_-* #,##0\ &quot;€&quot;_-;\-* #,##0\ &quot;€&quot;_-;_-* &quot;-&quot;??\ &quot;€&quot;_-;_-@_-"/>
    <numFmt numFmtId="167" formatCode="#,##0.00\ &quot;€&quot;"/>
  </numFmts>
  <fonts count="25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2"/>
      <color theme="1"/>
      <name val="Peugeot Style"/>
    </font>
    <font>
      <sz val="36"/>
      <color theme="1"/>
      <name val="Peugeot Style"/>
    </font>
    <font>
      <sz val="24"/>
      <color rgb="FF000000"/>
      <name val="Peugeot"/>
    </font>
    <font>
      <b/>
      <sz val="48"/>
      <color theme="1"/>
      <name val="Peugeot Style"/>
    </font>
    <font>
      <b/>
      <sz val="16"/>
      <color theme="0"/>
      <name val="Calibri"/>
      <family val="2"/>
      <scheme val="minor"/>
    </font>
    <font>
      <sz val="26"/>
      <name val="Calibri"/>
      <family val="2"/>
      <scheme val="minor"/>
    </font>
    <font>
      <sz val="16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59999389629810485"/>
        <bgColor theme="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theme="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9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24" fillId="0" borderId="0"/>
  </cellStyleXfs>
  <cellXfs count="255">
    <xf numFmtId="0" fontId="0" fillId="0" borderId="0" xfId="0"/>
    <xf numFmtId="0" fontId="0" fillId="2" borderId="0" xfId="0" applyFill="1"/>
    <xf numFmtId="0" fontId="0" fillId="2" borderId="0" xfId="0" applyFont="1" applyFill="1"/>
    <xf numFmtId="0" fontId="0" fillId="0" borderId="0" xfId="0" applyFill="1"/>
    <xf numFmtId="0" fontId="0" fillId="0" borderId="0" xfId="0" applyFill="1" applyBorder="1" applyAlignment="1"/>
    <xf numFmtId="0" fontId="2" fillId="0" borderId="0" xfId="0" applyFont="1" applyFill="1" applyBorder="1" applyAlignment="1">
      <alignment vertical="top"/>
    </xf>
    <xf numFmtId="0" fontId="0" fillId="0" borderId="0" xfId="0" applyFill="1" applyBorder="1" applyAlignment="1">
      <alignment vertical="top"/>
    </xf>
    <xf numFmtId="0" fontId="0" fillId="0" borderId="0" xfId="0" applyFill="1" applyBorder="1"/>
    <xf numFmtId="0" fontId="6" fillId="6" borderId="9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3" fontId="3" fillId="0" borderId="0" xfId="0" applyNumberFormat="1" applyFont="1" applyFill="1" applyBorder="1" applyAlignment="1">
      <alignment vertical="center"/>
    </xf>
    <xf numFmtId="3" fontId="7" fillId="7" borderId="9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vertical="center"/>
    </xf>
    <xf numFmtId="0" fontId="0" fillId="2" borderId="9" xfId="0" applyFill="1" applyBorder="1" applyAlignment="1">
      <alignment horizontal="center" vertical="center"/>
    </xf>
    <xf numFmtId="3" fontId="9" fillId="2" borderId="9" xfId="0" applyNumberFormat="1" applyFont="1" applyFill="1" applyBorder="1" applyAlignment="1">
      <alignment horizontal="right" vertical="center"/>
    </xf>
    <xf numFmtId="10" fontId="0" fillId="2" borderId="9" xfId="1" applyNumberFormat="1" applyFont="1" applyFill="1" applyBorder="1"/>
    <xf numFmtId="10" fontId="0" fillId="0" borderId="0" xfId="0" applyNumberFormat="1"/>
    <xf numFmtId="9" fontId="0" fillId="2" borderId="9" xfId="0" applyNumberFormat="1" applyFill="1" applyBorder="1"/>
    <xf numFmtId="3" fontId="10" fillId="2" borderId="9" xfId="0" applyNumberFormat="1" applyFont="1" applyFill="1" applyBorder="1" applyAlignment="1">
      <alignment horizontal="right" vertical="center"/>
    </xf>
    <xf numFmtId="0" fontId="3" fillId="5" borderId="9" xfId="0" applyFont="1" applyFill="1" applyBorder="1" applyAlignment="1">
      <alignment horizontal="center" vertical="center" wrapText="1"/>
    </xf>
    <xf numFmtId="0" fontId="3" fillId="8" borderId="9" xfId="0" applyFont="1" applyFill="1" applyBorder="1" applyAlignment="1">
      <alignment horizontal="center" vertical="center" wrapText="1"/>
    </xf>
    <xf numFmtId="3" fontId="3" fillId="10" borderId="9" xfId="0" applyNumberFormat="1" applyFont="1" applyFill="1" applyBorder="1" applyAlignment="1">
      <alignment horizontal="center" vertical="center"/>
    </xf>
    <xf numFmtId="3" fontId="3" fillId="11" borderId="9" xfId="0" applyNumberFormat="1" applyFont="1" applyFill="1" applyBorder="1" applyAlignment="1">
      <alignment horizontal="center" vertical="center"/>
    </xf>
    <xf numFmtId="0" fontId="12" fillId="6" borderId="9" xfId="0" applyFont="1" applyFill="1" applyBorder="1" applyAlignment="1">
      <alignment horizontal="center" vertical="center"/>
    </xf>
    <xf numFmtId="0" fontId="0" fillId="7" borderId="33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2" fillId="6" borderId="35" xfId="0" applyFont="1" applyFill="1" applyBorder="1" applyAlignment="1">
      <alignment horizontal="center" vertical="center"/>
    </xf>
    <xf numFmtId="0" fontId="6" fillId="6" borderId="36" xfId="0" applyFont="1" applyFill="1" applyBorder="1" applyAlignment="1">
      <alignment horizontal="center" vertical="center"/>
    </xf>
    <xf numFmtId="3" fontId="0" fillId="12" borderId="23" xfId="0" applyNumberFormat="1" applyFill="1" applyBorder="1"/>
    <xf numFmtId="2" fontId="0" fillId="12" borderId="24" xfId="0" applyNumberFormat="1" applyFill="1" applyBorder="1"/>
    <xf numFmtId="3" fontId="0" fillId="12" borderId="25" xfId="0" applyNumberFormat="1" applyFill="1" applyBorder="1"/>
    <xf numFmtId="3" fontId="0" fillId="12" borderId="37" xfId="0" applyNumberFormat="1" applyFill="1" applyBorder="1"/>
    <xf numFmtId="3" fontId="9" fillId="12" borderId="23" xfId="0" applyNumberFormat="1" applyFont="1" applyFill="1" applyBorder="1"/>
    <xf numFmtId="3" fontId="0" fillId="12" borderId="22" xfId="0" applyNumberFormat="1" applyFill="1" applyBorder="1"/>
    <xf numFmtId="2" fontId="0" fillId="12" borderId="9" xfId="0" applyNumberFormat="1" applyFill="1" applyBorder="1"/>
    <xf numFmtId="3" fontId="0" fillId="12" borderId="26" xfId="0" applyNumberFormat="1" applyFill="1" applyBorder="1"/>
    <xf numFmtId="3" fontId="0" fillId="12" borderId="16" xfId="0" applyNumberFormat="1" applyFill="1" applyBorder="1"/>
    <xf numFmtId="3" fontId="9" fillId="12" borderId="22" xfId="0" applyNumberFormat="1" applyFont="1" applyFill="1" applyBorder="1"/>
    <xf numFmtId="3" fontId="0" fillId="10" borderId="22" xfId="0" applyNumberFormat="1" applyFill="1" applyBorder="1"/>
    <xf numFmtId="2" fontId="0" fillId="10" borderId="9" xfId="0" applyNumberFormat="1" applyFill="1" applyBorder="1"/>
    <xf numFmtId="3" fontId="0" fillId="10" borderId="26" xfId="0" applyNumberFormat="1" applyFill="1" applyBorder="1"/>
    <xf numFmtId="3" fontId="0" fillId="10" borderId="16" xfId="0" applyNumberFormat="1" applyFill="1" applyBorder="1"/>
    <xf numFmtId="3" fontId="9" fillId="10" borderId="22" xfId="0" applyNumberFormat="1" applyFont="1" applyFill="1" applyBorder="1"/>
    <xf numFmtId="3" fontId="0" fillId="9" borderId="27" xfId="0" applyNumberFormat="1" applyFill="1" applyBorder="1"/>
    <xf numFmtId="4" fontId="0" fillId="9" borderId="28" xfId="0" applyNumberFormat="1" applyFill="1" applyBorder="1"/>
    <xf numFmtId="3" fontId="0" fillId="9" borderId="29" xfId="0" applyNumberFormat="1" applyFill="1" applyBorder="1"/>
    <xf numFmtId="0" fontId="6" fillId="6" borderId="38" xfId="0" applyFont="1" applyFill="1" applyBorder="1" applyAlignment="1">
      <alignment horizontal="center" vertical="center"/>
    </xf>
    <xf numFmtId="0" fontId="6" fillId="6" borderId="39" xfId="0" applyFont="1" applyFill="1" applyBorder="1" applyAlignment="1">
      <alignment horizontal="center" vertical="center"/>
    </xf>
    <xf numFmtId="0" fontId="6" fillId="6" borderId="40" xfId="0" applyFont="1" applyFill="1" applyBorder="1" applyAlignment="1">
      <alignment horizontal="center" vertical="center"/>
    </xf>
    <xf numFmtId="3" fontId="0" fillId="12" borderId="41" xfId="0" applyNumberFormat="1" applyFill="1" applyBorder="1"/>
    <xf numFmtId="3" fontId="0" fillId="10" borderId="15" xfId="0" applyNumberFormat="1" applyFill="1" applyBorder="1"/>
    <xf numFmtId="3" fontId="0" fillId="12" borderId="15" xfId="0" applyNumberFormat="1" applyFill="1" applyBorder="1"/>
    <xf numFmtId="3" fontId="0" fillId="12" borderId="37" xfId="0" applyNumberFormat="1" applyFont="1" applyFill="1" applyBorder="1"/>
    <xf numFmtId="3" fontId="0" fillId="10" borderId="16" xfId="0" applyNumberFormat="1" applyFont="1" applyFill="1" applyBorder="1"/>
    <xf numFmtId="3" fontId="0" fillId="12" borderId="16" xfId="0" applyNumberFormat="1" applyFont="1" applyFill="1" applyBorder="1"/>
    <xf numFmtId="0" fontId="12" fillId="6" borderId="14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 wrapText="1"/>
    </xf>
    <xf numFmtId="0" fontId="3" fillId="8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0" fontId="3" fillId="14" borderId="9" xfId="0" applyFont="1" applyFill="1" applyBorder="1"/>
    <xf numFmtId="0" fontId="3" fillId="15" borderId="9" xfId="0" applyFont="1" applyFill="1" applyBorder="1" applyAlignment="1">
      <alignment horizontal="center" vertical="center"/>
    </xf>
    <xf numFmtId="0" fontId="3" fillId="16" borderId="9" xfId="0" applyFont="1" applyFill="1" applyBorder="1"/>
    <xf numFmtId="0" fontId="3" fillId="17" borderId="9" xfId="0" applyFont="1" applyFill="1" applyBorder="1" applyAlignment="1">
      <alignment horizontal="center" vertical="center"/>
    </xf>
    <xf numFmtId="0" fontId="17" fillId="13" borderId="23" xfId="0" applyFont="1" applyFill="1" applyBorder="1"/>
    <xf numFmtId="0" fontId="17" fillId="6" borderId="22" xfId="0" applyFont="1" applyFill="1" applyBorder="1"/>
    <xf numFmtId="0" fontId="3" fillId="14" borderId="26" xfId="0" applyFont="1" applyFill="1" applyBorder="1"/>
    <xf numFmtId="0" fontId="3" fillId="16" borderId="26" xfId="0" applyFont="1" applyFill="1" applyBorder="1"/>
    <xf numFmtId="0" fontId="17" fillId="13" borderId="24" xfId="0" applyNumberFormat="1" applyFont="1" applyFill="1" applyBorder="1"/>
    <xf numFmtId="0" fontId="3" fillId="2" borderId="9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vertical="center"/>
    </xf>
    <xf numFmtId="3" fontId="3" fillId="19" borderId="9" xfId="0" applyNumberFormat="1" applyFont="1" applyFill="1" applyBorder="1" applyAlignment="1">
      <alignment horizontal="center" vertical="center"/>
    </xf>
    <xf numFmtId="0" fontId="17" fillId="13" borderId="25" xfId="0" applyNumberFormat="1" applyFont="1" applyFill="1" applyBorder="1"/>
    <xf numFmtId="0" fontId="17" fillId="6" borderId="27" xfId="0" applyFont="1" applyFill="1" applyBorder="1"/>
    <xf numFmtId="3" fontId="3" fillId="14" borderId="9" xfId="0" applyNumberFormat="1" applyFont="1" applyFill="1" applyBorder="1"/>
    <xf numFmtId="3" fontId="3" fillId="15" borderId="9" xfId="0" applyNumberFormat="1" applyFont="1" applyFill="1" applyBorder="1" applyAlignment="1">
      <alignment horizontal="center" vertical="center"/>
    </xf>
    <xf numFmtId="3" fontId="3" fillId="14" borderId="26" xfId="0" applyNumberFormat="1" applyFont="1" applyFill="1" applyBorder="1"/>
    <xf numFmtId="3" fontId="3" fillId="16" borderId="9" xfId="0" applyNumberFormat="1" applyFont="1" applyFill="1" applyBorder="1"/>
    <xf numFmtId="3" fontId="3" fillId="17" borderId="9" xfId="0" applyNumberFormat="1" applyFont="1" applyFill="1" applyBorder="1" applyAlignment="1">
      <alignment horizontal="center" vertical="center"/>
    </xf>
    <xf numFmtId="3" fontId="3" fillId="16" borderId="26" xfId="0" applyNumberFormat="1" applyFont="1" applyFill="1" applyBorder="1"/>
    <xf numFmtId="3" fontId="3" fillId="16" borderId="28" xfId="0" applyNumberFormat="1" applyFont="1" applyFill="1" applyBorder="1"/>
    <xf numFmtId="3" fontId="3" fillId="17" borderId="28" xfId="0" applyNumberFormat="1" applyFont="1" applyFill="1" applyBorder="1" applyAlignment="1">
      <alignment horizontal="center" vertical="center"/>
    </xf>
    <xf numFmtId="3" fontId="3" fillId="16" borderId="29" xfId="0" applyNumberFormat="1" applyFont="1" applyFill="1" applyBorder="1"/>
    <xf numFmtId="3" fontId="19" fillId="15" borderId="9" xfId="0" applyNumberFormat="1" applyFont="1" applyFill="1" applyBorder="1" applyAlignment="1">
      <alignment horizontal="center" vertical="center"/>
    </xf>
    <xf numFmtId="3" fontId="19" fillId="17" borderId="9" xfId="0" applyNumberFormat="1" applyFont="1" applyFill="1" applyBorder="1" applyAlignment="1">
      <alignment horizontal="center" vertical="center"/>
    </xf>
    <xf numFmtId="9" fontId="9" fillId="2" borderId="9" xfId="0" applyNumberFormat="1" applyFont="1" applyFill="1" applyBorder="1" applyAlignment="1">
      <alignment horizontal="right" vertical="center"/>
    </xf>
    <xf numFmtId="0" fontId="0" fillId="2" borderId="9" xfId="0" applyFill="1" applyBorder="1"/>
    <xf numFmtId="9" fontId="0" fillId="2" borderId="9" xfId="1" applyFont="1" applyFill="1" applyBorder="1"/>
    <xf numFmtId="0" fontId="3" fillId="5" borderId="14" xfId="0" applyFon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9" fontId="3" fillId="2" borderId="9" xfId="1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wrapText="1"/>
    </xf>
    <xf numFmtId="0" fontId="0" fillId="2" borderId="15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2" borderId="13" xfId="0" applyFill="1" applyBorder="1" applyAlignment="1">
      <alignment horizontal="center" vertical="center"/>
    </xf>
    <xf numFmtId="164" fontId="7" fillId="0" borderId="0" xfId="0" applyNumberFormat="1" applyFont="1" applyFill="1" applyBorder="1" applyAlignment="1">
      <alignment horizontal="right" vertical="center"/>
    </xf>
    <xf numFmtId="3" fontId="3" fillId="10" borderId="9" xfId="2" applyNumberFormat="1" applyFont="1" applyFill="1" applyBorder="1" applyAlignment="1">
      <alignment horizontal="center" vertical="center"/>
    </xf>
    <xf numFmtId="3" fontId="3" fillId="11" borderId="9" xfId="2" applyNumberFormat="1" applyFont="1" applyFill="1" applyBorder="1" applyAlignment="1">
      <alignment horizontal="center" vertical="center"/>
    </xf>
    <xf numFmtId="3" fontId="9" fillId="2" borderId="9" xfId="2" applyNumberFormat="1" applyFont="1" applyFill="1" applyBorder="1" applyAlignment="1">
      <alignment horizontal="center" vertical="center"/>
    </xf>
    <xf numFmtId="3" fontId="7" fillId="7" borderId="9" xfId="2" applyNumberFormat="1" applyFont="1" applyFill="1" applyBorder="1" applyAlignment="1">
      <alignment horizontal="center" vertical="center"/>
    </xf>
    <xf numFmtId="166" fontId="7" fillId="7" borderId="9" xfId="3" applyNumberFormat="1" applyFont="1" applyFill="1" applyBorder="1" applyAlignment="1">
      <alignment horizontal="center" vertical="center"/>
    </xf>
    <xf numFmtId="166" fontId="7" fillId="2" borderId="9" xfId="3" applyNumberFormat="1" applyFont="1" applyFill="1" applyBorder="1" applyAlignment="1">
      <alignment horizontal="center" vertical="center"/>
    </xf>
    <xf numFmtId="165" fontId="0" fillId="2" borderId="9" xfId="0" applyNumberFormat="1" applyFill="1" applyBorder="1"/>
    <xf numFmtId="0" fontId="0" fillId="2" borderId="15" xfId="0" applyFill="1" applyBorder="1" applyAlignment="1">
      <alignment horizontal="center" vertical="center"/>
    </xf>
    <xf numFmtId="0" fontId="0" fillId="0" borderId="0" xfId="0" applyBorder="1"/>
    <xf numFmtId="0" fontId="6" fillId="6" borderId="14" xfId="0" applyFont="1" applyFill="1" applyBorder="1" applyAlignment="1">
      <alignment horizontal="center" vertical="center"/>
    </xf>
    <xf numFmtId="3" fontId="7" fillId="7" borderId="14" xfId="0" applyNumberFormat="1" applyFont="1" applyFill="1" applyBorder="1" applyAlignment="1">
      <alignment horizontal="center" vertical="center"/>
    </xf>
    <xf numFmtId="3" fontId="10" fillId="2" borderId="14" xfId="0" applyNumberFormat="1" applyFont="1" applyFill="1" applyBorder="1" applyAlignment="1">
      <alignment horizontal="right" vertical="center"/>
    </xf>
    <xf numFmtId="3" fontId="10" fillId="0" borderId="0" xfId="0" applyNumberFormat="1" applyFont="1" applyFill="1" applyBorder="1" applyAlignment="1">
      <alignment horizontal="right" vertical="center"/>
    </xf>
    <xf numFmtId="10" fontId="0" fillId="0" borderId="0" xfId="1" applyNumberFormat="1" applyFont="1" applyFill="1" applyBorder="1"/>
    <xf numFmtId="0" fontId="0" fillId="2" borderId="9" xfId="0" applyFill="1" applyBorder="1" applyAlignment="1">
      <alignment horizontal="center" vertical="center" wrapText="1"/>
    </xf>
    <xf numFmtId="9" fontId="9" fillId="2" borderId="9" xfId="1" applyFont="1" applyFill="1" applyBorder="1" applyAlignment="1">
      <alignment horizontal="right" vertical="center"/>
    </xf>
    <xf numFmtId="0" fontId="0" fillId="2" borderId="15" xfId="0" applyFill="1" applyBorder="1" applyAlignment="1">
      <alignment horizontal="center" vertical="center"/>
    </xf>
    <xf numFmtId="166" fontId="7" fillId="7" borderId="14" xfId="3" applyNumberFormat="1" applyFont="1" applyFill="1" applyBorder="1" applyAlignment="1">
      <alignment horizontal="center" vertical="center"/>
    </xf>
    <xf numFmtId="166" fontId="7" fillId="2" borderId="14" xfId="3" applyNumberFormat="1" applyFont="1" applyFill="1" applyBorder="1" applyAlignment="1">
      <alignment horizontal="right" vertical="center"/>
    </xf>
    <xf numFmtId="165" fontId="0" fillId="2" borderId="9" xfId="1" applyNumberFormat="1" applyFont="1" applyFill="1" applyBorder="1"/>
    <xf numFmtId="0" fontId="3" fillId="2" borderId="9" xfId="0" applyFont="1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3" fontId="9" fillId="2" borderId="14" xfId="0" applyNumberFormat="1" applyFont="1" applyFill="1" applyBorder="1" applyAlignment="1">
      <alignment horizontal="right" vertical="center"/>
    </xf>
    <xf numFmtId="0" fontId="3" fillId="2" borderId="14" xfId="0" applyFont="1" applyFill="1" applyBorder="1" applyAlignment="1">
      <alignment horizontal="center" vertical="center" wrapText="1"/>
    </xf>
    <xf numFmtId="0" fontId="22" fillId="2" borderId="14" xfId="0" applyFont="1" applyFill="1" applyBorder="1" applyAlignment="1">
      <alignment horizontal="center" vertical="center" wrapText="1"/>
    </xf>
    <xf numFmtId="3" fontId="3" fillId="19" borderId="9" xfId="2" applyNumberFormat="1" applyFont="1" applyFill="1" applyBorder="1" applyAlignment="1">
      <alignment horizontal="center" vertical="center"/>
    </xf>
    <xf numFmtId="3" fontId="3" fillId="5" borderId="9" xfId="0" applyNumberFormat="1" applyFont="1" applyFill="1" applyBorder="1" applyAlignment="1">
      <alignment horizontal="center" vertical="center"/>
    </xf>
    <xf numFmtId="3" fontId="3" fillId="5" borderId="9" xfId="2" applyNumberFormat="1" applyFont="1" applyFill="1" applyBorder="1" applyAlignment="1">
      <alignment horizontal="center" vertical="center"/>
    </xf>
    <xf numFmtId="0" fontId="12" fillId="6" borderId="30" xfId="0" applyFont="1" applyFill="1" applyBorder="1" applyAlignment="1">
      <alignment horizontal="center" vertical="center"/>
    </xf>
    <xf numFmtId="3" fontId="0" fillId="12" borderId="9" xfId="0" applyNumberFormat="1" applyFill="1" applyBorder="1"/>
    <xf numFmtId="3" fontId="0" fillId="10" borderId="9" xfId="0" applyNumberFormat="1" applyFill="1" applyBorder="1"/>
    <xf numFmtId="0" fontId="0" fillId="7" borderId="4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44" xfId="0" applyFill="1" applyBorder="1" applyAlignment="1">
      <alignment horizontal="center" vertical="center"/>
    </xf>
    <xf numFmtId="167" fontId="3" fillId="9" borderId="28" xfId="0" applyNumberFormat="1" applyFont="1" applyFill="1" applyBorder="1"/>
    <xf numFmtId="3" fontId="3" fillId="9" borderId="27" xfId="0" applyNumberFormat="1" applyFont="1" applyFill="1" applyBorder="1"/>
    <xf numFmtId="4" fontId="3" fillId="9" borderId="28" xfId="0" applyNumberFormat="1" applyFont="1" applyFill="1" applyBorder="1"/>
    <xf numFmtId="1" fontId="0" fillId="12" borderId="9" xfId="0" applyNumberFormat="1" applyFill="1" applyBorder="1"/>
    <xf numFmtId="1" fontId="0" fillId="10" borderId="9" xfId="0" applyNumberFormat="1" applyFill="1" applyBorder="1"/>
    <xf numFmtId="1" fontId="3" fillId="9" borderId="28" xfId="0" applyNumberFormat="1" applyFont="1" applyFill="1" applyBorder="1"/>
    <xf numFmtId="3" fontId="3" fillId="9" borderId="28" xfId="0" applyNumberFormat="1" applyFont="1" applyFill="1" applyBorder="1"/>
    <xf numFmtId="0" fontId="17" fillId="13" borderId="41" xfId="0" applyFont="1" applyFill="1" applyBorder="1"/>
    <xf numFmtId="0" fontId="17" fillId="6" borderId="15" xfId="0" applyFont="1" applyFill="1" applyBorder="1"/>
    <xf numFmtId="0" fontId="17" fillId="18" borderId="11" xfId="0" applyFont="1" applyFill="1" applyBorder="1"/>
    <xf numFmtId="0" fontId="3" fillId="11" borderId="17" xfId="0" applyFont="1" applyFill="1" applyBorder="1"/>
    <xf numFmtId="3" fontId="23" fillId="0" borderId="0" xfId="0" quotePrefix="1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3" fontId="0" fillId="0" borderId="0" xfId="0" quotePrefix="1" applyNumberFormat="1" applyFill="1" applyBorder="1" applyAlignment="1">
      <alignment horizontal="center" vertical="center"/>
    </xf>
    <xf numFmtId="3" fontId="23" fillId="0" borderId="0" xfId="0" quotePrefix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3" fontId="23" fillId="0" borderId="0" xfId="0" applyNumberFormat="1" applyFont="1" applyFill="1" applyBorder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0" fontId="0" fillId="7" borderId="29" xfId="0" applyFill="1" applyBorder="1" applyAlignment="1">
      <alignment horizontal="center" vertical="center"/>
    </xf>
    <xf numFmtId="0" fontId="0" fillId="7" borderId="48" xfId="0" applyFill="1" applyBorder="1" applyAlignment="1">
      <alignment horizontal="center" vertical="center"/>
    </xf>
    <xf numFmtId="3" fontId="0" fillId="12" borderId="31" xfId="0" applyNumberFormat="1" applyFill="1" applyBorder="1"/>
    <xf numFmtId="3" fontId="0" fillId="10" borderId="42" xfId="0" applyNumberFormat="1" applyFill="1" applyBorder="1"/>
    <xf numFmtId="3" fontId="0" fillId="12" borderId="42" xfId="0" applyNumberFormat="1" applyFill="1" applyBorder="1"/>
    <xf numFmtId="3" fontId="0" fillId="9" borderId="48" xfId="0" applyNumberFormat="1" applyFill="1" applyBorder="1"/>
    <xf numFmtId="166" fontId="0" fillId="9" borderId="29" xfId="3" applyNumberFormat="1" applyFont="1" applyFill="1" applyBorder="1"/>
    <xf numFmtId="1" fontId="0" fillId="0" borderId="0" xfId="0" applyNumberFormat="1" applyAlignment="1">
      <alignment horizontal="right" vertical="center"/>
    </xf>
    <xf numFmtId="1" fontId="0" fillId="0" borderId="0" xfId="0" applyNumberFormat="1" applyBorder="1" applyAlignment="1">
      <alignment horizontal="right" vertical="center"/>
    </xf>
    <xf numFmtId="1" fontId="0" fillId="0" borderId="0" xfId="0" quotePrefix="1" applyNumberFormat="1" applyFill="1" applyBorder="1" applyAlignment="1">
      <alignment horizontal="right" vertical="center"/>
    </xf>
    <xf numFmtId="1" fontId="23" fillId="0" borderId="0" xfId="0" quotePrefix="1" applyNumberFormat="1" applyFont="1" applyBorder="1" applyAlignment="1">
      <alignment horizontal="right" vertical="center"/>
    </xf>
    <xf numFmtId="166" fontId="0" fillId="0" borderId="0" xfId="3" applyNumberFormat="1" applyFont="1"/>
    <xf numFmtId="0" fontId="16" fillId="11" borderId="10" xfId="0" applyFont="1" applyFill="1" applyBorder="1" applyAlignment="1">
      <alignment horizontal="center" vertical="center"/>
    </xf>
    <xf numFmtId="0" fontId="16" fillId="11" borderId="18" xfId="0" applyFont="1" applyFill="1" applyBorder="1" applyAlignment="1">
      <alignment horizontal="center" vertical="center"/>
    </xf>
    <xf numFmtId="0" fontId="16" fillId="11" borderId="11" xfId="0" applyFont="1" applyFill="1" applyBorder="1" applyAlignment="1">
      <alignment horizontal="center" vertical="center"/>
    </xf>
    <xf numFmtId="0" fontId="16" fillId="11" borderId="19" xfId="0" applyFont="1" applyFill="1" applyBorder="1" applyAlignment="1">
      <alignment horizontal="center" vertical="center"/>
    </xf>
    <xf numFmtId="0" fontId="16" fillId="11" borderId="0" xfId="0" applyFont="1" applyFill="1" applyBorder="1" applyAlignment="1">
      <alignment horizontal="center" vertical="center"/>
    </xf>
    <xf numFmtId="0" fontId="16" fillId="11" borderId="20" xfId="0" applyFont="1" applyFill="1" applyBorder="1" applyAlignment="1">
      <alignment horizontal="center" vertical="center"/>
    </xf>
    <xf numFmtId="0" fontId="16" fillId="11" borderId="12" xfId="0" applyFont="1" applyFill="1" applyBorder="1" applyAlignment="1">
      <alignment horizontal="center" vertical="center"/>
    </xf>
    <xf numFmtId="0" fontId="16" fillId="11" borderId="21" xfId="0" applyFont="1" applyFill="1" applyBorder="1" applyAlignment="1">
      <alignment horizontal="center" vertical="center"/>
    </xf>
    <xf numFmtId="0" fontId="16" fillId="11" borderId="13" xfId="0" applyFont="1" applyFill="1" applyBorder="1" applyAlignment="1">
      <alignment horizontal="center" vertical="center"/>
    </xf>
    <xf numFmtId="0" fontId="13" fillId="8" borderId="9" xfId="0" applyFont="1" applyFill="1" applyBorder="1" applyAlignment="1">
      <alignment horizontal="center" vertical="center"/>
    </xf>
    <xf numFmtId="0" fontId="14" fillId="8" borderId="10" xfId="0" applyFont="1" applyFill="1" applyBorder="1" applyAlignment="1">
      <alignment horizontal="center" vertical="center"/>
    </xf>
    <xf numFmtId="0" fontId="14" fillId="8" borderId="18" xfId="0" applyFont="1" applyFill="1" applyBorder="1" applyAlignment="1">
      <alignment horizontal="center" vertical="center"/>
    </xf>
    <xf numFmtId="0" fontId="14" fillId="8" borderId="11" xfId="0" applyFont="1" applyFill="1" applyBorder="1" applyAlignment="1">
      <alignment horizontal="center" vertical="center"/>
    </xf>
    <xf numFmtId="0" fontId="14" fillId="8" borderId="19" xfId="0" applyFont="1" applyFill="1" applyBorder="1" applyAlignment="1">
      <alignment horizontal="center" vertical="center"/>
    </xf>
    <xf numFmtId="0" fontId="14" fillId="8" borderId="0" xfId="0" applyFont="1" applyFill="1" applyBorder="1" applyAlignment="1">
      <alignment horizontal="center" vertical="center"/>
    </xf>
    <xf numFmtId="0" fontId="14" fillId="8" borderId="20" xfId="0" applyFont="1" applyFill="1" applyBorder="1" applyAlignment="1">
      <alignment horizontal="center" vertical="center"/>
    </xf>
    <xf numFmtId="0" fontId="14" fillId="8" borderId="12" xfId="0" applyFont="1" applyFill="1" applyBorder="1" applyAlignment="1">
      <alignment horizontal="center" vertical="center"/>
    </xf>
    <xf numFmtId="0" fontId="14" fillId="8" borderId="21" xfId="0" applyFont="1" applyFill="1" applyBorder="1" applyAlignment="1">
      <alignment horizontal="center" vertical="center"/>
    </xf>
    <xf numFmtId="0" fontId="14" fillId="8" borderId="1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0" borderId="23" xfId="0" applyFont="1" applyFill="1" applyBorder="1" applyAlignment="1">
      <alignment horizontal="center" vertical="center"/>
    </xf>
    <xf numFmtId="0" fontId="1" fillId="20" borderId="24" xfId="0" applyFont="1" applyFill="1" applyBorder="1" applyAlignment="1">
      <alignment horizontal="center" vertical="center"/>
    </xf>
    <xf numFmtId="0" fontId="1" fillId="20" borderId="25" xfId="0" applyFont="1" applyFill="1" applyBorder="1" applyAlignment="1">
      <alignment horizontal="center" vertical="center"/>
    </xf>
    <xf numFmtId="0" fontId="1" fillId="20" borderId="22" xfId="0" applyFont="1" applyFill="1" applyBorder="1" applyAlignment="1">
      <alignment horizontal="center" vertical="center"/>
    </xf>
    <xf numFmtId="0" fontId="1" fillId="20" borderId="9" xfId="0" applyFont="1" applyFill="1" applyBorder="1" applyAlignment="1">
      <alignment horizontal="center" vertical="center"/>
    </xf>
    <xf numFmtId="0" fontId="1" fillId="20" borderId="26" xfId="0" applyFont="1" applyFill="1" applyBorder="1" applyAlignment="1">
      <alignment horizontal="center" vertical="center"/>
    </xf>
    <xf numFmtId="0" fontId="1" fillId="20" borderId="27" xfId="0" applyFont="1" applyFill="1" applyBorder="1" applyAlignment="1">
      <alignment horizontal="center" vertical="center"/>
    </xf>
    <xf numFmtId="0" fontId="1" fillId="20" borderId="28" xfId="0" applyFont="1" applyFill="1" applyBorder="1" applyAlignment="1">
      <alignment horizontal="center" vertical="center"/>
    </xf>
    <xf numFmtId="0" fontId="1" fillId="20" borderId="29" xfId="0" applyFont="1" applyFill="1" applyBorder="1" applyAlignment="1">
      <alignment horizontal="center" vertical="center"/>
    </xf>
    <xf numFmtId="0" fontId="1" fillId="21" borderId="23" xfId="0" applyFont="1" applyFill="1" applyBorder="1" applyAlignment="1">
      <alignment horizontal="center" vertical="center"/>
    </xf>
    <xf numFmtId="0" fontId="1" fillId="21" borderId="24" xfId="0" applyFont="1" applyFill="1" applyBorder="1" applyAlignment="1">
      <alignment horizontal="center" vertical="center"/>
    </xf>
    <xf numFmtId="0" fontId="1" fillId="21" borderId="25" xfId="0" applyFont="1" applyFill="1" applyBorder="1" applyAlignment="1">
      <alignment horizontal="center" vertical="center"/>
    </xf>
    <xf numFmtId="0" fontId="1" fillId="21" borderId="22" xfId="0" applyFont="1" applyFill="1" applyBorder="1" applyAlignment="1">
      <alignment horizontal="center" vertical="center"/>
    </xf>
    <xf numFmtId="0" fontId="1" fillId="21" borderId="9" xfId="0" applyFont="1" applyFill="1" applyBorder="1" applyAlignment="1">
      <alignment horizontal="center" vertical="center"/>
    </xf>
    <xf numFmtId="0" fontId="1" fillId="21" borderId="26" xfId="0" applyFont="1" applyFill="1" applyBorder="1" applyAlignment="1">
      <alignment horizontal="center" vertical="center"/>
    </xf>
    <xf numFmtId="0" fontId="1" fillId="21" borderId="27" xfId="0" applyFont="1" applyFill="1" applyBorder="1" applyAlignment="1">
      <alignment horizontal="center" vertical="center"/>
    </xf>
    <xf numFmtId="0" fontId="1" fillId="21" borderId="28" xfId="0" applyFont="1" applyFill="1" applyBorder="1" applyAlignment="1">
      <alignment horizontal="center" vertical="center"/>
    </xf>
    <xf numFmtId="0" fontId="1" fillId="21" borderId="29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22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0" fontId="1" fillId="7" borderId="42" xfId="0" applyFont="1" applyFill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0" fontId="5" fillId="9" borderId="30" xfId="0" applyFont="1" applyFill="1" applyBorder="1" applyAlignment="1">
      <alignment horizontal="center" vertical="center"/>
    </xf>
    <xf numFmtId="0" fontId="5" fillId="9" borderId="31" xfId="0" applyFont="1" applyFill="1" applyBorder="1" applyAlignment="1">
      <alignment horizontal="center" vertical="center"/>
    </xf>
    <xf numFmtId="0" fontId="5" fillId="9" borderId="32" xfId="0" applyFont="1" applyFill="1" applyBorder="1" applyAlignment="1">
      <alignment horizontal="center" vertical="center"/>
    </xf>
    <xf numFmtId="0" fontId="5" fillId="9" borderId="45" xfId="0" applyFont="1" applyFill="1" applyBorder="1" applyAlignment="1">
      <alignment horizontal="center" vertical="center"/>
    </xf>
    <xf numFmtId="0" fontId="5" fillId="9" borderId="46" xfId="0" applyFont="1" applyFill="1" applyBorder="1" applyAlignment="1">
      <alignment horizontal="center" vertical="center"/>
    </xf>
    <xf numFmtId="0" fontId="5" fillId="9" borderId="47" xfId="0" applyFont="1" applyFill="1" applyBorder="1" applyAlignment="1">
      <alignment horizontal="center" vertical="center"/>
    </xf>
    <xf numFmtId="0" fontId="1" fillId="22" borderId="9" xfId="0" applyFont="1" applyFill="1" applyBorder="1" applyAlignment="1">
      <alignment horizontal="center" vertical="center"/>
    </xf>
    <xf numFmtId="0" fontId="1" fillId="22" borderId="16" xfId="0" applyFont="1" applyFill="1" applyBorder="1" applyAlignment="1">
      <alignment horizontal="center" vertical="center"/>
    </xf>
    <xf numFmtId="0" fontId="1" fillId="22" borderId="42" xfId="0" applyFont="1" applyFill="1" applyBorder="1" applyAlignment="1">
      <alignment horizontal="center" vertical="center"/>
    </xf>
    <xf numFmtId="0" fontId="1" fillId="22" borderId="15" xfId="0" applyFont="1" applyFill="1" applyBorder="1" applyAlignment="1">
      <alignment horizontal="center" vertical="center"/>
    </xf>
    <xf numFmtId="0" fontId="1" fillId="12" borderId="16" xfId="0" applyFont="1" applyFill="1" applyBorder="1" applyAlignment="1">
      <alignment horizontal="center" vertical="center"/>
    </xf>
    <xf numFmtId="0" fontId="1" fillId="12" borderId="42" xfId="0" applyFont="1" applyFill="1" applyBorder="1" applyAlignment="1">
      <alignment horizontal="center" vertical="center"/>
    </xf>
    <xf numFmtId="0" fontId="1" fillId="12" borderId="15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</cellXfs>
  <cellStyles count="5">
    <cellStyle name="Milliers" xfId="2" builtinId="3"/>
    <cellStyle name="Monétaire" xfId="3" builtinId="4"/>
    <cellStyle name="Normal" xfId="0" builtinId="0"/>
    <cellStyle name="Normal 2" xfId="4" xr:uid="{E69D9BAA-C557-4509-96C1-6F253A4B47D4}"/>
    <cellStyle name="Pourcentage" xfId="1" builtinId="5"/>
  </cellStyles>
  <dxfs count="43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CC00"/>
      <color rgb="FF193F61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5.xml"/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Graphique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66FF3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77B7-4231-A291-97C88CCE0053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77B7-4231-A291-97C88CCE0053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8-77B7-4231-A291-97C88CCE0053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77B7-4231-A291-97C88CCE0053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77B7-4231-A291-97C88CCE0053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77B7-4231-A291-97C88CCE0053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77B7-4231-A291-97C88CCE0053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77B7-4231-A291-97C88CCE0053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'3.1 ELEC'!$M$2:$M$5</c:f>
              <c:numCache>
                <c:formatCode>0%</c:formatCode>
                <c:ptCount val="4"/>
                <c:pt idx="0">
                  <c:v>0.95</c:v>
                </c:pt>
                <c:pt idx="1">
                  <c:v>0.05</c:v>
                </c:pt>
                <c:pt idx="2">
                  <c:v>0.2</c:v>
                </c:pt>
                <c:pt idx="3">
                  <c:v>0.8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'3.1 ELEC'!$N$2:$N$4</c15:f>
                <c15:dlblRangeCache>
                  <c:ptCount val="3"/>
                  <c:pt idx="0">
                    <c:v>95%</c:v>
                  </c:pt>
                  <c:pt idx="1">
                    <c:v>100%</c:v>
                  </c:pt>
                  <c:pt idx="2">
                    <c:v>120%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77B7-4231-A291-97C88CCE0053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  <c:holeSize val="6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explosion val="3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77B7-4231-A291-97C88CCE0053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77B7-4231-A291-97C88CCE0053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77B7-4231-A291-97C88CCE0053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EBF21941-5024-4C91-B7F4-FFB20D47270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9-77B7-4231-A291-97C88CCE0053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6BD78CDA-435C-4786-887F-248F61F56FB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77B7-4231-A291-97C88CCE0053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074D0EF4-E522-4663-BAAD-F162BFF5391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77B7-4231-A291-97C88CCE005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'3.1 ELEC'!$P$2:$P$4</c:f>
              <c:numCache>
                <c:formatCode>0%</c:formatCode>
                <c:ptCount val="3"/>
                <c:pt idx="0">
                  <c:v>0.25030249279558725</c:v>
                </c:pt>
                <c:pt idx="1">
                  <c:v>0.02</c:v>
                </c:pt>
                <c:pt idx="2">
                  <c:v>1.7296975072044127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'3.1 ELEC'!$Q$2:$Q$4</c15:f>
                <c15:dlblRangeCache>
                  <c:ptCount val="3"/>
                  <c:pt idx="1">
                    <c:v>25%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77B7-4231-A291-97C88CCE0053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5">
            <a:lumMod val="75000"/>
          </a:schemeClr>
        </a:gs>
        <a:gs pos="100000">
          <a:schemeClr val="accent5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Graphique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66FF3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F2A1-4694-B138-2CD2BC32BA87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F2A1-4694-B138-2CD2BC32BA87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F2A1-4694-B138-2CD2BC32BA87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F2A1-4694-B138-2CD2BC32BA87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F2A1-4694-B138-2CD2BC32BA87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F2A1-4694-B138-2CD2BC32BA87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F2A1-4694-B138-2CD2BC32BA8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F2A1-4694-B138-2CD2BC32BA87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'3.1 ELEC'!$M$2:$M$5</c:f>
              <c:numCache>
                <c:formatCode>0%</c:formatCode>
                <c:ptCount val="4"/>
                <c:pt idx="0">
                  <c:v>0.95</c:v>
                </c:pt>
                <c:pt idx="1">
                  <c:v>0.05</c:v>
                </c:pt>
                <c:pt idx="2">
                  <c:v>0.2</c:v>
                </c:pt>
                <c:pt idx="3">
                  <c:v>0.8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'3.1 ELEC'!$N$2:$N$4</c15:f>
                <c15:dlblRangeCache>
                  <c:ptCount val="3"/>
                  <c:pt idx="0">
                    <c:v>95%</c:v>
                  </c:pt>
                  <c:pt idx="1">
                    <c:v>100%</c:v>
                  </c:pt>
                  <c:pt idx="2">
                    <c:v>120%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F2A1-4694-B138-2CD2BC32BA87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  <c:holeSize val="6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explosion val="3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F2A1-4694-B138-2CD2BC32BA87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F2A1-4694-B138-2CD2BC32BA87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F2A1-4694-B138-2CD2BC32BA87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F2A1-4694-B138-2CD2BC32BA87}"/>
                </c:ext>
              </c:extLst>
            </c:dLbl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400" b="1" i="0" u="none" strike="noStrike" kern="1200" baseline="0">
                        <a:solidFill>
                          <a:schemeClr val="tx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EA12253C-9D41-4D94-8A97-A822C15D3721}" type="CELLRANGE">
                      <a:rPr lang="en-US"/>
                      <a:pPr>
                        <a:defRPr sz="1400" b="1">
                          <a:solidFill>
                            <a:schemeClr val="tx1"/>
                          </a:solidFill>
                        </a:defRPr>
                      </a:pPr>
                      <a:t>[PLAGECELL]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F2A1-4694-B138-2CD2BC32BA87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F2A1-4694-B138-2CD2BC32BA87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'3.1 ELEC'!$S$2:$S$4</c:f>
              <c:numCache>
                <c:formatCode>0%</c:formatCode>
                <c:ptCount val="3"/>
                <c:pt idx="0">
                  <c:v>0.57793413893786294</c:v>
                </c:pt>
                <c:pt idx="1">
                  <c:v>0.02</c:v>
                </c:pt>
                <c:pt idx="2">
                  <c:v>1.402065861062137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'3.1 ELEC'!$T$2:$T$4</c15:f>
                <c15:dlblRangeCache>
                  <c:ptCount val="3"/>
                  <c:pt idx="1">
                    <c:v>58%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F-F2A1-4694-B138-2CD2BC32BA87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5">
            <a:lumMod val="75000"/>
          </a:schemeClr>
        </a:gs>
        <a:gs pos="100000">
          <a:schemeClr val="accent5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21831273616267E-3"/>
          <c:y val="8.9874519528661376E-4"/>
          <c:w val="0.99487262076506111"/>
          <c:h val="0.77283501934680532"/>
        </c:manualLayout>
      </c:layout>
      <c:barChart>
        <c:barDir val="col"/>
        <c:grouping val="clustered"/>
        <c:varyColors val="0"/>
        <c:ser>
          <c:idx val="0"/>
          <c:order val="0"/>
          <c:tx>
            <c:v>Budget mensuel</c:v>
          </c:tx>
          <c:spPr>
            <a:solidFill>
              <a:schemeClr val="accent1">
                <a:lumMod val="7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'3.1 ELEC'!$N$9:$N$20</c:f>
              <c:numCache>
                <c:formatCode>#,##0</c:formatCode>
                <c:ptCount val="12"/>
                <c:pt idx="0">
                  <c:v>928296.78763829044</c:v>
                </c:pt>
                <c:pt idx="1">
                  <c:v>544432.25446526555</c:v>
                </c:pt>
                <c:pt idx="2">
                  <c:v>588698.98110170383</c:v>
                </c:pt>
                <c:pt idx="3">
                  <c:v>273223.59365640621</c:v>
                </c:pt>
                <c:pt idx="4">
                  <c:v>243138.70867163871</c:v>
                </c:pt>
                <c:pt idx="5">
                  <c:v>279615.45955598797</c:v>
                </c:pt>
                <c:pt idx="6">
                  <c:v>231308.76780221376</c:v>
                </c:pt>
                <c:pt idx="7">
                  <c:v>154087.66394087145</c:v>
                </c:pt>
                <c:pt idx="8">
                  <c:v>261245.24614785684</c:v>
                </c:pt>
                <c:pt idx="9">
                  <c:v>452422.45488062513</c:v>
                </c:pt>
                <c:pt idx="10">
                  <c:v>506951.43932105659</c:v>
                </c:pt>
                <c:pt idx="11">
                  <c:v>385942.69406672689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6-23DB-4A37-9F0B-2ADDE7AA8FCC}"/>
            </c:ext>
          </c:extLst>
        </c:ser>
        <c:ser>
          <c:idx val="2"/>
          <c:order val="2"/>
          <c:tx>
            <c:v>Réalisé mensuel</c:v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'3.1 ELEC'!$P$9:$P$20</c:f>
              <c:numCache>
                <c:formatCode>#,##0</c:formatCode>
                <c:ptCount val="12"/>
                <c:pt idx="0">
                  <c:v>232355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9-23DB-4A37-9F0B-2ADDE7AA8FCC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0"/>
        <c:overlap val="-27"/>
        <c:axId val="119821639"/>
        <c:axId val="119821311"/>
        <c:extLst/>
      </c:barChart>
      <c:lineChart>
        <c:grouping val="standard"/>
        <c:varyColors val="0"/>
        <c:ser>
          <c:idx val="1"/>
          <c:order val="1"/>
          <c:tx>
            <c:v>Budget cumulé</c:v>
          </c:tx>
          <c:spPr>
            <a:ln w="28575" cap="rnd">
              <a:solidFill>
                <a:schemeClr val="accent1">
                  <a:lumMod val="50000"/>
                </a:schemeClr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0070C0"/>
              </a:solidFill>
              <a:ln w="15875">
                <a:solidFill>
                  <a:srgbClr val="0070C0"/>
                </a:solidFill>
              </a:ln>
              <a:effectLst/>
            </c:spPr>
          </c:marker>
          <c:dLbls>
            <c:dLbl>
              <c:idx val="11"/>
              <c:tx>
                <c:rich>
                  <a:bodyPr/>
                  <a:lstStyle/>
                  <a:p>
                    <a:fld id="{745737D5-DE3F-4E3A-A30D-57B57D29A916}" type="VALUE">
                      <a:rPr lang="en-US" sz="1200"/>
                      <a:pPr/>
                      <a:t>[VALEUR]</a:t>
                    </a:fld>
                    <a:endParaRPr lang="fr-FR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CD0C-4BE0-AAEB-75504D7793A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'3.1 ELEC'!$O$9:$O$20</c:f>
              <c:numCache>
                <c:formatCode>#,##0</c:formatCode>
                <c:ptCount val="12"/>
                <c:pt idx="0">
                  <c:v>928296.78763829044</c:v>
                </c:pt>
                <c:pt idx="1">
                  <c:v>1472729.042103556</c:v>
                </c:pt>
                <c:pt idx="2">
                  <c:v>2061428.0232052598</c:v>
                </c:pt>
                <c:pt idx="3">
                  <c:v>2334651.6168616661</c:v>
                </c:pt>
                <c:pt idx="4">
                  <c:v>2577790.3255333048</c:v>
                </c:pt>
                <c:pt idx="5">
                  <c:v>2857405.7850892926</c:v>
                </c:pt>
                <c:pt idx="6">
                  <c:v>3088714.5528915063</c:v>
                </c:pt>
                <c:pt idx="7">
                  <c:v>3242802.2168323779</c:v>
                </c:pt>
                <c:pt idx="8">
                  <c:v>3504047.462980235</c:v>
                </c:pt>
                <c:pt idx="9">
                  <c:v>3956469.91786086</c:v>
                </c:pt>
                <c:pt idx="10">
                  <c:v>4463421.3571819169</c:v>
                </c:pt>
                <c:pt idx="11">
                  <c:v>4849364.0512486435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3DB-4A37-9F0B-2ADDE7AA8FCC}"/>
            </c:ext>
          </c:extLst>
        </c:ser>
        <c:ser>
          <c:idx val="5"/>
          <c:order val="3"/>
          <c:tx>
            <c:v>Atterrisage cumulé</c:v>
          </c:tx>
          <c:spPr>
            <a:ln w="28575" cap="rnd">
              <a:solidFill>
                <a:schemeClr val="accent4"/>
              </a:solidFill>
              <a:prstDash val="dash"/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23DB-4A37-9F0B-2ADDE7AA8FCC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23DB-4A37-9F0B-2ADDE7AA8FCC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23DB-4A37-9F0B-2ADDE7AA8FCC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23DB-4A37-9F0B-2ADDE7AA8FCC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23DB-4A37-9F0B-2ADDE7AA8FCC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23DB-4A37-9F0B-2ADDE7AA8FCC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23DB-4A37-9F0B-2ADDE7AA8FCC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23DB-4A37-9F0B-2ADDE7AA8FCC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23DB-4A37-9F0B-2ADDE7AA8FCC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23DB-4A37-9F0B-2ADDE7AA8FCC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23DB-4A37-9F0B-2ADDE7AA8FCC}"/>
                </c:ext>
              </c:extLst>
            </c:dLbl>
            <c:dLbl>
              <c:idx val="11"/>
              <c:spPr>
                <a:solidFill>
                  <a:srgbClr val="193F61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23DB-4A37-9F0B-2ADDE7AA8FCC}"/>
                </c:ext>
              </c:extLst>
            </c:dLbl>
            <c:spPr>
              <a:solidFill>
                <a:srgbClr val="FFC00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'3.1 ELEC'!$S$9:$S$20</c:f>
              <c:numCache>
                <c:formatCode>#,##0</c:formatCode>
                <c:ptCount val="12"/>
                <c:pt idx="0">
                  <c:v>232355</c:v>
                </c:pt>
                <c:pt idx="1">
                  <c:v>776787.25446526555</c:v>
                </c:pt>
                <c:pt idx="2">
                  <c:v>1365486.2355669695</c:v>
                </c:pt>
                <c:pt idx="3">
                  <c:v>1638709.8292233758</c:v>
                </c:pt>
                <c:pt idx="4">
                  <c:v>1881848.5378950145</c:v>
                </c:pt>
                <c:pt idx="5">
                  <c:v>2161463.9974510027</c:v>
                </c:pt>
                <c:pt idx="6">
                  <c:v>2392772.7652532165</c:v>
                </c:pt>
                <c:pt idx="7">
                  <c:v>2546860.4291940881</c:v>
                </c:pt>
                <c:pt idx="8">
                  <c:v>2808105.6753419451</c:v>
                </c:pt>
                <c:pt idx="9">
                  <c:v>3260528.1302225702</c:v>
                </c:pt>
                <c:pt idx="10">
                  <c:v>3767479.5695436266</c:v>
                </c:pt>
                <c:pt idx="11">
                  <c:v>4153422.2636103537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3DB-4A37-9F0B-2ADDE7AA8FCC}"/>
            </c:ext>
          </c:extLst>
        </c:ser>
        <c:ser>
          <c:idx val="3"/>
          <c:order val="4"/>
          <c:tx>
            <c:v>Réalisé cumulé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'3.1 ELEC'!$Q$9:$Q$20</c:f>
              <c:numCache>
                <c:formatCode>#,##0</c:formatCode>
                <c:ptCount val="12"/>
                <c:pt idx="0">
                  <c:v>232355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23DB-4A37-9F0B-2ADDE7AA8FCC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830495"/>
        <c:axId val="119827871"/>
        <c:extLst/>
      </c:lineChart>
      <c:catAx>
        <c:axId val="11983049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827871"/>
        <c:crosses val="autoZero"/>
        <c:auto val="1"/>
        <c:lblAlgn val="ctr"/>
        <c:lblOffset val="100"/>
        <c:noMultiLvlLbl val="0"/>
      </c:catAx>
      <c:valAx>
        <c:axId val="119827871"/>
        <c:scaling>
          <c:orientation val="minMax"/>
        </c:scaling>
        <c:delete val="1"/>
        <c:axPos val="l"/>
        <c:numFmt formatCode="#,##0" sourceLinked="1"/>
        <c:majorTickMark val="none"/>
        <c:minorTickMark val="none"/>
        <c:tickLblPos val="nextTo"/>
        <c:crossAx val="119830495"/>
        <c:crosses val="autoZero"/>
        <c:crossBetween val="between"/>
        <c:dispUnits>
          <c:builtInUnit val="thousands"/>
          <c:dispUnitsLbl>
            <c:layout>
              <c:manualLayout>
                <c:xMode val="edge"/>
                <c:yMode val="edge"/>
                <c:x val="9.7468239056418091E-2"/>
                <c:y val="0.16988576564258262"/>
              </c:manualLayout>
            </c:layout>
            <c:tx>
              <c:rich>
                <a:bodyPr rot="0" spcFirstLastPara="1" vertOverflow="ellipsis" wrap="square" anchor="ctr" anchorCtr="0"/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r>
                    <a:rPr lang="fr-FR" sz="1050" b="1"/>
                    <a:t>K€</a:t>
                  </a:r>
                </a:p>
              </c:rich>
            </c:tx>
            <c:spPr>
              <a:noFill/>
              <a:ln>
                <a:noFill/>
              </a:ln>
              <a:effectLst/>
            </c:spPr>
            <c:txPr>
              <a:bodyPr rot="0" spcFirstLastPara="1" vertOverflow="ellipsis" wrap="square" anchor="ctr" anchorCtr="0"/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valAx>
        <c:axId val="119821311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19821639"/>
        <c:crosses val="max"/>
        <c:crossBetween val="between"/>
        <c:dispUnits>
          <c:builtInUnit val="thousands"/>
        </c:dispUnits>
      </c:valAx>
      <c:catAx>
        <c:axId val="11982163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9821311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chemeClr val="accent5">
                <a:lumMod val="100000"/>
              </a:schemeClr>
            </a:gs>
            <a:gs pos="100000">
              <a:schemeClr val="accent5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6841510136882108E-2"/>
          <c:y val="0.89340156424519013"/>
          <c:w val="0.8999999303954328"/>
          <c:h val="4.11588246591127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rgbClr val="193F61"/>
        </a:gs>
        <a:gs pos="99000">
          <a:schemeClr val="accent1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Graphique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66FF3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00AF-4A6D-A470-FF023E32BA5A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00AF-4A6D-A470-FF023E32BA5A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00AF-4A6D-A470-FF023E32BA5A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00AF-4A6D-A470-FF023E32BA5A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00AF-4A6D-A470-FF023E32BA5A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00AF-4A6D-A470-FF023E32BA5A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00AF-4A6D-A470-FF023E32BA5A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00AF-4A6D-A470-FF023E32BA5A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'3.2 GAZ'!$M$2:$M$5</c:f>
              <c:numCache>
                <c:formatCode>0%</c:formatCode>
                <c:ptCount val="4"/>
                <c:pt idx="0">
                  <c:v>0.95</c:v>
                </c:pt>
                <c:pt idx="1">
                  <c:v>0.05</c:v>
                </c:pt>
                <c:pt idx="2">
                  <c:v>0.2</c:v>
                </c:pt>
                <c:pt idx="3">
                  <c:v>0.8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'3.2 GAZ'!$N$2:$N$4</c15:f>
                <c15:dlblRangeCache>
                  <c:ptCount val="3"/>
                  <c:pt idx="0">
                    <c:v>95%</c:v>
                  </c:pt>
                  <c:pt idx="1">
                    <c:v>100%</c:v>
                  </c:pt>
                  <c:pt idx="2">
                    <c:v>120%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00AF-4A6D-A470-FF023E32BA5A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  <c:holeSize val="6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explosion val="3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00AF-4A6D-A470-FF023E32BA5A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00AF-4A6D-A470-FF023E32BA5A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00AF-4A6D-A470-FF023E32BA5A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B271209A-F225-4BCF-9DA7-4D567125CB2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00AF-4A6D-A470-FF023E32BA5A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3D09FF58-B11A-4AF7-BD80-C28C84B7455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00AF-4A6D-A470-FF023E32BA5A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00AF-4A6D-A470-FF023E32BA5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'3.2 GAZ'!$P$2:$P$4</c:f>
              <c:numCache>
                <c:formatCode>0%</c:formatCode>
                <c:ptCount val="3"/>
                <c:pt idx="0">
                  <c:v>#N/A</c:v>
                </c:pt>
                <c:pt idx="1">
                  <c:v>0.02</c:v>
                </c:pt>
                <c:pt idx="2">
                  <c:v>#N/A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'3.2 GAZ'!$Q$2:$Q$4</c15:f>
                <c15:dlblRangeCache>
                  <c:ptCount val="3"/>
                  <c:pt idx="1">
                    <c:v>#N/A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F-00AF-4A6D-A470-FF023E32BA5A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4">
            <a:lumMod val="75000"/>
          </a:schemeClr>
        </a:gs>
        <a:gs pos="100000">
          <a:schemeClr val="accent4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Graphique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66FF3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B781-4D2F-A30F-9F047C9B0EAB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B781-4D2F-A30F-9F047C9B0EAB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B781-4D2F-A30F-9F047C9B0EAB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B781-4D2F-A30F-9F047C9B0EAB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B781-4D2F-A30F-9F047C9B0EAB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781-4D2F-A30F-9F047C9B0EAB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781-4D2F-A30F-9F047C9B0EAB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B781-4D2F-A30F-9F047C9B0EAB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'3.2 GAZ'!$M$2:$M$5</c:f>
              <c:numCache>
                <c:formatCode>0%</c:formatCode>
                <c:ptCount val="4"/>
                <c:pt idx="0">
                  <c:v>0.95</c:v>
                </c:pt>
                <c:pt idx="1">
                  <c:v>0.05</c:v>
                </c:pt>
                <c:pt idx="2">
                  <c:v>0.2</c:v>
                </c:pt>
                <c:pt idx="3">
                  <c:v>0.8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'3.2 GAZ'!$N$2:$N$4</c15:f>
                <c15:dlblRangeCache>
                  <c:ptCount val="3"/>
                  <c:pt idx="0">
                    <c:v>95%</c:v>
                  </c:pt>
                  <c:pt idx="1">
                    <c:v>100%</c:v>
                  </c:pt>
                  <c:pt idx="2">
                    <c:v>120%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B781-4D2F-A30F-9F047C9B0EAB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  <c:holeSize val="6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explosion val="3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B781-4D2F-A30F-9F047C9B0EAB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B781-4D2F-A30F-9F047C9B0EAB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B781-4D2F-A30F-9F047C9B0EAB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B781-4D2F-A30F-9F047C9B0EAB}"/>
                </c:ext>
              </c:extLst>
            </c:dLbl>
            <c:dLbl>
              <c:idx val="1"/>
              <c:layout>
                <c:manualLayout>
                  <c:x val="4.7306173971502684E-2"/>
                  <c:y val="-3.9762402128234088E-18"/>
                </c:manualLayout>
              </c:layout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400" b="1" i="0" u="none" strike="noStrike" kern="1200" baseline="0">
                        <a:solidFill>
                          <a:schemeClr val="tx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606D3D13-1D4B-4CAD-90C6-230716DA37A9}" type="CELLRANGE">
                      <a:rPr lang="en-US"/>
                      <a:pPr>
                        <a:defRPr sz="1400" b="1">
                          <a:solidFill>
                            <a:schemeClr val="tx1"/>
                          </a:solidFill>
                        </a:defRPr>
                      </a:pPr>
                      <a:t>[PLAGECELL]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B781-4D2F-A30F-9F047C9B0EAB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B781-4D2F-A30F-9F047C9B0EAB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'3.2 GAZ'!$S$2:$S$4</c:f>
              <c:numCache>
                <c:formatCode>0%</c:formatCode>
                <c:ptCount val="3"/>
                <c:pt idx="0">
                  <c:v>#N/A</c:v>
                </c:pt>
                <c:pt idx="1">
                  <c:v>0.02</c:v>
                </c:pt>
                <c:pt idx="2">
                  <c:v>#N/A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'3.2 GAZ'!$T$2:$T$4</c15:f>
                <c15:dlblRangeCache>
                  <c:ptCount val="3"/>
                  <c:pt idx="1">
                    <c:v>#N/A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F-B781-4D2F-A30F-9F047C9B0EAB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4">
            <a:lumMod val="75000"/>
          </a:schemeClr>
        </a:gs>
        <a:gs pos="100000">
          <a:schemeClr val="accent4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21831273616267E-3"/>
          <c:y val="8.9874519528661376E-4"/>
          <c:w val="0.99487262076506111"/>
          <c:h val="0.77283501934680532"/>
        </c:manualLayout>
      </c:layout>
      <c:barChart>
        <c:barDir val="col"/>
        <c:grouping val="clustered"/>
        <c:varyColors val="0"/>
        <c:ser>
          <c:idx val="0"/>
          <c:order val="0"/>
          <c:tx>
            <c:v>Budget mensuel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'3.2 GAZ'!$R$9:$R$20</c:f>
              <c:numCache>
                <c:formatCode>#,##0</c:formatCode>
                <c:ptCount val="12"/>
                <c:pt idx="0">
                  <c:v>313239.57771764311</c:v>
                </c:pt>
                <c:pt idx="1">
                  <c:v>148901.48122470386</c:v>
                </c:pt>
                <c:pt idx="2">
                  <c:v>95784.407179353046</c:v>
                </c:pt>
                <c:pt idx="3">
                  <c:v>67200.274131320766</c:v>
                </c:pt>
                <c:pt idx="4">
                  <c:v>32166.217663695552</c:v>
                </c:pt>
                <c:pt idx="5">
                  <c:v>14874.554721923785</c:v>
                </c:pt>
                <c:pt idx="6">
                  <c:v>14270.023473488456</c:v>
                </c:pt>
                <c:pt idx="7">
                  <c:v>12107.653989763759</c:v>
                </c:pt>
                <c:pt idx="8">
                  <c:v>15239.975684067449</c:v>
                </c:pt>
                <c:pt idx="9">
                  <c:v>52218.49841559396</c:v>
                </c:pt>
                <c:pt idx="10">
                  <c:v>113297.97042739757</c:v>
                </c:pt>
                <c:pt idx="11">
                  <c:v>109135.22408463934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0-0491-4966-B66A-4D59C2A523BF}"/>
            </c:ext>
          </c:extLst>
        </c:ser>
        <c:ser>
          <c:idx val="2"/>
          <c:order val="2"/>
          <c:tx>
            <c:v>Réalisé mensuel</c:v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'3.2 GAZ'!$T$9:$T$20</c:f>
              <c:numCache>
                <c:formatCode>#,##0</c:formatCode>
                <c:ptCount val="12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1-0491-4966-B66A-4D59C2A523BF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0"/>
        <c:overlap val="-27"/>
        <c:axId val="119821639"/>
        <c:axId val="119821311"/>
        <c:extLst/>
      </c:barChart>
      <c:lineChart>
        <c:grouping val="standard"/>
        <c:varyColors val="0"/>
        <c:ser>
          <c:idx val="1"/>
          <c:order val="1"/>
          <c:tx>
            <c:v>Budget cumulé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E7F2-4DED-A7E8-BBA15F54BA1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'3.2 GAZ'!$S$9:$S$20</c:f>
              <c:numCache>
                <c:formatCode>#,##0</c:formatCode>
                <c:ptCount val="12"/>
                <c:pt idx="0">
                  <c:v>313239.57771764311</c:v>
                </c:pt>
                <c:pt idx="1">
                  <c:v>462141.05894234695</c:v>
                </c:pt>
                <c:pt idx="2">
                  <c:v>557925.46612170001</c:v>
                </c:pt>
                <c:pt idx="3">
                  <c:v>625125.74025302078</c:v>
                </c:pt>
                <c:pt idx="4">
                  <c:v>657291.95791671635</c:v>
                </c:pt>
                <c:pt idx="5">
                  <c:v>672166.51263864012</c:v>
                </c:pt>
                <c:pt idx="6">
                  <c:v>686436.53611212852</c:v>
                </c:pt>
                <c:pt idx="7">
                  <c:v>698544.19010189234</c:v>
                </c:pt>
                <c:pt idx="8">
                  <c:v>713784.16578595981</c:v>
                </c:pt>
                <c:pt idx="9">
                  <c:v>766002.66420155379</c:v>
                </c:pt>
                <c:pt idx="10">
                  <c:v>879300.63462895132</c:v>
                </c:pt>
                <c:pt idx="11">
                  <c:v>988435.85871359066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491-4966-B66A-4D59C2A523BF}"/>
            </c:ext>
          </c:extLst>
        </c:ser>
        <c:ser>
          <c:idx val="5"/>
          <c:order val="3"/>
          <c:tx>
            <c:v>Atterrisage cumulé</c:v>
          </c:tx>
          <c:spPr>
            <a:ln w="28575" cap="rnd">
              <a:solidFill>
                <a:srgbClr val="193F61"/>
              </a:solidFill>
              <a:prstDash val="dash"/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0491-4966-B66A-4D59C2A523BF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0491-4966-B66A-4D59C2A523BF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0491-4966-B66A-4D59C2A523BF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0491-4966-B66A-4D59C2A523BF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0491-4966-B66A-4D59C2A523BF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0491-4966-B66A-4D59C2A523BF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0491-4966-B66A-4D59C2A523BF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0491-4966-B66A-4D59C2A523BF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0491-4966-B66A-4D59C2A523BF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0491-4966-B66A-4D59C2A523BF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0491-4966-B66A-4D59C2A523BF}"/>
                </c:ext>
              </c:extLst>
            </c:dLbl>
            <c:spPr>
              <a:solidFill>
                <a:srgbClr val="FFC00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'3.2 GAZ'!$W$9:$W$20</c:f>
              <c:numCache>
                <c:formatCode>#,##0</c:formatCode>
                <c:ptCount val="12"/>
                <c:pt idx="0">
                  <c:v>313239.57771764311</c:v>
                </c:pt>
                <c:pt idx="1">
                  <c:v>462141.05894234695</c:v>
                </c:pt>
                <c:pt idx="2">
                  <c:v>557925.46612170001</c:v>
                </c:pt>
                <c:pt idx="3">
                  <c:v>625125.74025302078</c:v>
                </c:pt>
                <c:pt idx="4">
                  <c:v>657291.95791671635</c:v>
                </c:pt>
                <c:pt idx="5">
                  <c:v>672166.51263864012</c:v>
                </c:pt>
                <c:pt idx="6">
                  <c:v>686436.53611212852</c:v>
                </c:pt>
                <c:pt idx="7">
                  <c:v>698544.19010189234</c:v>
                </c:pt>
                <c:pt idx="8">
                  <c:v>713784.16578595981</c:v>
                </c:pt>
                <c:pt idx="9">
                  <c:v>766002.66420155379</c:v>
                </c:pt>
                <c:pt idx="10">
                  <c:v>879300.63462895132</c:v>
                </c:pt>
                <c:pt idx="11">
                  <c:v>988435.85871359066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F-0491-4966-B66A-4D59C2A523BF}"/>
            </c:ext>
          </c:extLst>
        </c:ser>
        <c:ser>
          <c:idx val="3"/>
          <c:order val="4"/>
          <c:tx>
            <c:v>Réalisé cumulé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'3.2 GAZ'!$U$9:$U$20</c:f>
              <c:numCache>
                <c:formatCode>#,##0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0491-4966-B66A-4D59C2A523B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830495"/>
        <c:axId val="119827871"/>
        <c:extLst/>
      </c:lineChart>
      <c:catAx>
        <c:axId val="11983049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827871"/>
        <c:crosses val="autoZero"/>
        <c:auto val="1"/>
        <c:lblAlgn val="ctr"/>
        <c:lblOffset val="100"/>
        <c:noMultiLvlLbl val="0"/>
      </c:catAx>
      <c:valAx>
        <c:axId val="119827871"/>
        <c:scaling>
          <c:orientation val="minMax"/>
        </c:scaling>
        <c:delete val="1"/>
        <c:axPos val="l"/>
        <c:numFmt formatCode="#,##0" sourceLinked="1"/>
        <c:majorTickMark val="none"/>
        <c:minorTickMark val="none"/>
        <c:tickLblPos val="nextTo"/>
        <c:crossAx val="119830495"/>
        <c:crosses val="autoZero"/>
        <c:crossBetween val="between"/>
        <c:dispUnits>
          <c:builtInUnit val="thousands"/>
          <c:dispUnitsLbl>
            <c:layout>
              <c:manualLayout>
                <c:xMode val="edge"/>
                <c:yMode val="edge"/>
                <c:x val="9.7468239056418091E-2"/>
                <c:y val="0.16988576564258262"/>
              </c:manualLayout>
            </c:layout>
            <c:tx>
              <c:rich>
                <a:bodyPr rot="0" spcFirstLastPara="1" vertOverflow="ellipsis" wrap="square" anchor="ctr" anchorCtr="0"/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r>
                    <a:rPr lang="fr-FR" sz="1050" b="1"/>
                    <a:t>K€</a:t>
                  </a:r>
                </a:p>
              </c:rich>
            </c:tx>
            <c:spPr>
              <a:noFill/>
              <a:ln>
                <a:noFill/>
              </a:ln>
              <a:effectLst/>
            </c:spPr>
            <c:txPr>
              <a:bodyPr rot="0" spcFirstLastPara="1" vertOverflow="ellipsis" wrap="square" anchor="ctr" anchorCtr="0"/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valAx>
        <c:axId val="119821311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19821639"/>
        <c:crosses val="max"/>
        <c:crossBetween val="between"/>
        <c:dispUnits>
          <c:builtInUnit val="thousands"/>
        </c:dispUnits>
      </c:valAx>
      <c:catAx>
        <c:axId val="11982163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9821311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chemeClr val="accent4">
                <a:lumMod val="75000"/>
              </a:schemeClr>
            </a:gs>
            <a:gs pos="99000">
              <a:schemeClr val="accent4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6841510136882108E-2"/>
          <c:y val="0.89340156424519013"/>
          <c:w val="0.8999999303954328"/>
          <c:h val="4.11588246591127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chemeClr val="accent4">
            <a:lumMod val="75000"/>
          </a:schemeClr>
        </a:gs>
        <a:gs pos="100000">
          <a:schemeClr val="accent4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21831273616267E-3"/>
          <c:y val="8.9874519528661376E-4"/>
          <c:w val="0.99487262076506111"/>
          <c:h val="0.77283501934680532"/>
        </c:manualLayout>
      </c:layout>
      <c:barChart>
        <c:barDir val="col"/>
        <c:grouping val="clustered"/>
        <c:varyColors val="0"/>
        <c:ser>
          <c:idx val="0"/>
          <c:order val="0"/>
          <c:tx>
            <c:v>Budget mensuel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'3.3 EAU'!$L$9:$L$20</c:f>
              <c:numCache>
                <c:formatCode>#,##0</c:formatCode>
                <c:ptCount val="12"/>
                <c:pt idx="0">
                  <c:v>7120</c:v>
                </c:pt>
                <c:pt idx="1">
                  <c:v>8334</c:v>
                </c:pt>
                <c:pt idx="2">
                  <c:v>9312</c:v>
                </c:pt>
                <c:pt idx="3">
                  <c:v>10245</c:v>
                </c:pt>
                <c:pt idx="4">
                  <c:v>11127</c:v>
                </c:pt>
                <c:pt idx="5">
                  <c:v>12677</c:v>
                </c:pt>
                <c:pt idx="6">
                  <c:v>12010</c:v>
                </c:pt>
                <c:pt idx="7">
                  <c:v>11799</c:v>
                </c:pt>
                <c:pt idx="8">
                  <c:v>11392</c:v>
                </c:pt>
                <c:pt idx="9">
                  <c:v>10536</c:v>
                </c:pt>
                <c:pt idx="10">
                  <c:v>9677</c:v>
                </c:pt>
                <c:pt idx="11">
                  <c:v>6128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0-FD49-4945-9194-F6B6756784BE}"/>
            </c:ext>
          </c:extLst>
        </c:ser>
        <c:ser>
          <c:idx val="2"/>
          <c:order val="2"/>
          <c:tx>
            <c:v>Réalisé mensuel</c:v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'3.3 EAU'!$N$9:$N$20</c:f>
              <c:numCache>
                <c:formatCode>#,##0</c:formatCode>
                <c:ptCount val="12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1-FD49-4945-9194-F6B6756784BE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0"/>
        <c:overlap val="-27"/>
        <c:axId val="119821639"/>
        <c:axId val="119821311"/>
        <c:extLst/>
      </c:barChart>
      <c:lineChart>
        <c:grouping val="standard"/>
        <c:varyColors val="0"/>
        <c:ser>
          <c:idx val="1"/>
          <c:order val="1"/>
          <c:tx>
            <c:v>Budget cumulé</c:v>
          </c:tx>
          <c:spPr>
            <a:ln w="28575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50000"/>
                </a:schemeClr>
              </a:solidFill>
              <a:ln w="9525">
                <a:solidFill>
                  <a:schemeClr val="accent2">
                    <a:lumMod val="50000"/>
                  </a:schemeClr>
                </a:solidFill>
              </a:ln>
              <a:effectLst/>
            </c:spPr>
          </c:marker>
          <c:dLbls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FD49-4945-9194-F6B6756784B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'3.3 EAU'!$M$9:$M$20</c:f>
              <c:numCache>
                <c:formatCode>#,##0</c:formatCode>
                <c:ptCount val="12"/>
                <c:pt idx="0">
                  <c:v>7120</c:v>
                </c:pt>
                <c:pt idx="1">
                  <c:v>15454</c:v>
                </c:pt>
                <c:pt idx="2">
                  <c:v>24766</c:v>
                </c:pt>
                <c:pt idx="3">
                  <c:v>35011</c:v>
                </c:pt>
                <c:pt idx="4">
                  <c:v>46138</c:v>
                </c:pt>
                <c:pt idx="5">
                  <c:v>58815</c:v>
                </c:pt>
                <c:pt idx="6">
                  <c:v>70825</c:v>
                </c:pt>
                <c:pt idx="7">
                  <c:v>82624</c:v>
                </c:pt>
                <c:pt idx="8">
                  <c:v>94016</c:v>
                </c:pt>
                <c:pt idx="9">
                  <c:v>104552</c:v>
                </c:pt>
                <c:pt idx="10">
                  <c:v>114229</c:v>
                </c:pt>
                <c:pt idx="11">
                  <c:v>120357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D49-4945-9194-F6B6756784BE}"/>
            </c:ext>
          </c:extLst>
        </c:ser>
        <c:ser>
          <c:idx val="5"/>
          <c:order val="3"/>
          <c:tx>
            <c:v>Atterrisage cumulé</c:v>
          </c:tx>
          <c:spPr>
            <a:ln w="28575" cap="rnd">
              <a:solidFill>
                <a:schemeClr val="accent6"/>
              </a:solidFill>
              <a:prstDash val="dash"/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FD49-4945-9194-F6B6756784BE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FD49-4945-9194-F6B6756784BE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FD49-4945-9194-F6B6756784BE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FD49-4945-9194-F6B6756784BE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FD49-4945-9194-F6B6756784BE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FD49-4945-9194-F6B6756784BE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FD49-4945-9194-F6B6756784BE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FD49-4945-9194-F6B6756784BE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FD49-4945-9194-F6B6756784BE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FD49-4945-9194-F6B6756784BE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FD49-4945-9194-F6B6756784BE}"/>
                </c:ext>
              </c:extLst>
            </c:dLbl>
            <c:dLbl>
              <c:idx val="11"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FD49-4945-9194-F6B6756784BE}"/>
                </c:ext>
              </c:extLst>
            </c:dLbl>
            <c:spPr>
              <a:solidFill>
                <a:schemeClr val="accent2">
                  <a:lumMod val="5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'3.3 EAU'!$Q$9:$Q$20</c:f>
              <c:numCache>
                <c:formatCode>#,##0</c:formatCode>
                <c:ptCount val="12"/>
                <c:pt idx="0">
                  <c:v>7120</c:v>
                </c:pt>
                <c:pt idx="1">
                  <c:v>15454</c:v>
                </c:pt>
                <c:pt idx="2">
                  <c:v>24766</c:v>
                </c:pt>
                <c:pt idx="3">
                  <c:v>35011</c:v>
                </c:pt>
                <c:pt idx="4">
                  <c:v>46138</c:v>
                </c:pt>
                <c:pt idx="5">
                  <c:v>58815</c:v>
                </c:pt>
                <c:pt idx="6">
                  <c:v>70825</c:v>
                </c:pt>
                <c:pt idx="7">
                  <c:v>82624</c:v>
                </c:pt>
                <c:pt idx="8">
                  <c:v>94016</c:v>
                </c:pt>
                <c:pt idx="9">
                  <c:v>104552</c:v>
                </c:pt>
                <c:pt idx="10">
                  <c:v>114229</c:v>
                </c:pt>
                <c:pt idx="11">
                  <c:v>120357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F-FD49-4945-9194-F6B6756784BE}"/>
            </c:ext>
          </c:extLst>
        </c:ser>
        <c:ser>
          <c:idx val="3"/>
          <c:order val="4"/>
          <c:tx>
            <c:v>Réalisé cumulé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'3.3 EAU'!$O$9:$O$20</c:f>
              <c:numCache>
                <c:formatCode>#,##0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FD49-4945-9194-F6B6756784BE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830495"/>
        <c:axId val="119827871"/>
        <c:extLst/>
      </c:lineChart>
      <c:catAx>
        <c:axId val="11983049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827871"/>
        <c:crosses val="autoZero"/>
        <c:auto val="1"/>
        <c:lblAlgn val="ctr"/>
        <c:lblOffset val="100"/>
        <c:noMultiLvlLbl val="0"/>
      </c:catAx>
      <c:valAx>
        <c:axId val="119827871"/>
        <c:scaling>
          <c:orientation val="minMax"/>
        </c:scaling>
        <c:delete val="1"/>
        <c:axPos val="l"/>
        <c:numFmt formatCode="#,##0" sourceLinked="1"/>
        <c:majorTickMark val="none"/>
        <c:minorTickMark val="none"/>
        <c:tickLblPos val="nextTo"/>
        <c:crossAx val="119830495"/>
        <c:crosses val="autoZero"/>
        <c:crossBetween val="between"/>
        <c:dispUnits>
          <c:builtInUnit val="thousands"/>
          <c:dispUnitsLbl>
            <c:layout>
              <c:manualLayout>
                <c:xMode val="edge"/>
                <c:yMode val="edge"/>
                <c:x val="9.7468239056418091E-2"/>
                <c:y val="0.16988576564258262"/>
              </c:manualLayout>
            </c:layout>
            <c:tx>
              <c:rich>
                <a:bodyPr rot="0" spcFirstLastPara="1" vertOverflow="ellipsis" wrap="square" anchor="ctr" anchorCtr="0"/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r>
                    <a:rPr lang="fr-FR" sz="1050" b="1"/>
                    <a:t>K€</a:t>
                  </a:r>
                </a:p>
              </c:rich>
            </c:tx>
            <c:spPr>
              <a:noFill/>
              <a:ln>
                <a:noFill/>
              </a:ln>
              <a:effectLst/>
            </c:spPr>
            <c:txPr>
              <a:bodyPr rot="0" spcFirstLastPara="1" vertOverflow="ellipsis" wrap="square" anchor="ctr" anchorCtr="0"/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valAx>
        <c:axId val="119821311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19821639"/>
        <c:crosses val="max"/>
        <c:crossBetween val="between"/>
        <c:dispUnits>
          <c:builtInUnit val="thousands"/>
        </c:dispUnits>
      </c:valAx>
      <c:catAx>
        <c:axId val="11982163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9821311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chemeClr val="accent2">
                <a:lumMod val="75000"/>
              </a:schemeClr>
            </a:gs>
            <a:gs pos="99000">
              <a:schemeClr val="accent2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6841510136882108E-2"/>
          <c:y val="0.89340156424519013"/>
          <c:w val="0.8999999303954328"/>
          <c:h val="4.11588246591127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chemeClr val="accent2">
            <a:lumMod val="75000"/>
          </a:schemeClr>
        </a:gs>
        <a:gs pos="100000">
          <a:schemeClr val="accent2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Graphique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66FF3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185B-4626-ABC6-85C40D092934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185B-4626-ABC6-85C40D092934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185B-4626-ABC6-85C40D092934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185B-4626-ABC6-85C40D092934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185B-4626-ABC6-85C40D092934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185B-4626-ABC6-85C40D092934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185B-4626-ABC6-85C40D092934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185B-4626-ABC6-85C40D092934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'3.3 EAU'!$M$2:$M$5</c:f>
              <c:numCache>
                <c:formatCode>0%</c:formatCode>
                <c:ptCount val="4"/>
                <c:pt idx="0">
                  <c:v>0.95</c:v>
                </c:pt>
                <c:pt idx="1">
                  <c:v>0.05</c:v>
                </c:pt>
                <c:pt idx="2">
                  <c:v>0.2</c:v>
                </c:pt>
                <c:pt idx="3">
                  <c:v>0.8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'3.3 EAU'!$N$2:$N$4</c15:f>
                <c15:dlblRangeCache>
                  <c:ptCount val="3"/>
                  <c:pt idx="0">
                    <c:v>95%</c:v>
                  </c:pt>
                  <c:pt idx="1">
                    <c:v>100%</c:v>
                  </c:pt>
                  <c:pt idx="2">
                    <c:v>120%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185B-4626-ABC6-85C40D092934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  <c:holeSize val="6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explosion val="3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185B-4626-ABC6-85C40D092934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185B-4626-ABC6-85C40D092934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185B-4626-ABC6-85C40D092934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04DF7ECA-79BD-4B48-99F0-D9406B3D39F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185B-4626-ABC6-85C40D09293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C4A179E5-26AD-4C8A-963E-6C8931D67D1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185B-4626-ABC6-85C40D092934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185B-4626-ABC6-85C40D09293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'3.3 EAU'!$P$2:$P$4</c:f>
              <c:numCache>
                <c:formatCode>0%</c:formatCode>
                <c:ptCount val="3"/>
                <c:pt idx="0">
                  <c:v>#N/A</c:v>
                </c:pt>
                <c:pt idx="1">
                  <c:v>0.02</c:v>
                </c:pt>
                <c:pt idx="2">
                  <c:v>#N/A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'3.3 EAU'!$Q$2:$Q$4</c15:f>
                <c15:dlblRangeCache>
                  <c:ptCount val="3"/>
                  <c:pt idx="1">
                    <c:v>#N/A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F-185B-4626-ABC6-85C40D092934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2">
            <a:lumMod val="75000"/>
          </a:schemeClr>
        </a:gs>
        <a:gs pos="100000">
          <a:schemeClr val="accent2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Graphique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66FF33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EBD2-4F7C-AB81-12F2226420F8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EBD2-4F7C-AB81-12F2226420F8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EBD2-4F7C-AB81-12F2226420F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EBD2-4F7C-AB81-12F2226420F8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EBD2-4F7C-AB81-12F2226420F8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EBD2-4F7C-AB81-12F2226420F8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EBD2-4F7C-AB81-12F2226420F8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EBD2-4F7C-AB81-12F2226420F8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'3.3 EAU'!$M$2:$M$5</c:f>
              <c:numCache>
                <c:formatCode>0%</c:formatCode>
                <c:ptCount val="4"/>
                <c:pt idx="0">
                  <c:v>0.95</c:v>
                </c:pt>
                <c:pt idx="1">
                  <c:v>0.05</c:v>
                </c:pt>
                <c:pt idx="2">
                  <c:v>0.2</c:v>
                </c:pt>
                <c:pt idx="3">
                  <c:v>0.8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'3.3 EAU'!$N$2:$N$4</c15:f>
                <c15:dlblRangeCache>
                  <c:ptCount val="3"/>
                  <c:pt idx="0">
                    <c:v>95%</c:v>
                  </c:pt>
                  <c:pt idx="1">
                    <c:v>100%</c:v>
                  </c:pt>
                  <c:pt idx="2">
                    <c:v>120%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EBD2-4F7C-AB81-12F2226420F8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  <c:holeSize val="60"/>
      </c:doughnutChart>
      <c:pieChart>
        <c:varyColors val="1"/>
        <c:ser>
          <c:idx val="1"/>
          <c:order val="1"/>
          <c:tx>
            <c:v>Indicateur</c:v>
          </c:tx>
          <c:spPr>
            <a:noFill/>
            <a:ln>
              <a:noFill/>
            </a:ln>
          </c:spPr>
          <c:explosion val="3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EBD2-4F7C-AB81-12F2226420F8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EBD2-4F7C-AB81-12F2226420F8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EBD2-4F7C-AB81-12F2226420F8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EBD2-4F7C-AB81-12F2226420F8}"/>
                </c:ext>
              </c:extLst>
            </c:dLbl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400" b="1" i="0" u="none" strike="noStrike" kern="1200" baseline="0">
                        <a:solidFill>
                          <a:schemeClr val="tx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54ED994E-7282-4CB3-B6F9-ED8E711C09D4}" type="CELLRANGE">
                      <a:rPr lang="en-US"/>
                      <a:pPr>
                        <a:defRPr sz="1400" b="1">
                          <a:solidFill>
                            <a:schemeClr val="tx1"/>
                          </a:solidFill>
                        </a:defRPr>
                      </a:pPr>
                      <a:t>[PLAGECELL]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EBD2-4F7C-AB81-12F2226420F8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EBD2-4F7C-AB81-12F2226420F8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DataLabelsRange val="1"/>
              </c:ext>
            </c:extLst>
          </c:dLbls>
          <c:val>
            <c:numRef>
              <c:f>'3.3 EAU'!$S$2:$S$4</c:f>
              <c:numCache>
                <c:formatCode>0%</c:formatCode>
                <c:ptCount val="3"/>
                <c:pt idx="0">
                  <c:v>#N/A</c:v>
                </c:pt>
                <c:pt idx="1">
                  <c:v>0.02</c:v>
                </c:pt>
                <c:pt idx="2">
                  <c:v>#N/A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'3.3 EAU'!$T$2:$T$4</c15:f>
                <c15:dlblRangeCache>
                  <c:ptCount val="3"/>
                  <c:pt idx="1">
                    <c:v>#N/A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F-EBD2-4F7C-AB81-12F2226420F8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2">
            <a:lumMod val="75000"/>
          </a:schemeClr>
        </a:gs>
        <a:gs pos="100000">
          <a:schemeClr val="accent2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21831273616267E-3"/>
          <c:y val="8.9874519528661376E-4"/>
          <c:w val="0.99487262076506111"/>
          <c:h val="0.77283501934680532"/>
        </c:manualLayout>
      </c:layout>
      <c:barChart>
        <c:barDir val="col"/>
        <c:grouping val="clustered"/>
        <c:varyColors val="0"/>
        <c:ser>
          <c:idx val="0"/>
          <c:order val="0"/>
          <c:tx>
            <c:v>Budget mensuel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'3.3 EAU'!$B$9:$B$20</c:f>
              <c:numCache>
                <c:formatCode>#,##0</c:formatCode>
                <c:ptCount val="12"/>
                <c:pt idx="0">
                  <c:v>3898</c:v>
                </c:pt>
                <c:pt idx="1">
                  <c:v>4589</c:v>
                </c:pt>
                <c:pt idx="2">
                  <c:v>5145</c:v>
                </c:pt>
                <c:pt idx="3">
                  <c:v>5425</c:v>
                </c:pt>
                <c:pt idx="4">
                  <c:v>5904</c:v>
                </c:pt>
                <c:pt idx="5">
                  <c:v>6747</c:v>
                </c:pt>
                <c:pt idx="6">
                  <c:v>6522</c:v>
                </c:pt>
                <c:pt idx="7">
                  <c:v>6405</c:v>
                </c:pt>
                <c:pt idx="8">
                  <c:v>6179</c:v>
                </c:pt>
                <c:pt idx="9">
                  <c:v>5704</c:v>
                </c:pt>
                <c:pt idx="10">
                  <c:v>5227</c:v>
                </c:pt>
                <c:pt idx="11">
                  <c:v>3255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0-F7D6-45AD-924F-A5EC46B5D9D1}"/>
            </c:ext>
          </c:extLst>
        </c:ser>
        <c:ser>
          <c:idx val="2"/>
          <c:order val="2"/>
          <c:tx>
            <c:v>Réalisé mensuel</c:v>
          </c:tx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'3.3 EAU'!$D$9:$D$20</c:f>
              <c:numCache>
                <c:formatCode>#,##0</c:formatCode>
                <c:ptCount val="12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1-F7D6-45AD-924F-A5EC46B5D9D1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0"/>
        <c:overlap val="-27"/>
        <c:axId val="119821639"/>
        <c:axId val="119821311"/>
        <c:extLst/>
      </c:barChart>
      <c:lineChart>
        <c:grouping val="standard"/>
        <c:varyColors val="0"/>
        <c:ser>
          <c:idx val="1"/>
          <c:order val="1"/>
          <c:tx>
            <c:v>Budget cumulé</c:v>
          </c:tx>
          <c:spPr>
            <a:ln w="28575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50000"/>
                </a:schemeClr>
              </a:solidFill>
              <a:ln w="9525">
                <a:solidFill>
                  <a:schemeClr val="accent2">
                    <a:lumMod val="50000"/>
                  </a:schemeClr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'3.3 EAU'!$C$9:$C$20</c:f>
              <c:numCache>
                <c:formatCode>#,##0</c:formatCode>
                <c:ptCount val="12"/>
                <c:pt idx="0">
                  <c:v>3898</c:v>
                </c:pt>
                <c:pt idx="1">
                  <c:v>8487</c:v>
                </c:pt>
                <c:pt idx="2">
                  <c:v>13632</c:v>
                </c:pt>
                <c:pt idx="3">
                  <c:v>19057</c:v>
                </c:pt>
                <c:pt idx="4">
                  <c:v>24961</c:v>
                </c:pt>
                <c:pt idx="5">
                  <c:v>31708</c:v>
                </c:pt>
                <c:pt idx="6">
                  <c:v>38230</c:v>
                </c:pt>
                <c:pt idx="7">
                  <c:v>44635</c:v>
                </c:pt>
                <c:pt idx="8">
                  <c:v>50814</c:v>
                </c:pt>
                <c:pt idx="9">
                  <c:v>56518</c:v>
                </c:pt>
                <c:pt idx="10">
                  <c:v>61745</c:v>
                </c:pt>
                <c:pt idx="11">
                  <c:v>65000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7D6-45AD-924F-A5EC46B5D9D1}"/>
            </c:ext>
          </c:extLst>
        </c:ser>
        <c:ser>
          <c:idx val="5"/>
          <c:order val="3"/>
          <c:tx>
            <c:v>Atterrisage cumulé</c:v>
          </c:tx>
          <c:spPr>
            <a:ln w="28575" cap="rnd">
              <a:solidFill>
                <a:schemeClr val="accent6"/>
              </a:solidFill>
              <a:prstDash val="dash"/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F7D6-45AD-924F-A5EC46B5D9D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F7D6-45AD-924F-A5EC46B5D9D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F7D6-45AD-924F-A5EC46B5D9D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F7D6-45AD-924F-A5EC46B5D9D1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F7D6-45AD-924F-A5EC46B5D9D1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F7D6-45AD-924F-A5EC46B5D9D1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F7D6-45AD-924F-A5EC46B5D9D1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F7D6-45AD-924F-A5EC46B5D9D1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F7D6-45AD-924F-A5EC46B5D9D1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F7D6-45AD-924F-A5EC46B5D9D1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F7D6-45AD-924F-A5EC46B5D9D1}"/>
                </c:ext>
              </c:extLst>
            </c:dLbl>
            <c:spPr>
              <a:solidFill>
                <a:schemeClr val="accent2">
                  <a:lumMod val="5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'3.3 EAU'!$G$9:$G$20</c:f>
              <c:numCache>
                <c:formatCode>#,##0</c:formatCode>
                <c:ptCount val="12"/>
                <c:pt idx="0">
                  <c:v>3898</c:v>
                </c:pt>
                <c:pt idx="1">
                  <c:v>8487</c:v>
                </c:pt>
                <c:pt idx="2">
                  <c:v>13632</c:v>
                </c:pt>
                <c:pt idx="3">
                  <c:v>19057</c:v>
                </c:pt>
                <c:pt idx="4">
                  <c:v>24961</c:v>
                </c:pt>
                <c:pt idx="5">
                  <c:v>31708</c:v>
                </c:pt>
                <c:pt idx="6">
                  <c:v>38230</c:v>
                </c:pt>
                <c:pt idx="7">
                  <c:v>44635</c:v>
                </c:pt>
                <c:pt idx="8">
                  <c:v>50814</c:v>
                </c:pt>
                <c:pt idx="9">
                  <c:v>56518</c:v>
                </c:pt>
                <c:pt idx="10">
                  <c:v>61745</c:v>
                </c:pt>
                <c:pt idx="11">
                  <c:v>65000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F7D6-45AD-924F-A5EC46B5D9D1}"/>
            </c:ext>
          </c:extLst>
        </c:ser>
        <c:ser>
          <c:idx val="3"/>
          <c:order val="4"/>
          <c:tx>
            <c:v>Réalisé cumulé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dLbl>
              <c:idx val="0"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F7D6-45AD-924F-A5EC46B5D9D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'3.3 EAU'!$E$9:$E$20</c:f>
              <c:numCache>
                <c:formatCode>#,##0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1-F7D6-45AD-924F-A5EC46B5D9D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830495"/>
        <c:axId val="119827871"/>
        <c:extLst/>
      </c:lineChart>
      <c:catAx>
        <c:axId val="11983049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827871"/>
        <c:crosses val="autoZero"/>
        <c:auto val="1"/>
        <c:lblAlgn val="ctr"/>
        <c:lblOffset val="100"/>
        <c:noMultiLvlLbl val="0"/>
      </c:catAx>
      <c:valAx>
        <c:axId val="119827871"/>
        <c:scaling>
          <c:orientation val="minMax"/>
        </c:scaling>
        <c:delete val="1"/>
        <c:axPos val="l"/>
        <c:numFmt formatCode="#,##0" sourceLinked="1"/>
        <c:majorTickMark val="none"/>
        <c:minorTickMark val="none"/>
        <c:tickLblPos val="nextTo"/>
        <c:crossAx val="119830495"/>
        <c:crosses val="autoZero"/>
        <c:crossBetween val="between"/>
        <c:dispUnits>
          <c:builtInUnit val="thousands"/>
          <c:dispUnitsLbl>
            <c:layout>
              <c:manualLayout>
                <c:xMode val="edge"/>
                <c:yMode val="edge"/>
                <c:x val="9.7468239056418091E-2"/>
                <c:y val="0.16988576564258262"/>
              </c:manualLayout>
            </c:layout>
            <c:tx>
              <c:rich>
                <a:bodyPr rot="0" spcFirstLastPara="1" vertOverflow="ellipsis" wrap="square" anchor="ctr" anchorCtr="0"/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r>
                    <a:rPr lang="fr-FR" sz="1050" b="1"/>
                    <a:t>K€</a:t>
                  </a:r>
                </a:p>
              </c:rich>
            </c:tx>
            <c:spPr>
              <a:noFill/>
              <a:ln>
                <a:noFill/>
              </a:ln>
              <a:effectLst/>
            </c:spPr>
            <c:txPr>
              <a:bodyPr rot="0" spcFirstLastPara="1" vertOverflow="ellipsis" wrap="square" anchor="ctr" anchorCtr="0"/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valAx>
        <c:axId val="119821311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19821639"/>
        <c:crosses val="max"/>
        <c:crossBetween val="between"/>
        <c:dispUnits>
          <c:builtInUnit val="thousands"/>
        </c:dispUnits>
      </c:valAx>
      <c:catAx>
        <c:axId val="11982163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9821311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chemeClr val="accent2">
                <a:lumMod val="75000"/>
              </a:schemeClr>
            </a:gs>
            <a:gs pos="98000">
              <a:schemeClr val="accent2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6841510136882108E-2"/>
          <c:y val="0.89340156424519013"/>
          <c:w val="0.8999999303954328"/>
          <c:h val="4.11588246591127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chemeClr val="accent2">
            <a:lumMod val="75000"/>
          </a:schemeClr>
        </a:gs>
        <a:gs pos="100000">
          <a:schemeClr val="accent2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21831273616267E-3"/>
          <c:y val="8.9874519528661376E-4"/>
          <c:w val="0.99487262076506111"/>
          <c:h val="0.77283501934680532"/>
        </c:manualLayout>
      </c:layout>
      <c:barChart>
        <c:barDir val="col"/>
        <c:grouping val="clustered"/>
        <c:varyColors val="0"/>
        <c:ser>
          <c:idx val="0"/>
          <c:order val="0"/>
          <c:tx>
            <c:v>Budget mensuel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'3.2 GAZ'!$B$9:$B$20</c:f>
              <c:numCache>
                <c:formatCode>#,##0</c:formatCode>
                <c:ptCount val="12"/>
                <c:pt idx="0">
                  <c:v>2391292</c:v>
                </c:pt>
                <c:pt idx="1">
                  <c:v>1992766</c:v>
                </c:pt>
                <c:pt idx="2">
                  <c:v>1539377</c:v>
                </c:pt>
                <c:pt idx="3">
                  <c:v>814830</c:v>
                </c:pt>
                <c:pt idx="4">
                  <c:v>216504</c:v>
                </c:pt>
                <c:pt idx="5">
                  <c:v>60000</c:v>
                </c:pt>
                <c:pt idx="6">
                  <c:v>50000</c:v>
                </c:pt>
                <c:pt idx="7">
                  <c:v>35000</c:v>
                </c:pt>
                <c:pt idx="8">
                  <c:v>60000</c:v>
                </c:pt>
                <c:pt idx="9">
                  <c:v>523652</c:v>
                </c:pt>
                <c:pt idx="10">
                  <c:v>1272000</c:v>
                </c:pt>
                <c:pt idx="11">
                  <c:v>1405938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0-BA3B-4601-8012-60A4CFADB728}"/>
            </c:ext>
          </c:extLst>
        </c:ser>
        <c:ser>
          <c:idx val="2"/>
          <c:order val="2"/>
          <c:tx>
            <c:v>Réalisé mensuel</c:v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'3.2 GAZ'!$F$9:$F$20</c:f>
              <c:numCache>
                <c:formatCode>#,##0</c:formatCode>
                <c:ptCount val="12"/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1-BA3B-4601-8012-60A4CFADB728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0"/>
        <c:overlap val="-27"/>
        <c:axId val="119821639"/>
        <c:axId val="119821311"/>
        <c:extLst/>
      </c:barChart>
      <c:lineChart>
        <c:grouping val="standard"/>
        <c:varyColors val="0"/>
        <c:ser>
          <c:idx val="1"/>
          <c:order val="1"/>
          <c:tx>
            <c:v>Budget cumulé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'3.2 GAZ'!$C$9:$C$20</c:f>
              <c:numCache>
                <c:formatCode>#,##0</c:formatCode>
                <c:ptCount val="12"/>
                <c:pt idx="0">
                  <c:v>2391292</c:v>
                </c:pt>
                <c:pt idx="1">
                  <c:v>4384058</c:v>
                </c:pt>
                <c:pt idx="2">
                  <c:v>5923435</c:v>
                </c:pt>
                <c:pt idx="3">
                  <c:v>6738265</c:v>
                </c:pt>
                <c:pt idx="4">
                  <c:v>6954769</c:v>
                </c:pt>
                <c:pt idx="5">
                  <c:v>7014769</c:v>
                </c:pt>
                <c:pt idx="6">
                  <c:v>7064769</c:v>
                </c:pt>
                <c:pt idx="7">
                  <c:v>7099769</c:v>
                </c:pt>
                <c:pt idx="8">
                  <c:v>7159769</c:v>
                </c:pt>
                <c:pt idx="9">
                  <c:v>7683421</c:v>
                </c:pt>
                <c:pt idx="10">
                  <c:v>8955421</c:v>
                </c:pt>
                <c:pt idx="11">
                  <c:v>10361359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BA3B-4601-8012-60A4CFADB728}"/>
            </c:ext>
          </c:extLst>
        </c:ser>
        <c:ser>
          <c:idx val="5"/>
          <c:order val="3"/>
          <c:tx>
            <c:v>Atterrisage cumulé</c:v>
          </c:tx>
          <c:spPr>
            <a:ln w="28575" cap="rnd">
              <a:solidFill>
                <a:srgbClr val="193F61"/>
              </a:solidFill>
              <a:prstDash val="dash"/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A3B-4601-8012-60A4CFADB728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A3B-4601-8012-60A4CFADB728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A3B-4601-8012-60A4CFADB728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A3B-4601-8012-60A4CFADB728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A3B-4601-8012-60A4CFADB728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BA3B-4601-8012-60A4CFADB728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BA3B-4601-8012-60A4CFADB728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BA3B-4601-8012-60A4CFADB728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BA3B-4601-8012-60A4CFADB728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BA3B-4601-8012-60A4CFADB728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BA3B-4601-8012-60A4CFADB728}"/>
                </c:ext>
              </c:extLst>
            </c:dLbl>
            <c:spPr>
              <a:solidFill>
                <a:srgbClr val="FFC00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'3.2 GAZ'!$L$9:$L$20</c:f>
              <c:numCache>
                <c:formatCode>#,##0</c:formatCode>
                <c:ptCount val="12"/>
                <c:pt idx="0">
                  <c:v>2391292</c:v>
                </c:pt>
                <c:pt idx="1">
                  <c:v>4384058</c:v>
                </c:pt>
                <c:pt idx="2">
                  <c:v>5923435</c:v>
                </c:pt>
                <c:pt idx="3">
                  <c:v>6738265</c:v>
                </c:pt>
                <c:pt idx="4">
                  <c:v>6954769</c:v>
                </c:pt>
                <c:pt idx="5">
                  <c:v>7014769</c:v>
                </c:pt>
                <c:pt idx="6">
                  <c:v>7064769</c:v>
                </c:pt>
                <c:pt idx="7">
                  <c:v>7099769</c:v>
                </c:pt>
                <c:pt idx="8">
                  <c:v>7159769</c:v>
                </c:pt>
                <c:pt idx="9">
                  <c:v>7683421</c:v>
                </c:pt>
                <c:pt idx="10">
                  <c:v>8955421</c:v>
                </c:pt>
                <c:pt idx="11">
                  <c:v>10361359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F-BA3B-4601-8012-60A4CFADB728}"/>
            </c:ext>
          </c:extLst>
        </c:ser>
        <c:ser>
          <c:idx val="3"/>
          <c:order val="4"/>
          <c:tx>
            <c:v>Réalisé cumulé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'3.2 GAZ'!$G$9:$G$20</c:f>
              <c:numCache>
                <c:formatCode>#,##0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BA3B-4601-8012-60A4CFADB72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830495"/>
        <c:axId val="119827871"/>
        <c:extLst/>
      </c:lineChart>
      <c:catAx>
        <c:axId val="11983049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827871"/>
        <c:crosses val="autoZero"/>
        <c:auto val="1"/>
        <c:lblAlgn val="ctr"/>
        <c:lblOffset val="100"/>
        <c:noMultiLvlLbl val="0"/>
      </c:catAx>
      <c:valAx>
        <c:axId val="119827871"/>
        <c:scaling>
          <c:orientation val="minMax"/>
        </c:scaling>
        <c:delete val="1"/>
        <c:axPos val="l"/>
        <c:numFmt formatCode="#,##0" sourceLinked="1"/>
        <c:majorTickMark val="none"/>
        <c:minorTickMark val="none"/>
        <c:tickLblPos val="nextTo"/>
        <c:crossAx val="119830495"/>
        <c:crosses val="autoZero"/>
        <c:crossBetween val="between"/>
        <c:dispUnits>
          <c:builtInUnit val="thousands"/>
          <c:dispUnitsLbl>
            <c:layout>
              <c:manualLayout>
                <c:xMode val="edge"/>
                <c:yMode val="edge"/>
                <c:x val="9.7468239056418091E-2"/>
                <c:y val="0.16988576564258262"/>
              </c:manualLayout>
            </c:layout>
            <c:tx>
              <c:rich>
                <a:bodyPr rot="0" spcFirstLastPara="1" vertOverflow="ellipsis" wrap="square" anchor="ctr" anchorCtr="0"/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r>
                    <a:rPr lang="fr-FR" sz="1050" b="1"/>
                    <a:t>K€</a:t>
                  </a:r>
                </a:p>
              </c:rich>
            </c:tx>
            <c:spPr>
              <a:noFill/>
              <a:ln>
                <a:noFill/>
              </a:ln>
              <a:effectLst/>
            </c:spPr>
            <c:txPr>
              <a:bodyPr rot="0" spcFirstLastPara="1" vertOverflow="ellipsis" wrap="square" anchor="ctr" anchorCtr="0"/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valAx>
        <c:axId val="119821311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19821639"/>
        <c:crosses val="max"/>
        <c:crossBetween val="between"/>
        <c:dispUnits>
          <c:builtInUnit val="thousands"/>
        </c:dispUnits>
      </c:valAx>
      <c:catAx>
        <c:axId val="11982163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9821311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chemeClr val="accent4">
                <a:lumMod val="75000"/>
              </a:schemeClr>
            </a:gs>
            <a:gs pos="99000">
              <a:schemeClr val="accent4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6841510136882108E-2"/>
          <c:y val="0.89340156424519013"/>
          <c:w val="0.8999999303954328"/>
          <c:h val="4.11588246591127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chemeClr val="accent4">
            <a:lumMod val="75000"/>
          </a:schemeClr>
        </a:gs>
        <a:gs pos="100000">
          <a:schemeClr val="accent4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21831273616267E-3"/>
          <c:y val="8.9874519528661376E-4"/>
          <c:w val="0.99487262076506111"/>
          <c:h val="0.77283501934680532"/>
        </c:manualLayout>
      </c:layout>
      <c:barChart>
        <c:barDir val="col"/>
        <c:grouping val="clustered"/>
        <c:varyColors val="0"/>
        <c:ser>
          <c:idx val="0"/>
          <c:order val="0"/>
          <c:tx>
            <c:v>Budget mensuel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'3.1 ELEC'!$B$9:$B$20</c:f>
              <c:numCache>
                <c:formatCode>#,##0</c:formatCode>
                <c:ptCount val="12"/>
                <c:pt idx="0">
                  <c:v>2472638</c:v>
                </c:pt>
                <c:pt idx="1">
                  <c:v>2212953</c:v>
                </c:pt>
                <c:pt idx="2">
                  <c:v>2294386</c:v>
                </c:pt>
                <c:pt idx="3">
                  <c:v>1971631</c:v>
                </c:pt>
                <c:pt idx="4">
                  <c:v>1749775</c:v>
                </c:pt>
                <c:pt idx="5">
                  <c:v>2056793</c:v>
                </c:pt>
                <c:pt idx="6">
                  <c:v>1977847</c:v>
                </c:pt>
                <c:pt idx="7">
                  <c:v>1501123</c:v>
                </c:pt>
                <c:pt idx="8">
                  <c:v>2113489</c:v>
                </c:pt>
                <c:pt idx="9">
                  <c:v>2011859</c:v>
                </c:pt>
                <c:pt idx="10">
                  <c:v>2285975</c:v>
                </c:pt>
                <c:pt idx="11">
                  <c:v>1587773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0-3E37-4798-9A32-21141A090DAA}"/>
            </c:ext>
          </c:extLst>
        </c:ser>
        <c:ser>
          <c:idx val="2"/>
          <c:order val="2"/>
          <c:tx>
            <c:v>Réalisé mensuel</c:v>
          </c:tx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5="http://schemas.microsoft.com/office/drawing/2012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'3.1 ELEC'!$E$9:$E$20</c:f>
              <c:numCache>
                <c:formatCode>#,##0</c:formatCode>
                <c:ptCount val="12"/>
                <c:pt idx="0">
                  <c:v>2472638</c:v>
                </c:pt>
                <c:pt idx="1">
                  <c:v>235325</c:v>
                </c:pt>
              </c:numCache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1-3E37-4798-9A32-21141A090DA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0"/>
        <c:overlap val="-27"/>
        <c:axId val="119821639"/>
        <c:axId val="119821311"/>
        <c:extLst/>
      </c:barChart>
      <c:lineChart>
        <c:grouping val="standard"/>
        <c:varyColors val="0"/>
        <c:ser>
          <c:idx val="1"/>
          <c:order val="1"/>
          <c:tx>
            <c:v>Budget cumulé</c:v>
          </c:tx>
          <c:spPr>
            <a:ln w="28575" cap="rnd">
              <a:solidFill>
                <a:srgbClr val="193F61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193F61"/>
              </a:solidFill>
              <a:ln w="15875">
                <a:solidFill>
                  <a:srgbClr val="193F61"/>
                </a:solidFill>
              </a:ln>
              <a:effectLst/>
            </c:spPr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4F8A-4798-A3DC-9F6C9F3F8A63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4F8A-4798-A3DC-9F6C9F3F8A63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4F8A-4798-A3DC-9F6C9F3F8A63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4F8A-4798-A3DC-9F6C9F3F8A63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4F8A-4798-A3DC-9F6C9F3F8A63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4F8A-4798-A3DC-9F6C9F3F8A63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4F8A-4798-A3DC-9F6C9F3F8A63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4F8A-4798-A3DC-9F6C9F3F8A63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4F8A-4798-A3DC-9F6C9F3F8A63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4F8A-4798-A3DC-9F6C9F3F8A63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4F8A-4798-A3DC-9F6C9F3F8A6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'3.1 ELEC'!$C$9:$C$20</c:f>
              <c:numCache>
                <c:formatCode>#,##0</c:formatCode>
                <c:ptCount val="12"/>
                <c:pt idx="0">
                  <c:v>2472638</c:v>
                </c:pt>
                <c:pt idx="1">
                  <c:v>4685591</c:v>
                </c:pt>
                <c:pt idx="2">
                  <c:v>6979977</c:v>
                </c:pt>
                <c:pt idx="3">
                  <c:v>8951608</c:v>
                </c:pt>
                <c:pt idx="4">
                  <c:v>10701383</c:v>
                </c:pt>
                <c:pt idx="5">
                  <c:v>12758176</c:v>
                </c:pt>
                <c:pt idx="6">
                  <c:v>14736023</c:v>
                </c:pt>
                <c:pt idx="7">
                  <c:v>16237146</c:v>
                </c:pt>
                <c:pt idx="8">
                  <c:v>18350635</c:v>
                </c:pt>
                <c:pt idx="9">
                  <c:v>20362494</c:v>
                </c:pt>
                <c:pt idx="10">
                  <c:v>22648469</c:v>
                </c:pt>
                <c:pt idx="11">
                  <c:v>24236242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3E37-4798-9A32-21141A090DAA}"/>
            </c:ext>
          </c:extLst>
        </c:ser>
        <c:ser>
          <c:idx val="5"/>
          <c:order val="3"/>
          <c:tx>
            <c:v>Atterrisage cumulé</c:v>
          </c:tx>
          <c:spPr>
            <a:ln w="28575" cap="rnd">
              <a:solidFill>
                <a:srgbClr val="FFCC00"/>
              </a:solidFill>
              <a:prstDash val="dash"/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3E37-4798-9A32-21141A090DAA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3E37-4798-9A32-21141A090DAA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3E37-4798-9A32-21141A090DAA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3E37-4798-9A32-21141A090DAA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3E37-4798-9A32-21141A090DAA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3E37-4798-9A32-21141A090DAA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3E37-4798-9A32-21141A090DAA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3E37-4798-9A32-21141A090DAA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3E37-4798-9A32-21141A090DAA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3E37-4798-9A32-21141A090DAA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3E37-4798-9A32-21141A090DAA}"/>
                </c:ext>
              </c:extLst>
            </c:dLbl>
            <c:dLbl>
              <c:idx val="11"/>
              <c:spPr>
                <a:solidFill>
                  <a:srgbClr val="193F61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1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F-3E37-4798-9A32-21141A090DAA}"/>
                </c:ext>
              </c:extLst>
            </c:dLbl>
            <c:spPr>
              <a:solidFill>
                <a:srgbClr val="FFC00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'3.1 ELEC'!$I$9:$I$20</c:f>
              <c:numCache>
                <c:formatCode>#,##0</c:formatCode>
                <c:ptCount val="12"/>
                <c:pt idx="0">
                  <c:v>2472638</c:v>
                </c:pt>
                <c:pt idx="1">
                  <c:v>2707963</c:v>
                </c:pt>
                <c:pt idx="2">
                  <c:v>5002349</c:v>
                </c:pt>
                <c:pt idx="3">
                  <c:v>6973980</c:v>
                </c:pt>
                <c:pt idx="4">
                  <c:v>8723755</c:v>
                </c:pt>
                <c:pt idx="5">
                  <c:v>10780548</c:v>
                </c:pt>
                <c:pt idx="6">
                  <c:v>12758395</c:v>
                </c:pt>
                <c:pt idx="7">
                  <c:v>14259518</c:v>
                </c:pt>
                <c:pt idx="8">
                  <c:v>16373007</c:v>
                </c:pt>
                <c:pt idx="9">
                  <c:v>18384866</c:v>
                </c:pt>
                <c:pt idx="10">
                  <c:v>20670841</c:v>
                </c:pt>
                <c:pt idx="11">
                  <c:v>22258614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3E37-4798-9A32-21141A090DAA}"/>
            </c:ext>
          </c:extLst>
        </c:ser>
        <c:ser>
          <c:idx val="3"/>
          <c:order val="4"/>
          <c:tx>
            <c:v>Réalisé cumulé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diamond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Lit>
              <c:formatCode>General</c:formatCode>
              <c:ptCount val="12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  <c:pt idx="5">
                <c:v>6</c:v>
              </c:pt>
              <c:pt idx="6">
                <c:v>7</c:v>
              </c:pt>
              <c:pt idx="7">
                <c:v>8</c:v>
              </c:pt>
              <c:pt idx="8">
                <c:v>9</c:v>
              </c:pt>
              <c:pt idx="9">
                <c:v>10</c:v>
              </c:pt>
              <c:pt idx="10">
                <c:v>11</c:v>
              </c:pt>
              <c:pt idx="11">
                <c:v>12</c:v>
              </c:pt>
            </c:numLit>
          </c:cat>
          <c:val>
            <c:numRef>
              <c:f>'3.1 ELEC'!$F$9:$F$20</c:f>
              <c:numCache>
                <c:formatCode>#,##0</c:formatCode>
                <c:ptCount val="12"/>
                <c:pt idx="0">
                  <c:v>2472638</c:v>
                </c:pt>
                <c:pt idx="1">
                  <c:v>2707963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1-3E37-4798-9A32-21141A090DA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830495"/>
        <c:axId val="119827871"/>
        <c:extLst/>
      </c:lineChart>
      <c:catAx>
        <c:axId val="119830495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827871"/>
        <c:crosses val="autoZero"/>
        <c:auto val="1"/>
        <c:lblAlgn val="ctr"/>
        <c:lblOffset val="100"/>
        <c:noMultiLvlLbl val="0"/>
      </c:catAx>
      <c:valAx>
        <c:axId val="119827871"/>
        <c:scaling>
          <c:orientation val="minMax"/>
        </c:scaling>
        <c:delete val="1"/>
        <c:axPos val="l"/>
        <c:numFmt formatCode="#,##0" sourceLinked="1"/>
        <c:majorTickMark val="none"/>
        <c:minorTickMark val="none"/>
        <c:tickLblPos val="nextTo"/>
        <c:crossAx val="119830495"/>
        <c:crosses val="autoZero"/>
        <c:crossBetween val="between"/>
        <c:dispUnits>
          <c:builtInUnit val="thousands"/>
          <c:dispUnitsLbl>
            <c:layout>
              <c:manualLayout>
                <c:xMode val="edge"/>
                <c:yMode val="edge"/>
                <c:x val="9.7468239056418091E-2"/>
                <c:y val="0.16988576564258262"/>
              </c:manualLayout>
            </c:layout>
            <c:tx>
              <c:rich>
                <a:bodyPr rot="0" spcFirstLastPara="1" vertOverflow="ellipsis" wrap="square" anchor="ctr" anchorCtr="0"/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r>
                    <a:rPr lang="fr-FR" sz="1050" b="1"/>
                    <a:t>K€</a:t>
                  </a:r>
                </a:p>
              </c:rich>
            </c:tx>
            <c:spPr>
              <a:noFill/>
              <a:ln>
                <a:noFill/>
              </a:ln>
              <a:effectLst/>
            </c:spPr>
            <c:txPr>
              <a:bodyPr rot="0" spcFirstLastPara="1" vertOverflow="ellipsis" wrap="square" anchor="ctr" anchorCtr="0"/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</c:dispUnitsLbl>
        </c:dispUnits>
      </c:valAx>
      <c:valAx>
        <c:axId val="119821311"/>
        <c:scaling>
          <c:orientation val="minMax"/>
        </c:scaling>
        <c:delete val="1"/>
        <c:axPos val="r"/>
        <c:numFmt formatCode="#,##0" sourceLinked="1"/>
        <c:majorTickMark val="out"/>
        <c:minorTickMark val="none"/>
        <c:tickLblPos val="nextTo"/>
        <c:crossAx val="119821639"/>
        <c:crosses val="max"/>
        <c:crossBetween val="between"/>
        <c:dispUnits>
          <c:builtInUnit val="thousands"/>
        </c:dispUnits>
      </c:valAx>
      <c:catAx>
        <c:axId val="11982163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9821311"/>
        <c:crosses val="autoZero"/>
        <c:auto val="1"/>
        <c:lblAlgn val="ctr"/>
        <c:lblOffset val="100"/>
        <c:noMultiLvlLbl val="0"/>
      </c:catAx>
      <c:spPr>
        <a:gradFill>
          <a:gsLst>
            <a:gs pos="0">
              <a:schemeClr val="accent5">
                <a:lumMod val="100000"/>
              </a:schemeClr>
            </a:gs>
            <a:gs pos="99000">
              <a:schemeClr val="accent5">
                <a:lumMod val="20000"/>
                <a:lumOff val="80000"/>
              </a:schemeClr>
            </a:gs>
          </a:gsLst>
          <a:lin ang="5400000" scaled="1"/>
        </a:gradFill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6841510136882108E-2"/>
          <c:y val="0.89340156424519013"/>
          <c:w val="0.8999999303954328"/>
          <c:h val="4.11588246591127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rgbClr val="193F61"/>
        </a:gs>
        <a:gs pos="100000">
          <a:schemeClr val="accent1">
            <a:lumMod val="20000"/>
            <a:lumOff val="8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7.xml"/><Relationship Id="rId13" Type="http://schemas.openxmlformats.org/officeDocument/2006/relationships/chart" Target="../charts/chart12.xml"/><Relationship Id="rId3" Type="http://schemas.openxmlformats.org/officeDocument/2006/relationships/chart" Target="../charts/chart2.xml"/><Relationship Id="rId7" Type="http://schemas.openxmlformats.org/officeDocument/2006/relationships/chart" Target="../charts/chart6.xml"/><Relationship Id="rId12" Type="http://schemas.openxmlformats.org/officeDocument/2006/relationships/chart" Target="../charts/chart11.xml"/><Relationship Id="rId2" Type="http://schemas.openxmlformats.org/officeDocument/2006/relationships/chart" Target="../charts/chart1.xml"/><Relationship Id="rId1" Type="http://schemas.openxmlformats.org/officeDocument/2006/relationships/image" Target="../media/image1.png"/><Relationship Id="rId6" Type="http://schemas.openxmlformats.org/officeDocument/2006/relationships/chart" Target="../charts/chart5.xml"/><Relationship Id="rId11" Type="http://schemas.openxmlformats.org/officeDocument/2006/relationships/chart" Target="../charts/chart10.xml"/><Relationship Id="rId5" Type="http://schemas.openxmlformats.org/officeDocument/2006/relationships/chart" Target="../charts/chart4.xml"/><Relationship Id="rId10" Type="http://schemas.openxmlformats.org/officeDocument/2006/relationships/chart" Target="../charts/chart9.xml"/><Relationship Id="rId4" Type="http://schemas.openxmlformats.org/officeDocument/2006/relationships/chart" Target="../charts/chart3.xml"/><Relationship Id="rId9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588818</xdr:colOff>
      <xdr:row>0</xdr:row>
      <xdr:rowOff>125555</xdr:rowOff>
    </xdr:from>
    <xdr:to>
      <xdr:col>2</xdr:col>
      <xdr:colOff>292244</xdr:colOff>
      <xdr:row>5</xdr:row>
      <xdr:rowOff>95563</xdr:rowOff>
    </xdr:to>
    <xdr:pic>
      <xdr:nvPicPr>
        <xdr:cNvPr id="4" name="Image 3" descr="Compteur De Vitesse Tachymètre · Images vectorielles ...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8818" y="125555"/>
          <a:ext cx="915699" cy="957144"/>
        </a:xfrm>
        <a:prstGeom prst="rect">
          <a:avLst/>
        </a:prstGeom>
      </xdr:spPr>
    </xdr:pic>
    <xdr:clientData/>
  </xdr:twoCellAnchor>
  <xdr:twoCellAnchor>
    <xdr:from>
      <xdr:col>36</xdr:col>
      <xdr:colOff>526905</xdr:colOff>
      <xdr:row>0</xdr:row>
      <xdr:rowOff>141576</xdr:rowOff>
    </xdr:from>
    <xdr:to>
      <xdr:col>38</xdr:col>
      <xdr:colOff>217341</xdr:colOff>
      <xdr:row>5</xdr:row>
      <xdr:rowOff>111584</xdr:rowOff>
    </xdr:to>
    <xdr:pic>
      <xdr:nvPicPr>
        <xdr:cNvPr id="5" name="Image 4" descr="Compteur De Vitesse Tachymètre · Images vectorielles ...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347814" y="141576"/>
          <a:ext cx="902709" cy="957144"/>
        </a:xfrm>
        <a:prstGeom prst="rect">
          <a:avLst/>
        </a:prstGeom>
      </xdr:spPr>
    </xdr:pic>
    <xdr:clientData/>
  </xdr:twoCellAnchor>
  <xdr:twoCellAnchor>
    <xdr:from>
      <xdr:col>0</xdr:col>
      <xdr:colOff>34636</xdr:colOff>
      <xdr:row>6</xdr:row>
      <xdr:rowOff>0</xdr:rowOff>
    </xdr:from>
    <xdr:to>
      <xdr:col>14</xdr:col>
      <xdr:colOff>0</xdr:colOff>
      <xdr:row>67</xdr:row>
      <xdr:rowOff>136070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pSpPr/>
      </xdr:nvGrpSpPr>
      <xdr:grpSpPr>
        <a:xfrm>
          <a:off x="34636" y="1177636"/>
          <a:ext cx="8451273" cy="11895116"/>
          <a:chOff x="34636" y="1183931"/>
          <a:chExt cx="8451273" cy="9741340"/>
        </a:xfrm>
      </xdr:grpSpPr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/>
        </xdr:nvSpPr>
        <xdr:spPr>
          <a:xfrm>
            <a:off x="242454" y="2105847"/>
            <a:ext cx="7931727" cy="8819424"/>
          </a:xfrm>
          <a:prstGeom prst="rect">
            <a:avLst/>
          </a:prstGeom>
          <a:ln w="28575">
            <a:solidFill>
              <a:schemeClr val="accent5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" name="Rectangle à coins arrondis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34636" y="1183931"/>
            <a:ext cx="8451273" cy="992836"/>
          </a:xfrm>
          <a:prstGeom prst="roundRect">
            <a:avLst/>
          </a:prstGeom>
          <a:solidFill>
            <a:schemeClr val="accent1"/>
          </a:solidFill>
          <a:ln w="28575">
            <a:solidFill>
              <a:schemeClr val="accent1">
                <a:lumMod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9600" b="1" i="1" u="none">
                <a:solidFill>
                  <a:schemeClr val="accent1">
                    <a:lumMod val="50000"/>
                  </a:schemeClr>
                </a:solidFill>
                <a:latin typeface="Peugeot" panose="02000503040000020003" pitchFamily="2" charset="0"/>
              </a:rPr>
              <a:t>ELEC</a:t>
            </a:r>
          </a:p>
        </xdr:txBody>
      </xdr:sp>
    </xdr:grpSp>
    <xdr:clientData/>
  </xdr:twoCellAnchor>
  <xdr:twoCellAnchor>
    <xdr:from>
      <xdr:col>14</xdr:col>
      <xdr:colOff>13854</xdr:colOff>
      <xdr:row>5</xdr:row>
      <xdr:rowOff>180851</xdr:rowOff>
    </xdr:from>
    <xdr:to>
      <xdr:col>28</xdr:col>
      <xdr:colOff>13854</xdr:colOff>
      <xdr:row>67</xdr:row>
      <xdr:rowOff>136072</xdr:rowOff>
    </xdr:to>
    <xdr:grpSp>
      <xdr:nvGrpSpPr>
        <xdr:cNvPr id="14" name="Group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GrpSpPr/>
      </xdr:nvGrpSpPr>
      <xdr:grpSpPr>
        <a:xfrm>
          <a:off x="8499763" y="1167987"/>
          <a:ext cx="8485909" cy="11904767"/>
          <a:chOff x="8499763" y="1208808"/>
          <a:chExt cx="8485909" cy="9720898"/>
        </a:xfrm>
      </xdr:grpSpPr>
      <xdr:sp macro="" textlink="">
        <xdr:nvSpPr>
          <xdr:cNvPr id="12" name="Rectangle 1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/>
        </xdr:nvSpPr>
        <xdr:spPr>
          <a:xfrm>
            <a:off x="8724901" y="2127182"/>
            <a:ext cx="8021781" cy="8802524"/>
          </a:xfrm>
          <a:prstGeom prst="rect">
            <a:avLst/>
          </a:prstGeom>
          <a:solidFill>
            <a:schemeClr val="accent4"/>
          </a:solidFill>
          <a:ln w="28575">
            <a:solidFill>
              <a:schemeClr val="accent4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" name="Rectangle à coins arrondis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/>
        </xdr:nvSpPr>
        <xdr:spPr>
          <a:xfrm>
            <a:off x="8499763" y="1208808"/>
            <a:ext cx="8485909" cy="1017954"/>
          </a:xfrm>
          <a:prstGeom prst="roundRect">
            <a:avLst/>
          </a:prstGeom>
          <a:solidFill>
            <a:schemeClr val="accent4"/>
          </a:solidFill>
          <a:ln w="28575">
            <a:solidFill>
              <a:schemeClr val="accent4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9600" b="1" i="1">
                <a:solidFill>
                  <a:schemeClr val="accent4">
                    <a:lumMod val="75000"/>
                  </a:schemeClr>
                </a:solidFill>
                <a:latin typeface="Peugeot" panose="02000503040000020003" pitchFamily="2" charset="0"/>
              </a:rPr>
              <a:t>GAZ</a:t>
            </a:r>
          </a:p>
        </xdr:txBody>
      </xdr:sp>
    </xdr:grpSp>
    <xdr:clientData/>
  </xdr:twoCellAnchor>
  <xdr:twoCellAnchor>
    <xdr:from>
      <xdr:col>28</xdr:col>
      <xdr:colOff>45028</xdr:colOff>
      <xdr:row>6</xdr:row>
      <xdr:rowOff>13607</xdr:rowOff>
    </xdr:from>
    <xdr:to>
      <xdr:col>42</xdr:col>
      <xdr:colOff>1</xdr:colOff>
      <xdr:row>67</xdr:row>
      <xdr:rowOff>149677</xdr:rowOff>
    </xdr:to>
    <xdr:grpSp>
      <xdr:nvGrpSpPr>
        <xdr:cNvPr id="15" name="Group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GrpSpPr/>
      </xdr:nvGrpSpPr>
      <xdr:grpSpPr>
        <a:xfrm>
          <a:off x="17016846" y="1191243"/>
          <a:ext cx="8440882" cy="11895116"/>
          <a:chOff x="17016846" y="1195058"/>
          <a:chExt cx="8440882" cy="9745413"/>
        </a:xfrm>
      </xdr:grpSpPr>
      <xdr:sp macro="" textlink="">
        <xdr:nvSpPr>
          <xdr:cNvPr id="13" name="Rectangle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/>
        </xdr:nvSpPr>
        <xdr:spPr>
          <a:xfrm>
            <a:off x="17293937" y="2082507"/>
            <a:ext cx="7931727" cy="8857964"/>
          </a:xfrm>
          <a:prstGeom prst="rect">
            <a:avLst/>
          </a:prstGeom>
          <a:solidFill>
            <a:schemeClr val="accent2"/>
          </a:solidFill>
          <a:ln w="28575">
            <a:solidFill>
              <a:schemeClr val="accent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8" name="Rectangle à coins arrondis 7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SpPr/>
        </xdr:nvSpPr>
        <xdr:spPr>
          <a:xfrm>
            <a:off x="17016846" y="1195058"/>
            <a:ext cx="8440882" cy="987311"/>
          </a:xfrm>
          <a:prstGeom prst="roundRect">
            <a:avLst/>
          </a:prstGeom>
          <a:solidFill>
            <a:schemeClr val="accent2"/>
          </a:solidFill>
          <a:ln w="28575">
            <a:solidFill>
              <a:schemeClr val="accent2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9600" b="1" i="1">
                <a:solidFill>
                  <a:schemeClr val="accent2">
                    <a:lumMod val="75000"/>
                  </a:schemeClr>
                </a:solidFill>
                <a:latin typeface="Peugeot" panose="02000503040000020003" pitchFamily="2" charset="0"/>
              </a:rPr>
              <a:t>EAU</a:t>
            </a:r>
          </a:p>
        </xdr:txBody>
      </xdr:sp>
    </xdr:grpSp>
    <xdr:clientData/>
  </xdr:twoCellAnchor>
  <xdr:twoCellAnchor>
    <xdr:from>
      <xdr:col>7</xdr:col>
      <xdr:colOff>104319</xdr:colOff>
      <xdr:row>14</xdr:row>
      <xdr:rowOff>67355</xdr:rowOff>
    </xdr:from>
    <xdr:to>
      <xdr:col>13</xdr:col>
      <xdr:colOff>199569</xdr:colOff>
      <xdr:row>28</xdr:row>
      <xdr:rowOff>145143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349207</xdr:colOff>
      <xdr:row>14</xdr:row>
      <xdr:rowOff>74791</xdr:rowOff>
    </xdr:from>
    <xdr:to>
      <xdr:col>6</xdr:col>
      <xdr:colOff>444458</xdr:colOff>
      <xdr:row>28</xdr:row>
      <xdr:rowOff>152579</xdr:rowOff>
    </xdr:to>
    <xdr:graphicFrame macro="">
      <xdr:nvGraphicFramePr>
        <xdr:cNvPr id="39" name="Graphique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602673</xdr:colOff>
      <xdr:row>12</xdr:row>
      <xdr:rowOff>74975</xdr:rowOff>
    </xdr:from>
    <xdr:to>
      <xdr:col>12</xdr:col>
      <xdr:colOff>290947</xdr:colOff>
      <xdr:row>15</xdr:row>
      <xdr:rowOff>5703</xdr:rowOff>
    </xdr:to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/>
      </xdr:nvSpPr>
      <xdr:spPr>
        <a:xfrm>
          <a:off x="4838497" y="2529063"/>
          <a:ext cx="2713862" cy="502228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chemeClr val="tx1"/>
              </a:solidFill>
            </a:rPr>
            <a:t>Budget coût cumulé €</a:t>
          </a:r>
        </a:p>
      </xdr:txBody>
    </xdr:sp>
    <xdr:clientData/>
  </xdr:twoCellAnchor>
  <xdr:twoCellAnchor>
    <xdr:from>
      <xdr:col>0</xdr:col>
      <xdr:colOff>333994</xdr:colOff>
      <xdr:row>29</xdr:row>
      <xdr:rowOff>34636</xdr:rowOff>
    </xdr:from>
    <xdr:to>
      <xdr:col>13</xdr:col>
      <xdr:colOff>206994</xdr:colOff>
      <xdr:row>42</xdr:row>
      <xdr:rowOff>114300</xdr:rowOff>
    </xdr:to>
    <xdr:graphicFrame macro="">
      <xdr:nvGraphicFramePr>
        <xdr:cNvPr id="40" name="Graphiqu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402774</xdr:colOff>
      <xdr:row>56</xdr:row>
      <xdr:rowOff>118749</xdr:rowOff>
    </xdr:from>
    <xdr:to>
      <xdr:col>4</xdr:col>
      <xdr:colOff>21774</xdr:colOff>
      <xdr:row>61</xdr:row>
      <xdr:rowOff>13604</xdr:rowOff>
    </xdr:to>
    <xdr:grpSp>
      <xdr:nvGrpSpPr>
        <xdr:cNvPr id="19" name="Group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GrpSpPr/>
      </xdr:nvGrpSpPr>
      <xdr:grpSpPr>
        <a:xfrm>
          <a:off x="402774" y="10959931"/>
          <a:ext cx="2043545" cy="847355"/>
          <a:chOff x="402774" y="9855551"/>
          <a:chExt cx="2070652" cy="847355"/>
        </a:xfrm>
      </xdr:grpSpPr>
      <xdr:sp macro="" textlink="'3.1 ELEC'!N21">
        <xdr:nvSpPr>
          <xdr:cNvPr id="10" name="Rectangle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/>
        </xdr:nvSpPr>
        <xdr:spPr>
          <a:xfrm>
            <a:off x="402774" y="10076977"/>
            <a:ext cx="2070652" cy="625929"/>
          </a:xfrm>
          <a:prstGeom prst="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9B63B16C-CAAB-4867-8C7A-D565CF4688C4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4 849 364 € </a:t>
            </a:fld>
            <a:endParaRPr lang="fr-FR" sz="1600"/>
          </a:p>
        </xdr:txBody>
      </xdr:sp>
      <xdr:sp macro="" textlink="">
        <xdr:nvSpPr>
          <xdr:cNvPr id="53" name="ZoneTexte 52">
            <a:extLst>
              <a:ext uri="{FF2B5EF4-FFF2-40B4-BE49-F238E27FC236}">
                <a16:creationId xmlns:a16="http://schemas.microsoft.com/office/drawing/2014/main" id="{00000000-0008-0000-0000-000035000000}"/>
              </a:ext>
            </a:extLst>
          </xdr:cNvPr>
          <xdr:cNvSpPr txBox="1"/>
        </xdr:nvSpPr>
        <xdr:spPr>
          <a:xfrm>
            <a:off x="986103" y="9855551"/>
            <a:ext cx="966918" cy="346364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Budget €</a:t>
            </a:r>
          </a:p>
        </xdr:txBody>
      </xdr:sp>
    </xdr:grpSp>
    <xdr:clientData/>
  </xdr:twoCellAnchor>
  <xdr:twoCellAnchor>
    <xdr:from>
      <xdr:col>4</xdr:col>
      <xdr:colOff>352429</xdr:colOff>
      <xdr:row>56</xdr:row>
      <xdr:rowOff>121099</xdr:rowOff>
    </xdr:from>
    <xdr:to>
      <xdr:col>7</xdr:col>
      <xdr:colOff>583751</xdr:colOff>
      <xdr:row>61</xdr:row>
      <xdr:rowOff>27210</xdr:rowOff>
    </xdr:to>
    <xdr:grpSp>
      <xdr:nvGrpSpPr>
        <xdr:cNvPr id="1024" name="Groupe 1023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GrpSpPr/>
      </xdr:nvGrpSpPr>
      <xdr:grpSpPr>
        <a:xfrm>
          <a:off x="2776974" y="10962281"/>
          <a:ext cx="2049732" cy="858611"/>
          <a:chOff x="2628904" y="9862456"/>
          <a:chExt cx="2060122" cy="858611"/>
        </a:xfrm>
      </xdr:grpSpPr>
      <xdr:sp macro="" textlink="'3.1 ELEC'!R21">
        <xdr:nvSpPr>
          <xdr:cNvPr id="44" name="Rectangle 43">
            <a:extLst>
              <a:ext uri="{FF2B5EF4-FFF2-40B4-BE49-F238E27FC236}">
                <a16:creationId xmlns:a16="http://schemas.microsoft.com/office/drawing/2014/main" id="{00000000-0008-0000-0000-00002C000000}"/>
              </a:ext>
            </a:extLst>
          </xdr:cNvPr>
          <xdr:cNvSpPr/>
        </xdr:nvSpPr>
        <xdr:spPr>
          <a:xfrm>
            <a:off x="2628904" y="10095138"/>
            <a:ext cx="2060122" cy="625929"/>
          </a:xfrm>
          <a:prstGeom prst="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48019B0F-14F1-4DE0-8D64-13A04812879F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4 153 422 € </a:t>
            </a:fld>
            <a:endParaRPr lang="fr-FR" sz="2400"/>
          </a:p>
        </xdr:txBody>
      </xdr:sp>
      <xdr:sp macro="" textlink="">
        <xdr:nvSpPr>
          <xdr:cNvPr id="59" name="ZoneTexte 58">
            <a:extLst>
              <a:ext uri="{FF2B5EF4-FFF2-40B4-BE49-F238E27FC236}">
                <a16:creationId xmlns:a16="http://schemas.microsoft.com/office/drawing/2014/main" id="{00000000-0008-0000-0000-00003B000000}"/>
              </a:ext>
            </a:extLst>
          </xdr:cNvPr>
          <xdr:cNvSpPr txBox="1"/>
        </xdr:nvSpPr>
        <xdr:spPr>
          <a:xfrm>
            <a:off x="3030315" y="9862456"/>
            <a:ext cx="1265460" cy="346364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Atterrissage €</a:t>
            </a:r>
          </a:p>
        </xdr:txBody>
      </xdr:sp>
    </xdr:grpSp>
    <xdr:clientData/>
  </xdr:twoCellAnchor>
  <xdr:twoCellAnchor>
    <xdr:from>
      <xdr:col>8</xdr:col>
      <xdr:colOff>250376</xdr:colOff>
      <xdr:row>56</xdr:row>
      <xdr:rowOff>114295</xdr:rowOff>
    </xdr:from>
    <xdr:to>
      <xdr:col>13</xdr:col>
      <xdr:colOff>29940</xdr:colOff>
      <xdr:row>61</xdr:row>
      <xdr:rowOff>29931</xdr:rowOff>
    </xdr:to>
    <xdr:grpSp>
      <xdr:nvGrpSpPr>
        <xdr:cNvPr id="58" name="Groupe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GrpSpPr/>
      </xdr:nvGrpSpPr>
      <xdr:grpSpPr>
        <a:xfrm>
          <a:off x="5099467" y="10955477"/>
          <a:ext cx="2810246" cy="868136"/>
          <a:chOff x="4841426" y="9855652"/>
          <a:chExt cx="2827564" cy="868136"/>
        </a:xfrm>
      </xdr:grpSpPr>
      <xdr:sp macro="" textlink="'3.1 ELEC'!O21">
        <xdr:nvSpPr>
          <xdr:cNvPr id="45" name="Rectangle 44">
            <a:extLst>
              <a:ext uri="{FF2B5EF4-FFF2-40B4-BE49-F238E27FC236}">
                <a16:creationId xmlns:a16="http://schemas.microsoft.com/office/drawing/2014/main" id="{00000000-0008-0000-0000-00002D000000}"/>
              </a:ext>
            </a:extLst>
          </xdr:cNvPr>
          <xdr:cNvSpPr/>
        </xdr:nvSpPr>
        <xdr:spPr>
          <a:xfrm>
            <a:off x="4841426" y="10097859"/>
            <a:ext cx="2057400" cy="625929"/>
          </a:xfrm>
          <a:prstGeom prst="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3B8EAED5-FA41-429A-815F-2155392CFEE7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-695 942 € </a:t>
            </a:fld>
            <a:endParaRPr lang="en-US" sz="36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'3.1 ELEC'!O22">
        <xdr:nvSpPr>
          <xdr:cNvPr id="49" name="Rectangle 48">
            <a:extLst>
              <a:ext uri="{FF2B5EF4-FFF2-40B4-BE49-F238E27FC236}">
                <a16:creationId xmlns:a16="http://schemas.microsoft.com/office/drawing/2014/main" id="{00000000-0008-0000-0000-000031000000}"/>
              </a:ext>
            </a:extLst>
          </xdr:cNvPr>
          <xdr:cNvSpPr/>
        </xdr:nvSpPr>
        <xdr:spPr>
          <a:xfrm>
            <a:off x="6855282" y="10106025"/>
            <a:ext cx="813708" cy="615043"/>
          </a:xfrm>
          <a:prstGeom prst="rect">
            <a:avLst/>
          </a:prstGeom>
          <a:ln>
            <a:noFill/>
          </a:ln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FA9DB647-198D-4467-81FE-817D571236D8}" type="TxLink">
              <a:rPr lang="en-US" sz="18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-14,4%</a:t>
            </a:fld>
            <a:endParaRPr lang="en-US" sz="28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">
        <xdr:nvSpPr>
          <xdr:cNvPr id="61" name="ZoneTexte 60">
            <a:extLst>
              <a:ext uri="{FF2B5EF4-FFF2-40B4-BE49-F238E27FC236}">
                <a16:creationId xmlns:a16="http://schemas.microsoft.com/office/drawing/2014/main" id="{00000000-0008-0000-0000-00003D000000}"/>
              </a:ext>
            </a:extLst>
          </xdr:cNvPr>
          <xdr:cNvSpPr txBox="1"/>
        </xdr:nvSpPr>
        <xdr:spPr>
          <a:xfrm>
            <a:off x="5431976" y="9855652"/>
            <a:ext cx="1545772" cy="346364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-Gain/Perte+</a:t>
            </a:r>
          </a:p>
        </xdr:txBody>
      </xdr:sp>
    </xdr:grpSp>
    <xdr:clientData/>
  </xdr:twoCellAnchor>
  <xdr:twoCellAnchor>
    <xdr:from>
      <xdr:col>8</xdr:col>
      <xdr:colOff>239251</xdr:colOff>
      <xdr:row>62</xdr:row>
      <xdr:rowOff>41912</xdr:rowOff>
    </xdr:from>
    <xdr:to>
      <xdr:col>13</xdr:col>
      <xdr:colOff>27098</xdr:colOff>
      <xdr:row>66</xdr:row>
      <xdr:rowOff>148901</xdr:rowOff>
    </xdr:to>
    <xdr:grpSp>
      <xdr:nvGrpSpPr>
        <xdr:cNvPr id="57" name="Groupe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GrpSpPr/>
      </xdr:nvGrpSpPr>
      <xdr:grpSpPr>
        <a:xfrm>
          <a:off x="5088342" y="12026094"/>
          <a:ext cx="2818529" cy="868989"/>
          <a:chOff x="4853492" y="10921714"/>
          <a:chExt cx="2852413" cy="868989"/>
        </a:xfrm>
      </xdr:grpSpPr>
      <xdr:grpSp>
        <xdr:nvGrpSpPr>
          <xdr:cNvPr id="35" name="Groupe 34">
            <a:extLst>
              <a:ext uri="{FF2B5EF4-FFF2-40B4-BE49-F238E27FC236}">
                <a16:creationId xmlns:a16="http://schemas.microsoft.com/office/drawing/2014/main" id="{00000000-0008-0000-0000-000023000000}"/>
              </a:ext>
            </a:extLst>
          </xdr:cNvPr>
          <xdr:cNvGrpSpPr/>
        </xdr:nvGrpSpPr>
        <xdr:grpSpPr>
          <a:xfrm>
            <a:off x="4853492" y="11164774"/>
            <a:ext cx="2852413" cy="625929"/>
            <a:chOff x="4853492" y="10742359"/>
            <a:chExt cx="2852413" cy="625929"/>
          </a:xfrm>
        </xdr:grpSpPr>
        <xdr:sp macro="" textlink="'3.1 ELEC'!C21">
          <xdr:nvSpPr>
            <xdr:cNvPr id="52" name="Rectangle 51">
              <a:extLst>
                <a:ext uri="{FF2B5EF4-FFF2-40B4-BE49-F238E27FC236}">
                  <a16:creationId xmlns:a16="http://schemas.microsoft.com/office/drawing/2014/main" id="{00000000-0008-0000-0000-000034000000}"/>
                </a:ext>
              </a:extLst>
            </xdr:cNvPr>
            <xdr:cNvSpPr/>
          </xdr:nvSpPr>
          <xdr:spPr>
            <a:xfrm>
              <a:off x="4853492" y="10742359"/>
              <a:ext cx="2070652" cy="625929"/>
            </a:xfrm>
            <a:prstGeom prst="rect">
              <a:avLst/>
            </a:prstGeom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fld id="{3DBA676F-0CC1-40D8-976C-AD5476B8D24B}" type="TxLink">
                <a:rPr lang="en-US" sz="2400" b="1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ctr"/>
                <a:t>-1 977 628</a:t>
              </a:fld>
              <a:endParaRPr lang="en-US" sz="4800" b="1" i="0" u="none" strike="noStrike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sp macro="" textlink="'3.1 ELEC'!C22">
          <xdr:nvSpPr>
            <xdr:cNvPr id="55" name="Rectangle 54">
              <a:extLst>
                <a:ext uri="{FF2B5EF4-FFF2-40B4-BE49-F238E27FC236}">
                  <a16:creationId xmlns:a16="http://schemas.microsoft.com/office/drawing/2014/main" id="{00000000-0008-0000-0000-000037000000}"/>
                </a:ext>
              </a:extLst>
            </xdr:cNvPr>
            <xdr:cNvSpPr/>
          </xdr:nvSpPr>
          <xdr:spPr>
            <a:xfrm>
              <a:off x="6888883" y="10747928"/>
              <a:ext cx="817022" cy="617640"/>
            </a:xfrm>
            <a:prstGeom prst="rect">
              <a:avLst/>
            </a:prstGeom>
            <a:ln>
              <a:noFill/>
            </a:ln>
          </xdr:spPr>
          <xdr:style>
            <a:lnRef idx="1">
              <a:schemeClr val="accent1"/>
            </a:lnRef>
            <a:fillRef idx="2">
              <a:schemeClr val="accent1"/>
            </a:fillRef>
            <a:effectRef idx="1">
              <a:schemeClr val="accent1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fld id="{95ACDD5A-5C63-4396-A897-A95E6087BFF7}" type="TxLink">
                <a:rPr lang="en-US" sz="1800" b="1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ctr"/>
                <a:t>-8,2%</a:t>
              </a:fld>
              <a:endParaRPr lang="en-US" sz="1800" b="1" i="0" u="none" strike="noStrike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</xdr:grpSp>
      <xdr:sp macro="" textlink="">
        <xdr:nvSpPr>
          <xdr:cNvPr id="62" name="ZoneTexte 61">
            <a:extLst>
              <a:ext uri="{FF2B5EF4-FFF2-40B4-BE49-F238E27FC236}">
                <a16:creationId xmlns:a16="http://schemas.microsoft.com/office/drawing/2014/main" id="{00000000-0008-0000-0000-00003E000000}"/>
              </a:ext>
            </a:extLst>
          </xdr:cNvPr>
          <xdr:cNvSpPr txBox="1"/>
        </xdr:nvSpPr>
        <xdr:spPr>
          <a:xfrm>
            <a:off x="5466369" y="10921714"/>
            <a:ext cx="1555711" cy="346364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-Gain/Perte+</a:t>
            </a:r>
          </a:p>
        </xdr:txBody>
      </xdr:sp>
    </xdr:grpSp>
    <xdr:clientData/>
  </xdr:twoCellAnchor>
  <xdr:twoCellAnchor>
    <xdr:from>
      <xdr:col>0</xdr:col>
      <xdr:colOff>407090</xdr:colOff>
      <xdr:row>62</xdr:row>
      <xdr:rowOff>42174</xdr:rowOff>
    </xdr:from>
    <xdr:to>
      <xdr:col>4</xdr:col>
      <xdr:colOff>26090</xdr:colOff>
      <xdr:row>66</xdr:row>
      <xdr:rowOff>127787</xdr:rowOff>
    </xdr:to>
    <xdr:grpSp>
      <xdr:nvGrpSpPr>
        <xdr:cNvPr id="20" name="Group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GrpSpPr/>
      </xdr:nvGrpSpPr>
      <xdr:grpSpPr>
        <a:xfrm>
          <a:off x="407090" y="12026356"/>
          <a:ext cx="2043545" cy="847613"/>
          <a:chOff x="407090" y="10921976"/>
          <a:chExt cx="2070652" cy="847613"/>
        </a:xfrm>
      </xdr:grpSpPr>
      <xdr:sp macro="" textlink="'3.1 ELEC'!B21">
        <xdr:nvSpPr>
          <xdr:cNvPr id="50" name="Rectangle 49">
            <a:extLst>
              <a:ext uri="{FF2B5EF4-FFF2-40B4-BE49-F238E27FC236}">
                <a16:creationId xmlns:a16="http://schemas.microsoft.com/office/drawing/2014/main" id="{00000000-0008-0000-0000-000032000000}"/>
              </a:ext>
            </a:extLst>
          </xdr:cNvPr>
          <xdr:cNvSpPr/>
        </xdr:nvSpPr>
        <xdr:spPr>
          <a:xfrm>
            <a:off x="407090" y="11165013"/>
            <a:ext cx="2070652" cy="604576"/>
          </a:xfrm>
          <a:prstGeom prst="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748B6171-1870-47AB-A3D7-25E713CA73DA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24 236 242</a:t>
            </a:fld>
            <a:endParaRPr lang="fr-FR" sz="6600"/>
          </a:p>
        </xdr:txBody>
      </xdr:sp>
      <xdr:sp macro="" textlink="">
        <xdr:nvSpPr>
          <xdr:cNvPr id="63" name="ZoneTexte 62">
            <a:extLst>
              <a:ext uri="{FF2B5EF4-FFF2-40B4-BE49-F238E27FC236}">
                <a16:creationId xmlns:a16="http://schemas.microsoft.com/office/drawing/2014/main" id="{00000000-0008-0000-0000-00003F000000}"/>
              </a:ext>
            </a:extLst>
          </xdr:cNvPr>
          <xdr:cNvSpPr txBox="1"/>
        </xdr:nvSpPr>
        <xdr:spPr>
          <a:xfrm>
            <a:off x="879157" y="10921976"/>
            <a:ext cx="1208045" cy="346364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Budget kWh</a:t>
            </a:r>
          </a:p>
        </xdr:txBody>
      </xdr:sp>
    </xdr:grpSp>
    <xdr:clientData/>
  </xdr:twoCellAnchor>
  <xdr:twoCellAnchor>
    <xdr:from>
      <xdr:col>4</xdr:col>
      <xdr:colOff>359577</xdr:colOff>
      <xdr:row>62</xdr:row>
      <xdr:rowOff>35374</xdr:rowOff>
    </xdr:from>
    <xdr:to>
      <xdr:col>7</xdr:col>
      <xdr:colOff>590899</xdr:colOff>
      <xdr:row>66</xdr:row>
      <xdr:rowOff>146177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pSpPr/>
      </xdr:nvGrpSpPr>
      <xdr:grpSpPr>
        <a:xfrm>
          <a:off x="2784122" y="12019556"/>
          <a:ext cx="2049732" cy="872803"/>
          <a:chOff x="2797977" y="10919731"/>
          <a:chExt cx="2060122" cy="872803"/>
        </a:xfrm>
      </xdr:grpSpPr>
      <xdr:sp macro="" textlink="'3.1 ELEC'!H21">
        <xdr:nvSpPr>
          <xdr:cNvPr id="51" name="Rectangle 50">
            <a:extLst>
              <a:ext uri="{FF2B5EF4-FFF2-40B4-BE49-F238E27FC236}">
                <a16:creationId xmlns:a16="http://schemas.microsoft.com/office/drawing/2014/main" id="{00000000-0008-0000-0000-000033000000}"/>
              </a:ext>
            </a:extLst>
          </xdr:cNvPr>
          <xdr:cNvSpPr/>
        </xdr:nvSpPr>
        <xdr:spPr>
          <a:xfrm>
            <a:off x="2797977" y="11166605"/>
            <a:ext cx="2060122" cy="625929"/>
          </a:xfrm>
          <a:prstGeom prst="rect">
            <a:avLst/>
          </a:prstGeom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78A977B9-62DC-4FD5-BB87-F0382A51A2A6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22 258 614</a:t>
            </a:fld>
            <a:endParaRPr lang="fr-FR" sz="4400"/>
          </a:p>
        </xdr:txBody>
      </xdr:sp>
      <xdr:sp macro="" textlink="">
        <xdr:nvSpPr>
          <xdr:cNvPr id="54" name="ZoneTexte 53">
            <a:extLst>
              <a:ext uri="{FF2B5EF4-FFF2-40B4-BE49-F238E27FC236}">
                <a16:creationId xmlns:a16="http://schemas.microsoft.com/office/drawing/2014/main" id="{00000000-0008-0000-0000-000036000000}"/>
              </a:ext>
            </a:extLst>
          </xdr:cNvPr>
          <xdr:cNvSpPr txBox="1"/>
        </xdr:nvSpPr>
        <xdr:spPr>
          <a:xfrm>
            <a:off x="3076579" y="10919731"/>
            <a:ext cx="1523996" cy="346364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Atterrissage kWh</a:t>
            </a:r>
          </a:p>
        </xdr:txBody>
      </xdr:sp>
    </xdr:grpSp>
    <xdr:clientData/>
  </xdr:twoCellAnchor>
  <xdr:twoCellAnchor>
    <xdr:from>
      <xdr:col>21</xdr:col>
      <xdr:colOff>153631</xdr:colOff>
      <xdr:row>14</xdr:row>
      <xdr:rowOff>79464</xdr:rowOff>
    </xdr:from>
    <xdr:to>
      <xdr:col>27</xdr:col>
      <xdr:colOff>248881</xdr:colOff>
      <xdr:row>28</xdr:row>
      <xdr:rowOff>157252</xdr:rowOff>
    </xdr:to>
    <xdr:graphicFrame macro="">
      <xdr:nvGraphicFramePr>
        <xdr:cNvPr id="56" name="Graphique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401020</xdr:colOff>
      <xdr:row>14</xdr:row>
      <xdr:rowOff>87246</xdr:rowOff>
    </xdr:from>
    <xdr:to>
      <xdr:col>20</xdr:col>
      <xdr:colOff>496273</xdr:colOff>
      <xdr:row>28</xdr:row>
      <xdr:rowOff>165034</xdr:rowOff>
    </xdr:to>
    <xdr:graphicFrame macro="">
      <xdr:nvGraphicFramePr>
        <xdr:cNvPr id="65" name="Graphique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21</xdr:col>
      <xdr:colOff>609023</xdr:colOff>
      <xdr:row>12</xdr:row>
      <xdr:rowOff>93517</xdr:rowOff>
    </xdr:from>
    <xdr:to>
      <xdr:col>26</xdr:col>
      <xdr:colOff>290947</xdr:colOff>
      <xdr:row>15</xdr:row>
      <xdr:rowOff>24245</xdr:rowOff>
    </xdr:to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 txBox="1"/>
      </xdr:nvSpPr>
      <xdr:spPr>
        <a:xfrm>
          <a:off x="13410623" y="2541442"/>
          <a:ext cx="2729924" cy="502228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chemeClr val="tx1"/>
              </a:solidFill>
            </a:rPr>
            <a:t>Budget coût cumulé €</a:t>
          </a:r>
        </a:p>
      </xdr:txBody>
    </xdr:sp>
    <xdr:clientData/>
  </xdr:twoCellAnchor>
  <xdr:twoCellAnchor>
    <xdr:from>
      <xdr:col>14</xdr:col>
      <xdr:colOff>384958</xdr:colOff>
      <xdr:row>29</xdr:row>
      <xdr:rowOff>42306</xdr:rowOff>
    </xdr:from>
    <xdr:to>
      <xdr:col>27</xdr:col>
      <xdr:colOff>257958</xdr:colOff>
      <xdr:row>42</xdr:row>
      <xdr:rowOff>115956</xdr:rowOff>
    </xdr:to>
    <xdr:graphicFrame macro="">
      <xdr:nvGraphicFramePr>
        <xdr:cNvPr id="64" name="Graphique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14</xdr:col>
      <xdr:colOff>479408</xdr:colOff>
      <xdr:row>56</xdr:row>
      <xdr:rowOff>130872</xdr:rowOff>
    </xdr:from>
    <xdr:to>
      <xdr:col>18</xdr:col>
      <xdr:colOff>99426</xdr:colOff>
      <xdr:row>61</xdr:row>
      <xdr:rowOff>25727</xdr:rowOff>
    </xdr:to>
    <xdr:grpSp>
      <xdr:nvGrpSpPr>
        <xdr:cNvPr id="66" name="Groupe 65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GrpSpPr/>
      </xdr:nvGrpSpPr>
      <xdr:grpSpPr>
        <a:xfrm>
          <a:off x="8965317" y="10972054"/>
          <a:ext cx="2044564" cy="847355"/>
          <a:chOff x="402774" y="9855551"/>
          <a:chExt cx="2070652" cy="847355"/>
        </a:xfrm>
      </xdr:grpSpPr>
      <xdr:sp macro="" textlink="'3.2 GAZ'!R21">
        <xdr:nvSpPr>
          <xdr:cNvPr id="67" name="Rectangle 66">
            <a:extLst>
              <a:ext uri="{FF2B5EF4-FFF2-40B4-BE49-F238E27FC236}">
                <a16:creationId xmlns:a16="http://schemas.microsoft.com/office/drawing/2014/main" id="{00000000-0008-0000-0000-000043000000}"/>
              </a:ext>
            </a:extLst>
          </xdr:cNvPr>
          <xdr:cNvSpPr/>
        </xdr:nvSpPr>
        <xdr:spPr>
          <a:xfrm>
            <a:off x="402774" y="10076977"/>
            <a:ext cx="2070652" cy="625929"/>
          </a:xfrm>
          <a:prstGeom prst="rect">
            <a:avLst/>
          </a:prstGeom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D07D532B-13B2-4D45-AC4D-E5B9B31E6093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988 436 € </a:t>
            </a:fld>
            <a:endParaRPr lang="fr-FR" sz="2400"/>
          </a:p>
        </xdr:txBody>
      </xdr:sp>
      <xdr:sp macro="" textlink="">
        <xdr:nvSpPr>
          <xdr:cNvPr id="68" name="ZoneTexte 67">
            <a:extLst>
              <a:ext uri="{FF2B5EF4-FFF2-40B4-BE49-F238E27FC236}">
                <a16:creationId xmlns:a16="http://schemas.microsoft.com/office/drawing/2014/main" id="{00000000-0008-0000-0000-000044000000}"/>
              </a:ext>
            </a:extLst>
          </xdr:cNvPr>
          <xdr:cNvSpPr txBox="1"/>
        </xdr:nvSpPr>
        <xdr:spPr>
          <a:xfrm>
            <a:off x="986103" y="9855551"/>
            <a:ext cx="966918" cy="346364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Budget €</a:t>
            </a:r>
          </a:p>
        </xdr:txBody>
      </xdr:sp>
    </xdr:grpSp>
    <xdr:clientData/>
  </xdr:twoCellAnchor>
  <xdr:twoCellAnchor>
    <xdr:from>
      <xdr:col>18</xdr:col>
      <xdr:colOff>430081</xdr:colOff>
      <xdr:row>56</xdr:row>
      <xdr:rowOff>133222</xdr:rowOff>
    </xdr:from>
    <xdr:to>
      <xdr:col>22</xdr:col>
      <xdr:colOff>55269</xdr:colOff>
      <xdr:row>61</xdr:row>
      <xdr:rowOff>39333</xdr:rowOff>
    </xdr:to>
    <xdr:grpSp>
      <xdr:nvGrpSpPr>
        <xdr:cNvPr id="69" name="Groupe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GrpSpPr/>
      </xdr:nvGrpSpPr>
      <xdr:grpSpPr>
        <a:xfrm>
          <a:off x="11340536" y="10974404"/>
          <a:ext cx="2049733" cy="858611"/>
          <a:chOff x="2628904" y="9862456"/>
          <a:chExt cx="2060122" cy="858611"/>
        </a:xfrm>
      </xdr:grpSpPr>
      <xdr:sp macro="" textlink="'3.2 GAZ'!V21">
        <xdr:nvSpPr>
          <xdr:cNvPr id="70" name="Rectangle 69">
            <a:extLst>
              <a:ext uri="{FF2B5EF4-FFF2-40B4-BE49-F238E27FC236}">
                <a16:creationId xmlns:a16="http://schemas.microsoft.com/office/drawing/2014/main" id="{00000000-0008-0000-0000-000046000000}"/>
              </a:ext>
            </a:extLst>
          </xdr:cNvPr>
          <xdr:cNvSpPr/>
        </xdr:nvSpPr>
        <xdr:spPr>
          <a:xfrm>
            <a:off x="2628904" y="10095138"/>
            <a:ext cx="2060122" cy="625929"/>
          </a:xfrm>
          <a:prstGeom prst="rect">
            <a:avLst/>
          </a:prstGeom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EE6D36CA-9672-4E6F-9F00-86AE3C2B36B3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988 436 € </a:t>
            </a:fld>
            <a:endParaRPr lang="fr-FR" sz="4400"/>
          </a:p>
        </xdr:txBody>
      </xdr:sp>
      <xdr:sp macro="" textlink="">
        <xdr:nvSpPr>
          <xdr:cNvPr id="71" name="ZoneTexte 70">
            <a:extLst>
              <a:ext uri="{FF2B5EF4-FFF2-40B4-BE49-F238E27FC236}">
                <a16:creationId xmlns:a16="http://schemas.microsoft.com/office/drawing/2014/main" id="{00000000-0008-0000-0000-000047000000}"/>
              </a:ext>
            </a:extLst>
          </xdr:cNvPr>
          <xdr:cNvSpPr txBox="1"/>
        </xdr:nvSpPr>
        <xdr:spPr>
          <a:xfrm>
            <a:off x="3030315" y="9862456"/>
            <a:ext cx="1265460" cy="346364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Atterrissage €</a:t>
            </a:r>
          </a:p>
        </xdr:txBody>
      </xdr:sp>
    </xdr:grpSp>
    <xdr:clientData/>
  </xdr:twoCellAnchor>
  <xdr:twoCellAnchor>
    <xdr:from>
      <xdr:col>22</xdr:col>
      <xdr:colOff>328032</xdr:colOff>
      <xdr:row>56</xdr:row>
      <xdr:rowOff>126418</xdr:rowOff>
    </xdr:from>
    <xdr:to>
      <xdr:col>27</xdr:col>
      <xdr:colOff>85186</xdr:colOff>
      <xdr:row>61</xdr:row>
      <xdr:rowOff>42054</xdr:rowOff>
    </xdr:to>
    <xdr:grpSp>
      <xdr:nvGrpSpPr>
        <xdr:cNvPr id="72" name="Groupe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GrpSpPr/>
      </xdr:nvGrpSpPr>
      <xdr:grpSpPr>
        <a:xfrm>
          <a:off x="13663032" y="10967600"/>
          <a:ext cx="2787836" cy="868136"/>
          <a:chOff x="4841426" y="9855652"/>
          <a:chExt cx="2804974" cy="868136"/>
        </a:xfrm>
      </xdr:grpSpPr>
      <xdr:sp macro="" textlink="'3.2 GAZ'!S21">
        <xdr:nvSpPr>
          <xdr:cNvPr id="73" name="Rectangle 72">
            <a:extLst>
              <a:ext uri="{FF2B5EF4-FFF2-40B4-BE49-F238E27FC236}">
                <a16:creationId xmlns:a16="http://schemas.microsoft.com/office/drawing/2014/main" id="{00000000-0008-0000-0000-000049000000}"/>
              </a:ext>
            </a:extLst>
          </xdr:cNvPr>
          <xdr:cNvSpPr/>
        </xdr:nvSpPr>
        <xdr:spPr>
          <a:xfrm>
            <a:off x="4841426" y="10097859"/>
            <a:ext cx="2057400" cy="625929"/>
          </a:xfrm>
          <a:prstGeom prst="rect">
            <a:avLst/>
          </a:prstGeom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FD3C55F1-B021-4B71-AD31-A731D4A9F1C7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-   € </a:t>
            </a:fld>
            <a:endParaRPr lang="en-US" sz="48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'3.2 GAZ'!S22">
        <xdr:nvSpPr>
          <xdr:cNvPr id="74" name="Rectangle 73">
            <a:extLst>
              <a:ext uri="{FF2B5EF4-FFF2-40B4-BE49-F238E27FC236}">
                <a16:creationId xmlns:a16="http://schemas.microsoft.com/office/drawing/2014/main" id="{00000000-0008-0000-0000-00004A000000}"/>
              </a:ext>
            </a:extLst>
          </xdr:cNvPr>
          <xdr:cNvSpPr/>
        </xdr:nvSpPr>
        <xdr:spPr>
          <a:xfrm>
            <a:off x="6832692" y="10106025"/>
            <a:ext cx="813708" cy="615043"/>
          </a:xfrm>
          <a:prstGeom prst="rect">
            <a:avLst/>
          </a:prstGeom>
          <a:ln>
            <a:noFill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2C4D2135-A92E-4B0B-AB9E-97A0690C78A8}" type="TxLink">
              <a:rPr lang="en-US" sz="18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0,0%</a:t>
            </a:fld>
            <a:endParaRPr lang="en-US" sz="44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">
        <xdr:nvSpPr>
          <xdr:cNvPr id="75" name="ZoneTexte 74">
            <a:extLst>
              <a:ext uri="{FF2B5EF4-FFF2-40B4-BE49-F238E27FC236}">
                <a16:creationId xmlns:a16="http://schemas.microsoft.com/office/drawing/2014/main" id="{00000000-0008-0000-0000-00004B000000}"/>
              </a:ext>
            </a:extLst>
          </xdr:cNvPr>
          <xdr:cNvSpPr txBox="1"/>
        </xdr:nvSpPr>
        <xdr:spPr>
          <a:xfrm>
            <a:off x="5431976" y="9855652"/>
            <a:ext cx="1545772" cy="346364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-Gain/Perte+</a:t>
            </a:r>
          </a:p>
        </xdr:txBody>
      </xdr:sp>
    </xdr:grpSp>
    <xdr:clientData/>
  </xdr:twoCellAnchor>
  <xdr:twoCellAnchor>
    <xdr:from>
      <xdr:col>22</xdr:col>
      <xdr:colOff>316905</xdr:colOff>
      <xdr:row>62</xdr:row>
      <xdr:rowOff>54035</xdr:rowOff>
    </xdr:from>
    <xdr:to>
      <xdr:col>27</xdr:col>
      <xdr:colOff>93546</xdr:colOff>
      <xdr:row>66</xdr:row>
      <xdr:rowOff>161024</xdr:rowOff>
    </xdr:to>
    <xdr:grpSp>
      <xdr:nvGrpSpPr>
        <xdr:cNvPr id="76" name="Groupe 75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GrpSpPr/>
      </xdr:nvGrpSpPr>
      <xdr:grpSpPr>
        <a:xfrm>
          <a:off x="13651905" y="12038217"/>
          <a:ext cx="2807323" cy="868989"/>
          <a:chOff x="4853492" y="10921714"/>
          <a:chExt cx="2841052" cy="868989"/>
        </a:xfrm>
      </xdr:grpSpPr>
      <xdr:grpSp>
        <xdr:nvGrpSpPr>
          <xdr:cNvPr id="77" name="Groupe 76">
            <a:extLst>
              <a:ext uri="{FF2B5EF4-FFF2-40B4-BE49-F238E27FC236}">
                <a16:creationId xmlns:a16="http://schemas.microsoft.com/office/drawing/2014/main" id="{00000000-0008-0000-0000-00004D000000}"/>
              </a:ext>
            </a:extLst>
          </xdr:cNvPr>
          <xdr:cNvGrpSpPr/>
        </xdr:nvGrpSpPr>
        <xdr:grpSpPr>
          <a:xfrm>
            <a:off x="4853492" y="11164774"/>
            <a:ext cx="2841052" cy="625929"/>
            <a:chOff x="4853492" y="10742359"/>
            <a:chExt cx="2841052" cy="625929"/>
          </a:xfrm>
        </xdr:grpSpPr>
        <xdr:sp macro="" textlink="'3.2 GAZ'!C21">
          <xdr:nvSpPr>
            <xdr:cNvPr id="79" name="Rectangle 78">
              <a:extLst>
                <a:ext uri="{FF2B5EF4-FFF2-40B4-BE49-F238E27FC236}">
                  <a16:creationId xmlns:a16="http://schemas.microsoft.com/office/drawing/2014/main" id="{00000000-0008-0000-0000-00004F000000}"/>
                </a:ext>
              </a:extLst>
            </xdr:cNvPr>
            <xdr:cNvSpPr/>
          </xdr:nvSpPr>
          <xdr:spPr>
            <a:xfrm>
              <a:off x="4853492" y="10742359"/>
              <a:ext cx="2070652" cy="625929"/>
            </a:xfrm>
            <a:prstGeom prst="rect">
              <a:avLst/>
            </a:prstGeom>
          </xdr:spPr>
          <xdr:style>
            <a:lnRef idx="1">
              <a:schemeClr val="accent4"/>
            </a:lnRef>
            <a:fillRef idx="2">
              <a:schemeClr val="accent4"/>
            </a:fillRef>
            <a:effectRef idx="1">
              <a:schemeClr val="accent4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fld id="{962D9C79-B7FE-4BBF-9F64-A79737C31B5A}" type="TxLink">
                <a:rPr lang="en-US" sz="2400" b="1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ctr"/>
                <a:t>0</a:t>
              </a:fld>
              <a:endParaRPr lang="en-US" sz="6600" b="1" i="0" u="none" strike="noStrike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sp macro="" textlink="'3.2 GAZ'!C22">
          <xdr:nvSpPr>
            <xdr:cNvPr id="80" name="Rectangle 79">
              <a:extLst>
                <a:ext uri="{FF2B5EF4-FFF2-40B4-BE49-F238E27FC236}">
                  <a16:creationId xmlns:a16="http://schemas.microsoft.com/office/drawing/2014/main" id="{00000000-0008-0000-0000-000050000000}"/>
                </a:ext>
              </a:extLst>
            </xdr:cNvPr>
            <xdr:cNvSpPr/>
          </xdr:nvSpPr>
          <xdr:spPr>
            <a:xfrm>
              <a:off x="6877522" y="10747928"/>
              <a:ext cx="817022" cy="617640"/>
            </a:xfrm>
            <a:prstGeom prst="rect">
              <a:avLst/>
            </a:prstGeom>
            <a:ln>
              <a:noFill/>
            </a:ln>
          </xdr:spPr>
          <xdr:style>
            <a:lnRef idx="1">
              <a:schemeClr val="accent4"/>
            </a:lnRef>
            <a:fillRef idx="2">
              <a:schemeClr val="accent4"/>
            </a:fillRef>
            <a:effectRef idx="1">
              <a:schemeClr val="accent4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fld id="{2604E3A1-8677-48BD-993B-F692B6912805}" type="TxLink">
                <a:rPr lang="en-US" sz="1800" b="1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ctr"/>
                <a:t>0,0%</a:t>
              </a:fld>
              <a:endParaRPr lang="en-US" sz="3200" b="1" i="0" u="none" strike="noStrike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</xdr:grpSp>
      <xdr:sp macro="" textlink="">
        <xdr:nvSpPr>
          <xdr:cNvPr id="78" name="ZoneTexte 77">
            <a:extLst>
              <a:ext uri="{FF2B5EF4-FFF2-40B4-BE49-F238E27FC236}">
                <a16:creationId xmlns:a16="http://schemas.microsoft.com/office/drawing/2014/main" id="{00000000-0008-0000-0000-00004E000000}"/>
              </a:ext>
            </a:extLst>
          </xdr:cNvPr>
          <xdr:cNvSpPr txBox="1"/>
        </xdr:nvSpPr>
        <xdr:spPr>
          <a:xfrm>
            <a:off x="5466369" y="10921714"/>
            <a:ext cx="1555711" cy="346364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-Gain/Perte+</a:t>
            </a:r>
          </a:p>
        </xdr:txBody>
      </xdr:sp>
    </xdr:grpSp>
    <xdr:clientData/>
  </xdr:twoCellAnchor>
  <xdr:twoCellAnchor>
    <xdr:from>
      <xdr:col>14</xdr:col>
      <xdr:colOff>483724</xdr:colOff>
      <xdr:row>62</xdr:row>
      <xdr:rowOff>54297</xdr:rowOff>
    </xdr:from>
    <xdr:to>
      <xdr:col>18</xdr:col>
      <xdr:colOff>103742</xdr:colOff>
      <xdr:row>66</xdr:row>
      <xdr:rowOff>139910</xdr:rowOff>
    </xdr:to>
    <xdr:grpSp>
      <xdr:nvGrpSpPr>
        <xdr:cNvPr id="81" name="Groupe 8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GrpSpPr/>
      </xdr:nvGrpSpPr>
      <xdr:grpSpPr>
        <a:xfrm>
          <a:off x="8969633" y="12038479"/>
          <a:ext cx="2044564" cy="847613"/>
          <a:chOff x="407090" y="10921976"/>
          <a:chExt cx="2070652" cy="847613"/>
        </a:xfrm>
      </xdr:grpSpPr>
      <xdr:sp macro="" textlink="'3.2 GAZ'!B21">
        <xdr:nvSpPr>
          <xdr:cNvPr id="82" name="Rectangle 81">
            <a:extLst>
              <a:ext uri="{FF2B5EF4-FFF2-40B4-BE49-F238E27FC236}">
                <a16:creationId xmlns:a16="http://schemas.microsoft.com/office/drawing/2014/main" id="{00000000-0008-0000-0000-000052000000}"/>
              </a:ext>
            </a:extLst>
          </xdr:cNvPr>
          <xdr:cNvSpPr/>
        </xdr:nvSpPr>
        <xdr:spPr>
          <a:xfrm>
            <a:off x="407090" y="11165013"/>
            <a:ext cx="2070652" cy="604576"/>
          </a:xfrm>
          <a:prstGeom prst="rect">
            <a:avLst/>
          </a:prstGeom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CDC2D59C-D080-47E2-9833-86B76B23AF05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10 361 359</a:t>
            </a:fld>
            <a:endParaRPr lang="fr-FR" sz="8800"/>
          </a:p>
        </xdr:txBody>
      </xdr:sp>
      <xdr:sp macro="" textlink="">
        <xdr:nvSpPr>
          <xdr:cNvPr id="83" name="ZoneTexte 82">
            <a:extLst>
              <a:ext uri="{FF2B5EF4-FFF2-40B4-BE49-F238E27FC236}">
                <a16:creationId xmlns:a16="http://schemas.microsoft.com/office/drawing/2014/main" id="{00000000-0008-0000-0000-000053000000}"/>
              </a:ext>
            </a:extLst>
          </xdr:cNvPr>
          <xdr:cNvSpPr txBox="1"/>
        </xdr:nvSpPr>
        <xdr:spPr>
          <a:xfrm>
            <a:off x="879157" y="10921976"/>
            <a:ext cx="1208045" cy="346364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Budget kWh</a:t>
            </a:r>
          </a:p>
        </xdr:txBody>
      </xdr:sp>
    </xdr:grpSp>
    <xdr:clientData/>
  </xdr:twoCellAnchor>
  <xdr:twoCellAnchor>
    <xdr:from>
      <xdr:col>18</xdr:col>
      <xdr:colOff>437229</xdr:colOff>
      <xdr:row>62</xdr:row>
      <xdr:rowOff>47497</xdr:rowOff>
    </xdr:from>
    <xdr:to>
      <xdr:col>22</xdr:col>
      <xdr:colOff>62417</xdr:colOff>
      <xdr:row>66</xdr:row>
      <xdr:rowOff>158300</xdr:rowOff>
    </xdr:to>
    <xdr:grpSp>
      <xdr:nvGrpSpPr>
        <xdr:cNvPr id="84" name="Groupe 83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GrpSpPr/>
      </xdr:nvGrpSpPr>
      <xdr:grpSpPr>
        <a:xfrm>
          <a:off x="11347684" y="12031679"/>
          <a:ext cx="2049733" cy="872803"/>
          <a:chOff x="2797977" y="10919731"/>
          <a:chExt cx="2060122" cy="872803"/>
        </a:xfrm>
      </xdr:grpSpPr>
      <xdr:sp macro="" textlink="'3.2 GAZ'!K21">
        <xdr:nvSpPr>
          <xdr:cNvPr id="85" name="Rectangle 84">
            <a:extLst>
              <a:ext uri="{FF2B5EF4-FFF2-40B4-BE49-F238E27FC236}">
                <a16:creationId xmlns:a16="http://schemas.microsoft.com/office/drawing/2014/main" id="{00000000-0008-0000-0000-000055000000}"/>
              </a:ext>
            </a:extLst>
          </xdr:cNvPr>
          <xdr:cNvSpPr/>
        </xdr:nvSpPr>
        <xdr:spPr>
          <a:xfrm>
            <a:off x="2797977" y="11166605"/>
            <a:ext cx="2060122" cy="625929"/>
          </a:xfrm>
          <a:prstGeom prst="rect">
            <a:avLst/>
          </a:prstGeom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508442F9-D8DF-4C77-8D3F-8EDD1878A213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10 361 359</a:t>
            </a:fld>
            <a:endParaRPr lang="en-US" sz="24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">
        <xdr:nvSpPr>
          <xdr:cNvPr id="86" name="ZoneTexte 85">
            <a:extLst>
              <a:ext uri="{FF2B5EF4-FFF2-40B4-BE49-F238E27FC236}">
                <a16:creationId xmlns:a16="http://schemas.microsoft.com/office/drawing/2014/main" id="{00000000-0008-0000-0000-000056000000}"/>
              </a:ext>
            </a:extLst>
          </xdr:cNvPr>
          <xdr:cNvSpPr txBox="1"/>
        </xdr:nvSpPr>
        <xdr:spPr>
          <a:xfrm>
            <a:off x="3076579" y="10919731"/>
            <a:ext cx="1523996" cy="346364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Atterrissage kWh</a:t>
            </a:r>
          </a:p>
        </xdr:txBody>
      </xdr:sp>
    </xdr:grpSp>
    <xdr:clientData/>
  </xdr:twoCellAnchor>
  <xdr:twoCellAnchor>
    <xdr:from>
      <xdr:col>28</xdr:col>
      <xdr:colOff>414822</xdr:colOff>
      <xdr:row>29</xdr:row>
      <xdr:rowOff>60750</xdr:rowOff>
    </xdr:from>
    <xdr:to>
      <xdr:col>41</xdr:col>
      <xdr:colOff>287822</xdr:colOff>
      <xdr:row>42</xdr:row>
      <xdr:rowOff>95250</xdr:rowOff>
    </xdr:to>
    <xdr:graphicFrame macro="">
      <xdr:nvGraphicFramePr>
        <xdr:cNvPr id="87" name="Graphique 86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28</xdr:col>
      <xdr:colOff>540328</xdr:colOff>
      <xdr:row>56</xdr:row>
      <xdr:rowOff>140498</xdr:rowOff>
    </xdr:from>
    <xdr:to>
      <xdr:col>32</xdr:col>
      <xdr:colOff>163068</xdr:colOff>
      <xdr:row>61</xdr:row>
      <xdr:rowOff>35353</xdr:rowOff>
    </xdr:to>
    <xdr:grpSp>
      <xdr:nvGrpSpPr>
        <xdr:cNvPr id="88" name="Groupe 87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GrpSpPr/>
      </xdr:nvGrpSpPr>
      <xdr:grpSpPr>
        <a:xfrm>
          <a:off x="17512146" y="10981680"/>
          <a:ext cx="2047286" cy="847355"/>
          <a:chOff x="402774" y="9855551"/>
          <a:chExt cx="2070652" cy="847355"/>
        </a:xfrm>
      </xdr:grpSpPr>
      <xdr:sp macro="" textlink="'3.3 EAU'!L21">
        <xdr:nvSpPr>
          <xdr:cNvPr id="89" name="Rectangle 88">
            <a:extLst>
              <a:ext uri="{FF2B5EF4-FFF2-40B4-BE49-F238E27FC236}">
                <a16:creationId xmlns:a16="http://schemas.microsoft.com/office/drawing/2014/main" id="{00000000-0008-0000-0000-000059000000}"/>
              </a:ext>
            </a:extLst>
          </xdr:cNvPr>
          <xdr:cNvSpPr/>
        </xdr:nvSpPr>
        <xdr:spPr>
          <a:xfrm>
            <a:off x="402774" y="10076977"/>
            <a:ext cx="2070652" cy="625929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D91F7111-5362-46DC-BE94-0BF4BF2315B1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120 357 € </a:t>
            </a:fld>
            <a:endParaRPr lang="fr-FR" sz="3600"/>
          </a:p>
        </xdr:txBody>
      </xdr:sp>
      <xdr:sp macro="" textlink="">
        <xdr:nvSpPr>
          <xdr:cNvPr id="90" name="ZoneTexte 89">
            <a:extLst>
              <a:ext uri="{FF2B5EF4-FFF2-40B4-BE49-F238E27FC236}">
                <a16:creationId xmlns:a16="http://schemas.microsoft.com/office/drawing/2014/main" id="{00000000-0008-0000-0000-00005A000000}"/>
              </a:ext>
            </a:extLst>
          </xdr:cNvPr>
          <xdr:cNvSpPr txBox="1"/>
        </xdr:nvSpPr>
        <xdr:spPr>
          <a:xfrm>
            <a:off x="986103" y="9855551"/>
            <a:ext cx="966918" cy="346364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Budget €</a:t>
            </a:r>
          </a:p>
        </xdr:txBody>
      </xdr:sp>
    </xdr:grpSp>
    <xdr:clientData/>
  </xdr:twoCellAnchor>
  <xdr:twoCellAnchor>
    <xdr:from>
      <xdr:col>32</xdr:col>
      <xdr:colOff>493723</xdr:colOff>
      <xdr:row>56</xdr:row>
      <xdr:rowOff>142848</xdr:rowOff>
    </xdr:from>
    <xdr:to>
      <xdr:col>36</xdr:col>
      <xdr:colOff>118910</xdr:colOff>
      <xdr:row>61</xdr:row>
      <xdr:rowOff>48959</xdr:rowOff>
    </xdr:to>
    <xdr:grpSp>
      <xdr:nvGrpSpPr>
        <xdr:cNvPr id="91" name="Groupe 9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GrpSpPr/>
      </xdr:nvGrpSpPr>
      <xdr:grpSpPr>
        <a:xfrm>
          <a:off x="19890087" y="10984030"/>
          <a:ext cx="2049732" cy="858611"/>
          <a:chOff x="2628904" y="9862456"/>
          <a:chExt cx="2060122" cy="858611"/>
        </a:xfrm>
      </xdr:grpSpPr>
      <xdr:sp macro="" textlink="'3.3 EAU'!P21">
        <xdr:nvSpPr>
          <xdr:cNvPr id="92" name="Rectangle 91">
            <a:extLst>
              <a:ext uri="{FF2B5EF4-FFF2-40B4-BE49-F238E27FC236}">
                <a16:creationId xmlns:a16="http://schemas.microsoft.com/office/drawing/2014/main" id="{00000000-0008-0000-0000-00005C000000}"/>
              </a:ext>
            </a:extLst>
          </xdr:cNvPr>
          <xdr:cNvSpPr/>
        </xdr:nvSpPr>
        <xdr:spPr>
          <a:xfrm>
            <a:off x="2628904" y="10095138"/>
            <a:ext cx="2060122" cy="625929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DDAADBB3-1EF7-4BC7-A850-31F18A129A99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120 357 € </a:t>
            </a:fld>
            <a:endParaRPr lang="fr-FR" sz="6000"/>
          </a:p>
        </xdr:txBody>
      </xdr:sp>
      <xdr:sp macro="" textlink="">
        <xdr:nvSpPr>
          <xdr:cNvPr id="93" name="ZoneTexte 92">
            <a:extLst>
              <a:ext uri="{FF2B5EF4-FFF2-40B4-BE49-F238E27FC236}">
                <a16:creationId xmlns:a16="http://schemas.microsoft.com/office/drawing/2014/main" id="{00000000-0008-0000-0000-00005D000000}"/>
              </a:ext>
            </a:extLst>
          </xdr:cNvPr>
          <xdr:cNvSpPr txBox="1"/>
        </xdr:nvSpPr>
        <xdr:spPr>
          <a:xfrm>
            <a:off x="3030315" y="9862456"/>
            <a:ext cx="1265460" cy="346364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Atterrissage €</a:t>
            </a:r>
          </a:p>
        </xdr:txBody>
      </xdr:sp>
    </xdr:grpSp>
    <xdr:clientData/>
  </xdr:twoCellAnchor>
  <xdr:twoCellAnchor>
    <xdr:from>
      <xdr:col>36</xdr:col>
      <xdr:colOff>391673</xdr:colOff>
      <xdr:row>56</xdr:row>
      <xdr:rowOff>136044</xdr:rowOff>
    </xdr:from>
    <xdr:to>
      <xdr:col>41</xdr:col>
      <xdr:colOff>148828</xdr:colOff>
      <xdr:row>61</xdr:row>
      <xdr:rowOff>51680</xdr:rowOff>
    </xdr:to>
    <xdr:grpSp>
      <xdr:nvGrpSpPr>
        <xdr:cNvPr id="94" name="Groupe 93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GrpSpPr/>
      </xdr:nvGrpSpPr>
      <xdr:grpSpPr>
        <a:xfrm>
          <a:off x="22212582" y="10977226"/>
          <a:ext cx="2787837" cy="868136"/>
          <a:chOff x="4841426" y="9855652"/>
          <a:chExt cx="2804974" cy="868136"/>
        </a:xfrm>
      </xdr:grpSpPr>
      <xdr:sp macro="" textlink="'3.3 EAU'!M21">
        <xdr:nvSpPr>
          <xdr:cNvPr id="95" name="Rectangle 94">
            <a:extLst>
              <a:ext uri="{FF2B5EF4-FFF2-40B4-BE49-F238E27FC236}">
                <a16:creationId xmlns:a16="http://schemas.microsoft.com/office/drawing/2014/main" id="{00000000-0008-0000-0000-00005F000000}"/>
              </a:ext>
            </a:extLst>
          </xdr:cNvPr>
          <xdr:cNvSpPr/>
        </xdr:nvSpPr>
        <xdr:spPr>
          <a:xfrm>
            <a:off x="4841426" y="10097859"/>
            <a:ext cx="2057400" cy="625929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21BEF6E0-696F-4B53-81DA-A68304935E4D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-   € </a:t>
            </a:fld>
            <a:endParaRPr lang="en-US" sz="66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'3.3 EAU'!M22">
        <xdr:nvSpPr>
          <xdr:cNvPr id="96" name="Rectangle 95">
            <a:extLst>
              <a:ext uri="{FF2B5EF4-FFF2-40B4-BE49-F238E27FC236}">
                <a16:creationId xmlns:a16="http://schemas.microsoft.com/office/drawing/2014/main" id="{00000000-0008-0000-0000-000060000000}"/>
              </a:ext>
            </a:extLst>
          </xdr:cNvPr>
          <xdr:cNvSpPr/>
        </xdr:nvSpPr>
        <xdr:spPr>
          <a:xfrm>
            <a:off x="6832692" y="10106025"/>
            <a:ext cx="813708" cy="615043"/>
          </a:xfrm>
          <a:prstGeom prst="rect">
            <a:avLst/>
          </a:prstGeom>
          <a:ln>
            <a:noFill/>
          </a:ln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10A954E6-A094-47A5-8A52-817ABA41434D}" type="TxLink">
              <a:rPr lang="en-US" sz="18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0,0%</a:t>
            </a:fld>
            <a:endParaRPr lang="en-US" sz="66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">
        <xdr:nvSpPr>
          <xdr:cNvPr id="97" name="ZoneTexte 96">
            <a:extLst>
              <a:ext uri="{FF2B5EF4-FFF2-40B4-BE49-F238E27FC236}">
                <a16:creationId xmlns:a16="http://schemas.microsoft.com/office/drawing/2014/main" id="{00000000-0008-0000-0000-000061000000}"/>
              </a:ext>
            </a:extLst>
          </xdr:cNvPr>
          <xdr:cNvSpPr txBox="1"/>
        </xdr:nvSpPr>
        <xdr:spPr>
          <a:xfrm>
            <a:off x="5431976" y="9855652"/>
            <a:ext cx="1545772" cy="346364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-Gain/Perte+</a:t>
            </a:r>
          </a:p>
        </xdr:txBody>
      </xdr:sp>
    </xdr:grpSp>
    <xdr:clientData/>
  </xdr:twoCellAnchor>
  <xdr:twoCellAnchor>
    <xdr:from>
      <xdr:col>36</xdr:col>
      <xdr:colOff>380546</xdr:colOff>
      <xdr:row>62</xdr:row>
      <xdr:rowOff>63661</xdr:rowOff>
    </xdr:from>
    <xdr:to>
      <xdr:col>41</xdr:col>
      <xdr:colOff>157188</xdr:colOff>
      <xdr:row>66</xdr:row>
      <xdr:rowOff>183692</xdr:rowOff>
    </xdr:to>
    <xdr:grpSp>
      <xdr:nvGrpSpPr>
        <xdr:cNvPr id="98" name="Groupe 97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GrpSpPr/>
      </xdr:nvGrpSpPr>
      <xdr:grpSpPr>
        <a:xfrm>
          <a:off x="22201455" y="12047843"/>
          <a:ext cx="2807324" cy="882031"/>
          <a:chOff x="4853492" y="10921714"/>
          <a:chExt cx="2841052" cy="882031"/>
        </a:xfrm>
      </xdr:grpSpPr>
      <xdr:grpSp>
        <xdr:nvGrpSpPr>
          <xdr:cNvPr id="99" name="Groupe 98">
            <a:extLst>
              <a:ext uri="{FF2B5EF4-FFF2-40B4-BE49-F238E27FC236}">
                <a16:creationId xmlns:a16="http://schemas.microsoft.com/office/drawing/2014/main" id="{00000000-0008-0000-0000-000063000000}"/>
              </a:ext>
            </a:extLst>
          </xdr:cNvPr>
          <xdr:cNvGrpSpPr/>
        </xdr:nvGrpSpPr>
        <xdr:grpSpPr>
          <a:xfrm>
            <a:off x="4853492" y="11164774"/>
            <a:ext cx="2841052" cy="638971"/>
            <a:chOff x="4853492" y="10742359"/>
            <a:chExt cx="2841052" cy="638971"/>
          </a:xfrm>
        </xdr:grpSpPr>
        <xdr:sp macro="" textlink="'3.3 EAU'!C21">
          <xdr:nvSpPr>
            <xdr:cNvPr id="101" name="Rectangle 100">
              <a:extLst>
                <a:ext uri="{FF2B5EF4-FFF2-40B4-BE49-F238E27FC236}">
                  <a16:creationId xmlns:a16="http://schemas.microsoft.com/office/drawing/2014/main" id="{00000000-0008-0000-0000-000065000000}"/>
                </a:ext>
              </a:extLst>
            </xdr:cNvPr>
            <xdr:cNvSpPr/>
          </xdr:nvSpPr>
          <xdr:spPr>
            <a:xfrm>
              <a:off x="4853492" y="10742359"/>
              <a:ext cx="2070652" cy="625929"/>
            </a:xfrm>
            <a:prstGeom prst="rect">
              <a:avLst/>
            </a:prstGeom>
          </xdr:spPr>
          <xdr:style>
            <a:lnRef idx="1">
              <a:schemeClr val="accent2"/>
            </a:lnRef>
            <a:fillRef idx="2">
              <a:schemeClr val="accent2"/>
            </a:fillRef>
            <a:effectRef idx="1">
              <a:schemeClr val="accent2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fld id="{6018B040-B9A0-45A6-9DDF-7544849E32B7}" type="TxLink">
                <a:rPr lang="en-US" sz="2400" b="1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ctr"/>
                <a:t>0</a:t>
              </a:fld>
              <a:endParaRPr lang="en-US" sz="8800" b="1" i="0" u="none" strike="noStrike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sp macro="" textlink="'3.3 EAU'!C22">
          <xdr:nvSpPr>
            <xdr:cNvPr id="102" name="Rectangle 101">
              <a:extLst>
                <a:ext uri="{FF2B5EF4-FFF2-40B4-BE49-F238E27FC236}">
                  <a16:creationId xmlns:a16="http://schemas.microsoft.com/office/drawing/2014/main" id="{00000000-0008-0000-0000-000066000000}"/>
                </a:ext>
              </a:extLst>
            </xdr:cNvPr>
            <xdr:cNvSpPr/>
          </xdr:nvSpPr>
          <xdr:spPr>
            <a:xfrm>
              <a:off x="6877522" y="10747927"/>
              <a:ext cx="817022" cy="633403"/>
            </a:xfrm>
            <a:prstGeom prst="rect">
              <a:avLst/>
            </a:prstGeom>
            <a:ln>
              <a:noFill/>
            </a:ln>
          </xdr:spPr>
          <xdr:style>
            <a:lnRef idx="1">
              <a:schemeClr val="accent2"/>
            </a:lnRef>
            <a:fillRef idx="2">
              <a:schemeClr val="accent2"/>
            </a:fillRef>
            <a:effectRef idx="1">
              <a:schemeClr val="accent2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fld id="{C958843F-ACAF-4B0E-B76C-6B615DB7D712}" type="TxLink">
                <a:rPr lang="en-US" sz="1800" b="1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pPr algn="ctr"/>
                <a:t>0,0%</a:t>
              </a:fld>
              <a:endParaRPr lang="en-US" sz="4800" b="1" i="0" u="none" strike="noStrike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</xdr:grpSp>
      <xdr:sp macro="" textlink="">
        <xdr:nvSpPr>
          <xdr:cNvPr id="100" name="ZoneTexte 99">
            <a:extLst>
              <a:ext uri="{FF2B5EF4-FFF2-40B4-BE49-F238E27FC236}">
                <a16:creationId xmlns:a16="http://schemas.microsoft.com/office/drawing/2014/main" id="{00000000-0008-0000-0000-000064000000}"/>
              </a:ext>
            </a:extLst>
          </xdr:cNvPr>
          <xdr:cNvSpPr txBox="1"/>
        </xdr:nvSpPr>
        <xdr:spPr>
          <a:xfrm>
            <a:off x="5466369" y="10921714"/>
            <a:ext cx="1555711" cy="346364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600" b="1">
                <a:solidFill>
                  <a:schemeClr val="tx1"/>
                </a:solidFill>
              </a:rPr>
              <a:t>-Gain/Perte+</a:t>
            </a:r>
          </a:p>
        </xdr:txBody>
      </xdr:sp>
    </xdr:grpSp>
    <xdr:clientData/>
  </xdr:twoCellAnchor>
  <xdr:twoCellAnchor>
    <xdr:from>
      <xdr:col>28</xdr:col>
      <xdr:colOff>544644</xdr:colOff>
      <xdr:row>62</xdr:row>
      <xdr:rowOff>63923</xdr:rowOff>
    </xdr:from>
    <xdr:to>
      <xdr:col>32</xdr:col>
      <xdr:colOff>167384</xdr:colOff>
      <xdr:row>66</xdr:row>
      <xdr:rowOff>149536</xdr:rowOff>
    </xdr:to>
    <xdr:grpSp>
      <xdr:nvGrpSpPr>
        <xdr:cNvPr id="103" name="Groupe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GrpSpPr/>
      </xdr:nvGrpSpPr>
      <xdr:grpSpPr>
        <a:xfrm>
          <a:off x="17516462" y="12048105"/>
          <a:ext cx="2047286" cy="847613"/>
          <a:chOff x="407090" y="10921976"/>
          <a:chExt cx="2070652" cy="847613"/>
        </a:xfrm>
      </xdr:grpSpPr>
      <xdr:sp macro="" textlink="'3.3 EAU'!B21">
        <xdr:nvSpPr>
          <xdr:cNvPr id="104" name="Rectangle 103">
            <a:extLst>
              <a:ext uri="{FF2B5EF4-FFF2-40B4-BE49-F238E27FC236}">
                <a16:creationId xmlns:a16="http://schemas.microsoft.com/office/drawing/2014/main" id="{00000000-0008-0000-0000-000068000000}"/>
              </a:ext>
            </a:extLst>
          </xdr:cNvPr>
          <xdr:cNvSpPr/>
        </xdr:nvSpPr>
        <xdr:spPr>
          <a:xfrm>
            <a:off x="407090" y="11165013"/>
            <a:ext cx="2070652" cy="604576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5625974A-B221-4CC1-81E1-07EDC3E21562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65 000</a:t>
            </a:fld>
            <a:endParaRPr lang="fr-FR" sz="13800"/>
          </a:p>
        </xdr:txBody>
      </xdr:sp>
      <xdr:sp macro="" textlink="">
        <xdr:nvSpPr>
          <xdr:cNvPr id="105" name="ZoneTexte 104">
            <a:extLst>
              <a:ext uri="{FF2B5EF4-FFF2-40B4-BE49-F238E27FC236}">
                <a16:creationId xmlns:a16="http://schemas.microsoft.com/office/drawing/2014/main" id="{00000000-0008-0000-0000-000069000000}"/>
              </a:ext>
            </a:extLst>
          </xdr:cNvPr>
          <xdr:cNvSpPr txBox="1"/>
        </xdr:nvSpPr>
        <xdr:spPr>
          <a:xfrm>
            <a:off x="879157" y="10921976"/>
            <a:ext cx="1208045" cy="346364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Budget </a:t>
            </a:r>
            <a:r>
              <a:rPr lang="fr-FR" sz="14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m³</a:t>
            </a:r>
            <a:endParaRPr lang="fr-FR" sz="1400" b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32</xdr:col>
      <xdr:colOff>498149</xdr:colOff>
      <xdr:row>62</xdr:row>
      <xdr:rowOff>57123</xdr:rowOff>
    </xdr:from>
    <xdr:to>
      <xdr:col>36</xdr:col>
      <xdr:colOff>126058</xdr:colOff>
      <xdr:row>66</xdr:row>
      <xdr:rowOff>167926</xdr:rowOff>
    </xdr:to>
    <xdr:grpSp>
      <xdr:nvGrpSpPr>
        <xdr:cNvPr id="106" name="Groupe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GrpSpPr/>
      </xdr:nvGrpSpPr>
      <xdr:grpSpPr>
        <a:xfrm>
          <a:off x="19894513" y="12041305"/>
          <a:ext cx="2052454" cy="872803"/>
          <a:chOff x="2797977" y="10919731"/>
          <a:chExt cx="2060122" cy="872803"/>
        </a:xfrm>
      </xdr:grpSpPr>
      <xdr:sp macro="" textlink="'3.3 EAU'!F21">
        <xdr:nvSpPr>
          <xdr:cNvPr id="107" name="Rectangle 106">
            <a:extLst>
              <a:ext uri="{FF2B5EF4-FFF2-40B4-BE49-F238E27FC236}">
                <a16:creationId xmlns:a16="http://schemas.microsoft.com/office/drawing/2014/main" id="{00000000-0008-0000-0000-00006B000000}"/>
              </a:ext>
            </a:extLst>
          </xdr:cNvPr>
          <xdr:cNvSpPr/>
        </xdr:nvSpPr>
        <xdr:spPr>
          <a:xfrm>
            <a:off x="2797977" y="11166605"/>
            <a:ext cx="2060122" cy="625929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fld id="{1798E914-A4BE-4170-B9DE-88BF89BCA14B}" type="TxLink">
              <a:rPr lang="en-US" sz="24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65 000</a:t>
            </a:fld>
            <a:endParaRPr lang="en-US" sz="6000" b="1" i="0" u="none" strike="noStrike">
              <a:solidFill>
                <a:srgbClr val="000000"/>
              </a:solidFill>
              <a:latin typeface="Calibri"/>
              <a:cs typeface="Calibri"/>
            </a:endParaRPr>
          </a:p>
        </xdr:txBody>
      </xdr:sp>
      <xdr:sp macro="" textlink="">
        <xdr:nvSpPr>
          <xdr:cNvPr id="108" name="ZoneTexte 107">
            <a:extLst>
              <a:ext uri="{FF2B5EF4-FFF2-40B4-BE49-F238E27FC236}">
                <a16:creationId xmlns:a16="http://schemas.microsoft.com/office/drawing/2014/main" id="{00000000-0008-0000-0000-00006C000000}"/>
              </a:ext>
            </a:extLst>
          </xdr:cNvPr>
          <xdr:cNvSpPr txBox="1"/>
        </xdr:nvSpPr>
        <xdr:spPr>
          <a:xfrm>
            <a:off x="3076579" y="10919731"/>
            <a:ext cx="1523996" cy="346364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wrap="square" rtlCol="0" anchor="ctr">
            <a:noAutofit/>
          </a:bodyPr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Atterrissage </a:t>
            </a:r>
            <a:r>
              <a:rPr lang="fr-FR" sz="14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m³</a:t>
            </a:r>
            <a:endParaRPr lang="fr-FR" sz="1400" b="1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35</xdr:col>
      <xdr:colOff>167486</xdr:colOff>
      <xdr:row>14</xdr:row>
      <xdr:rowOff>81642</xdr:rowOff>
    </xdr:from>
    <xdr:to>
      <xdr:col>41</xdr:col>
      <xdr:colOff>262736</xdr:colOff>
      <xdr:row>28</xdr:row>
      <xdr:rowOff>159430</xdr:rowOff>
    </xdr:to>
    <xdr:graphicFrame macro="">
      <xdr:nvGraphicFramePr>
        <xdr:cNvPr id="109" name="Graphique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28</xdr:col>
      <xdr:colOff>426030</xdr:colOff>
      <xdr:row>14</xdr:row>
      <xdr:rowOff>81643</xdr:rowOff>
    </xdr:from>
    <xdr:to>
      <xdr:col>34</xdr:col>
      <xdr:colOff>521283</xdr:colOff>
      <xdr:row>28</xdr:row>
      <xdr:rowOff>159431</xdr:rowOff>
    </xdr:to>
    <xdr:graphicFrame macro="">
      <xdr:nvGraphicFramePr>
        <xdr:cNvPr id="110" name="Graphique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36</xdr:col>
      <xdr:colOff>88324</xdr:colOff>
      <xdr:row>12</xdr:row>
      <xdr:rowOff>85859</xdr:rowOff>
    </xdr:from>
    <xdr:to>
      <xdr:col>40</xdr:col>
      <xdr:colOff>379848</xdr:colOff>
      <xdr:row>15</xdr:row>
      <xdr:rowOff>16587</xdr:rowOff>
    </xdr:to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 txBox="1"/>
      </xdr:nvSpPr>
      <xdr:spPr>
        <a:xfrm>
          <a:off x="21872559" y="2539947"/>
          <a:ext cx="2711995" cy="502228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chemeClr val="tx1"/>
              </a:solidFill>
            </a:rPr>
            <a:t>Budget coût cumulé €</a:t>
          </a:r>
        </a:p>
      </xdr:txBody>
    </xdr:sp>
    <xdr:clientData/>
  </xdr:twoCellAnchor>
  <xdr:twoCellAnchor>
    <xdr:from>
      <xdr:col>1</xdr:col>
      <xdr:colOff>68036</xdr:colOff>
      <xdr:row>12</xdr:row>
      <xdr:rowOff>78439</xdr:rowOff>
    </xdr:from>
    <xdr:to>
      <xdr:col>6</xdr:col>
      <xdr:colOff>176894</xdr:colOff>
      <xdr:row>15</xdr:row>
      <xdr:rowOff>9167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680357" y="2541332"/>
          <a:ext cx="3170466" cy="502228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chemeClr val="tx1"/>
              </a:solidFill>
            </a:rPr>
            <a:t>Budget conso cumulé kWh</a:t>
          </a:r>
        </a:p>
      </xdr:txBody>
    </xdr:sp>
    <xdr:clientData/>
  </xdr:twoCellAnchor>
  <xdr:twoCellAnchor>
    <xdr:from>
      <xdr:col>15</xdr:col>
      <xdr:colOff>130959</xdr:colOff>
      <xdr:row>12</xdr:row>
      <xdr:rowOff>94259</xdr:rowOff>
    </xdr:from>
    <xdr:to>
      <xdr:col>20</xdr:col>
      <xdr:colOff>239817</xdr:colOff>
      <xdr:row>15</xdr:row>
      <xdr:rowOff>24987</xdr:rowOff>
    </xdr:to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 txBox="1"/>
      </xdr:nvSpPr>
      <xdr:spPr>
        <a:xfrm>
          <a:off x="9223004" y="2553441"/>
          <a:ext cx="3139540" cy="502228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chemeClr val="tx1"/>
              </a:solidFill>
            </a:rPr>
            <a:t>Budget conso cumulé kWh</a:t>
          </a:r>
        </a:p>
      </xdr:txBody>
    </xdr:sp>
    <xdr:clientData/>
  </xdr:twoCellAnchor>
  <xdr:twoCellAnchor>
    <xdr:from>
      <xdr:col>29</xdr:col>
      <xdr:colOff>272194</xdr:colOff>
      <xdr:row>12</xdr:row>
      <xdr:rowOff>89322</xdr:rowOff>
    </xdr:from>
    <xdr:to>
      <xdr:col>34</xdr:col>
      <xdr:colOff>93648</xdr:colOff>
      <xdr:row>15</xdr:row>
      <xdr:rowOff>20050</xdr:rowOff>
    </xdr:to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 txBox="1"/>
      </xdr:nvSpPr>
      <xdr:spPr>
        <a:xfrm>
          <a:off x="18029515" y="2552215"/>
          <a:ext cx="2883062" cy="502228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chemeClr val="tx1"/>
              </a:solidFill>
            </a:rPr>
            <a:t>Budget conso cumulé m³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123825</xdr:rowOff>
        </xdr:from>
        <xdr:to>
          <xdr:col>8</xdr:col>
          <xdr:colOff>485775</xdr:colOff>
          <xdr:row>5</xdr:row>
          <xdr:rowOff>66675</xdr:rowOff>
        </xdr:to>
        <xdr:sp macro="" textlink="">
          <xdr:nvSpPr>
            <xdr:cNvPr id="1035" name="Bouton 1" descr="Bouton 3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5720" rIns="54864" bIns="45720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Peugeot"/>
                </a:rPr>
                <a:t>Consommation</a:t>
              </a:r>
            </a:p>
          </xdr:txBody>
        </xdr:sp>
        <xdr:clientData/>
      </xdr:twoCellAnchor>
    </mc:Choice>
    <mc:Fallback/>
  </mc:AlternateContent>
  <xdr:twoCellAnchor>
    <xdr:from>
      <xdr:col>28</xdr:col>
      <xdr:colOff>408215</xdr:colOff>
      <xdr:row>42</xdr:row>
      <xdr:rowOff>182335</xdr:rowOff>
    </xdr:from>
    <xdr:to>
      <xdr:col>41</xdr:col>
      <xdr:colOff>281215</xdr:colOff>
      <xdr:row>56</xdr:row>
      <xdr:rowOff>85725</xdr:rowOff>
    </xdr:to>
    <xdr:graphicFrame macro="">
      <xdr:nvGraphicFramePr>
        <xdr:cNvPr id="113" name="Graphique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28</xdr:col>
      <xdr:colOff>408214</xdr:colOff>
      <xdr:row>29</xdr:row>
      <xdr:rowOff>54429</xdr:rowOff>
    </xdr:from>
    <xdr:to>
      <xdr:col>30</xdr:col>
      <xdr:colOff>457846</xdr:colOff>
      <xdr:row>31</xdr:row>
      <xdr:rowOff>19793</xdr:rowOff>
    </xdr:to>
    <xdr:sp macro="" textlink="">
      <xdr:nvSpPr>
        <xdr:cNvPr id="114" name="ZoneTexte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SpPr txBox="1"/>
      </xdr:nvSpPr>
      <xdr:spPr>
        <a:xfrm>
          <a:off x="17477014" y="5740854"/>
          <a:ext cx="1268832" cy="346364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400" b="1">
              <a:solidFill>
                <a:schemeClr val="tx1"/>
              </a:solidFill>
            </a:rPr>
            <a:t>Atterrissage €</a:t>
          </a:r>
        </a:p>
      </xdr:txBody>
    </xdr:sp>
    <xdr:clientData/>
  </xdr:twoCellAnchor>
  <xdr:twoCellAnchor>
    <xdr:from>
      <xdr:col>28</xdr:col>
      <xdr:colOff>408215</xdr:colOff>
      <xdr:row>42</xdr:row>
      <xdr:rowOff>182337</xdr:rowOff>
    </xdr:from>
    <xdr:to>
      <xdr:col>31</xdr:col>
      <xdr:colOff>107876</xdr:colOff>
      <xdr:row>44</xdr:row>
      <xdr:rowOff>147701</xdr:rowOff>
    </xdr:to>
    <xdr:sp macro="" textlink="">
      <xdr:nvSpPr>
        <xdr:cNvPr id="115" name="ZoneTexte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SpPr txBox="1"/>
      </xdr:nvSpPr>
      <xdr:spPr>
        <a:xfrm>
          <a:off x="17477015" y="8345262"/>
          <a:ext cx="1528461" cy="346364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400" b="1">
              <a:solidFill>
                <a:schemeClr val="tx1"/>
              </a:solidFill>
            </a:rPr>
            <a:t>Atterrissage </a:t>
          </a:r>
          <a:r>
            <a:rPr lang="fr-FR" sz="14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m³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14</xdr:col>
      <xdr:colOff>371475</xdr:colOff>
      <xdr:row>42</xdr:row>
      <xdr:rowOff>189747</xdr:rowOff>
    </xdr:from>
    <xdr:to>
      <xdr:col>27</xdr:col>
      <xdr:colOff>259539</xdr:colOff>
      <xdr:row>56</xdr:row>
      <xdr:rowOff>72897</xdr:rowOff>
    </xdr:to>
    <xdr:graphicFrame macro="">
      <xdr:nvGraphicFramePr>
        <xdr:cNvPr id="116" name="Graphique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0</xdr:col>
      <xdr:colOff>335031</xdr:colOff>
      <xdr:row>42</xdr:row>
      <xdr:rowOff>179318</xdr:rowOff>
    </xdr:from>
    <xdr:to>
      <xdr:col>13</xdr:col>
      <xdr:colOff>208031</xdr:colOff>
      <xdr:row>56</xdr:row>
      <xdr:rowOff>68482</xdr:rowOff>
    </xdr:to>
    <xdr:graphicFrame macro="">
      <xdr:nvGraphicFramePr>
        <xdr:cNvPr id="117" name="Graphique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0.16244</cdr:x>
      <cdr:y>0.1355</cdr:y>
    </cdr:to>
    <cdr:sp macro="" textlink="">
      <cdr:nvSpPr>
        <cdr:cNvPr id="2" name="ZoneTexte 58">
          <a:extLst xmlns:a="http://schemas.openxmlformats.org/drawingml/2006/main">
            <a:ext uri="{FF2B5EF4-FFF2-40B4-BE49-F238E27FC236}">
              <a16:creationId xmlns:a16="http://schemas.microsoft.com/office/drawing/2014/main" id="{00000000-0008-0000-0000-00003B000000}"/>
            </a:ext>
          </a:extLst>
        </cdr:cNvPr>
        <cdr:cNvSpPr txBox="1"/>
      </cdr:nvSpPr>
      <cdr:spPr>
        <a:xfrm xmlns:a="http://schemas.openxmlformats.org/drawingml/2006/main">
          <a:off x="0" y="0"/>
          <a:ext cx="1257200" cy="346364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1">
            <a:lumMod val="40000"/>
            <a:lumOff val="60000"/>
          </a:schemeClr>
        </a:solidFill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square" rtlCol="0" anchor="ctr">
          <a:no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400" b="1">
              <a:solidFill>
                <a:schemeClr val="tx1"/>
              </a:solidFill>
            </a:rPr>
            <a:t>Atterrissage €</a:t>
          </a: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0.00077</cdr:x>
      <cdr:y>0.00674</cdr:y>
    </cdr:from>
    <cdr:to>
      <cdr:x>0.16313</cdr:x>
      <cdr:y>0.14256</cdr:y>
    </cdr:to>
    <cdr:sp macro="" textlink="">
      <cdr:nvSpPr>
        <cdr:cNvPr id="2" name="ZoneTexte 70">
          <a:extLst xmlns:a="http://schemas.openxmlformats.org/drawingml/2006/main">
            <a:ext uri="{FF2B5EF4-FFF2-40B4-BE49-F238E27FC236}">
              <a16:creationId xmlns:a16="http://schemas.microsoft.com/office/drawing/2014/main" id="{00000000-0008-0000-0000-000047000000}"/>
            </a:ext>
          </a:extLst>
        </cdr:cNvPr>
        <cdr:cNvSpPr txBox="1"/>
      </cdr:nvSpPr>
      <cdr:spPr>
        <a:xfrm xmlns:a="http://schemas.openxmlformats.org/drawingml/2006/main">
          <a:off x="5976" y="17182"/>
          <a:ext cx="1256575" cy="346364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4">
            <a:lumMod val="40000"/>
            <a:lumOff val="60000"/>
          </a:schemeClr>
        </a:solidFill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square" rtlCol="0" anchor="ctr">
          <a:no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400" b="1">
              <a:solidFill>
                <a:schemeClr val="tx1"/>
              </a:solidFill>
            </a:rPr>
            <a:t>Atterrissage €</a:t>
          </a:r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0.00077</cdr:x>
      <cdr:y>0.00234</cdr:y>
    </cdr:from>
    <cdr:to>
      <cdr:x>0.19592</cdr:x>
      <cdr:y>0.13816</cdr:y>
    </cdr:to>
    <cdr:sp macro="" textlink="">
      <cdr:nvSpPr>
        <cdr:cNvPr id="2" name="ZoneTexte 85">
          <a:extLst xmlns:a="http://schemas.openxmlformats.org/drawingml/2006/main">
            <a:ext uri="{FF2B5EF4-FFF2-40B4-BE49-F238E27FC236}">
              <a16:creationId xmlns:a16="http://schemas.microsoft.com/office/drawing/2014/main" id="{00000000-0008-0000-0000-000056000000}"/>
            </a:ext>
          </a:extLst>
        </cdr:cNvPr>
        <cdr:cNvSpPr txBox="1"/>
      </cdr:nvSpPr>
      <cdr:spPr>
        <a:xfrm xmlns:a="http://schemas.openxmlformats.org/drawingml/2006/main">
          <a:off x="5977" y="5977"/>
          <a:ext cx="1513296" cy="346364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4">
            <a:lumMod val="40000"/>
            <a:lumOff val="60000"/>
          </a:schemeClr>
        </a:solidFill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square" rtlCol="0" anchor="ctr">
          <a:no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400" b="1">
              <a:solidFill>
                <a:schemeClr val="tx1"/>
              </a:solidFill>
            </a:rPr>
            <a:t>Atterrissage kWh</a:t>
          </a:r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0.19563</cdr:x>
      <cdr:y>0.1355</cdr:y>
    </cdr:to>
    <cdr:sp macro="" textlink="">
      <cdr:nvSpPr>
        <cdr:cNvPr id="2" name="ZoneTexte 53">
          <a:extLst xmlns:a="http://schemas.openxmlformats.org/drawingml/2006/main">
            <a:ext uri="{FF2B5EF4-FFF2-40B4-BE49-F238E27FC236}">
              <a16:creationId xmlns:a16="http://schemas.microsoft.com/office/drawing/2014/main" id="{00000000-0008-0000-0000-000036000000}"/>
            </a:ext>
          </a:extLst>
        </cdr:cNvPr>
        <cdr:cNvSpPr txBox="1"/>
      </cdr:nvSpPr>
      <cdr:spPr>
        <a:xfrm xmlns:a="http://schemas.openxmlformats.org/drawingml/2006/main">
          <a:off x="0" y="0"/>
          <a:ext cx="1514048" cy="346364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1">
            <a:lumMod val="40000"/>
            <a:lumOff val="60000"/>
          </a:schemeClr>
        </a:solidFill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wrap="square" rtlCol="0" anchor="ctr">
          <a:noAutofit/>
        </a:bodyPr>
        <a:lstStyle xmlns:a="http://schemas.openxmlformats.org/drawingml/2006/main">
          <a:lvl1pPr marL="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400" b="1">
              <a:solidFill>
                <a:schemeClr val="tx1"/>
              </a:solidFill>
            </a:rPr>
            <a:t>Atterrissage kWh</a:t>
          </a:r>
        </a:p>
      </cdr:txBody>
    </cdr:sp>
  </cdr:relSizeAnchor>
</c:userShap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3E4700F-92C8-406E-BDEF-DAACA450978B}" name="t_jtr" displayName="t_jtr" ref="A14:T27" headerRowCount="0" totalsRowShown="0" headerRowDxfId="23" headerRowBorderDxfId="22" tableBorderDxfId="21">
  <tableColumns count="20">
    <tableColumn id="1" xr3:uid="{7550D1A8-EB7A-4EC7-8D39-E29FD30AE0A8}" name="Colonne1" headerRowDxfId="20" dataDxfId="19"/>
    <tableColumn id="2" xr3:uid="{79032CAD-FB64-48C0-B078-4503DA318C6A}" name="Colonne2" headerRowDxfId="18"/>
    <tableColumn id="3" xr3:uid="{2F18946B-4283-4AD6-BC33-B3702C17D9B6}" name="Colonne3" headerRowDxfId="17"/>
    <tableColumn id="4" xr3:uid="{535A2EE0-A9B0-4C41-BF2B-708D02BECFCB}" name="Colonne4" headerRowDxfId="16"/>
    <tableColumn id="5" xr3:uid="{CFF54C11-174F-4295-A97D-A032E15A8506}" name="Colonne5" headerRowDxfId="15"/>
    <tableColumn id="6" xr3:uid="{EEF50419-9D96-4350-BD0A-5788CB698693}" name="Colonne6" headerRowDxfId="14"/>
    <tableColumn id="7" xr3:uid="{9CC23C24-AA43-45C7-A683-BB64BC12EF8B}" name="Colonne7" headerRowDxfId="13"/>
    <tableColumn id="8" xr3:uid="{B204C287-55C9-4848-910F-434CF0CE6920}" name="Colonne8" headerRowDxfId="12"/>
    <tableColumn id="9" xr3:uid="{6AE834C0-08F7-43E8-AAED-8B182946F865}" name="Colonne9" headerRowDxfId="11"/>
    <tableColumn id="10" xr3:uid="{738A9E7B-1419-4725-B924-C4AB7373BDD5}" name="Colonne10" headerRowDxfId="10"/>
    <tableColumn id="11" xr3:uid="{61701BE9-ABC0-4DB7-ADD9-195B66C4600D}" name="Colonne11" headerRowDxfId="9"/>
    <tableColumn id="12" xr3:uid="{BB2EE95C-47CC-40AF-BC13-68FAD47491FD}" name="Colonne12" headerRowDxfId="8"/>
    <tableColumn id="13" xr3:uid="{DC03958C-B069-4616-BA61-B6838ADE27D8}" name="Colonne13" headerRowDxfId="7"/>
    <tableColumn id="14" xr3:uid="{86B013D4-D5F7-4087-8CC9-009BE42A481A}" name="Colonne14" headerRowDxfId="6"/>
    <tableColumn id="15" xr3:uid="{AB5BDBC1-B9CF-480F-92E5-794B0BAECE71}" name="Colonne15" headerRowDxfId="5"/>
    <tableColumn id="16" xr3:uid="{926D6304-0ED2-4B51-B24E-B700EF056532}" name="Colonne16" headerRowDxfId="4"/>
    <tableColumn id="17" xr3:uid="{A290F0B0-6712-4126-AC31-16C16E060E0F}" name="Colonne17" headerRowDxfId="3"/>
    <tableColumn id="18" xr3:uid="{F527F8B2-1B9B-4FB8-932C-03D8C205A249}" name="Colonne18" headerRowDxfId="2"/>
    <tableColumn id="19" xr3:uid="{DB39A290-0B3B-4F3A-A2D4-7CC16B9C000A}" name="Colonne19" headerRowDxfId="1"/>
    <tableColumn id="20" xr3:uid="{56E03B68-1464-4460-BB3E-30C40FBA15CE}" name="Colonne20" header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B88"/>
  <sheetViews>
    <sheetView showGridLines="0" tabSelected="1" zoomScale="55" zoomScaleNormal="55" workbookViewId="0">
      <selection activeCell="AS17" sqref="AS17"/>
    </sheetView>
  </sheetViews>
  <sheetFormatPr baseColWidth="10" defaultColWidth="9.140625" defaultRowHeight="15" x14ac:dyDescent="0.25"/>
  <cols>
    <col min="1" max="10" width="9.140625" style="3"/>
    <col min="11" max="12" width="9.140625" style="3" customWidth="1"/>
    <col min="13" max="21" width="9.140625" style="3"/>
    <col min="22" max="22" width="9.140625" style="3" customWidth="1"/>
    <col min="23" max="16384" width="9.140625" style="3"/>
  </cols>
  <sheetData>
    <row r="1" spans="1:54" ht="15" customHeight="1" x14ac:dyDescent="0.25">
      <c r="A1" s="166" t="s">
        <v>79</v>
      </c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  <c r="M1" s="167"/>
      <c r="N1" s="167"/>
      <c r="O1" s="167"/>
      <c r="P1" s="167"/>
      <c r="Q1" s="167"/>
      <c r="R1" s="167"/>
      <c r="S1" s="167"/>
      <c r="T1" s="167"/>
      <c r="U1" s="167"/>
      <c r="V1" s="167"/>
      <c r="W1" s="167"/>
      <c r="X1" s="167"/>
      <c r="Y1" s="167"/>
      <c r="Z1" s="167"/>
      <c r="AA1" s="167"/>
      <c r="AB1" s="167"/>
      <c r="AC1" s="167"/>
      <c r="AD1" s="167"/>
      <c r="AE1" s="167"/>
      <c r="AF1" s="167"/>
      <c r="AG1" s="167"/>
      <c r="AH1" s="167"/>
      <c r="AI1" s="167"/>
      <c r="AJ1" s="167"/>
      <c r="AK1" s="167"/>
      <c r="AL1" s="167"/>
      <c r="AM1" s="168"/>
      <c r="AN1" s="175" t="s">
        <v>24</v>
      </c>
      <c r="AO1" s="175"/>
      <c r="AP1" s="175"/>
      <c r="AQ1" s="4"/>
      <c r="AR1" s="4"/>
      <c r="AS1" s="4"/>
      <c r="AT1" s="4"/>
      <c r="AU1" s="4"/>
      <c r="AV1" s="7"/>
    </row>
    <row r="2" spans="1:54" ht="15" customHeight="1" x14ac:dyDescent="0.25">
      <c r="A2" s="169"/>
      <c r="B2" s="170"/>
      <c r="C2" s="170"/>
      <c r="D2" s="170"/>
      <c r="E2" s="170"/>
      <c r="F2" s="170"/>
      <c r="G2" s="170"/>
      <c r="H2" s="170"/>
      <c r="I2" s="170"/>
      <c r="J2" s="170"/>
      <c r="K2" s="170"/>
      <c r="L2" s="170"/>
      <c r="M2" s="170"/>
      <c r="N2" s="170"/>
      <c r="O2" s="170"/>
      <c r="P2" s="170"/>
      <c r="Q2" s="170"/>
      <c r="R2" s="170"/>
      <c r="S2" s="170"/>
      <c r="T2" s="170"/>
      <c r="U2" s="170"/>
      <c r="V2" s="170"/>
      <c r="W2" s="170"/>
      <c r="X2" s="170"/>
      <c r="Y2" s="170"/>
      <c r="Z2" s="170"/>
      <c r="AA2" s="170"/>
      <c r="AB2" s="170"/>
      <c r="AC2" s="170"/>
      <c r="AD2" s="170"/>
      <c r="AE2" s="170"/>
      <c r="AF2" s="170"/>
      <c r="AG2" s="170"/>
      <c r="AH2" s="170"/>
      <c r="AI2" s="170"/>
      <c r="AJ2" s="170"/>
      <c r="AK2" s="170"/>
      <c r="AL2" s="170"/>
      <c r="AM2" s="171"/>
      <c r="AN2" s="175"/>
      <c r="AO2" s="175"/>
      <c r="AP2" s="175"/>
      <c r="AQ2" s="4"/>
      <c r="AR2" s="4"/>
      <c r="AS2" s="4"/>
      <c r="AT2" s="4"/>
      <c r="AU2" s="4"/>
      <c r="AV2" s="7"/>
    </row>
    <row r="3" spans="1:54" ht="15" customHeight="1" x14ac:dyDescent="0.25">
      <c r="A3" s="169"/>
      <c r="B3" s="170"/>
      <c r="C3" s="170"/>
      <c r="D3" s="170"/>
      <c r="E3" s="170"/>
      <c r="F3" s="170"/>
      <c r="G3" s="170"/>
      <c r="H3" s="170"/>
      <c r="I3" s="170"/>
      <c r="J3" s="170"/>
      <c r="K3" s="170"/>
      <c r="L3" s="170"/>
      <c r="M3" s="170"/>
      <c r="N3" s="170"/>
      <c r="O3" s="170"/>
      <c r="P3" s="170"/>
      <c r="Q3" s="170"/>
      <c r="R3" s="170"/>
      <c r="S3" s="170"/>
      <c r="T3" s="170"/>
      <c r="U3" s="170"/>
      <c r="V3" s="170"/>
      <c r="W3" s="170"/>
      <c r="X3" s="170"/>
      <c r="Y3" s="170"/>
      <c r="Z3" s="170"/>
      <c r="AA3" s="170"/>
      <c r="AB3" s="170"/>
      <c r="AC3" s="170"/>
      <c r="AD3" s="170"/>
      <c r="AE3" s="170"/>
      <c r="AF3" s="170"/>
      <c r="AG3" s="170"/>
      <c r="AH3" s="170"/>
      <c r="AI3" s="170"/>
      <c r="AJ3" s="170"/>
      <c r="AK3" s="170"/>
      <c r="AL3" s="170"/>
      <c r="AM3" s="171"/>
      <c r="AN3" s="176">
        <v>2023</v>
      </c>
      <c r="AO3" s="177"/>
      <c r="AP3" s="178"/>
      <c r="AQ3" s="4"/>
      <c r="AR3" s="4"/>
      <c r="AS3" s="4"/>
      <c r="AT3" s="4"/>
      <c r="AU3" s="4"/>
      <c r="AV3" s="7"/>
    </row>
    <row r="4" spans="1:54" ht="15.75" customHeight="1" x14ac:dyDescent="0.25">
      <c r="A4" s="169"/>
      <c r="B4" s="170"/>
      <c r="C4" s="170"/>
      <c r="D4" s="170"/>
      <c r="E4" s="170"/>
      <c r="F4" s="170"/>
      <c r="G4" s="170"/>
      <c r="H4" s="170"/>
      <c r="I4" s="170"/>
      <c r="J4" s="170"/>
      <c r="K4" s="170"/>
      <c r="L4" s="170"/>
      <c r="M4" s="170"/>
      <c r="N4" s="170"/>
      <c r="O4" s="170"/>
      <c r="P4" s="170"/>
      <c r="Q4" s="170"/>
      <c r="R4" s="170"/>
      <c r="S4" s="170"/>
      <c r="T4" s="170"/>
      <c r="U4" s="170"/>
      <c r="V4" s="170"/>
      <c r="W4" s="170"/>
      <c r="X4" s="170"/>
      <c r="Y4" s="170"/>
      <c r="Z4" s="170"/>
      <c r="AA4" s="170"/>
      <c r="AB4" s="170"/>
      <c r="AC4" s="170"/>
      <c r="AD4" s="170"/>
      <c r="AE4" s="170"/>
      <c r="AF4" s="170"/>
      <c r="AG4" s="170"/>
      <c r="AH4" s="170"/>
      <c r="AI4" s="170"/>
      <c r="AJ4" s="170"/>
      <c r="AK4" s="170"/>
      <c r="AL4" s="170"/>
      <c r="AM4" s="171"/>
      <c r="AN4" s="179"/>
      <c r="AO4" s="180"/>
      <c r="AP4" s="181"/>
      <c r="AQ4" s="4"/>
      <c r="AR4" s="4"/>
      <c r="AS4" s="4"/>
      <c r="AT4" s="4"/>
      <c r="AU4" s="4"/>
      <c r="AV4" s="7"/>
    </row>
    <row r="5" spans="1:54" ht="15.75" customHeight="1" x14ac:dyDescent="0.25">
      <c r="A5" s="169"/>
      <c r="B5" s="170"/>
      <c r="C5" s="170"/>
      <c r="D5" s="170"/>
      <c r="E5" s="170"/>
      <c r="F5" s="170"/>
      <c r="G5" s="170"/>
      <c r="H5" s="170"/>
      <c r="I5" s="170"/>
      <c r="J5" s="170"/>
      <c r="K5" s="170"/>
      <c r="L5" s="170"/>
      <c r="M5" s="170"/>
      <c r="N5" s="170"/>
      <c r="O5" s="170"/>
      <c r="P5" s="170"/>
      <c r="Q5" s="170"/>
      <c r="R5" s="170"/>
      <c r="S5" s="170"/>
      <c r="T5" s="170"/>
      <c r="U5" s="170"/>
      <c r="V5" s="170"/>
      <c r="W5" s="170"/>
      <c r="X5" s="170"/>
      <c r="Y5" s="170"/>
      <c r="Z5" s="170"/>
      <c r="AA5" s="170"/>
      <c r="AB5" s="170"/>
      <c r="AC5" s="170"/>
      <c r="AD5" s="170"/>
      <c r="AE5" s="170"/>
      <c r="AF5" s="170"/>
      <c r="AG5" s="170"/>
      <c r="AH5" s="170"/>
      <c r="AI5" s="170"/>
      <c r="AJ5" s="170"/>
      <c r="AK5" s="170"/>
      <c r="AL5" s="170"/>
      <c r="AM5" s="171"/>
      <c r="AN5" s="179"/>
      <c r="AO5" s="180"/>
      <c r="AP5" s="181"/>
      <c r="AQ5" s="4"/>
      <c r="AR5" s="4"/>
      <c r="AS5" s="4"/>
      <c r="AT5" s="4"/>
      <c r="AU5" s="4"/>
      <c r="AV5" s="7"/>
    </row>
    <row r="6" spans="1:54" ht="15" customHeight="1" x14ac:dyDescent="0.25">
      <c r="A6" s="172"/>
      <c r="B6" s="173"/>
      <c r="C6" s="173"/>
      <c r="D6" s="173"/>
      <c r="E6" s="173"/>
      <c r="F6" s="173"/>
      <c r="G6" s="173"/>
      <c r="H6" s="173"/>
      <c r="I6" s="173"/>
      <c r="J6" s="173"/>
      <c r="K6" s="173"/>
      <c r="L6" s="173"/>
      <c r="M6" s="173"/>
      <c r="N6" s="173"/>
      <c r="O6" s="173"/>
      <c r="P6" s="173"/>
      <c r="Q6" s="173"/>
      <c r="R6" s="173"/>
      <c r="S6" s="173"/>
      <c r="T6" s="173"/>
      <c r="U6" s="173"/>
      <c r="V6" s="173"/>
      <c r="W6" s="173"/>
      <c r="X6" s="173"/>
      <c r="Y6" s="173"/>
      <c r="Z6" s="173"/>
      <c r="AA6" s="173"/>
      <c r="AB6" s="173"/>
      <c r="AC6" s="173"/>
      <c r="AD6" s="173"/>
      <c r="AE6" s="173"/>
      <c r="AF6" s="173"/>
      <c r="AG6" s="173"/>
      <c r="AH6" s="173"/>
      <c r="AI6" s="173"/>
      <c r="AJ6" s="173"/>
      <c r="AK6" s="173"/>
      <c r="AL6" s="173"/>
      <c r="AM6" s="174"/>
      <c r="AN6" s="182"/>
      <c r="AO6" s="183"/>
      <c r="AP6" s="184"/>
    </row>
    <row r="7" spans="1:54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 t="s">
        <v>44</v>
      </c>
      <c r="AO7" s="7"/>
      <c r="AP7" s="7"/>
    </row>
    <row r="8" spans="1:54" ht="26.25" customHeight="1" x14ac:dyDescent="0.25">
      <c r="A8" s="5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5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5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T8" s="5"/>
      <c r="BB8" s="5"/>
    </row>
    <row r="9" spans="1:54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</row>
    <row r="10" spans="1:54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</row>
    <row r="11" spans="1:54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</row>
    <row r="12" spans="1:54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</row>
    <row r="13" spans="1:54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</row>
    <row r="14" spans="1:54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</row>
    <row r="15" spans="1:54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</row>
    <row r="16" spans="1:54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</row>
    <row r="17" spans="1:32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</row>
    <row r="18" spans="1:32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</row>
    <row r="19" spans="1:32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</row>
    <row r="20" spans="1:32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</row>
    <row r="21" spans="1:32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</row>
    <row r="22" spans="1:32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</row>
    <row r="23" spans="1:32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</row>
    <row r="24" spans="1:32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</row>
    <row r="25" spans="1:32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</row>
    <row r="26" spans="1:32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</row>
    <row r="27" spans="1:32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</row>
    <row r="28" spans="1:32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</row>
    <row r="29" spans="1:32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</row>
    <row r="30" spans="1:32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</row>
    <row r="31" spans="1:32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</row>
    <row r="32" spans="1:32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</row>
    <row r="33" spans="1:32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</row>
    <row r="34" spans="1:32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C34" s="6"/>
      <c r="AD34" s="6"/>
      <c r="AE34" s="6"/>
      <c r="AF34" s="6"/>
    </row>
    <row r="35" spans="1:32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</row>
    <row r="36" spans="1:32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</row>
    <row r="37" spans="1:32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</row>
    <row r="38" spans="1:32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</row>
    <row r="39" spans="1:32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</row>
    <row r="40" spans="1:32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</row>
    <row r="41" spans="1:32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</row>
    <row r="42" spans="1:32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</row>
    <row r="43" spans="1:32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</row>
    <row r="44" spans="1:32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</row>
    <row r="45" spans="1:32" x14ac:dyDescent="0.2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</row>
    <row r="46" spans="1:32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</row>
    <row r="47" spans="1:32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</row>
    <row r="48" spans="1:32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</row>
    <row r="49" spans="1:32" x14ac:dyDescent="0.25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</row>
    <row r="50" spans="1:32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</row>
    <row r="51" spans="1:32" x14ac:dyDescent="0.25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</row>
    <row r="52" spans="1:32" x14ac:dyDescent="0.25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</row>
    <row r="53" spans="1:32" x14ac:dyDescent="0.25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</row>
    <row r="54" spans="1:32" x14ac:dyDescent="0.25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</row>
    <row r="55" spans="1:32" x14ac:dyDescent="0.25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</row>
    <row r="56" spans="1:32" x14ac:dyDescent="0.25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</row>
    <row r="57" spans="1:32" x14ac:dyDescent="0.25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</row>
    <row r="58" spans="1:32" x14ac:dyDescent="0.25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</row>
    <row r="59" spans="1:32" x14ac:dyDescent="0.25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</row>
    <row r="60" spans="1:32" x14ac:dyDescent="0.25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</row>
    <row r="61" spans="1:32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</row>
    <row r="62" spans="1:32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</row>
    <row r="63" spans="1:32" x14ac:dyDescent="0.25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</row>
    <row r="64" spans="1:32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</row>
    <row r="65" spans="1:32" x14ac:dyDescent="0.25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</row>
    <row r="66" spans="1:32" x14ac:dyDescent="0.25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</row>
    <row r="67" spans="1:32" x14ac:dyDescent="0.25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</row>
    <row r="68" spans="1:32" x14ac:dyDescent="0.25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</row>
    <row r="69" spans="1:32" x14ac:dyDescent="0.25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</row>
    <row r="70" spans="1:32" x14ac:dyDescent="0.25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</row>
    <row r="71" spans="1:32" x14ac:dyDescent="0.25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</row>
    <row r="72" spans="1:32" x14ac:dyDescent="0.25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</row>
    <row r="73" spans="1:32" x14ac:dyDescent="0.25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</row>
    <row r="74" spans="1:32" x14ac:dyDescent="0.25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</row>
    <row r="75" spans="1:32" x14ac:dyDescent="0.25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</row>
    <row r="76" spans="1:32" x14ac:dyDescent="0.25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</row>
    <row r="77" spans="1:32" x14ac:dyDescent="0.25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</row>
    <row r="78" spans="1:32" x14ac:dyDescent="0.25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</row>
    <row r="79" spans="1:32" x14ac:dyDescent="0.25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</row>
    <row r="80" spans="1:32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</row>
    <row r="81" spans="1:32" x14ac:dyDescent="0.25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</row>
    <row r="82" spans="1:32" x14ac:dyDescent="0.25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</row>
    <row r="83" spans="1:32" x14ac:dyDescent="0.25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</row>
    <row r="84" spans="1:32" x14ac:dyDescent="0.25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</row>
    <row r="85" spans="1:32" x14ac:dyDescent="0.25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</row>
    <row r="86" spans="1:32" x14ac:dyDescent="0.25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</row>
    <row r="87" spans="1:32" x14ac:dyDescent="0.25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</row>
    <row r="88" spans="1:32" x14ac:dyDescent="0.25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</row>
  </sheetData>
  <mergeCells count="3">
    <mergeCell ref="A1:AM6"/>
    <mergeCell ref="AN1:AP2"/>
    <mergeCell ref="AN3:AP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outon 1">
              <controlPr defaultSize="0" autoFill="0" autoPict="0" macro="[0]!Bouton1_Cliquer" altText="Bouton 3">
                <anchor moveWithCells="1" sizeWithCells="1">
                  <from>
                    <xdr:col>4</xdr:col>
                    <xdr:colOff>9525</xdr:colOff>
                    <xdr:row>0</xdr:row>
                    <xdr:rowOff>123825</xdr:rowOff>
                  </from>
                  <to>
                    <xdr:col>8</xdr:col>
                    <xdr:colOff>485775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4"/>
  <sheetViews>
    <sheetView showGridLines="0" zoomScale="55" zoomScaleNormal="55" workbookViewId="0">
      <selection activeCell="A5" sqref="A5"/>
    </sheetView>
  </sheetViews>
  <sheetFormatPr baseColWidth="10" defaultRowHeight="15" x14ac:dyDescent="0.25"/>
  <cols>
    <col min="1" max="16384" width="11.42578125" style="1"/>
  </cols>
  <sheetData>
    <row r="1" spans="1:12" ht="15" customHeight="1" x14ac:dyDescent="0.25">
      <c r="A1" s="185" t="s">
        <v>0</v>
      </c>
      <c r="B1" s="186"/>
      <c r="C1" s="186"/>
      <c r="D1" s="186"/>
      <c r="E1" s="186"/>
      <c r="F1" s="186"/>
      <c r="G1" s="186"/>
      <c r="H1" s="186"/>
      <c r="I1" s="186"/>
      <c r="J1" s="186"/>
      <c r="K1" s="186"/>
      <c r="L1" s="187"/>
    </row>
    <row r="2" spans="1:12" ht="15" customHeight="1" x14ac:dyDescent="0.25">
      <c r="A2" s="188"/>
      <c r="B2" s="189"/>
      <c r="C2" s="189"/>
      <c r="D2" s="189"/>
      <c r="E2" s="189"/>
      <c r="F2" s="189"/>
      <c r="G2" s="189"/>
      <c r="H2" s="189"/>
      <c r="I2" s="189"/>
      <c r="J2" s="189"/>
      <c r="K2" s="189"/>
      <c r="L2" s="190"/>
    </row>
    <row r="3" spans="1:12" ht="15.75" customHeight="1" x14ac:dyDescent="0.25">
      <c r="A3" s="188"/>
      <c r="B3" s="189"/>
      <c r="C3" s="189"/>
      <c r="D3" s="189"/>
      <c r="E3" s="189"/>
      <c r="F3" s="189"/>
      <c r="G3" s="189"/>
      <c r="H3" s="189"/>
      <c r="I3" s="189"/>
      <c r="J3" s="189"/>
      <c r="K3" s="189"/>
      <c r="L3" s="190"/>
    </row>
    <row r="4" spans="1:12" ht="15.75" thickBot="1" x14ac:dyDescent="0.3">
      <c r="A4" s="191"/>
      <c r="B4" s="192"/>
      <c r="C4" s="192"/>
      <c r="D4" s="192"/>
      <c r="E4" s="192"/>
      <c r="F4" s="192"/>
      <c r="G4" s="192"/>
      <c r="H4" s="192"/>
      <c r="I4" s="192"/>
      <c r="J4" s="192"/>
      <c r="K4" s="192"/>
      <c r="L4" s="193"/>
    </row>
  </sheetData>
  <mergeCells count="1">
    <mergeCell ref="A1:L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4"/>
  <sheetViews>
    <sheetView zoomScale="55" zoomScaleNormal="55" workbookViewId="0">
      <selection activeCell="J62" sqref="J62"/>
    </sheetView>
  </sheetViews>
  <sheetFormatPr baseColWidth="10" defaultRowHeight="15" x14ac:dyDescent="0.25"/>
  <sheetData>
    <row r="1" spans="1:12" ht="15" customHeight="1" x14ac:dyDescent="0.25">
      <c r="A1" s="194" t="s">
        <v>1</v>
      </c>
      <c r="B1" s="195"/>
      <c r="C1" s="195"/>
      <c r="D1" s="195"/>
      <c r="E1" s="195"/>
      <c r="F1" s="195"/>
      <c r="G1" s="195"/>
      <c r="H1" s="195"/>
      <c r="I1" s="195"/>
      <c r="J1" s="195"/>
      <c r="K1" s="195"/>
      <c r="L1" s="196"/>
    </row>
    <row r="2" spans="1:12" ht="15" customHeight="1" x14ac:dyDescent="0.25">
      <c r="A2" s="197"/>
      <c r="B2" s="198"/>
      <c r="C2" s="198"/>
      <c r="D2" s="198"/>
      <c r="E2" s="198"/>
      <c r="F2" s="198"/>
      <c r="G2" s="198"/>
      <c r="H2" s="198"/>
      <c r="I2" s="198"/>
      <c r="J2" s="198"/>
      <c r="K2" s="198"/>
      <c r="L2" s="199"/>
    </row>
    <row r="3" spans="1:12" ht="15.75" customHeight="1" x14ac:dyDescent="0.25">
      <c r="A3" s="197"/>
      <c r="B3" s="198"/>
      <c r="C3" s="198"/>
      <c r="D3" s="198"/>
      <c r="E3" s="198"/>
      <c r="F3" s="198"/>
      <c r="G3" s="198"/>
      <c r="H3" s="198"/>
      <c r="I3" s="198"/>
      <c r="J3" s="198"/>
      <c r="K3" s="198"/>
      <c r="L3" s="199"/>
    </row>
    <row r="4" spans="1:12" ht="15.75" thickBot="1" x14ac:dyDescent="0.3">
      <c r="A4" s="200"/>
      <c r="B4" s="201"/>
      <c r="C4" s="201"/>
      <c r="D4" s="201"/>
      <c r="E4" s="201"/>
      <c r="F4" s="201"/>
      <c r="G4" s="201"/>
      <c r="H4" s="201"/>
      <c r="I4" s="201"/>
      <c r="J4" s="201"/>
      <c r="K4" s="201"/>
      <c r="L4" s="202"/>
    </row>
  </sheetData>
  <mergeCells count="1">
    <mergeCell ref="A1:L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D8"/>
  <sheetViews>
    <sheetView showGridLines="0" zoomScale="55" zoomScaleNormal="55" workbookViewId="0">
      <selection activeCell="R22" sqref="R22"/>
    </sheetView>
  </sheetViews>
  <sheetFormatPr baseColWidth="10" defaultRowHeight="15" x14ac:dyDescent="0.25"/>
  <sheetData>
    <row r="1" spans="1:30" ht="15" customHeight="1" x14ac:dyDescent="0.25">
      <c r="A1" s="194" t="s">
        <v>2</v>
      </c>
      <c r="B1" s="195"/>
      <c r="C1" s="195"/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195"/>
      <c r="P1" s="195"/>
      <c r="Q1" s="195"/>
      <c r="R1" s="195"/>
      <c r="S1" s="195"/>
      <c r="T1" s="195"/>
      <c r="U1" s="195"/>
      <c r="V1" s="195"/>
      <c r="W1" s="195"/>
      <c r="X1" s="195"/>
      <c r="Y1" s="195"/>
      <c r="Z1" s="195"/>
      <c r="AA1" s="195"/>
      <c r="AB1" s="195"/>
      <c r="AC1" s="195"/>
      <c r="AD1" s="196"/>
    </row>
    <row r="2" spans="1:30" ht="15" customHeight="1" x14ac:dyDescent="0.25">
      <c r="A2" s="197"/>
      <c r="B2" s="198"/>
      <c r="C2" s="198"/>
      <c r="D2" s="198"/>
      <c r="E2" s="198"/>
      <c r="F2" s="198"/>
      <c r="G2" s="198"/>
      <c r="H2" s="198"/>
      <c r="I2" s="198"/>
      <c r="J2" s="198"/>
      <c r="K2" s="198"/>
      <c r="L2" s="198"/>
      <c r="M2" s="198"/>
      <c r="N2" s="198"/>
      <c r="O2" s="198"/>
      <c r="P2" s="198"/>
      <c r="Q2" s="198"/>
      <c r="R2" s="198"/>
      <c r="S2" s="198"/>
      <c r="T2" s="198"/>
      <c r="U2" s="198"/>
      <c r="V2" s="198"/>
      <c r="W2" s="198"/>
      <c r="X2" s="198"/>
      <c r="Y2" s="198"/>
      <c r="Z2" s="198"/>
      <c r="AA2" s="198"/>
      <c r="AB2" s="198"/>
      <c r="AC2" s="198"/>
      <c r="AD2" s="199"/>
    </row>
    <row r="3" spans="1:30" ht="15.75" customHeight="1" x14ac:dyDescent="0.25">
      <c r="A3" s="197"/>
      <c r="B3" s="198"/>
      <c r="C3" s="198"/>
      <c r="D3" s="198"/>
      <c r="E3" s="198"/>
      <c r="F3" s="198"/>
      <c r="G3" s="198"/>
      <c r="H3" s="198"/>
      <c r="I3" s="198"/>
      <c r="J3" s="198"/>
      <c r="K3" s="198"/>
      <c r="L3" s="198"/>
      <c r="M3" s="198"/>
      <c r="N3" s="198"/>
      <c r="O3" s="198"/>
      <c r="P3" s="198"/>
      <c r="Q3" s="198"/>
      <c r="R3" s="198"/>
      <c r="S3" s="198"/>
      <c r="T3" s="198"/>
      <c r="U3" s="198"/>
      <c r="V3" s="198"/>
      <c r="W3" s="198"/>
      <c r="X3" s="198"/>
      <c r="Y3" s="198"/>
      <c r="Z3" s="198"/>
      <c r="AA3" s="198"/>
      <c r="AB3" s="198"/>
      <c r="AC3" s="198"/>
      <c r="AD3" s="199"/>
    </row>
    <row r="4" spans="1:30" ht="15.75" customHeight="1" thickBot="1" x14ac:dyDescent="0.3">
      <c r="A4" s="200"/>
      <c r="B4" s="201"/>
      <c r="C4" s="201"/>
      <c r="D4" s="201"/>
      <c r="E4" s="201"/>
      <c r="F4" s="201"/>
      <c r="G4" s="201"/>
      <c r="H4" s="201"/>
      <c r="I4" s="201"/>
      <c r="J4" s="201"/>
      <c r="K4" s="201"/>
      <c r="L4" s="201"/>
      <c r="M4" s="201"/>
      <c r="N4" s="201"/>
      <c r="O4" s="201"/>
      <c r="P4" s="201"/>
      <c r="Q4" s="201"/>
      <c r="R4" s="201"/>
      <c r="S4" s="201"/>
      <c r="T4" s="201"/>
      <c r="U4" s="201"/>
      <c r="V4" s="201"/>
      <c r="W4" s="201"/>
      <c r="X4" s="201"/>
      <c r="Y4" s="201"/>
      <c r="Z4" s="201"/>
      <c r="AA4" s="201"/>
      <c r="AB4" s="201"/>
      <c r="AC4" s="201"/>
      <c r="AD4" s="202"/>
    </row>
    <row r="5" spans="1:30" x14ac:dyDescent="0.25">
      <c r="A5" s="203" t="s">
        <v>83</v>
      </c>
      <c r="B5" s="204"/>
      <c r="C5" s="204"/>
      <c r="D5" s="204"/>
      <c r="E5" s="204"/>
      <c r="F5" s="204"/>
      <c r="G5" s="204"/>
      <c r="H5" s="204"/>
      <c r="I5" s="204"/>
      <c r="J5" s="205"/>
      <c r="K5" s="212" t="s">
        <v>84</v>
      </c>
      <c r="L5" s="213"/>
      <c r="M5" s="213"/>
      <c r="N5" s="213"/>
      <c r="O5" s="213"/>
      <c r="P5" s="213"/>
      <c r="Q5" s="213"/>
      <c r="R5" s="213"/>
      <c r="S5" s="213"/>
      <c r="T5" s="214"/>
      <c r="U5" s="221" t="s">
        <v>85</v>
      </c>
      <c r="V5" s="222"/>
      <c r="W5" s="222"/>
      <c r="X5" s="222"/>
      <c r="Y5" s="222"/>
      <c r="Z5" s="222"/>
      <c r="AA5" s="222"/>
      <c r="AB5" s="222"/>
      <c r="AC5" s="222"/>
      <c r="AD5" s="223"/>
    </row>
    <row r="6" spans="1:30" x14ac:dyDescent="0.25">
      <c r="A6" s="206"/>
      <c r="B6" s="207"/>
      <c r="C6" s="207"/>
      <c r="D6" s="207"/>
      <c r="E6" s="207"/>
      <c r="F6" s="207"/>
      <c r="G6" s="207"/>
      <c r="H6" s="207"/>
      <c r="I6" s="207"/>
      <c r="J6" s="208"/>
      <c r="K6" s="215"/>
      <c r="L6" s="216"/>
      <c r="M6" s="216"/>
      <c r="N6" s="216"/>
      <c r="O6" s="216"/>
      <c r="P6" s="216"/>
      <c r="Q6" s="216"/>
      <c r="R6" s="216"/>
      <c r="S6" s="216"/>
      <c r="T6" s="217"/>
      <c r="U6" s="224"/>
      <c r="V6" s="225"/>
      <c r="W6" s="225"/>
      <c r="X6" s="225"/>
      <c r="Y6" s="225"/>
      <c r="Z6" s="225"/>
      <c r="AA6" s="225"/>
      <c r="AB6" s="225"/>
      <c r="AC6" s="225"/>
      <c r="AD6" s="226"/>
    </row>
    <row r="7" spans="1:30" x14ac:dyDescent="0.25">
      <c r="A7" s="206"/>
      <c r="B7" s="207"/>
      <c r="C7" s="207"/>
      <c r="D7" s="207"/>
      <c r="E7" s="207"/>
      <c r="F7" s="207"/>
      <c r="G7" s="207"/>
      <c r="H7" s="207"/>
      <c r="I7" s="207"/>
      <c r="J7" s="208"/>
      <c r="K7" s="215"/>
      <c r="L7" s="216"/>
      <c r="M7" s="216"/>
      <c r="N7" s="216"/>
      <c r="O7" s="216"/>
      <c r="P7" s="216"/>
      <c r="Q7" s="216"/>
      <c r="R7" s="216"/>
      <c r="S7" s="216"/>
      <c r="T7" s="217"/>
      <c r="U7" s="224"/>
      <c r="V7" s="225"/>
      <c r="W7" s="225"/>
      <c r="X7" s="225"/>
      <c r="Y7" s="225"/>
      <c r="Z7" s="225"/>
      <c r="AA7" s="225"/>
      <c r="AB7" s="225"/>
      <c r="AC7" s="225"/>
      <c r="AD7" s="226"/>
    </row>
    <row r="8" spans="1:30" ht="15.75" thickBot="1" x14ac:dyDescent="0.3">
      <c r="A8" s="209"/>
      <c r="B8" s="210"/>
      <c r="C8" s="210"/>
      <c r="D8" s="210"/>
      <c r="E8" s="210"/>
      <c r="F8" s="210"/>
      <c r="G8" s="210"/>
      <c r="H8" s="210"/>
      <c r="I8" s="210"/>
      <c r="J8" s="211"/>
      <c r="K8" s="218"/>
      <c r="L8" s="219"/>
      <c r="M8" s="219"/>
      <c r="N8" s="219"/>
      <c r="O8" s="219"/>
      <c r="P8" s="219"/>
      <c r="Q8" s="219"/>
      <c r="R8" s="219"/>
      <c r="S8" s="219"/>
      <c r="T8" s="220"/>
      <c r="U8" s="227"/>
      <c r="V8" s="228"/>
      <c r="W8" s="228"/>
      <c r="X8" s="228"/>
      <c r="Y8" s="228"/>
      <c r="Z8" s="228"/>
      <c r="AA8" s="228"/>
      <c r="AB8" s="228"/>
      <c r="AC8" s="228"/>
      <c r="AD8" s="229"/>
    </row>
  </sheetData>
  <mergeCells count="4">
    <mergeCell ref="A1:AD4"/>
    <mergeCell ref="A5:J8"/>
    <mergeCell ref="K5:T8"/>
    <mergeCell ref="U5:AD8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4" tint="-0.249977111117893"/>
  </sheetPr>
  <dimension ref="A1:BF68"/>
  <sheetViews>
    <sheetView zoomScale="50" zoomScaleNormal="50" workbookViewId="0">
      <selection activeCell="L17" sqref="L17"/>
    </sheetView>
  </sheetViews>
  <sheetFormatPr baseColWidth="10" defaultRowHeight="15" x14ac:dyDescent="0.25"/>
  <cols>
    <col min="1" max="1" width="30.7109375" customWidth="1"/>
    <col min="2" max="5" width="22.7109375" customWidth="1"/>
    <col min="6" max="6" width="21.140625" bestFit="1" customWidth="1"/>
    <col min="7" max="7" width="18" customWidth="1"/>
    <col min="8" max="8" width="18" bestFit="1" customWidth="1"/>
    <col min="9" max="9" width="17.28515625" bestFit="1" customWidth="1"/>
    <col min="10" max="10" width="14.7109375" bestFit="1" customWidth="1"/>
    <col min="11" max="14" width="22.7109375" customWidth="1"/>
    <col min="15" max="15" width="23.42578125" bestFit="1" customWidth="1"/>
    <col min="16" max="16" width="23.28515625" bestFit="1" customWidth="1"/>
    <col min="17" max="17" width="20.42578125" customWidth="1"/>
    <col min="18" max="18" width="19" bestFit="1" customWidth="1"/>
    <col min="19" max="19" width="12.5703125" bestFit="1" customWidth="1"/>
    <col min="20" max="20" width="13.140625" bestFit="1" customWidth="1"/>
    <col min="21" max="21" width="10.28515625" bestFit="1" customWidth="1"/>
    <col min="22" max="22" width="11.28515625" bestFit="1" customWidth="1"/>
    <col min="23" max="46" width="11.7109375" customWidth="1"/>
    <col min="47" max="47" width="8.7109375" customWidth="1"/>
    <col min="48" max="77" width="11.7109375" customWidth="1"/>
  </cols>
  <sheetData>
    <row r="1" spans="1:45" ht="33.75" x14ac:dyDescent="0.25">
      <c r="A1" s="203" t="s">
        <v>3</v>
      </c>
      <c r="B1" s="204"/>
      <c r="C1" s="204"/>
      <c r="D1" s="204"/>
      <c r="E1" s="204"/>
      <c r="F1" s="204"/>
      <c r="G1" s="204"/>
      <c r="H1" s="204"/>
      <c r="I1" s="204"/>
      <c r="J1" s="205"/>
      <c r="K1" s="11"/>
      <c r="L1" s="97" t="s">
        <v>51</v>
      </c>
      <c r="M1" s="233" t="s">
        <v>57</v>
      </c>
      <c r="N1" s="234"/>
      <c r="O1" s="233" t="s">
        <v>32</v>
      </c>
      <c r="P1" s="235"/>
      <c r="Q1" s="98" t="s">
        <v>59</v>
      </c>
      <c r="R1" s="233" t="s">
        <v>58</v>
      </c>
      <c r="S1" s="235"/>
      <c r="T1" s="100" t="s">
        <v>59</v>
      </c>
      <c r="U1" s="99"/>
    </row>
    <row r="2" spans="1:45" ht="15" customHeight="1" x14ac:dyDescent="0.25">
      <c r="A2" s="206"/>
      <c r="B2" s="207"/>
      <c r="C2" s="207"/>
      <c r="D2" s="207"/>
      <c r="E2" s="207"/>
      <c r="F2" s="207"/>
      <c r="G2" s="207"/>
      <c r="H2" s="207"/>
      <c r="I2" s="207"/>
      <c r="J2" s="208"/>
      <c r="K2" s="11"/>
      <c r="L2" s="91" t="s">
        <v>47</v>
      </c>
      <c r="M2" s="20">
        <v>0.95</v>
      </c>
      <c r="N2" s="20">
        <f>M2</f>
        <v>0.95</v>
      </c>
      <c r="O2" s="20" t="s">
        <v>46</v>
      </c>
      <c r="P2" s="20">
        <f>VLOOKUP(9^9,T9:T20,1)</f>
        <v>0.25030249279558725</v>
      </c>
      <c r="Q2" s="20"/>
      <c r="R2" s="20" t="s">
        <v>46</v>
      </c>
      <c r="S2" s="20">
        <f>VLOOKUP(9^9,K9:K20,1)</f>
        <v>0.57793413893786294</v>
      </c>
      <c r="T2" s="20"/>
    </row>
    <row r="3" spans="1:45" ht="15" customHeight="1" x14ac:dyDescent="0.25">
      <c r="A3" s="206"/>
      <c r="B3" s="207"/>
      <c r="C3" s="207"/>
      <c r="D3" s="207"/>
      <c r="E3" s="207"/>
      <c r="F3" s="207"/>
      <c r="G3" s="207"/>
      <c r="H3" s="207"/>
      <c r="I3" s="207"/>
      <c r="J3" s="208"/>
      <c r="K3" s="11"/>
      <c r="L3" s="91" t="s">
        <v>48</v>
      </c>
      <c r="M3" s="20">
        <v>0.05</v>
      </c>
      <c r="N3" s="20">
        <f>M2+M3</f>
        <v>1</v>
      </c>
      <c r="O3" s="20" t="s">
        <v>52</v>
      </c>
      <c r="P3" s="20">
        <v>0.02</v>
      </c>
      <c r="Q3" s="20">
        <f>P2</f>
        <v>0.25030249279558725</v>
      </c>
      <c r="R3" s="20" t="s">
        <v>52</v>
      </c>
      <c r="S3" s="20">
        <v>0.02</v>
      </c>
      <c r="T3" s="20">
        <f>S2</f>
        <v>0.57793413893786294</v>
      </c>
    </row>
    <row r="4" spans="1:45" ht="15.75" customHeight="1" thickBot="1" x14ac:dyDescent="0.3">
      <c r="A4" s="209"/>
      <c r="B4" s="210"/>
      <c r="C4" s="210"/>
      <c r="D4" s="210"/>
      <c r="E4" s="210"/>
      <c r="F4" s="210"/>
      <c r="G4" s="210"/>
      <c r="H4" s="210"/>
      <c r="I4" s="210"/>
      <c r="J4" s="211"/>
      <c r="K4" s="11"/>
      <c r="L4" s="91" t="s">
        <v>49</v>
      </c>
      <c r="M4" s="20">
        <v>0.2</v>
      </c>
      <c r="N4" s="20">
        <f>M2+M3+M4</f>
        <v>1.2</v>
      </c>
      <c r="O4" s="20" t="s">
        <v>53</v>
      </c>
      <c r="P4" s="20">
        <f>SUM(M2:M5)-(P2+P3)</f>
        <v>1.7296975072044127</v>
      </c>
      <c r="Q4" s="20"/>
      <c r="R4" s="20" t="s">
        <v>53</v>
      </c>
      <c r="S4" s="20">
        <f>SUM(M2:M5)-(S2+S3)</f>
        <v>1.402065861062137</v>
      </c>
      <c r="T4" s="20"/>
    </row>
    <row r="5" spans="1:45" ht="15" customHeight="1" x14ac:dyDescent="0.25">
      <c r="L5" s="91" t="s">
        <v>50</v>
      </c>
      <c r="M5" s="92">
        <v>0.8</v>
      </c>
      <c r="N5" s="91"/>
      <c r="O5" s="91" t="s">
        <v>54</v>
      </c>
      <c r="P5" s="91">
        <v>2</v>
      </c>
      <c r="Q5" s="91"/>
      <c r="R5" s="91" t="s">
        <v>54</v>
      </c>
      <c r="S5" s="91">
        <v>2</v>
      </c>
      <c r="T5" s="91"/>
      <c r="AG5" s="110"/>
      <c r="AH5" s="110"/>
      <c r="AI5" s="110"/>
    </row>
    <row r="6" spans="1:45" ht="15" customHeight="1" x14ac:dyDescent="0.25">
      <c r="AF6" s="148"/>
      <c r="AG6" s="148"/>
      <c r="AH6" s="148"/>
      <c r="AI6" s="148"/>
      <c r="AJ6" s="148"/>
      <c r="AK6" s="148"/>
      <c r="AL6" s="148"/>
      <c r="AM6" s="148"/>
      <c r="AN6" s="148"/>
      <c r="AO6" s="148"/>
      <c r="AP6" s="148"/>
      <c r="AQ6" s="148"/>
      <c r="AR6" s="148"/>
      <c r="AS6" s="148"/>
    </row>
    <row r="7" spans="1:45" ht="45" customHeight="1" x14ac:dyDescent="0.25">
      <c r="A7" s="230" t="s">
        <v>36</v>
      </c>
      <c r="B7" s="231"/>
      <c r="C7" s="231"/>
      <c r="D7" s="231"/>
      <c r="E7" s="231"/>
      <c r="F7" s="231"/>
      <c r="G7" s="231"/>
      <c r="H7" s="231"/>
      <c r="I7" s="231"/>
      <c r="J7" s="231"/>
      <c r="K7" s="232"/>
      <c r="M7" s="230" t="s">
        <v>35</v>
      </c>
      <c r="N7" s="231"/>
      <c r="O7" s="231"/>
      <c r="P7" s="231"/>
      <c r="Q7" s="231"/>
      <c r="R7" s="231"/>
      <c r="S7" s="231"/>
      <c r="T7" s="232"/>
      <c r="W7" s="161"/>
      <c r="AF7" s="148"/>
      <c r="AG7" s="149"/>
      <c r="AH7" s="147"/>
      <c r="AI7" s="149"/>
      <c r="AJ7" s="150"/>
      <c r="AK7" s="147"/>
      <c r="AL7" s="147"/>
      <c r="AM7" s="147"/>
      <c r="AN7" s="147"/>
      <c r="AO7" s="147"/>
      <c r="AP7" s="147"/>
      <c r="AQ7" s="147"/>
      <c r="AR7" s="147"/>
      <c r="AS7" s="148"/>
    </row>
    <row r="8" spans="1:45" ht="42" x14ac:dyDescent="0.25">
      <c r="A8" s="61">
        <f>'A3'!AN3</f>
        <v>2023</v>
      </c>
      <c r="B8" s="62" t="s">
        <v>25</v>
      </c>
      <c r="C8" s="62" t="s">
        <v>62</v>
      </c>
      <c r="D8" s="62" t="s">
        <v>63</v>
      </c>
      <c r="E8" s="63" t="s">
        <v>26</v>
      </c>
      <c r="F8" s="23" t="s">
        <v>77</v>
      </c>
      <c r="G8" s="63" t="s">
        <v>45</v>
      </c>
      <c r="H8" s="64" t="s">
        <v>21</v>
      </c>
      <c r="I8" s="125" t="s">
        <v>70</v>
      </c>
      <c r="J8" s="64" t="s">
        <v>34</v>
      </c>
      <c r="K8" s="122" t="s">
        <v>75</v>
      </c>
      <c r="M8" s="61">
        <f>A8</f>
        <v>2023</v>
      </c>
      <c r="N8" s="93" t="s">
        <v>22</v>
      </c>
      <c r="O8" s="93" t="s">
        <v>55</v>
      </c>
      <c r="P8" s="10" t="s">
        <v>67</v>
      </c>
      <c r="Q8" s="23" t="s">
        <v>66</v>
      </c>
      <c r="R8" s="94" t="s">
        <v>21</v>
      </c>
      <c r="S8" s="123" t="s">
        <v>78</v>
      </c>
      <c r="T8" s="116" t="s">
        <v>75</v>
      </c>
      <c r="W8" s="161"/>
      <c r="AF8" s="148"/>
      <c r="AG8" s="149"/>
      <c r="AH8" s="147"/>
      <c r="AI8" s="151"/>
      <c r="AJ8" s="151"/>
      <c r="AK8" s="148"/>
      <c r="AL8" s="148"/>
      <c r="AM8" s="148"/>
      <c r="AN8" s="148"/>
      <c r="AO8" s="148"/>
      <c r="AP8" s="148"/>
      <c r="AQ8" s="148"/>
      <c r="AR8" s="148"/>
      <c r="AS8" s="148"/>
    </row>
    <row r="9" spans="1:45" ht="30" customHeight="1" x14ac:dyDescent="0.25">
      <c r="A9" s="8" t="s">
        <v>4</v>
      </c>
      <c r="B9" s="128">
        <v>2472638</v>
      </c>
      <c r="C9" s="24">
        <f>B9</f>
        <v>2472638</v>
      </c>
      <c r="D9" s="24">
        <f>B9/J9</f>
        <v>112392.63636363637</v>
      </c>
      <c r="E9" s="103">
        <v>2472638</v>
      </c>
      <c r="F9" s="76">
        <f>IF(E9="",NA(),E9)</f>
        <v>2472638</v>
      </c>
      <c r="G9" s="76">
        <f>E9/J9</f>
        <v>112392.63636363637</v>
      </c>
      <c r="H9" s="17">
        <f t="shared" ref="H9:H20" si="0">IF(E9="",B9,E9)</f>
        <v>2472638</v>
      </c>
      <c r="I9" s="124">
        <f>H9</f>
        <v>2472638</v>
      </c>
      <c r="J9" s="64" cm="1">
        <f t="array" ref="J9:J20">_xlfn.XLOOKUP($A$8,'7. Administratif'!$B$14:$T$14,'7. Administratif'!$B$15:$T$26)</f>
        <v>22</v>
      </c>
      <c r="K9" s="96">
        <f t="shared" ref="K9:K20" si="1">IF(F9="","",F9/C9)</f>
        <v>1</v>
      </c>
      <c r="M9" s="8" t="s">
        <v>4</v>
      </c>
      <c r="N9" s="129">
        <v>928296.78763829044</v>
      </c>
      <c r="O9" s="102">
        <f>N9</f>
        <v>928296.78763829044</v>
      </c>
      <c r="P9" s="103">
        <v>232355</v>
      </c>
      <c r="Q9" s="127">
        <f>IF(P9="",NA(),P9)</f>
        <v>232355</v>
      </c>
      <c r="R9" s="104">
        <f t="shared" ref="R9:R20" si="2">IF(P9="",N9,P9)</f>
        <v>232355</v>
      </c>
      <c r="S9" s="17">
        <f>R9</f>
        <v>232355</v>
      </c>
      <c r="T9" s="90">
        <f>IF(Q9="","",Q9/O9)</f>
        <v>0.25030249279558725</v>
      </c>
      <c r="W9" s="161"/>
      <c r="AF9" s="148"/>
      <c r="AG9" s="150"/>
      <c r="AH9" s="147"/>
      <c r="AI9" s="151"/>
      <c r="AJ9" s="151"/>
      <c r="AK9" s="148"/>
      <c r="AL9" s="148"/>
      <c r="AM9" s="148"/>
      <c r="AN9" s="148"/>
      <c r="AO9" s="148"/>
      <c r="AP9" s="148"/>
      <c r="AQ9" s="148"/>
      <c r="AR9" s="148"/>
      <c r="AS9" s="148"/>
    </row>
    <row r="10" spans="1:45" ht="30" customHeight="1" x14ac:dyDescent="0.25">
      <c r="A10" s="8" t="s">
        <v>5</v>
      </c>
      <c r="B10" s="128">
        <v>2212953</v>
      </c>
      <c r="C10" s="24">
        <f>C9+B10</f>
        <v>4685591</v>
      </c>
      <c r="D10" s="24">
        <f>SUM(B$9:B10)/SUM(J$9:J10)</f>
        <v>111561.69047619047</v>
      </c>
      <c r="E10" s="103">
        <v>235325</v>
      </c>
      <c r="F10" s="127">
        <f>IF(E10="",NA(),E10+F9)</f>
        <v>2707963</v>
      </c>
      <c r="G10" s="76">
        <f>SUM(E$9:E10)/SUM($J$9:J10)</f>
        <v>64475.309523809527</v>
      </c>
      <c r="H10" s="17">
        <f t="shared" si="0"/>
        <v>235325</v>
      </c>
      <c r="I10" s="124">
        <f>H10+I9</f>
        <v>2707963</v>
      </c>
      <c r="J10" s="64">
        <v>20</v>
      </c>
      <c r="K10" s="96">
        <f t="shared" si="1"/>
        <v>0.57793413893786294</v>
      </c>
      <c r="M10" s="8" t="s">
        <v>5</v>
      </c>
      <c r="N10" s="129">
        <v>544432.25446526555</v>
      </c>
      <c r="O10" s="102">
        <f>O9+N10</f>
        <v>1472729.042103556</v>
      </c>
      <c r="P10" s="103"/>
      <c r="Q10" s="127" t="e">
        <f>IF(P10="",NA(),P10+Q9)</f>
        <v>#N/A</v>
      </c>
      <c r="R10" s="104">
        <f t="shared" si="2"/>
        <v>544432.25446526555</v>
      </c>
      <c r="S10" s="17">
        <f>S9+R10</f>
        <v>776787.25446526555</v>
      </c>
      <c r="T10" s="90" t="e">
        <f>IF(Q10="","",Q10/O10)</f>
        <v>#N/A</v>
      </c>
      <c r="W10" s="161"/>
      <c r="AF10" s="148"/>
      <c r="AG10" s="149"/>
      <c r="AH10" s="147"/>
      <c r="AI10" s="151"/>
      <c r="AJ10" s="151"/>
      <c r="AK10" s="148"/>
      <c r="AL10" s="148"/>
      <c r="AM10" s="148"/>
      <c r="AN10" s="148"/>
      <c r="AO10" s="148"/>
      <c r="AP10" s="148"/>
      <c r="AQ10" s="148"/>
      <c r="AR10" s="148"/>
      <c r="AS10" s="148"/>
    </row>
    <row r="11" spans="1:45" ht="30" customHeight="1" x14ac:dyDescent="0.25">
      <c r="A11" s="8" t="s">
        <v>6</v>
      </c>
      <c r="B11" s="128">
        <v>2294386</v>
      </c>
      <c r="C11" s="24">
        <f t="shared" ref="C11:C20" si="3">C10+B11</f>
        <v>6979977</v>
      </c>
      <c r="D11" s="24">
        <f>SUM(B$9:B11)/SUM(J$9:J11)</f>
        <v>107384.26153846153</v>
      </c>
      <c r="E11" s="103"/>
      <c r="F11" s="127" t="e">
        <f t="shared" ref="F11:F20" si="4">IF(E11="",NA(),E11+F10)</f>
        <v>#N/A</v>
      </c>
      <c r="G11" s="76">
        <f>SUM(E$9:E11)/SUM($J$9:J11)</f>
        <v>41660.969230769231</v>
      </c>
      <c r="H11" s="17">
        <f t="shared" si="0"/>
        <v>2294386</v>
      </c>
      <c r="I11" s="124">
        <f t="shared" ref="I11:I20" si="5">H11+I10</f>
        <v>5002349</v>
      </c>
      <c r="J11" s="64">
        <v>23</v>
      </c>
      <c r="K11" s="96" t="e">
        <f t="shared" si="1"/>
        <v>#N/A</v>
      </c>
      <c r="M11" s="8" t="s">
        <v>6</v>
      </c>
      <c r="N11" s="129">
        <v>588698.98110170383</v>
      </c>
      <c r="O11" s="102">
        <f t="shared" ref="O11:O20" si="6">O10+N11</f>
        <v>2061428.0232052598</v>
      </c>
      <c r="P11" s="103"/>
      <c r="Q11" s="127" t="e">
        <f t="shared" ref="Q11:Q20" si="7">IF(P11="",NA(),P11+Q10)</f>
        <v>#N/A</v>
      </c>
      <c r="R11" s="104">
        <f t="shared" si="2"/>
        <v>588698.98110170383</v>
      </c>
      <c r="S11" s="17">
        <f t="shared" ref="S11:S20" si="8">S10+R11</f>
        <v>1365486.2355669695</v>
      </c>
      <c r="T11" s="90" t="e">
        <f>IF(Q11="","",Q11/O11)</f>
        <v>#N/A</v>
      </c>
      <c r="W11" s="161"/>
      <c r="AF11" s="148"/>
      <c r="AG11" s="150"/>
      <c r="AH11" s="147"/>
      <c r="AI11" s="151"/>
      <c r="AJ11" s="151"/>
      <c r="AK11" s="148"/>
      <c r="AL11" s="148"/>
      <c r="AM11" s="148"/>
      <c r="AN11" s="148"/>
      <c r="AO11" s="148"/>
      <c r="AP11" s="148"/>
      <c r="AQ11" s="148"/>
      <c r="AR11" s="148"/>
      <c r="AS11" s="148"/>
    </row>
    <row r="12" spans="1:45" ht="30" customHeight="1" x14ac:dyDescent="0.25">
      <c r="A12" s="8" t="s">
        <v>7</v>
      </c>
      <c r="B12" s="128">
        <v>1971631</v>
      </c>
      <c r="C12" s="24">
        <f t="shared" si="3"/>
        <v>8951608</v>
      </c>
      <c r="D12" s="24">
        <f>SUM(B$9:B12)/SUM(J$9:J12)</f>
        <v>106566.76190476191</v>
      </c>
      <c r="E12" s="25"/>
      <c r="F12" s="127" t="e">
        <f t="shared" si="4"/>
        <v>#N/A</v>
      </c>
      <c r="G12" s="76">
        <f>SUM(E$9:E12)/SUM($J$9:J12)</f>
        <v>32237.654761904763</v>
      </c>
      <c r="H12" s="17">
        <f t="shared" si="0"/>
        <v>1971631</v>
      </c>
      <c r="I12" s="124">
        <f t="shared" si="5"/>
        <v>6973980</v>
      </c>
      <c r="J12" s="64">
        <v>19</v>
      </c>
      <c r="K12" s="96" t="e">
        <f t="shared" si="1"/>
        <v>#N/A</v>
      </c>
      <c r="M12" s="8" t="s">
        <v>7</v>
      </c>
      <c r="N12" s="129">
        <v>273223.59365640621</v>
      </c>
      <c r="O12" s="102">
        <f t="shared" si="6"/>
        <v>2334651.6168616661</v>
      </c>
      <c r="P12" s="103"/>
      <c r="Q12" s="127" t="e">
        <f t="shared" si="7"/>
        <v>#N/A</v>
      </c>
      <c r="R12" s="104">
        <f t="shared" si="2"/>
        <v>273223.59365640621</v>
      </c>
      <c r="S12" s="17">
        <f t="shared" si="8"/>
        <v>1638709.8292233758</v>
      </c>
      <c r="T12" s="90" t="e">
        <f t="shared" ref="T12:T20" si="9">IF(Q12="","",Q12/O12)</f>
        <v>#N/A</v>
      </c>
      <c r="W12" s="161"/>
      <c r="AF12" s="148"/>
      <c r="AG12" s="150"/>
      <c r="AH12" s="147"/>
      <c r="AI12" s="151"/>
      <c r="AJ12" s="151"/>
      <c r="AK12" s="148"/>
      <c r="AL12" s="148"/>
      <c r="AM12" s="148"/>
      <c r="AN12" s="148"/>
      <c r="AO12" s="148"/>
      <c r="AP12" s="148"/>
      <c r="AQ12" s="148"/>
      <c r="AR12" s="148"/>
      <c r="AS12" s="148"/>
    </row>
    <row r="13" spans="1:45" ht="30" customHeight="1" x14ac:dyDescent="0.25">
      <c r="A13" s="8" t="s">
        <v>8</v>
      </c>
      <c r="B13" s="128">
        <v>1749775</v>
      </c>
      <c r="C13" s="24">
        <f t="shared" si="3"/>
        <v>10701383</v>
      </c>
      <c r="D13" s="24">
        <f>SUM(B$9:B13)/SUM(J$9:J13)</f>
        <v>104915.51960784313</v>
      </c>
      <c r="E13" s="25"/>
      <c r="F13" s="127" t="e">
        <f t="shared" si="4"/>
        <v>#N/A</v>
      </c>
      <c r="G13" s="76">
        <f>SUM(E$9:E13)/SUM($J$9:J13)</f>
        <v>26548.656862745098</v>
      </c>
      <c r="H13" s="17">
        <f t="shared" si="0"/>
        <v>1749775</v>
      </c>
      <c r="I13" s="124">
        <f t="shared" si="5"/>
        <v>8723755</v>
      </c>
      <c r="J13" s="64">
        <v>18</v>
      </c>
      <c r="K13" s="96" t="e">
        <f t="shared" si="1"/>
        <v>#N/A</v>
      </c>
      <c r="M13" s="8" t="s">
        <v>8</v>
      </c>
      <c r="N13" s="129">
        <v>243138.70867163871</v>
      </c>
      <c r="O13" s="102">
        <f t="shared" si="6"/>
        <v>2577790.3255333048</v>
      </c>
      <c r="P13" s="103"/>
      <c r="Q13" s="127" t="e">
        <f t="shared" si="7"/>
        <v>#N/A</v>
      </c>
      <c r="R13" s="104">
        <f t="shared" si="2"/>
        <v>243138.70867163871</v>
      </c>
      <c r="S13" s="17">
        <f t="shared" si="8"/>
        <v>1881848.5378950145</v>
      </c>
      <c r="T13" s="90" t="e">
        <f t="shared" si="9"/>
        <v>#N/A</v>
      </c>
      <c r="W13" s="161"/>
      <c r="AF13" s="148"/>
      <c r="AG13" s="150"/>
      <c r="AH13" s="147"/>
      <c r="AI13" s="151"/>
      <c r="AJ13" s="151"/>
      <c r="AK13" s="148"/>
      <c r="AL13" s="148"/>
      <c r="AM13" s="148"/>
      <c r="AN13" s="148"/>
      <c r="AO13" s="148"/>
      <c r="AP13" s="148"/>
      <c r="AQ13" s="148"/>
      <c r="AR13" s="148"/>
      <c r="AS13" s="148"/>
    </row>
    <row r="14" spans="1:45" ht="30" customHeight="1" x14ac:dyDescent="0.25">
      <c r="A14" s="8" t="s">
        <v>9</v>
      </c>
      <c r="B14" s="128">
        <v>2056793</v>
      </c>
      <c r="C14" s="24">
        <f t="shared" si="3"/>
        <v>12758176</v>
      </c>
      <c r="D14" s="24">
        <f>SUM(B$9:B14)/SUM(J$9:J14)</f>
        <v>102888.51612903226</v>
      </c>
      <c r="E14" s="25"/>
      <c r="F14" s="127" t="e">
        <f t="shared" si="4"/>
        <v>#N/A</v>
      </c>
      <c r="G14" s="76">
        <f>SUM(E$9:E14)/SUM($J$9:J14)</f>
        <v>21838.41129032258</v>
      </c>
      <c r="H14" s="17">
        <f t="shared" si="0"/>
        <v>2056793</v>
      </c>
      <c r="I14" s="124">
        <f t="shared" si="5"/>
        <v>10780548</v>
      </c>
      <c r="J14" s="64">
        <v>22</v>
      </c>
      <c r="K14" s="96" t="e">
        <f t="shared" si="1"/>
        <v>#N/A</v>
      </c>
      <c r="M14" s="8" t="s">
        <v>9</v>
      </c>
      <c r="N14" s="129">
        <v>279615.45955598797</v>
      </c>
      <c r="O14" s="102">
        <f t="shared" si="6"/>
        <v>2857405.7850892926</v>
      </c>
      <c r="P14" s="103"/>
      <c r="Q14" s="127" t="e">
        <f t="shared" si="7"/>
        <v>#N/A</v>
      </c>
      <c r="R14" s="104">
        <f t="shared" si="2"/>
        <v>279615.45955598797</v>
      </c>
      <c r="S14" s="17">
        <f t="shared" si="8"/>
        <v>2161463.9974510027</v>
      </c>
      <c r="T14" s="90" t="e">
        <f t="shared" si="9"/>
        <v>#N/A</v>
      </c>
      <c r="W14" s="161"/>
      <c r="AF14" s="148"/>
      <c r="AG14" s="150"/>
      <c r="AH14" s="147"/>
      <c r="AI14" s="151"/>
      <c r="AJ14" s="151"/>
      <c r="AK14" s="148"/>
      <c r="AL14" s="148"/>
      <c r="AM14" s="148"/>
      <c r="AN14" s="148"/>
      <c r="AO14" s="148"/>
      <c r="AP14" s="148"/>
      <c r="AQ14" s="148"/>
      <c r="AR14" s="148"/>
      <c r="AS14" s="148"/>
    </row>
    <row r="15" spans="1:45" ht="30" customHeight="1" x14ac:dyDescent="0.25">
      <c r="A15" s="8" t="s">
        <v>10</v>
      </c>
      <c r="B15" s="128">
        <v>1977847</v>
      </c>
      <c r="C15" s="24">
        <f t="shared" si="3"/>
        <v>14736023</v>
      </c>
      <c r="D15" s="24">
        <f>SUM(B$9:B15)/SUM(J$9:J15)</f>
        <v>102333.49305555556</v>
      </c>
      <c r="E15" s="25"/>
      <c r="F15" s="127" t="e">
        <f t="shared" si="4"/>
        <v>#N/A</v>
      </c>
      <c r="G15" s="76">
        <f>SUM(E$9:E15)/SUM($J$9:J15)</f>
        <v>18805.298611111109</v>
      </c>
      <c r="H15" s="17">
        <f t="shared" si="0"/>
        <v>1977847</v>
      </c>
      <c r="I15" s="124">
        <f t="shared" si="5"/>
        <v>12758395</v>
      </c>
      <c r="J15" s="64">
        <v>20</v>
      </c>
      <c r="K15" s="96" t="e">
        <f t="shared" si="1"/>
        <v>#N/A</v>
      </c>
      <c r="M15" s="8" t="s">
        <v>10</v>
      </c>
      <c r="N15" s="129">
        <v>231308.76780221376</v>
      </c>
      <c r="O15" s="102">
        <f t="shared" si="6"/>
        <v>3088714.5528915063</v>
      </c>
      <c r="P15" s="103"/>
      <c r="Q15" s="127" t="e">
        <f t="shared" si="7"/>
        <v>#N/A</v>
      </c>
      <c r="R15" s="104">
        <f t="shared" si="2"/>
        <v>231308.76780221376</v>
      </c>
      <c r="S15" s="17">
        <f t="shared" si="8"/>
        <v>2392772.7652532165</v>
      </c>
      <c r="T15" s="90" t="e">
        <f t="shared" si="9"/>
        <v>#N/A</v>
      </c>
      <c r="W15" s="162"/>
      <c r="AF15" s="148"/>
      <c r="AG15" s="150"/>
      <c r="AH15" s="147"/>
      <c r="AI15" s="151"/>
      <c r="AJ15" s="151"/>
      <c r="AK15" s="148"/>
      <c r="AL15" s="148"/>
      <c r="AM15" s="148"/>
      <c r="AN15" s="148"/>
      <c r="AO15" s="148"/>
      <c r="AP15" s="148"/>
      <c r="AQ15" s="148"/>
      <c r="AR15" s="148"/>
      <c r="AS15" s="148"/>
    </row>
    <row r="16" spans="1:45" ht="30" customHeight="1" x14ac:dyDescent="0.25">
      <c r="A16" s="8" t="s">
        <v>11</v>
      </c>
      <c r="B16" s="128">
        <v>1501123</v>
      </c>
      <c r="C16" s="24">
        <f t="shared" si="3"/>
        <v>16237146</v>
      </c>
      <c r="D16" s="24">
        <f>SUM(B$9:B16)/SUM(J$9:J16)</f>
        <v>97814.132530120478</v>
      </c>
      <c r="E16" s="25"/>
      <c r="F16" s="127" t="e">
        <f t="shared" si="4"/>
        <v>#N/A</v>
      </c>
      <c r="G16" s="76">
        <f>SUM(E$9:E16)/SUM($J$9:J16)</f>
        <v>16313.030120481928</v>
      </c>
      <c r="H16" s="17">
        <f t="shared" si="0"/>
        <v>1501123</v>
      </c>
      <c r="I16" s="124">
        <f t="shared" si="5"/>
        <v>14259518</v>
      </c>
      <c r="J16" s="64">
        <v>22</v>
      </c>
      <c r="K16" s="96" t="e">
        <f t="shared" si="1"/>
        <v>#N/A</v>
      </c>
      <c r="M16" s="8" t="s">
        <v>11</v>
      </c>
      <c r="N16" s="129">
        <v>154087.66394087145</v>
      </c>
      <c r="O16" s="102">
        <f t="shared" si="6"/>
        <v>3242802.2168323779</v>
      </c>
      <c r="P16" s="103"/>
      <c r="Q16" s="127" t="e">
        <f t="shared" si="7"/>
        <v>#N/A</v>
      </c>
      <c r="R16" s="104">
        <f t="shared" si="2"/>
        <v>154087.66394087145</v>
      </c>
      <c r="S16" s="17">
        <f t="shared" si="8"/>
        <v>2546860.4291940881</v>
      </c>
      <c r="T16" s="90" t="e">
        <f t="shared" si="9"/>
        <v>#N/A</v>
      </c>
      <c r="W16" s="163"/>
      <c r="AF16" s="148"/>
      <c r="AG16" s="150"/>
      <c r="AH16" s="147"/>
      <c r="AI16" s="151"/>
      <c r="AJ16" s="151"/>
      <c r="AK16" s="148"/>
      <c r="AL16" s="148"/>
      <c r="AM16" s="148"/>
      <c r="AN16" s="148"/>
      <c r="AO16" s="148"/>
      <c r="AP16" s="148"/>
      <c r="AQ16" s="148"/>
      <c r="AR16" s="148"/>
      <c r="AS16" s="148"/>
    </row>
    <row r="17" spans="1:58" ht="30" customHeight="1" x14ac:dyDescent="0.25">
      <c r="A17" s="8" t="s">
        <v>12</v>
      </c>
      <c r="B17" s="128">
        <v>2113489</v>
      </c>
      <c r="C17" s="24">
        <f t="shared" si="3"/>
        <v>18350635</v>
      </c>
      <c r="D17" s="24">
        <f>SUM(B$9:B17)/SUM(J$9:J17)</f>
        <v>98131.737967914436</v>
      </c>
      <c r="E17" s="25"/>
      <c r="F17" s="127" t="e">
        <f t="shared" si="4"/>
        <v>#N/A</v>
      </c>
      <c r="G17" s="76">
        <f>SUM(E$9:E17)/SUM($J$9:J17)</f>
        <v>14481.085561497326</v>
      </c>
      <c r="H17" s="17">
        <f t="shared" si="0"/>
        <v>2113489</v>
      </c>
      <c r="I17" s="124">
        <f t="shared" si="5"/>
        <v>16373007</v>
      </c>
      <c r="J17" s="64">
        <v>21</v>
      </c>
      <c r="K17" s="96" t="e">
        <f t="shared" si="1"/>
        <v>#N/A</v>
      </c>
      <c r="M17" s="8" t="s">
        <v>12</v>
      </c>
      <c r="N17" s="129">
        <v>261245.24614785684</v>
      </c>
      <c r="O17" s="102">
        <f t="shared" si="6"/>
        <v>3504047.462980235</v>
      </c>
      <c r="P17" s="103"/>
      <c r="Q17" s="127" t="e">
        <f t="shared" si="7"/>
        <v>#N/A</v>
      </c>
      <c r="R17" s="104">
        <f t="shared" si="2"/>
        <v>261245.24614785684</v>
      </c>
      <c r="S17" s="17">
        <f t="shared" si="8"/>
        <v>2808105.6753419451</v>
      </c>
      <c r="T17" s="90" t="e">
        <f t="shared" si="9"/>
        <v>#N/A</v>
      </c>
      <c r="W17" s="164"/>
      <c r="AF17" s="148"/>
      <c r="AG17" s="150"/>
      <c r="AH17" s="147"/>
      <c r="AI17" s="151"/>
      <c r="AJ17" s="151"/>
      <c r="AK17" s="148"/>
      <c r="AL17" s="148"/>
      <c r="AM17" s="148"/>
      <c r="AN17" s="148"/>
      <c r="AO17" s="148"/>
      <c r="AP17" s="148"/>
      <c r="AQ17" s="148"/>
      <c r="AR17" s="148"/>
      <c r="AS17" s="148"/>
    </row>
    <row r="18" spans="1:58" ht="30" customHeight="1" x14ac:dyDescent="0.25">
      <c r="A18" s="8" t="s">
        <v>13</v>
      </c>
      <c r="B18" s="128">
        <v>2011859</v>
      </c>
      <c r="C18" s="24">
        <f t="shared" si="3"/>
        <v>20362494</v>
      </c>
      <c r="D18" s="24">
        <f>SUM(B$9:B18)/SUM(J$9:J18)</f>
        <v>97428.200956937799</v>
      </c>
      <c r="E18" s="25"/>
      <c r="F18" s="127" t="e">
        <f t="shared" si="4"/>
        <v>#N/A</v>
      </c>
      <c r="G18" s="76">
        <f>SUM(E$9:E18)/SUM($J$9:J18)</f>
        <v>12956.76076555024</v>
      </c>
      <c r="H18" s="17">
        <f t="shared" si="0"/>
        <v>2011859</v>
      </c>
      <c r="I18" s="124">
        <f t="shared" si="5"/>
        <v>18384866</v>
      </c>
      <c r="J18" s="64">
        <v>22</v>
      </c>
      <c r="K18" s="96" t="e">
        <f t="shared" si="1"/>
        <v>#N/A</v>
      </c>
      <c r="M18" s="8" t="s">
        <v>13</v>
      </c>
      <c r="N18" s="129">
        <v>452422.45488062513</v>
      </c>
      <c r="O18" s="102">
        <f t="shared" si="6"/>
        <v>3956469.91786086</v>
      </c>
      <c r="P18" s="103"/>
      <c r="Q18" s="127" t="e">
        <f t="shared" si="7"/>
        <v>#N/A</v>
      </c>
      <c r="R18" s="104">
        <f t="shared" si="2"/>
        <v>452422.45488062513</v>
      </c>
      <c r="S18" s="17">
        <f t="shared" si="8"/>
        <v>3260528.1302225702</v>
      </c>
      <c r="T18" s="90" t="e">
        <f t="shared" si="9"/>
        <v>#N/A</v>
      </c>
      <c r="W18" s="163"/>
      <c r="AF18" s="148"/>
      <c r="AG18" s="150"/>
      <c r="AH18" s="147"/>
      <c r="AI18" s="151"/>
      <c r="AJ18" s="151"/>
      <c r="AK18" s="148"/>
      <c r="AL18" s="148"/>
      <c r="AM18" s="148"/>
      <c r="AN18" s="148"/>
      <c r="AO18" s="148"/>
      <c r="AP18" s="148"/>
      <c r="AQ18" s="148"/>
      <c r="AR18" s="148"/>
      <c r="AS18" s="148"/>
    </row>
    <row r="19" spans="1:58" ht="30" customHeight="1" x14ac:dyDescent="0.25">
      <c r="A19" s="8" t="s">
        <v>14</v>
      </c>
      <c r="B19" s="128">
        <v>2285975</v>
      </c>
      <c r="C19" s="24">
        <f t="shared" si="3"/>
        <v>22648469</v>
      </c>
      <c r="D19" s="24">
        <f>SUM(B$9:B19)/SUM(J$9:J19)</f>
        <v>98471.604347826084</v>
      </c>
      <c r="E19" s="25"/>
      <c r="F19" s="127" t="e">
        <f t="shared" si="4"/>
        <v>#N/A</v>
      </c>
      <c r="G19" s="76">
        <f>SUM(E$9:E19)/SUM($J$9:J19)</f>
        <v>11773.752173913044</v>
      </c>
      <c r="H19" s="17">
        <f t="shared" si="0"/>
        <v>2285975</v>
      </c>
      <c r="I19" s="124">
        <f t="shared" si="5"/>
        <v>20670841</v>
      </c>
      <c r="J19" s="64">
        <v>21</v>
      </c>
      <c r="K19" s="96" t="e">
        <f t="shared" si="1"/>
        <v>#N/A</v>
      </c>
      <c r="M19" s="8" t="s">
        <v>14</v>
      </c>
      <c r="N19" s="129">
        <v>506951.43932105659</v>
      </c>
      <c r="O19" s="102">
        <f t="shared" si="6"/>
        <v>4463421.3571819169</v>
      </c>
      <c r="P19" s="103"/>
      <c r="Q19" s="127" t="e">
        <f t="shared" si="7"/>
        <v>#N/A</v>
      </c>
      <c r="R19" s="104">
        <f t="shared" si="2"/>
        <v>506951.43932105659</v>
      </c>
      <c r="S19" s="17">
        <f t="shared" si="8"/>
        <v>3767479.5695436266</v>
      </c>
      <c r="T19" s="90" t="e">
        <f t="shared" si="9"/>
        <v>#N/A</v>
      </c>
      <c r="AF19" s="148"/>
      <c r="AG19" s="150"/>
      <c r="AH19" s="151"/>
      <c r="AI19" s="151"/>
      <c r="AJ19" s="151"/>
      <c r="AK19" s="148"/>
      <c r="AL19" s="148"/>
      <c r="AM19" s="148"/>
      <c r="AN19" s="148"/>
      <c r="AO19" s="148"/>
      <c r="AP19" s="148"/>
      <c r="AQ19" s="148"/>
      <c r="AR19" s="148"/>
      <c r="AS19" s="148"/>
    </row>
    <row r="20" spans="1:58" ht="30" customHeight="1" x14ac:dyDescent="0.25">
      <c r="A20" s="8" t="s">
        <v>15</v>
      </c>
      <c r="B20" s="128">
        <v>1587773</v>
      </c>
      <c r="C20" s="24">
        <f t="shared" si="3"/>
        <v>24236242</v>
      </c>
      <c r="D20" s="24">
        <f>SUM(B$9:B20)/SUM(J$9:J20)</f>
        <v>98521.308943089432</v>
      </c>
      <c r="E20" s="25"/>
      <c r="F20" s="127" t="e">
        <f t="shared" si="4"/>
        <v>#N/A</v>
      </c>
      <c r="G20" s="76">
        <f>SUM(E$9:E20)/SUM(J$9:J20)</f>
        <v>11007.979674796748</v>
      </c>
      <c r="H20" s="17">
        <f t="shared" si="0"/>
        <v>1587773</v>
      </c>
      <c r="I20" s="124">
        <f t="shared" si="5"/>
        <v>22258614</v>
      </c>
      <c r="J20" s="64">
        <v>16</v>
      </c>
      <c r="K20" s="96" t="e">
        <f t="shared" si="1"/>
        <v>#N/A</v>
      </c>
      <c r="M20" s="8" t="s">
        <v>15</v>
      </c>
      <c r="N20" s="129">
        <v>385942.69406672689</v>
      </c>
      <c r="O20" s="102">
        <f t="shared" si="6"/>
        <v>4849364.0512486435</v>
      </c>
      <c r="P20" s="103"/>
      <c r="Q20" s="127" t="e">
        <f t="shared" si="7"/>
        <v>#N/A</v>
      </c>
      <c r="R20" s="104">
        <f t="shared" si="2"/>
        <v>385942.69406672689</v>
      </c>
      <c r="S20" s="17">
        <f t="shared" si="8"/>
        <v>4153422.2636103537</v>
      </c>
      <c r="T20" s="90" t="e">
        <f t="shared" si="9"/>
        <v>#N/A</v>
      </c>
      <c r="AG20" s="3"/>
      <c r="AH20" s="3"/>
      <c r="AI20" s="3"/>
      <c r="AJ20" s="3"/>
    </row>
    <row r="21" spans="1:58" ht="45" customHeight="1" x14ac:dyDescent="0.25">
      <c r="A21" s="8" t="s">
        <v>20</v>
      </c>
      <c r="B21" s="14">
        <f>SUM(B9:B20)</f>
        <v>24236242</v>
      </c>
      <c r="C21" s="14">
        <f>H21-B21</f>
        <v>-1977628</v>
      </c>
      <c r="D21" s="14">
        <f>D20</f>
        <v>98521.308943089432</v>
      </c>
      <c r="E21" s="14">
        <f>SUM(E9:E20)</f>
        <v>2707963</v>
      </c>
      <c r="F21" s="14"/>
      <c r="G21" s="14">
        <f>G20</f>
        <v>11007.979674796748</v>
      </c>
      <c r="H21" s="21">
        <f>SUM(H9:H20)</f>
        <v>22258614</v>
      </c>
      <c r="I21" s="113"/>
      <c r="J21" s="64">
        <f>SUM(J9:J20)</f>
        <v>246</v>
      </c>
      <c r="K21" s="95"/>
      <c r="M21" s="8" t="s">
        <v>20</v>
      </c>
      <c r="N21" s="106">
        <f>SUM(N9:N20)</f>
        <v>4849364.0512486435</v>
      </c>
      <c r="O21" s="106">
        <f>R21-N21</f>
        <v>-695941.78763828985</v>
      </c>
      <c r="P21" s="105">
        <f>SUM(P9:P20)</f>
        <v>232355</v>
      </c>
      <c r="Q21" s="105"/>
      <c r="R21" s="107">
        <f>SUM(R9:R20)</f>
        <v>4153422.2636103537</v>
      </c>
      <c r="S21" s="101"/>
      <c r="AG21" s="3"/>
      <c r="AH21" s="3"/>
      <c r="AI21" s="3"/>
      <c r="AJ21" s="3"/>
    </row>
    <row r="22" spans="1:58" ht="30" customHeight="1" x14ac:dyDescent="0.25">
      <c r="A22" s="8" t="s">
        <v>23</v>
      </c>
      <c r="B22" s="20">
        <f>B21/B21</f>
        <v>1</v>
      </c>
      <c r="C22" s="108">
        <f>C21/B21</f>
        <v>-8.1597963908761104E-2</v>
      </c>
      <c r="D22" s="18">
        <f>G21/D21</f>
        <v>0.11173196735698546</v>
      </c>
      <c r="E22" s="18">
        <f>H22-B22</f>
        <v>-8.1597963908761062E-2</v>
      </c>
      <c r="F22" s="18"/>
      <c r="G22" s="18">
        <f>D22-B22</f>
        <v>-0.88826803264301457</v>
      </c>
      <c r="H22" s="18">
        <f>H21/B21</f>
        <v>0.91840203609123894</v>
      </c>
      <c r="I22" s="115"/>
      <c r="J22" s="19"/>
      <c r="K22" s="19"/>
      <c r="M22" s="8" t="s">
        <v>23</v>
      </c>
      <c r="N22" s="20">
        <f>N21/N21</f>
        <v>1</v>
      </c>
      <c r="O22" s="108">
        <f>O21/N21</f>
        <v>-0.14351196987553339</v>
      </c>
      <c r="P22" s="18">
        <f>R22-N22</f>
        <v>-0.14351196987553339</v>
      </c>
      <c r="Q22" s="18"/>
      <c r="R22" s="18">
        <f>R21/N21</f>
        <v>0.85648803012446661</v>
      </c>
    </row>
    <row r="23" spans="1:58" ht="15" customHeight="1" x14ac:dyDescent="0.25"/>
    <row r="24" spans="1:58" ht="15" customHeight="1" x14ac:dyDescent="0.25"/>
    <row r="25" spans="1:58" ht="15" customHeight="1" thickBot="1" x14ac:dyDescent="0.3">
      <c r="A25" s="31"/>
      <c r="B25" s="11"/>
      <c r="C25" s="11"/>
      <c r="D25" s="11"/>
      <c r="E25" s="11"/>
      <c r="F25" s="11"/>
      <c r="G25" s="11"/>
      <c r="H25" s="11"/>
      <c r="I25" s="11"/>
      <c r="K25" s="11"/>
      <c r="Y25" s="12"/>
      <c r="Z25" s="12"/>
      <c r="AA25" s="15"/>
      <c r="AB25" s="15"/>
      <c r="AC25" s="15"/>
      <c r="AD25" s="15"/>
    </row>
    <row r="26" spans="1:58" ht="36" x14ac:dyDescent="0.25">
      <c r="A26" s="32" t="s">
        <v>28</v>
      </c>
      <c r="B26" s="236">
        <v>2012</v>
      </c>
      <c r="C26" s="237"/>
      <c r="D26" s="237"/>
      <c r="E26" s="236">
        <v>2013</v>
      </c>
      <c r="F26" s="237"/>
      <c r="G26" s="237"/>
      <c r="H26" s="236">
        <v>2014</v>
      </c>
      <c r="I26" s="237"/>
      <c r="J26" s="238"/>
      <c r="K26" s="236">
        <v>2015</v>
      </c>
      <c r="L26" s="237"/>
      <c r="M26" s="238"/>
      <c r="N26" s="236">
        <v>2016</v>
      </c>
      <c r="O26" s="237"/>
      <c r="P26" s="238"/>
      <c r="Q26" s="236">
        <v>2017</v>
      </c>
      <c r="R26" s="237"/>
      <c r="S26" s="238"/>
      <c r="T26" s="236">
        <v>2018</v>
      </c>
      <c r="U26" s="237"/>
      <c r="V26" s="238"/>
      <c r="W26" s="236">
        <v>2019</v>
      </c>
      <c r="X26" s="237"/>
      <c r="Y26" s="238"/>
      <c r="Z26" s="236">
        <v>2020</v>
      </c>
      <c r="AA26" s="237"/>
      <c r="AB26" s="238"/>
      <c r="AC26" s="236">
        <v>2021</v>
      </c>
      <c r="AD26" s="237"/>
      <c r="AE26" s="238"/>
      <c r="AF26" s="236">
        <v>2022</v>
      </c>
      <c r="AG26" s="237"/>
      <c r="AH26" s="238"/>
      <c r="AI26" s="236">
        <v>2023</v>
      </c>
      <c r="AJ26" s="237"/>
      <c r="AK26" s="238"/>
      <c r="AL26" s="236">
        <v>2024</v>
      </c>
      <c r="AM26" s="237"/>
      <c r="AN26" s="238"/>
      <c r="AO26" s="236">
        <v>2025</v>
      </c>
      <c r="AP26" s="237"/>
      <c r="AQ26" s="238"/>
      <c r="AR26" s="236">
        <v>2026</v>
      </c>
      <c r="AS26" s="237"/>
      <c r="AT26" s="238"/>
      <c r="AU26" s="236">
        <v>2027</v>
      </c>
      <c r="AV26" s="237"/>
      <c r="AW26" s="238"/>
      <c r="AX26" s="236">
        <v>2028</v>
      </c>
      <c r="AY26" s="237"/>
      <c r="AZ26" s="238"/>
      <c r="BA26" s="236">
        <v>2029</v>
      </c>
      <c r="BB26" s="237"/>
      <c r="BC26" s="238"/>
      <c r="BD26" s="236">
        <v>2030</v>
      </c>
      <c r="BE26" s="237"/>
      <c r="BF26" s="238"/>
    </row>
    <row r="27" spans="1:58" ht="24" thickBot="1" x14ac:dyDescent="0.3">
      <c r="A27" s="33" t="s">
        <v>29</v>
      </c>
      <c r="B27" s="27" t="s">
        <v>30</v>
      </c>
      <c r="C27" s="28" t="s">
        <v>31</v>
      </c>
      <c r="D27" s="29" t="s">
        <v>32</v>
      </c>
      <c r="E27" s="27" t="s">
        <v>30</v>
      </c>
      <c r="F27" s="28" t="s">
        <v>31</v>
      </c>
      <c r="G27" s="30" t="s">
        <v>32</v>
      </c>
      <c r="H27" s="27" t="s">
        <v>30</v>
      </c>
      <c r="I27" s="28" t="s">
        <v>31</v>
      </c>
      <c r="J27" s="30" t="s">
        <v>32</v>
      </c>
      <c r="K27" s="27" t="s">
        <v>30</v>
      </c>
      <c r="L27" s="28" t="s">
        <v>31</v>
      </c>
      <c r="M27" s="30" t="s">
        <v>32</v>
      </c>
      <c r="N27" s="27" t="s">
        <v>30</v>
      </c>
      <c r="O27" s="28" t="s">
        <v>31</v>
      </c>
      <c r="P27" s="30" t="s">
        <v>32</v>
      </c>
      <c r="Q27" s="27" t="s">
        <v>30</v>
      </c>
      <c r="R27" s="28" t="s">
        <v>31</v>
      </c>
      <c r="S27" s="30" t="s">
        <v>32</v>
      </c>
      <c r="T27" s="27" t="s">
        <v>30</v>
      </c>
      <c r="U27" s="28" t="s">
        <v>31</v>
      </c>
      <c r="V27" s="30" t="s">
        <v>32</v>
      </c>
      <c r="W27" s="27" t="s">
        <v>30</v>
      </c>
      <c r="X27" s="28" t="s">
        <v>31</v>
      </c>
      <c r="Y27" s="30" t="s">
        <v>32</v>
      </c>
      <c r="Z27" s="27" t="s">
        <v>30</v>
      </c>
      <c r="AA27" s="28" t="s">
        <v>31</v>
      </c>
      <c r="AB27" s="30" t="s">
        <v>32</v>
      </c>
      <c r="AC27" s="27" t="s">
        <v>30</v>
      </c>
      <c r="AD27" s="28" t="s">
        <v>31</v>
      </c>
      <c r="AE27" s="30" t="s">
        <v>32</v>
      </c>
      <c r="AF27" s="27" t="s">
        <v>30</v>
      </c>
      <c r="AG27" s="28" t="s">
        <v>31</v>
      </c>
      <c r="AH27" s="30" t="s">
        <v>32</v>
      </c>
      <c r="AI27" s="27" t="s">
        <v>30</v>
      </c>
      <c r="AJ27" s="28" t="s">
        <v>31</v>
      </c>
      <c r="AK27" s="30" t="s">
        <v>32</v>
      </c>
      <c r="AL27" s="27" t="s">
        <v>30</v>
      </c>
      <c r="AM27" s="28" t="s">
        <v>31</v>
      </c>
      <c r="AN27" s="30" t="s">
        <v>32</v>
      </c>
      <c r="AO27" s="27" t="s">
        <v>30</v>
      </c>
      <c r="AP27" s="28" t="s">
        <v>31</v>
      </c>
      <c r="AQ27" s="30" t="s">
        <v>32</v>
      </c>
      <c r="AR27" s="27" t="s">
        <v>30</v>
      </c>
      <c r="AS27" s="28" t="s">
        <v>31</v>
      </c>
      <c r="AT27" s="30" t="s">
        <v>32</v>
      </c>
      <c r="AU27" s="27" t="s">
        <v>30</v>
      </c>
      <c r="AV27" s="28" t="s">
        <v>31</v>
      </c>
      <c r="AW27" s="30" t="s">
        <v>32</v>
      </c>
      <c r="AX27" s="27" t="s">
        <v>30</v>
      </c>
      <c r="AY27" s="28" t="s">
        <v>31</v>
      </c>
      <c r="AZ27" s="30" t="s">
        <v>32</v>
      </c>
      <c r="BA27" s="27" t="s">
        <v>30</v>
      </c>
      <c r="BB27" s="28" t="s">
        <v>31</v>
      </c>
      <c r="BC27" s="30" t="s">
        <v>32</v>
      </c>
      <c r="BD27" s="27" t="s">
        <v>30</v>
      </c>
      <c r="BE27" s="28" t="s">
        <v>31</v>
      </c>
      <c r="BF27" s="30" t="s">
        <v>32</v>
      </c>
    </row>
    <row r="28" spans="1:58" ht="23.25" x14ac:dyDescent="0.25">
      <c r="A28" s="52" t="s">
        <v>4</v>
      </c>
      <c r="B28" s="34">
        <v>3129.6790000000001</v>
      </c>
      <c r="C28" s="35">
        <f>SUM(B$28:B28)/SUM('7. Administratif'!B$15:B15)</f>
        <v>149.03233333333333</v>
      </c>
      <c r="D28" s="36"/>
      <c r="E28" s="34">
        <v>2957.6119999999996</v>
      </c>
      <c r="F28" s="35">
        <f>SUM(E$28:E28)/SUM('7. Administratif'!C$15:C15)</f>
        <v>134.43690909090907</v>
      </c>
      <c r="G28" s="36"/>
      <c r="H28" s="34">
        <v>2526.047</v>
      </c>
      <c r="I28" s="35">
        <f>SUM(H$28:H28)/SUM('7. Administratif'!D$15:D15)</f>
        <v>126.30235</v>
      </c>
      <c r="J28" s="36"/>
      <c r="K28" s="38">
        <v>2464.9370000000004</v>
      </c>
      <c r="L28" s="35">
        <f>SUM(K$28:K28)/SUM('7. Administratif'!E$15:E15)</f>
        <v>123.24685000000002</v>
      </c>
      <c r="M28" s="36">
        <v>247796.46</v>
      </c>
      <c r="N28" s="34">
        <v>2527.029</v>
      </c>
      <c r="O28" s="35">
        <f>SUM(N$28:N28)/SUM('7. Administratif'!F$15:F15)</f>
        <v>126.35145</v>
      </c>
      <c r="P28" s="36">
        <v>239778.19</v>
      </c>
      <c r="Q28" s="34">
        <v>2672.8569999999995</v>
      </c>
      <c r="R28" s="35">
        <f>SUM(Q$28:Q28)/SUM('7. Administratif'!G$15:G15)</f>
        <v>121.49349999999998</v>
      </c>
      <c r="S28" s="36">
        <v>208227.46955363126</v>
      </c>
      <c r="T28" s="34">
        <v>2451.3569999999995</v>
      </c>
      <c r="U28" s="35">
        <f>SUM(T$28:T28)/SUM('7. Administratif'!H$15:H15)</f>
        <v>111.42531818181816</v>
      </c>
      <c r="V28" s="36">
        <v>202400.56489857601</v>
      </c>
      <c r="W28" s="34">
        <v>2628.915</v>
      </c>
      <c r="X28" s="35">
        <f>SUM(W$28:W28)/SUM('7. Administratif'!I$15:I15)</f>
        <v>125.18642857142856</v>
      </c>
      <c r="Y28" s="36">
        <v>285973.90355809603</v>
      </c>
      <c r="Z28" s="34">
        <v>2303.4439999999995</v>
      </c>
      <c r="AA28" s="35">
        <f>SUM(Z$28:Z28)/SUM('7. Administratif'!J$15:J15)</f>
        <v>104.70199999999998</v>
      </c>
      <c r="AB28" s="36">
        <v>251622.57315628801</v>
      </c>
      <c r="AC28" s="34">
        <v>2223.5940000000005</v>
      </c>
      <c r="AD28" s="35">
        <f>SUM(AC$28:AC28)/SUM('7. Administratif'!K$15:K15)</f>
        <v>111.17970000000003</v>
      </c>
      <c r="AE28" s="58">
        <v>237400.55000000002</v>
      </c>
      <c r="AF28" s="34">
        <v>2309.377</v>
      </c>
      <c r="AG28" s="35">
        <f>SUM(AF$28:AF28)/SUM('7. Administratif'!L$15:L15)</f>
        <v>109.97033333333333</v>
      </c>
      <c r="AH28" s="37">
        <v>731710.30999999994</v>
      </c>
      <c r="AI28" s="34"/>
      <c r="AJ28" s="35">
        <f>SUM(AI$28:AI28)/SUM('7. Administratif'!M$15:M15)</f>
        <v>0</v>
      </c>
      <c r="AK28" s="36"/>
      <c r="AL28" s="55"/>
      <c r="AM28" s="35" t="e">
        <f>SUM(AL$28:AL28)/SUM('7. Administratif'!N$15:N15)</f>
        <v>#DIV/0!</v>
      </c>
      <c r="AN28" s="36"/>
      <c r="AO28" s="34"/>
      <c r="AP28" s="35" t="e">
        <f>SUM(AO$28:AO28)/SUM('7. Administratif'!O$15:O15)</f>
        <v>#DIV/0!</v>
      </c>
      <c r="AQ28" s="36"/>
      <c r="AR28" s="34"/>
      <c r="AS28" s="35" t="e">
        <f>SUM(AR$28:AR28)/SUM('7. Administratif'!P$15:P15)</f>
        <v>#DIV/0!</v>
      </c>
      <c r="AT28" s="36"/>
      <c r="AU28" s="34"/>
      <c r="AV28" s="35" t="e">
        <f>SUM(AU$28:AU28)/SUM('7. Administratif'!Q$15:Q15)</f>
        <v>#DIV/0!</v>
      </c>
      <c r="AW28" s="36"/>
      <c r="AX28" s="34"/>
      <c r="AY28" s="35" t="e">
        <f>SUM(AX$28:AX28)/SUM('7. Administratif'!R$15:R15)</f>
        <v>#DIV/0!</v>
      </c>
      <c r="AZ28" s="36"/>
      <c r="BA28" s="34"/>
      <c r="BB28" s="35" t="e">
        <f>SUM(BA$28:BA28)/SUM('7. Administratif'!S$15:S15)</f>
        <v>#DIV/0!</v>
      </c>
      <c r="BC28" s="36"/>
      <c r="BD28" s="34"/>
      <c r="BE28" s="35" t="e">
        <f>SUM(BD$28:BD28)/SUM('7. Administratif'!T$15:T15)</f>
        <v>#DIV/0!</v>
      </c>
      <c r="BF28" s="36"/>
    </row>
    <row r="29" spans="1:58" ht="23.25" x14ac:dyDescent="0.25">
      <c r="A29" s="53" t="s">
        <v>5</v>
      </c>
      <c r="B29" s="44">
        <v>3232.35</v>
      </c>
      <c r="C29" s="45">
        <f>SUM(B$28:B29)/SUM('7. Administratif'!B$15:B16)</f>
        <v>151.47688095238095</v>
      </c>
      <c r="D29" s="46"/>
      <c r="E29" s="44">
        <v>2856.8369999999995</v>
      </c>
      <c r="F29" s="45">
        <f>SUM(E$28:E29)/SUM('7. Administratif'!C$15:C16)</f>
        <v>138.43926190476188</v>
      </c>
      <c r="G29" s="46"/>
      <c r="H29" s="44">
        <v>2499.1410000000005</v>
      </c>
      <c r="I29" s="45">
        <f>SUM(H$28:H29)/SUM('7. Administratif'!D$15:D16)</f>
        <v>125.6297</v>
      </c>
      <c r="J29" s="46"/>
      <c r="K29" s="48">
        <v>2560.1750000000002</v>
      </c>
      <c r="L29" s="45">
        <f>SUM(K$28:K29)/SUM('7. Administratif'!E$15:E16)</f>
        <v>125.62780000000002</v>
      </c>
      <c r="M29" s="46">
        <v>254455.47999999998</v>
      </c>
      <c r="N29" s="44">
        <v>2485.2550000000001</v>
      </c>
      <c r="O29" s="45">
        <f>SUM(N$28:N29)/SUM('7. Administratif'!F$15:F16)</f>
        <v>122.25082926829268</v>
      </c>
      <c r="P29" s="46">
        <v>220283.45578990647</v>
      </c>
      <c r="Q29" s="44">
        <v>2200.297</v>
      </c>
      <c r="R29" s="45">
        <f>SUM(Q$28:Q29)/SUM('7. Administratif'!G$15:G16)</f>
        <v>116.02747619047618</v>
      </c>
      <c r="S29" s="46">
        <v>171519.16493050638</v>
      </c>
      <c r="T29" s="44">
        <v>2485.6349999999998</v>
      </c>
      <c r="U29" s="45">
        <f>SUM(T$28:T29)/SUM('7. Administratif'!H$15:H16)</f>
        <v>117.54742857142855</v>
      </c>
      <c r="V29" s="46">
        <v>202004.043135488</v>
      </c>
      <c r="W29" s="44">
        <v>2286.7129999999997</v>
      </c>
      <c r="X29" s="45">
        <f>SUM(W$28:W29)/SUM('7. Administratif'!I$15:I16)</f>
        <v>119.89336585365852</v>
      </c>
      <c r="Y29" s="46">
        <v>245543.98847053436</v>
      </c>
      <c r="Z29" s="44">
        <v>2105.6669999999999</v>
      </c>
      <c r="AA29" s="45">
        <f>SUM(Z$28:Z29)/SUM('7. Administratif'!J$15:J16)</f>
        <v>104.97883333333331</v>
      </c>
      <c r="AB29" s="46">
        <v>223815.39</v>
      </c>
      <c r="AC29" s="44">
        <v>2077.1749999999997</v>
      </c>
      <c r="AD29" s="45">
        <f>SUM(AC$28:AC29)/SUM('7. Administratif'!K$15:K16)</f>
        <v>107.51922500000001</v>
      </c>
      <c r="AE29" s="59">
        <v>227833.71</v>
      </c>
      <c r="AF29" s="44">
        <v>2039.3040000000001</v>
      </c>
      <c r="AG29" s="45">
        <f>SUM(AF$28:AF29)/SUM('7. Administratif'!L$15:L16)</f>
        <v>106.06539024390246</v>
      </c>
      <c r="AH29" s="47">
        <v>442318.25</v>
      </c>
      <c r="AI29" s="44"/>
      <c r="AJ29" s="45">
        <f>SUM(AI$28:AI29)/SUM('7. Administratif'!M$15:M16)</f>
        <v>0</v>
      </c>
      <c r="AK29" s="46"/>
      <c r="AL29" s="56"/>
      <c r="AM29" s="45" t="e">
        <f>SUM(AL$28:AL29)/SUM('7. Administratif'!N$15:N16)</f>
        <v>#DIV/0!</v>
      </c>
      <c r="AN29" s="46"/>
      <c r="AO29" s="44"/>
      <c r="AP29" s="45" t="e">
        <f>SUM(AO$28:AO29)/SUM('7. Administratif'!O$15:O16)</f>
        <v>#DIV/0!</v>
      </c>
      <c r="AQ29" s="46"/>
      <c r="AR29" s="44"/>
      <c r="AS29" s="45" t="e">
        <f>SUM(AR$28:AR29)/SUM('7. Administratif'!P$15:P16)</f>
        <v>#DIV/0!</v>
      </c>
      <c r="AT29" s="46"/>
      <c r="AU29" s="44"/>
      <c r="AV29" s="45" t="e">
        <f>SUM(AU$28:AU29)/SUM('7. Administratif'!Q$15:Q16)</f>
        <v>#DIV/0!</v>
      </c>
      <c r="AW29" s="46"/>
      <c r="AX29" s="44"/>
      <c r="AY29" s="45" t="e">
        <f>SUM(AX$28:AX29)/SUM('7. Administratif'!R$15:R16)</f>
        <v>#DIV/0!</v>
      </c>
      <c r="AZ29" s="46"/>
      <c r="BA29" s="44"/>
      <c r="BB29" s="45" t="e">
        <f>SUM(BA$28:BA29)/SUM('7. Administratif'!S$15:S16)</f>
        <v>#DIV/0!</v>
      </c>
      <c r="BC29" s="46"/>
      <c r="BD29" s="44"/>
      <c r="BE29" s="45" t="e">
        <f>SUM(BD$28:BD29)/SUM('7. Administratif'!T$15:T16)</f>
        <v>#DIV/0!</v>
      </c>
      <c r="BF29" s="46"/>
    </row>
    <row r="30" spans="1:58" ht="23.25" x14ac:dyDescent="0.25">
      <c r="A30" s="53" t="s">
        <v>6</v>
      </c>
      <c r="B30" s="39">
        <v>2975.8539999999998</v>
      </c>
      <c r="C30" s="40">
        <f>SUM(B$28:B30)/SUM('7. Administratif'!B$15:B17)</f>
        <v>145.904421875</v>
      </c>
      <c r="D30" s="41"/>
      <c r="E30" s="39">
        <v>2865.4060000000004</v>
      </c>
      <c r="F30" s="40">
        <f>SUM(E$28:E30)/SUM('7. Administratif'!C$15:C17)</f>
        <v>137.77547619047618</v>
      </c>
      <c r="G30" s="41"/>
      <c r="H30" s="39">
        <v>2700.9770000000003</v>
      </c>
      <c r="I30" s="40">
        <f>SUM(H$28:H30)/SUM('7. Administratif'!D$15:D17)</f>
        <v>126.65844262295083</v>
      </c>
      <c r="J30" s="41"/>
      <c r="K30" s="43">
        <v>2591.7850000000008</v>
      </c>
      <c r="L30" s="40">
        <f>SUM(K$28:K30)/SUM('7. Administratif'!E$15:E17)</f>
        <v>122.85317741935486</v>
      </c>
      <c r="M30" s="41">
        <v>240675.52999999997</v>
      </c>
      <c r="N30" s="39">
        <v>2538.462</v>
      </c>
      <c r="O30" s="40">
        <f>SUM(N$28:N30)/SUM('7. Administratif'!F$15:F17)</f>
        <v>119.8531111111111</v>
      </c>
      <c r="P30" s="41">
        <v>209967.03921394792</v>
      </c>
      <c r="Q30" s="39">
        <v>2395.7180000000003</v>
      </c>
      <c r="R30" s="40">
        <f>SUM(Q$28:Q30)/SUM('7. Administratif'!G$15:G17)</f>
        <v>111.82879999999999</v>
      </c>
      <c r="S30" s="41">
        <v>174429.57139243104</v>
      </c>
      <c r="T30" s="39">
        <v>2591.8809999999994</v>
      </c>
      <c r="U30" s="40">
        <f>SUM(T$28:T30)/SUM('7. Administratif'!H$15:H17)</f>
        <v>117.63864062499998</v>
      </c>
      <c r="V30" s="41">
        <v>208833.59419999999</v>
      </c>
      <c r="W30" s="39">
        <v>2166.6669999999999</v>
      </c>
      <c r="X30" s="40">
        <f>SUM(W$28:W30)/SUM('7. Administratif'!I$15:I17)</f>
        <v>114.23056451612904</v>
      </c>
      <c r="Y30" s="41">
        <v>226465.95139999999</v>
      </c>
      <c r="Z30" s="39">
        <v>2089.6040000000003</v>
      </c>
      <c r="AA30" s="40">
        <f>SUM(Z$28:Z30)/SUM('7. Administratif'!J$15:J17)</f>
        <v>101.54242187499999</v>
      </c>
      <c r="AB30" s="41">
        <v>217433.97397628802</v>
      </c>
      <c r="AC30" s="39">
        <v>2410.2069999999999</v>
      </c>
      <c r="AD30" s="40">
        <f>SUM(AC$28:AC30)/SUM('7. Administratif'!K$15:K17)</f>
        <v>106.52342857142858</v>
      </c>
      <c r="AE30" s="60">
        <v>245414.77000000002</v>
      </c>
      <c r="AF30" s="39">
        <v>2123.9949999999999</v>
      </c>
      <c r="AG30" s="40">
        <f>SUM(AF$28:AF30)/SUM('7. Administratif'!L$15:L17)</f>
        <v>101.13556250000001</v>
      </c>
      <c r="AH30" s="42">
        <v>383063.67000000004</v>
      </c>
      <c r="AI30" s="39"/>
      <c r="AJ30" s="40">
        <f>SUM(AI$28:AI30)/SUM('7. Administratif'!M$15:M17)</f>
        <v>0</v>
      </c>
      <c r="AK30" s="41"/>
      <c r="AL30" s="57"/>
      <c r="AM30" s="40" t="e">
        <f>SUM(AL$28:AL30)/SUM('7. Administratif'!N$15:N17)</f>
        <v>#DIV/0!</v>
      </c>
      <c r="AN30" s="41"/>
      <c r="AO30" s="39"/>
      <c r="AP30" s="40" t="e">
        <f>SUM(AO$28:AO30)/SUM('7. Administratif'!O$15:O17)</f>
        <v>#DIV/0!</v>
      </c>
      <c r="AQ30" s="41"/>
      <c r="AR30" s="39"/>
      <c r="AS30" s="40" t="e">
        <f>SUM(AR$28:AR30)/SUM('7. Administratif'!P$15:P17)</f>
        <v>#DIV/0!</v>
      </c>
      <c r="AT30" s="41"/>
      <c r="AU30" s="39"/>
      <c r="AV30" s="40" t="e">
        <f>SUM(AU$28:AU30)/SUM('7. Administratif'!Q$15:Q17)</f>
        <v>#DIV/0!</v>
      </c>
      <c r="AW30" s="41"/>
      <c r="AX30" s="39"/>
      <c r="AY30" s="40" t="e">
        <f>SUM(AX$28:AX30)/SUM('7. Administratif'!R$15:R17)</f>
        <v>#DIV/0!</v>
      </c>
      <c r="AZ30" s="41"/>
      <c r="BA30" s="39"/>
      <c r="BB30" s="40" t="e">
        <f>SUM(BA$28:BA30)/SUM('7. Administratif'!S$15:S17)</f>
        <v>#DIV/0!</v>
      </c>
      <c r="BC30" s="41"/>
      <c r="BD30" s="39"/>
      <c r="BE30" s="40" t="e">
        <f>SUM(BD$28:BD30)/SUM('7. Administratif'!T$15:T17)</f>
        <v>#DIV/0!</v>
      </c>
      <c r="BF30" s="41"/>
    </row>
    <row r="31" spans="1:58" ht="23.25" x14ac:dyDescent="0.25">
      <c r="A31" s="53" t="s">
        <v>7</v>
      </c>
      <c r="B31" s="44">
        <v>2559.92</v>
      </c>
      <c r="C31" s="45">
        <f>SUM(B$28:B31)/SUM('7. Administratif'!B$15:B18)</f>
        <v>141.64051190476189</v>
      </c>
      <c r="D31" s="46"/>
      <c r="E31" s="44">
        <v>2669.188000000001</v>
      </c>
      <c r="F31" s="45">
        <f>SUM(E$28:E31)/SUM('7. Administratif'!C$15:C18)</f>
        <v>135.10765476190477</v>
      </c>
      <c r="G31" s="46"/>
      <c r="H31" s="44">
        <v>2473.3169999999996</v>
      </c>
      <c r="I31" s="45">
        <f>SUM(H$28:H31)/SUM('7. Administratif'!D$15:D18)</f>
        <v>124.38392682926829</v>
      </c>
      <c r="J31" s="46"/>
      <c r="K31" s="48">
        <v>2426.1729999999998</v>
      </c>
      <c r="L31" s="45">
        <f>SUM(K$28:K31)/SUM('7. Administratif'!E$15:E18)</f>
        <v>121.00084337349399</v>
      </c>
      <c r="M31" s="46">
        <v>176246.07</v>
      </c>
      <c r="N31" s="44">
        <v>2255.9459999999999</v>
      </c>
      <c r="O31" s="45">
        <f>SUM(N$28:N31)/SUM('7. Administratif'!F$15:F18)</f>
        <v>116.74633333333333</v>
      </c>
      <c r="P31" s="46">
        <v>157124.93325</v>
      </c>
      <c r="Q31" s="44">
        <v>2170.614</v>
      </c>
      <c r="R31" s="45">
        <f>SUM(Q$28:Q31)/SUM('7. Administratif'!G$15:G18)</f>
        <v>112.37483333333333</v>
      </c>
      <c r="S31" s="46">
        <v>124475.68606164359</v>
      </c>
      <c r="T31" s="44">
        <v>2157.2760000000003</v>
      </c>
      <c r="U31" s="45">
        <f>SUM(T$28:T31)/SUM('7. Administratif'!H$15:H18)</f>
        <v>115.31129761904761</v>
      </c>
      <c r="V31" s="46">
        <v>128683.12</v>
      </c>
      <c r="W31" s="44">
        <v>1970.1780000000001</v>
      </c>
      <c r="X31" s="45">
        <f>SUM(W$28:W31)/SUM('7. Administratif'!I$15:I18)</f>
        <v>109.06593975903614</v>
      </c>
      <c r="Y31" s="46">
        <v>156426.543864395</v>
      </c>
      <c r="Z31" s="44">
        <v>1445.0940000000005</v>
      </c>
      <c r="AA31" s="45">
        <f>SUM(Z$28:Z31)/SUM('7. Administratif'!J$15:J18)</f>
        <v>93.456576470588232</v>
      </c>
      <c r="AB31" s="46">
        <v>149273.84299</v>
      </c>
      <c r="AC31" s="44">
        <v>2104.5389999999998</v>
      </c>
      <c r="AD31" s="45">
        <f>SUM(AC$28:AC31)/SUM('7. Administratif'!K$15:K18)</f>
        <v>104.94660714285713</v>
      </c>
      <c r="AE31" s="59">
        <v>155626.26</v>
      </c>
      <c r="AF31" s="44">
        <v>1788.33</v>
      </c>
      <c r="AG31" s="45">
        <f>SUM(AF$28:AF31)/SUM('7. Administratif'!L$15:L18)</f>
        <v>98.345309523809533</v>
      </c>
      <c r="AH31" s="47">
        <v>379183.70999999996</v>
      </c>
      <c r="AI31" s="44"/>
      <c r="AJ31" s="45">
        <f>SUM(AI$28:AI31)/SUM('7. Administratif'!M$15:M18)</f>
        <v>0</v>
      </c>
      <c r="AK31" s="46"/>
      <c r="AL31" s="56"/>
      <c r="AM31" s="45" t="e">
        <f>SUM(AL$28:AL31)/SUM('7. Administratif'!N$15:N18)</f>
        <v>#DIV/0!</v>
      </c>
      <c r="AN31" s="46"/>
      <c r="AO31" s="44"/>
      <c r="AP31" s="45" t="e">
        <f>SUM(AO$28:AO31)/SUM('7. Administratif'!O$15:O18)</f>
        <v>#DIV/0!</v>
      </c>
      <c r="AQ31" s="46"/>
      <c r="AR31" s="44"/>
      <c r="AS31" s="45" t="e">
        <f>SUM(AR$28:AR31)/SUM('7. Administratif'!P$15:P18)</f>
        <v>#DIV/0!</v>
      </c>
      <c r="AT31" s="46"/>
      <c r="AU31" s="44"/>
      <c r="AV31" s="45" t="e">
        <f>SUM(AU$28:AU31)/SUM('7. Administratif'!Q$15:Q18)</f>
        <v>#DIV/0!</v>
      </c>
      <c r="AW31" s="46"/>
      <c r="AX31" s="44"/>
      <c r="AY31" s="45" t="e">
        <f>SUM(AX$28:AX31)/SUM('7. Administratif'!R$15:R18)</f>
        <v>#DIV/0!</v>
      </c>
      <c r="AZ31" s="46"/>
      <c r="BA31" s="44"/>
      <c r="BB31" s="45" t="e">
        <f>SUM(BA$28:BA31)/SUM('7. Administratif'!S$15:S18)</f>
        <v>#DIV/0!</v>
      </c>
      <c r="BC31" s="46"/>
      <c r="BD31" s="44"/>
      <c r="BE31" s="45" t="e">
        <f>SUM(BD$28:BD31)/SUM('7. Administratif'!T$15:T18)</f>
        <v>#DIV/0!</v>
      </c>
      <c r="BF31" s="46"/>
    </row>
    <row r="32" spans="1:58" ht="23.25" x14ac:dyDescent="0.25">
      <c r="A32" s="53" t="s">
        <v>8</v>
      </c>
      <c r="B32" s="39">
        <v>2304.8220000000001</v>
      </c>
      <c r="C32" s="40">
        <f>SUM(B$28:B32)/SUM('7. Administratif'!B$15:B19)</f>
        <v>140.62004950495049</v>
      </c>
      <c r="D32" s="41"/>
      <c r="E32" s="39">
        <v>2381.4389999999999</v>
      </c>
      <c r="F32" s="40">
        <f>SUM(E$28:E32)/SUM('7. Administratif'!C$15:C19)</f>
        <v>133.3056504854369</v>
      </c>
      <c r="G32" s="41"/>
      <c r="H32" s="39">
        <v>2306.8789999999999</v>
      </c>
      <c r="I32" s="40">
        <f>SUM(H$28:H32)/SUM('7. Administratif'!D$15:D19)</f>
        <v>123.82535643564357</v>
      </c>
      <c r="J32" s="41"/>
      <c r="K32" s="43">
        <v>2041.3650000000002</v>
      </c>
      <c r="L32" s="40">
        <f>SUM(K$28:K32)/SUM('7. Administratif'!E$15:E19)</f>
        <v>122.06500000000001</v>
      </c>
      <c r="M32" s="41">
        <v>151850.98000000001</v>
      </c>
      <c r="N32" s="39">
        <v>2039.95</v>
      </c>
      <c r="O32" s="40">
        <f>SUM(N$28:N32)/SUM('7. Administratif'!F$15:F19)</f>
        <v>115.01594174757281</v>
      </c>
      <c r="P32" s="41">
        <v>143850.77000000002</v>
      </c>
      <c r="Q32" s="39">
        <v>2097.8440000000005</v>
      </c>
      <c r="R32" s="40">
        <f>SUM(Q$28:Q32)/SUM('7. Administratif'!G$15:G19)</f>
        <v>110.93586538461538</v>
      </c>
      <c r="S32" s="41">
        <v>122749.55484378034</v>
      </c>
      <c r="T32" s="39">
        <v>1816.758</v>
      </c>
      <c r="U32" s="40">
        <f>SUM(T$28:T32)/SUM('7. Administratif'!H$15:H19)</f>
        <v>112.77359803921568</v>
      </c>
      <c r="V32" s="41">
        <v>108426.48999999999</v>
      </c>
      <c r="W32" s="39">
        <v>2056.0789999999997</v>
      </c>
      <c r="X32" s="40">
        <f>SUM(W$28:W32)/SUM('7. Administratif'!I$15:I19)</f>
        <v>108.9073725490196</v>
      </c>
      <c r="Y32" s="41">
        <v>164231.49419999999</v>
      </c>
      <c r="Z32" s="39">
        <v>1371.2130000000002</v>
      </c>
      <c r="AA32" s="40">
        <f>SUM(Z$28:Z32)/SUM('7. Administratif'!J$15:J19)</f>
        <v>91.323745098039211</v>
      </c>
      <c r="AB32" s="41">
        <v>122261.42000000001</v>
      </c>
      <c r="AC32" s="39">
        <v>1864.17</v>
      </c>
      <c r="AD32" s="40">
        <f>SUM(AC$28:AC32)/SUM('7. Administratif'!K$15:K19)</f>
        <v>104.70279411764706</v>
      </c>
      <c r="AE32" s="60">
        <v>142811.97</v>
      </c>
      <c r="AF32" s="39">
        <v>1557.5989999999999</v>
      </c>
      <c r="AG32" s="40">
        <f>SUM(AF$28:AF32)/SUM('7. Administratif'!L$15:L19)</f>
        <v>94.409663461538472</v>
      </c>
      <c r="AH32" s="42">
        <v>252593.03999999998</v>
      </c>
      <c r="AI32" s="39"/>
      <c r="AJ32" s="40">
        <f>SUM(AI$28:AI32)/SUM('7. Administratif'!M$15:M19)</f>
        <v>0</v>
      </c>
      <c r="AK32" s="41"/>
      <c r="AL32" s="57"/>
      <c r="AM32" s="40" t="e">
        <f>SUM(AL$28:AL32)/SUM('7. Administratif'!N$15:N19)</f>
        <v>#DIV/0!</v>
      </c>
      <c r="AN32" s="41"/>
      <c r="AO32" s="39"/>
      <c r="AP32" s="40" t="e">
        <f>SUM(AO$28:AO32)/SUM('7. Administratif'!O$15:O19)</f>
        <v>#DIV/0!</v>
      </c>
      <c r="AQ32" s="41"/>
      <c r="AR32" s="39"/>
      <c r="AS32" s="40" t="e">
        <f>SUM(AR$28:AR32)/SUM('7. Administratif'!P$15:P19)</f>
        <v>#DIV/0!</v>
      </c>
      <c r="AT32" s="41"/>
      <c r="AU32" s="39"/>
      <c r="AV32" s="40" t="e">
        <f>SUM(AU$28:AU32)/SUM('7. Administratif'!Q$15:Q19)</f>
        <v>#DIV/0!</v>
      </c>
      <c r="AW32" s="41"/>
      <c r="AX32" s="39"/>
      <c r="AY32" s="40" t="e">
        <f>SUM(AX$28:AX32)/SUM('7. Administratif'!R$15:R19)</f>
        <v>#DIV/0!</v>
      </c>
      <c r="AZ32" s="41"/>
      <c r="BA32" s="39"/>
      <c r="BB32" s="40" t="e">
        <f>SUM(BA$28:BA32)/SUM('7. Administratif'!S$15:S19)</f>
        <v>#DIV/0!</v>
      </c>
      <c r="BC32" s="41"/>
      <c r="BD32" s="39"/>
      <c r="BE32" s="40" t="e">
        <f>SUM(BD$28:BD32)/SUM('7. Administratif'!T$15:T19)</f>
        <v>#DIV/0!</v>
      </c>
      <c r="BF32" s="41"/>
    </row>
    <row r="33" spans="1:58" ht="23.25" x14ac:dyDescent="0.25">
      <c r="A33" s="53" t="s">
        <v>9</v>
      </c>
      <c r="B33" s="44">
        <v>2469.944</v>
      </c>
      <c r="C33" s="45">
        <f>SUM(B$28:B33)/SUM('7. Administratif'!B$15:B20)</f>
        <v>136.66040163934426</v>
      </c>
      <c r="D33" s="46"/>
      <c r="E33" s="44">
        <v>2513.674</v>
      </c>
      <c r="F33" s="45">
        <f>SUM(E$28:E33)/SUM('7. Administratif'!C$15:C20)</f>
        <v>132.06630894308944</v>
      </c>
      <c r="G33" s="46"/>
      <c r="H33" s="44">
        <v>2243.239</v>
      </c>
      <c r="I33" s="45">
        <f>SUM(H$28:H33)/SUM('7. Administratif'!D$15:D20)</f>
        <v>121.89752066115703</v>
      </c>
      <c r="J33" s="46"/>
      <c r="K33" s="48">
        <v>2145.0110000000004</v>
      </c>
      <c r="L33" s="45">
        <f>SUM(K$28:K33)/SUM('7. Administratif'!E$15:E20)</f>
        <v>117.59872727272729</v>
      </c>
      <c r="M33" s="46">
        <v>158190.82</v>
      </c>
      <c r="N33" s="44">
        <v>2178.2339999999999</v>
      </c>
      <c r="O33" s="45">
        <f>SUM(N$28:N33)/SUM('7. Administratif'!F$15:F20)</f>
        <v>112.19900800000001</v>
      </c>
      <c r="P33" s="46">
        <v>217984.50999999995</v>
      </c>
      <c r="Q33" s="44">
        <v>2214.721</v>
      </c>
      <c r="R33" s="45">
        <f>SUM(Q$28:Q33)/SUM('7. Administratif'!G$15:G20)</f>
        <v>110.016408</v>
      </c>
      <c r="S33" s="46">
        <v>128892.06</v>
      </c>
      <c r="T33" s="44">
        <v>2066.3910000000001</v>
      </c>
      <c r="U33" s="45">
        <f>SUM(T$28:T33)/SUM('7. Administratif'!H$15:H20)</f>
        <v>110.31949593495933</v>
      </c>
      <c r="V33" s="46">
        <v>124244.69</v>
      </c>
      <c r="W33" s="44">
        <v>1981.895</v>
      </c>
      <c r="X33" s="45">
        <f>SUM(W$28:W33)/SUM('7. Administratif'!I$15:I20)</f>
        <v>108.18551239669422</v>
      </c>
      <c r="Y33" s="46">
        <v>156825.32</v>
      </c>
      <c r="Z33" s="44">
        <v>1846.2820000000002</v>
      </c>
      <c r="AA33" s="45">
        <f>SUM(Z$28:Z33)/SUM('7. Administratif'!J$15:J20)</f>
        <v>90.742308943089427</v>
      </c>
      <c r="AB33" s="46">
        <v>151475.6</v>
      </c>
      <c r="AC33" s="44">
        <v>2041.5270000000005</v>
      </c>
      <c r="AD33" s="45">
        <f>SUM(AC$28:AC33)/SUM('7. Administratif'!K$15:K20)</f>
        <v>101.769696</v>
      </c>
      <c r="AE33" s="59">
        <v>165918.1</v>
      </c>
      <c r="AF33" s="44">
        <v>1804.7099999999998</v>
      </c>
      <c r="AG33" s="45">
        <f>SUM(AF$28:AF33)/SUM('7. Administratif'!L$15:L20)</f>
        <v>92.986519999999999</v>
      </c>
      <c r="AH33" s="47">
        <v>24628.62999999999</v>
      </c>
      <c r="AI33" s="44"/>
      <c r="AJ33" s="45">
        <f>SUM(AI$28:AI33)/SUM('7. Administratif'!M$15:M20)</f>
        <v>0</v>
      </c>
      <c r="AK33" s="46"/>
      <c r="AL33" s="56"/>
      <c r="AM33" s="45" t="e">
        <f>SUM(AL$28:AL33)/SUM('7. Administratif'!N$15:N20)</f>
        <v>#DIV/0!</v>
      </c>
      <c r="AN33" s="46"/>
      <c r="AO33" s="44"/>
      <c r="AP33" s="45" t="e">
        <f>SUM(AO$28:AO33)/SUM('7. Administratif'!O$15:O20)</f>
        <v>#DIV/0!</v>
      </c>
      <c r="AQ33" s="46"/>
      <c r="AR33" s="44"/>
      <c r="AS33" s="45" t="e">
        <f>SUM(AR$28:AR33)/SUM('7. Administratif'!P$15:P20)</f>
        <v>#DIV/0!</v>
      </c>
      <c r="AT33" s="46"/>
      <c r="AU33" s="44"/>
      <c r="AV33" s="45" t="e">
        <f>SUM(AU$28:AU33)/SUM('7. Administratif'!Q$15:Q20)</f>
        <v>#DIV/0!</v>
      </c>
      <c r="AW33" s="46"/>
      <c r="AX33" s="44"/>
      <c r="AY33" s="45" t="e">
        <f>SUM(AX$28:AX33)/SUM('7. Administratif'!R$15:R20)</f>
        <v>#DIV/0!</v>
      </c>
      <c r="AZ33" s="46"/>
      <c r="BA33" s="44"/>
      <c r="BB33" s="45" t="e">
        <f>SUM(BA$28:BA33)/SUM('7. Administratif'!S$15:S20)</f>
        <v>#DIV/0!</v>
      </c>
      <c r="BC33" s="46"/>
      <c r="BD33" s="44"/>
      <c r="BE33" s="45" t="e">
        <f>SUM(BD$28:BD33)/SUM('7. Administratif'!T$15:T20)</f>
        <v>#DIV/0!</v>
      </c>
      <c r="BF33" s="46"/>
    </row>
    <row r="34" spans="1:58" ht="23.25" x14ac:dyDescent="0.25">
      <c r="A34" s="53" t="s">
        <v>10</v>
      </c>
      <c r="B34" s="39">
        <v>2493.1750000000002</v>
      </c>
      <c r="C34" s="40">
        <f>SUM(B$28:B34)/SUM('7. Administratif'!B$15:B21)</f>
        <v>133.09544444444444</v>
      </c>
      <c r="D34" s="41"/>
      <c r="E34" s="39">
        <v>2688.8399999999988</v>
      </c>
      <c r="F34" s="40">
        <f>SUM(E$28:E34)/SUM('7. Administratif'!C$15:C21)</f>
        <v>129.67805479452056</v>
      </c>
      <c r="G34" s="41"/>
      <c r="H34" s="39">
        <v>2342.8429999999998</v>
      </c>
      <c r="I34" s="40">
        <f>SUM(H$28:H34)/SUM('7. Administratif'!D$15:D21)</f>
        <v>119.52757342657343</v>
      </c>
      <c r="J34" s="41"/>
      <c r="K34" s="43">
        <v>2392.7339999999999</v>
      </c>
      <c r="L34" s="40">
        <f>SUM(K$28:K34)/SUM('7. Administratif'!E$15:E21)</f>
        <v>117.05760563380282</v>
      </c>
      <c r="M34" s="41">
        <v>174807.67</v>
      </c>
      <c r="N34" s="39">
        <v>2067.123</v>
      </c>
      <c r="O34" s="40">
        <f>SUM(N$28:N34)/SUM('7. Administratif'!F$15:F21)</f>
        <v>111.74999305555555</v>
      </c>
      <c r="P34" s="41">
        <v>160004.62119865313</v>
      </c>
      <c r="Q34" s="39">
        <v>2108.826</v>
      </c>
      <c r="R34" s="40">
        <f>SUM(Q$28:Q34)/SUM('7. Administratif'!G$15:G21)</f>
        <v>109.38535862068966</v>
      </c>
      <c r="S34" s="41">
        <v>125598.43058558056</v>
      </c>
      <c r="T34" s="39">
        <v>2150.192</v>
      </c>
      <c r="U34" s="40">
        <f>SUM(T$28:T34)/SUM('7. Administratif'!H$15:H21)</f>
        <v>108.41027586206896</v>
      </c>
      <c r="V34" s="41">
        <v>134032.24117857599</v>
      </c>
      <c r="W34" s="39">
        <v>2202.8069999999998</v>
      </c>
      <c r="X34" s="40">
        <f>SUM(W$28:W34)/SUM('7. Administratif'!I$15:I21)</f>
        <v>106.20315277777779</v>
      </c>
      <c r="Y34" s="41">
        <v>186764.17660200002</v>
      </c>
      <c r="Z34" s="39">
        <v>1873.4850000000001</v>
      </c>
      <c r="AA34" s="40">
        <f>SUM(Z$28:Z34)/SUM('7. Administratif'!J$15:J21)</f>
        <v>89.895096551724137</v>
      </c>
      <c r="AB34" s="41">
        <v>153710.73014999999</v>
      </c>
      <c r="AC34" s="39">
        <v>1905.848</v>
      </c>
      <c r="AD34" s="40">
        <f>SUM(AC$28:AC34)/SUM('7. Administratif'!K$15:K21)</f>
        <v>100.18534246575342</v>
      </c>
      <c r="AE34" s="60">
        <v>155797.65</v>
      </c>
      <c r="AF34" s="39">
        <v>1697.7869999999998</v>
      </c>
      <c r="AG34" s="40">
        <f>SUM(AF$28:AF34)/SUM('7. Administratif'!L$15:L21)</f>
        <v>91.869668965517249</v>
      </c>
      <c r="AH34" s="42">
        <v>235194.83</v>
      </c>
      <c r="AI34" s="39"/>
      <c r="AJ34" s="40">
        <f>SUM(AI$28:AI34)/SUM('7. Administratif'!M$15:M21)</f>
        <v>0</v>
      </c>
      <c r="AK34" s="41"/>
      <c r="AL34" s="57"/>
      <c r="AM34" s="40" t="e">
        <f>SUM(AL$28:AL34)/SUM('7. Administratif'!N$15:N21)</f>
        <v>#DIV/0!</v>
      </c>
      <c r="AN34" s="41"/>
      <c r="AO34" s="39"/>
      <c r="AP34" s="40" t="e">
        <f>SUM(AO$28:AO34)/SUM('7. Administratif'!O$15:O21)</f>
        <v>#DIV/0!</v>
      </c>
      <c r="AQ34" s="41"/>
      <c r="AR34" s="39"/>
      <c r="AS34" s="40" t="e">
        <f>SUM(AR$28:AR34)/SUM('7. Administratif'!P$15:P21)</f>
        <v>#DIV/0!</v>
      </c>
      <c r="AT34" s="41"/>
      <c r="AU34" s="39"/>
      <c r="AV34" s="40" t="e">
        <f>SUM(AU$28:AU34)/SUM('7. Administratif'!Q$15:Q21)</f>
        <v>#DIV/0!</v>
      </c>
      <c r="AW34" s="41"/>
      <c r="AX34" s="39"/>
      <c r="AY34" s="40" t="e">
        <f>SUM(AX$28:AX34)/SUM('7. Administratif'!R$15:R21)</f>
        <v>#DIV/0!</v>
      </c>
      <c r="AZ34" s="41"/>
      <c r="BA34" s="39"/>
      <c r="BB34" s="40" t="e">
        <f>SUM(BA$28:BA34)/SUM('7. Administratif'!S$15:S21)</f>
        <v>#DIV/0!</v>
      </c>
      <c r="BC34" s="41"/>
      <c r="BD34" s="39"/>
      <c r="BE34" s="40" t="e">
        <f>SUM(BD$28:BD34)/SUM('7. Administratif'!T$15:T21)</f>
        <v>#DIV/0!</v>
      </c>
      <c r="BF34" s="41"/>
    </row>
    <row r="35" spans="1:58" ht="23.25" x14ac:dyDescent="0.25">
      <c r="A35" s="53" t="s">
        <v>11</v>
      </c>
      <c r="B35" s="44">
        <v>1766.0820000000001</v>
      </c>
      <c r="C35" s="45">
        <f>SUM(B$28:B35)/SUM('7. Administratif'!B$15:B22)</f>
        <v>126.09533734939757</v>
      </c>
      <c r="D35" s="46"/>
      <c r="E35" s="44">
        <v>1806.4259999999999</v>
      </c>
      <c r="F35" s="45">
        <f>SUM(E$28:E35)/SUM('7. Administratif'!C$15:C22)</f>
        <v>124.18815568862277</v>
      </c>
      <c r="G35" s="46"/>
      <c r="H35" s="44">
        <v>1739.8340000000003</v>
      </c>
      <c r="I35" s="45">
        <f>SUM(H$28:H35)/SUM('7. Administratif'!D$15:D22)</f>
        <v>115.5354417177914</v>
      </c>
      <c r="J35" s="46"/>
      <c r="K35" s="48">
        <v>1656.7910000000002</v>
      </c>
      <c r="L35" s="45">
        <f>SUM(K$28:K35)/SUM('7. Administratif'!E$15:E22)</f>
        <v>112.1409263803681</v>
      </c>
      <c r="M35" s="46">
        <v>133099.72999999998</v>
      </c>
      <c r="N35" s="44">
        <v>1633.4209999999996</v>
      </c>
      <c r="O35" s="45">
        <f>SUM(N$28:N35)/SUM('7. Administratif'!F$15:F22)</f>
        <v>106.77963855421686</v>
      </c>
      <c r="P35" s="46">
        <v>149548.2084232152</v>
      </c>
      <c r="Q35" s="44">
        <v>1632.5340000000003</v>
      </c>
      <c r="R35" s="45">
        <f>SUM(Q$28:Q35)/SUM('7. Administratif'!G$15:G22)</f>
        <v>104.75096407185629</v>
      </c>
      <c r="S35" s="46">
        <v>92561.24</v>
      </c>
      <c r="T35" s="44">
        <v>1799.7830000000001</v>
      </c>
      <c r="U35" s="45">
        <f>SUM(T$28:T35)/SUM('7. Administratif'!H$15:H22)</f>
        <v>104.90582634730538</v>
      </c>
      <c r="V35" s="46">
        <v>113699.6666</v>
      </c>
      <c r="W35" s="44">
        <v>1337.9679999999998</v>
      </c>
      <c r="X35" s="45">
        <f>SUM(W$28:W35)/SUM('7. Administratif'!I$15:I22)</f>
        <v>100.79528484848485</v>
      </c>
      <c r="Y35" s="46">
        <v>114404.25785628799</v>
      </c>
      <c r="Z35" s="44">
        <v>1352.6419999999998</v>
      </c>
      <c r="AA35" s="45">
        <f>SUM(Z$28:Z35)/SUM('7. Administratif'!J$15:J22)</f>
        <v>86.671271084337349</v>
      </c>
      <c r="AB35" s="46">
        <v>112422.3</v>
      </c>
      <c r="AC35" s="44">
        <v>1104.367</v>
      </c>
      <c r="AD35" s="45">
        <f>SUM(AC$28:AC35)/SUM('7. Administratif'!K$15:K22)</f>
        <v>93.639446428571432</v>
      </c>
      <c r="AE35" s="59">
        <v>95953.69</v>
      </c>
      <c r="AF35" s="44">
        <v>1151.1110000000001</v>
      </c>
      <c r="AG35" s="45">
        <f>SUM(AF$28:AF35)/SUM('7. Administratif'!L$15:L22)</f>
        <v>86.65995808383235</v>
      </c>
      <c r="AH35" s="47">
        <v>233751.78999999998</v>
      </c>
      <c r="AI35" s="44"/>
      <c r="AJ35" s="45">
        <f>SUM(AI$28:AI35)/SUM('7. Administratif'!M$15:M22)</f>
        <v>0</v>
      </c>
      <c r="AK35" s="46"/>
      <c r="AL35" s="56"/>
      <c r="AM35" s="45" t="e">
        <f>SUM(AL$28:AL35)/SUM('7. Administratif'!N$15:N22)</f>
        <v>#DIV/0!</v>
      </c>
      <c r="AN35" s="46"/>
      <c r="AO35" s="44"/>
      <c r="AP35" s="45" t="e">
        <f>SUM(AO$28:AO35)/SUM('7. Administratif'!O$15:O22)</f>
        <v>#DIV/0!</v>
      </c>
      <c r="AQ35" s="46"/>
      <c r="AR35" s="44"/>
      <c r="AS35" s="45" t="e">
        <f>SUM(AR$28:AR35)/SUM('7. Administratif'!P$15:P22)</f>
        <v>#DIV/0!</v>
      </c>
      <c r="AT35" s="46"/>
      <c r="AU35" s="44"/>
      <c r="AV35" s="45" t="e">
        <f>SUM(AU$28:AU35)/SUM('7. Administratif'!Q$15:Q22)</f>
        <v>#DIV/0!</v>
      </c>
      <c r="AW35" s="46"/>
      <c r="AX35" s="44"/>
      <c r="AY35" s="45" t="e">
        <f>SUM(AX$28:AX35)/SUM('7. Administratif'!R$15:R22)</f>
        <v>#DIV/0!</v>
      </c>
      <c r="AZ35" s="46"/>
      <c r="BA35" s="44"/>
      <c r="BB35" s="45" t="e">
        <f>SUM(BA$28:BA35)/SUM('7. Administratif'!S$15:S22)</f>
        <v>#DIV/0!</v>
      </c>
      <c r="BC35" s="46"/>
      <c r="BD35" s="44"/>
      <c r="BE35" s="45" t="e">
        <f>SUM(BD$28:BD35)/SUM('7. Administratif'!T$15:T22)</f>
        <v>#DIV/0!</v>
      </c>
      <c r="BF35" s="46"/>
    </row>
    <row r="36" spans="1:58" ht="23.25" x14ac:dyDescent="0.25">
      <c r="A36" s="53" t="s">
        <v>12</v>
      </c>
      <c r="B36" s="39">
        <v>2395.212</v>
      </c>
      <c r="C36" s="40">
        <f>SUM(B$28:B36)/SUM('7. Administratif'!B$15:B23)</f>
        <v>125.41418279569891</v>
      </c>
      <c r="D36" s="41"/>
      <c r="E36" s="39">
        <v>2367.1970000000006</v>
      </c>
      <c r="F36" s="40">
        <f>SUM(E$28:E36)/SUM('7. Administratif'!C$15:C23)</f>
        <v>122.90754787234044</v>
      </c>
      <c r="G36" s="41"/>
      <c r="H36" s="39">
        <v>2159.3739999999998</v>
      </c>
      <c r="I36" s="40">
        <f>SUM(H$28:H36)/SUM('7. Administratif'!D$15:D23)</f>
        <v>113.46838378378378</v>
      </c>
      <c r="J36" s="41"/>
      <c r="K36" s="43">
        <v>2185.9899999999998</v>
      </c>
      <c r="L36" s="40">
        <f>SUM(K$28:K36)/SUM('7. Administratif'!E$15:E23)</f>
        <v>110.62141081081083</v>
      </c>
      <c r="M36" s="41">
        <v>165589.6</v>
      </c>
      <c r="N36" s="39">
        <v>2241.4609999999998</v>
      </c>
      <c r="O36" s="40">
        <f>SUM(N$28:N36)/SUM('7. Administratif'!F$15:F23)</f>
        <v>106.20681382978722</v>
      </c>
      <c r="P36" s="41">
        <v>172593.95587774762</v>
      </c>
      <c r="Q36" s="39">
        <v>2150.2839999999997</v>
      </c>
      <c r="R36" s="40">
        <f>SUM(Q$28:Q36)/SUM('7. Administratif'!G$15:G23)</f>
        <v>104.48773936170213</v>
      </c>
      <c r="S36" s="41">
        <v>121403.11780000001</v>
      </c>
      <c r="T36" s="39">
        <v>2083.6780000000003</v>
      </c>
      <c r="U36" s="40">
        <f>SUM(T$28:T36)/SUM('7. Administratif'!H$15:H23)</f>
        <v>104.82861497326202</v>
      </c>
      <c r="V36" s="41">
        <v>164191.2703</v>
      </c>
      <c r="W36" s="39">
        <v>1994.0819999999999</v>
      </c>
      <c r="X36" s="40">
        <f>SUM(W$28:W36)/SUM('7. Administratif'!I$15:I23)</f>
        <v>100.13604301075269</v>
      </c>
      <c r="Y36" s="41">
        <v>168883.29</v>
      </c>
      <c r="Z36" s="39">
        <v>1981.6889999999994</v>
      </c>
      <c r="AA36" s="40">
        <f>SUM(Z$28:Z36)/SUM('7. Administratif'!J$15:J23)</f>
        <v>87.06978723404255</v>
      </c>
      <c r="AB36" s="41">
        <v>163549.6</v>
      </c>
      <c r="AC36" s="39">
        <v>1900.201</v>
      </c>
      <c r="AD36" s="40">
        <f>SUM(AC$28:AC36)/SUM('7. Administratif'!K$15:K23)</f>
        <v>92.798042105263164</v>
      </c>
      <c r="AE36" s="60">
        <v>168728.42</v>
      </c>
      <c r="AF36" s="39">
        <v>1609.6879999999996</v>
      </c>
      <c r="AG36" s="40">
        <f>SUM(AF$28:AF36)/SUM('7. Administratif'!L$15:L23)</f>
        <v>85.08942328042329</v>
      </c>
      <c r="AH36" s="42">
        <v>450182.58</v>
      </c>
      <c r="AI36" s="39"/>
      <c r="AJ36" s="40">
        <f>SUM(AI$28:AI36)/SUM('7. Administratif'!M$15:M23)</f>
        <v>0</v>
      </c>
      <c r="AK36" s="41"/>
      <c r="AL36" s="57"/>
      <c r="AM36" s="40" t="e">
        <f>SUM(AL$28:AL36)/SUM('7. Administratif'!N$15:N23)</f>
        <v>#DIV/0!</v>
      </c>
      <c r="AN36" s="41"/>
      <c r="AO36" s="39"/>
      <c r="AP36" s="40" t="e">
        <f>SUM(AO$28:AO36)/SUM('7. Administratif'!O$15:O23)</f>
        <v>#DIV/0!</v>
      </c>
      <c r="AQ36" s="41"/>
      <c r="AR36" s="39"/>
      <c r="AS36" s="40" t="e">
        <f>SUM(AR$28:AR36)/SUM('7. Administratif'!P$15:P23)</f>
        <v>#DIV/0!</v>
      </c>
      <c r="AT36" s="41"/>
      <c r="AU36" s="39"/>
      <c r="AV36" s="40" t="e">
        <f>SUM(AU$28:AU36)/SUM('7. Administratif'!Q$15:Q23)</f>
        <v>#DIV/0!</v>
      </c>
      <c r="AW36" s="41"/>
      <c r="AX36" s="39"/>
      <c r="AY36" s="40" t="e">
        <f>SUM(AX$28:AX36)/SUM('7. Administratif'!R$15:R23)</f>
        <v>#DIV/0!</v>
      </c>
      <c r="AZ36" s="41"/>
      <c r="BA36" s="39"/>
      <c r="BB36" s="40" t="e">
        <f>SUM(BA$28:BA36)/SUM('7. Administratif'!S$15:S23)</f>
        <v>#DIV/0!</v>
      </c>
      <c r="BC36" s="41"/>
      <c r="BD36" s="39"/>
      <c r="BE36" s="40" t="e">
        <f>SUM(BD$28:BD36)/SUM('7. Administratif'!T$15:T23)</f>
        <v>#DIV/0!</v>
      </c>
      <c r="BF36" s="41"/>
    </row>
    <row r="37" spans="1:58" ht="23.25" x14ac:dyDescent="0.25">
      <c r="A37" s="53" t="s">
        <v>13</v>
      </c>
      <c r="B37" s="44">
        <v>2682.5149999999999</v>
      </c>
      <c r="C37" s="45">
        <f>SUM(B$28:B37)/SUM('7. Administratif'!B$15:B24)</f>
        <v>124.44762200956936</v>
      </c>
      <c r="D37" s="46"/>
      <c r="E37" s="44">
        <v>2531.0519999999997</v>
      </c>
      <c r="F37" s="45">
        <f>SUM(E$28:E37)/SUM('7. Administratif'!C$15:C24)</f>
        <v>121.50554976303319</v>
      </c>
      <c r="G37" s="46"/>
      <c r="H37" s="44">
        <v>2412.2199999999998</v>
      </c>
      <c r="I37" s="45">
        <f>SUM(H$28:H37)/SUM('7. Administratif'!D$15:D24)</f>
        <v>112.51861057692307</v>
      </c>
      <c r="J37" s="46"/>
      <c r="K37" s="48">
        <v>2313.971</v>
      </c>
      <c r="L37" s="45">
        <f>SUM(K$28:K37)/SUM('7. Administratif'!E$15:E24)</f>
        <v>110.04314975845412</v>
      </c>
      <c r="M37" s="46">
        <v>173475.28</v>
      </c>
      <c r="N37" s="44">
        <v>2312.4460000000008</v>
      </c>
      <c r="O37" s="45">
        <f>SUM(N$28:N37)/SUM('7. Administratif'!F$15:F24)</f>
        <v>107.11214903846152</v>
      </c>
      <c r="P37" s="46">
        <v>210020.99177889377</v>
      </c>
      <c r="Q37" s="44">
        <v>2337.3660000000004</v>
      </c>
      <c r="R37" s="45">
        <f>SUM(Q$28:Q37)/SUM('7. Administratif'!G$15:G24)</f>
        <v>104.67171904761905</v>
      </c>
      <c r="S37" s="46">
        <v>161747.97684999998</v>
      </c>
      <c r="T37" s="44">
        <v>2369.2212999999997</v>
      </c>
      <c r="U37" s="45">
        <f>SUM(T$28:T37)/SUM('7. Administratif'!H$15:H24)</f>
        <v>104.6293919047619</v>
      </c>
      <c r="V37" s="46">
        <v>217900.57</v>
      </c>
      <c r="W37" s="44">
        <v>2185.317</v>
      </c>
      <c r="X37" s="45">
        <f>SUM(W$28:W37)/SUM('7. Administratif'!I$15:I24)</f>
        <v>99.572349282296642</v>
      </c>
      <c r="Y37" s="46">
        <v>221477.73730000001</v>
      </c>
      <c r="Z37" s="44">
        <v>2264.6060000000002</v>
      </c>
      <c r="AA37" s="45">
        <f>SUM(Z$28:Z37)/SUM('7. Administratif'!J$15:J24)</f>
        <v>88.732028571428572</v>
      </c>
      <c r="AB37" s="46">
        <v>206821.59400916798</v>
      </c>
      <c r="AC37" s="44">
        <v>1921.9169999999999</v>
      </c>
      <c r="AD37" s="45">
        <f>SUM(AC$28:AC37)/SUM('7. Administratif'!K$15:K24)</f>
        <v>92.670829383886272</v>
      </c>
      <c r="AE37" s="59">
        <v>232394.71999999997</v>
      </c>
      <c r="AF37" s="44">
        <v>1598.998</v>
      </c>
      <c r="AG37" s="45">
        <f>SUM(AF$28:AF37)/SUM('7. Administratif'!L$15:L24)</f>
        <v>84.194757142857142</v>
      </c>
      <c r="AH37" s="47">
        <v>428058.31999999995</v>
      </c>
      <c r="AI37" s="44"/>
      <c r="AJ37" s="45">
        <f>SUM(AI$28:AI37)/SUM('7. Administratif'!M$15:M24)</f>
        <v>0</v>
      </c>
      <c r="AK37" s="46"/>
      <c r="AL37" s="56"/>
      <c r="AM37" s="45" t="e">
        <f>SUM(AL$28:AL37)/SUM('7. Administratif'!N$15:N24)</f>
        <v>#DIV/0!</v>
      </c>
      <c r="AN37" s="46"/>
      <c r="AO37" s="44"/>
      <c r="AP37" s="45" t="e">
        <f>SUM(AO$28:AO37)/SUM('7. Administratif'!O$15:O24)</f>
        <v>#DIV/0!</v>
      </c>
      <c r="AQ37" s="46"/>
      <c r="AR37" s="44"/>
      <c r="AS37" s="45" t="e">
        <f>SUM(AR$28:AR37)/SUM('7. Administratif'!P$15:P24)</f>
        <v>#DIV/0!</v>
      </c>
      <c r="AT37" s="46"/>
      <c r="AU37" s="44"/>
      <c r="AV37" s="45" t="e">
        <f>SUM(AU$28:AU37)/SUM('7. Administratif'!Q$15:Q24)</f>
        <v>#DIV/0!</v>
      </c>
      <c r="AW37" s="46"/>
      <c r="AX37" s="44"/>
      <c r="AY37" s="45" t="e">
        <f>SUM(AX$28:AX37)/SUM('7. Administratif'!R$15:R24)</f>
        <v>#DIV/0!</v>
      </c>
      <c r="AZ37" s="46"/>
      <c r="BA37" s="44"/>
      <c r="BB37" s="45" t="e">
        <f>SUM(BA$28:BA37)/SUM('7. Administratif'!S$15:S24)</f>
        <v>#DIV/0!</v>
      </c>
      <c r="BC37" s="46"/>
      <c r="BD37" s="44"/>
      <c r="BE37" s="45" t="e">
        <f>SUM(BD$28:BD37)/SUM('7. Administratif'!T$15:T24)</f>
        <v>#DIV/0!</v>
      </c>
      <c r="BF37" s="46"/>
    </row>
    <row r="38" spans="1:58" ht="23.25" x14ac:dyDescent="0.25">
      <c r="A38" s="53" t="s">
        <v>14</v>
      </c>
      <c r="B38" s="39">
        <v>2732.723</v>
      </c>
      <c r="C38" s="40">
        <f>SUM(B$28:B38)/SUM('7. Administratif'!B$15:B25)</f>
        <v>125.51212227074235</v>
      </c>
      <c r="D38" s="41"/>
      <c r="E38" s="39">
        <v>2563.2730000000006</v>
      </c>
      <c r="F38" s="40">
        <f>SUM(E$28:E38)/SUM('7. Administratif'!C$15:C25)</f>
        <v>122.61280000000001</v>
      </c>
      <c r="G38" s="41"/>
      <c r="H38" s="39">
        <v>2341.6279999999997</v>
      </c>
      <c r="I38" s="40">
        <f>SUM(H$28:H38)/SUM('7. Administratif'!D$15:D25)</f>
        <v>113.9181371681416</v>
      </c>
      <c r="J38" s="41"/>
      <c r="K38" s="43">
        <v>2454.4959999999996</v>
      </c>
      <c r="L38" s="40">
        <f>SUM(K$28:K38)/SUM('7. Administratif'!E$15:E25)</f>
        <v>111.16047577092513</v>
      </c>
      <c r="M38" s="41">
        <v>233696.69</v>
      </c>
      <c r="N38" s="39">
        <v>2421.7339999999995</v>
      </c>
      <c r="O38" s="40">
        <f>SUM(N$28:N38)/SUM('7. Administratif'!F$15:F25)</f>
        <v>108.33798684210525</v>
      </c>
      <c r="P38" s="41">
        <v>220850.05</v>
      </c>
      <c r="Q38" s="39">
        <v>2326.038</v>
      </c>
      <c r="R38" s="40">
        <f>SUM(Q$28:Q38)/SUM('7. Administratif'!G$15:G25)</f>
        <v>105.2255367965368</v>
      </c>
      <c r="S38" s="41">
        <v>193946.8608736</v>
      </c>
      <c r="T38" s="39">
        <v>2341.5479999999998</v>
      </c>
      <c r="U38" s="40">
        <f>SUM(T$28:T38)/SUM('7. Administratif'!H$15:H25)</f>
        <v>105.25420043290042</v>
      </c>
      <c r="V38" s="41">
        <v>238210.59867887999</v>
      </c>
      <c r="W38" s="39">
        <v>2196.598</v>
      </c>
      <c r="X38" s="40">
        <f>SUM(W$28:W38)/SUM('7. Administratif'!I$15:I25)</f>
        <v>100.90885526315789</v>
      </c>
      <c r="Y38" s="41">
        <v>243405.07222</v>
      </c>
      <c r="Z38" s="39">
        <v>2187.971</v>
      </c>
      <c r="AA38" s="40">
        <f>SUM(Z$28:Z38)/SUM('7. Administratif'!J$15:J25)</f>
        <v>90.529117391304354</v>
      </c>
      <c r="AB38" s="41">
        <v>220269.19755983999</v>
      </c>
      <c r="AC38" s="39">
        <v>1993.3579999999999</v>
      </c>
      <c r="AD38" s="40">
        <f>SUM(AC$28:AC38)/SUM('7. Administratif'!K$15:K25)</f>
        <v>93.276636363636371</v>
      </c>
      <c r="AE38" s="60">
        <v>334937.46000000002</v>
      </c>
      <c r="AF38" s="39">
        <v>1754.557</v>
      </c>
      <c r="AG38" s="40">
        <f>SUM(AF$28:AF38)/SUM('7. Administratif'!L$15:L25)</f>
        <v>84.501982608695656</v>
      </c>
      <c r="AH38" s="42">
        <v>580015.12</v>
      </c>
      <c r="AI38" s="39"/>
      <c r="AJ38" s="40">
        <f>SUM(AI$28:AI38)/SUM('7. Administratif'!M$15:M25)</f>
        <v>0</v>
      </c>
      <c r="AK38" s="41"/>
      <c r="AL38" s="57"/>
      <c r="AM38" s="40" t="e">
        <f>SUM(AL$28:AL38)/SUM('7. Administratif'!N$15:N25)</f>
        <v>#DIV/0!</v>
      </c>
      <c r="AN38" s="41"/>
      <c r="AO38" s="39"/>
      <c r="AP38" s="40" t="e">
        <f>SUM(AO$28:AO38)/SUM('7. Administratif'!O$15:O25)</f>
        <v>#DIV/0!</v>
      </c>
      <c r="AQ38" s="41"/>
      <c r="AR38" s="39"/>
      <c r="AS38" s="40" t="e">
        <f>SUM(AR$28:AR38)/SUM('7. Administratif'!P$15:P25)</f>
        <v>#DIV/0!</v>
      </c>
      <c r="AT38" s="41"/>
      <c r="AU38" s="39"/>
      <c r="AV38" s="40" t="e">
        <f>SUM(AU$28:AU38)/SUM('7. Administratif'!Q$15:Q25)</f>
        <v>#DIV/0!</v>
      </c>
      <c r="AW38" s="41"/>
      <c r="AX38" s="39"/>
      <c r="AY38" s="40" t="e">
        <f>SUM(AX$28:AX38)/SUM('7. Administratif'!R$15:R25)</f>
        <v>#DIV/0!</v>
      </c>
      <c r="AZ38" s="41"/>
      <c r="BA38" s="39"/>
      <c r="BB38" s="40" t="e">
        <f>SUM(BA$28:BA38)/SUM('7. Administratif'!S$15:S25)</f>
        <v>#DIV/0!</v>
      </c>
      <c r="BC38" s="41"/>
      <c r="BD38" s="39"/>
      <c r="BE38" s="40" t="e">
        <f>SUM(BD$28:BD38)/SUM('7. Administratif'!T$15:T25)</f>
        <v>#DIV/0!</v>
      </c>
      <c r="BF38" s="41"/>
    </row>
    <row r="39" spans="1:58" ht="23.25" x14ac:dyDescent="0.25">
      <c r="A39" s="53" t="s">
        <v>15</v>
      </c>
      <c r="B39" s="44">
        <v>2488.1590000000001</v>
      </c>
      <c r="C39" s="45">
        <f>SUM(B$28:B39)/SUM('7. Administratif'!B$15:B26)</f>
        <v>127.99358606557377</v>
      </c>
      <c r="D39" s="46"/>
      <c r="E39" s="44">
        <v>2180.1590000000001</v>
      </c>
      <c r="F39" s="45">
        <f>SUM(E$28:E39)/SUM('7. Administratif'!C$15:C26)</f>
        <v>123.50041869918701</v>
      </c>
      <c r="G39" s="46"/>
      <c r="H39" s="44">
        <v>2066.692</v>
      </c>
      <c r="I39" s="45">
        <f>SUM(H$28:H39)/SUM('7. Administratif'!D$15:D26)</f>
        <v>115.40328215767634</v>
      </c>
      <c r="J39" s="46"/>
      <c r="K39" s="48">
        <v>2107.942</v>
      </c>
      <c r="L39" s="45">
        <f>SUM(K$28:K39)/SUM('7. Administratif'!E$15:E26)</f>
        <v>112.05479508196723</v>
      </c>
      <c r="M39" s="46">
        <v>220325.21109495635</v>
      </c>
      <c r="N39" s="44">
        <v>2125.9490000000001</v>
      </c>
      <c r="O39" s="45">
        <f>SUM(N$28:N39)/SUM('7. Administratif'!F$15:F26)</f>
        <v>109.49799999999999</v>
      </c>
      <c r="P39" s="46">
        <v>266537.42697670171</v>
      </c>
      <c r="Q39" s="44">
        <v>2079.2220000000002</v>
      </c>
      <c r="R39" s="45">
        <f>SUM(Q$28:Q39)/SUM('7. Administratif'!G$15:G26)</f>
        <v>106.82721052631581</v>
      </c>
      <c r="S39" s="46">
        <v>173995.34160000001</v>
      </c>
      <c r="T39" s="44">
        <v>1901.0760000000002</v>
      </c>
      <c r="U39" s="45">
        <f>SUM(T$28:T39)/SUM('7. Administratif'!H$15:H26)</f>
        <v>106.13277854251011</v>
      </c>
      <c r="V39" s="46">
        <v>188619.56279999999</v>
      </c>
      <c r="W39" s="44">
        <v>1799.925</v>
      </c>
      <c r="X39" s="45">
        <f>SUM(W$28:W39)/SUM('7. Administratif'!I$15:I26)</f>
        <v>102.087012345679</v>
      </c>
      <c r="Y39" s="46">
        <v>189182.71830628801</v>
      </c>
      <c r="Z39" s="44">
        <v>1930.1510000000005</v>
      </c>
      <c r="AA39" s="45">
        <f>SUM(Z$28:Z39)/SUM('7. Administratif'!J$15:J26)</f>
        <v>92.112744939271266</v>
      </c>
      <c r="AB39" s="46">
        <v>217209.47999999998</v>
      </c>
      <c r="AC39" s="44">
        <v>1637.9379999999999</v>
      </c>
      <c r="AD39" s="45">
        <f>SUM(AC$28:AC39)/SUM('7. Administratif'!K$15:K26)</f>
        <v>93.487262096774188</v>
      </c>
      <c r="AE39" s="59">
        <v>327612.94999999995</v>
      </c>
      <c r="AF39" s="44">
        <v>1757.9700000000003</v>
      </c>
      <c r="AG39" s="45">
        <f>SUM(AF$28:AF39)/SUM('7. Administratif'!L$15:L26)</f>
        <v>85.803344129554674</v>
      </c>
      <c r="AH39" s="47">
        <v>696724.75000000012</v>
      </c>
      <c r="AI39" s="44"/>
      <c r="AJ39" s="45">
        <f>SUM(AI$28:AI39)/SUM('7. Administratif'!M$15:M26)</f>
        <v>0</v>
      </c>
      <c r="AK39" s="46"/>
      <c r="AL39" s="56"/>
      <c r="AM39" s="45" t="e">
        <f>SUM(AL$28:AL39)/SUM('7. Administratif'!N$15:N26)</f>
        <v>#DIV/0!</v>
      </c>
      <c r="AN39" s="46"/>
      <c r="AO39" s="44"/>
      <c r="AP39" s="45" t="e">
        <f>SUM(AO$28:AO39)/SUM('7. Administratif'!O$15:O26)</f>
        <v>#DIV/0!</v>
      </c>
      <c r="AQ39" s="46"/>
      <c r="AR39" s="44"/>
      <c r="AS39" s="45" t="e">
        <f>SUM(AR$28:AR39)/SUM('7. Administratif'!P$15:P26)</f>
        <v>#DIV/0!</v>
      </c>
      <c r="AT39" s="46"/>
      <c r="AU39" s="44"/>
      <c r="AV39" s="45" t="e">
        <f>SUM(AU$28:AU39)/SUM('7. Administratif'!Q$15:Q26)</f>
        <v>#DIV/0!</v>
      </c>
      <c r="AW39" s="46"/>
      <c r="AX39" s="44"/>
      <c r="AY39" s="45" t="e">
        <f>SUM(AX$28:AX39)/SUM('7. Administratif'!R$15:R26)</f>
        <v>#DIV/0!</v>
      </c>
      <c r="AZ39" s="46"/>
      <c r="BA39" s="44"/>
      <c r="BB39" s="45" t="e">
        <f>SUM(BA$28:BA39)/SUM('7. Administratif'!S$15:S26)</f>
        <v>#DIV/0!</v>
      </c>
      <c r="BC39" s="46"/>
      <c r="BD39" s="44"/>
      <c r="BE39" s="45" t="e">
        <f>SUM(BD$28:BD39)/SUM('7. Administratif'!T$15:T26)</f>
        <v>#DIV/0!</v>
      </c>
      <c r="BF39" s="46"/>
    </row>
    <row r="40" spans="1:58" ht="24" thickBot="1" x14ac:dyDescent="0.3">
      <c r="A40" s="54" t="s">
        <v>20</v>
      </c>
      <c r="B40" s="49">
        <f>SUM(B28:B39)</f>
        <v>31230.434999999998</v>
      </c>
      <c r="C40" s="50">
        <f>C39</f>
        <v>127.99358606557377</v>
      </c>
      <c r="D40" s="51">
        <v>2236740.14</v>
      </c>
      <c r="E40" s="49">
        <f t="shared" ref="E40" si="10">SUM(E28:E39)</f>
        <v>30381.103000000003</v>
      </c>
      <c r="F40" s="50">
        <f t="shared" ref="F40" si="11">F39</f>
        <v>123.50041869918701</v>
      </c>
      <c r="G40" s="51">
        <v>2290806.7821786655</v>
      </c>
      <c r="H40" s="49">
        <f t="shared" ref="H40" si="12">SUM(H28:H39)</f>
        <v>27812.190999999999</v>
      </c>
      <c r="I40" s="50">
        <f t="shared" ref="I40" si="13">I39</f>
        <v>115.40328215767634</v>
      </c>
      <c r="J40" s="51">
        <v>2183634.88</v>
      </c>
      <c r="K40" s="49">
        <f t="shared" ref="K40" si="14">SUM(K28:K39)</f>
        <v>27341.370000000003</v>
      </c>
      <c r="L40" s="50">
        <f t="shared" ref="L40" si="15">L39</f>
        <v>112.05479508196723</v>
      </c>
      <c r="M40" s="51">
        <f t="shared" ref="M40:N40" si="16">SUM(M28:M39)</f>
        <v>2330209.5210949564</v>
      </c>
      <c r="N40" s="49">
        <f t="shared" si="16"/>
        <v>26827.01</v>
      </c>
      <c r="O40" s="50">
        <f t="shared" ref="O40" si="17">O39</f>
        <v>109.49799999999999</v>
      </c>
      <c r="P40" s="51">
        <f t="shared" ref="P40:Q40" si="18">SUM(P28:P39)</f>
        <v>2368544.1525090658</v>
      </c>
      <c r="Q40" s="49">
        <f t="shared" si="18"/>
        <v>26386.321000000004</v>
      </c>
      <c r="R40" s="50">
        <f t="shared" ref="R40" si="19">R39</f>
        <v>106.82721052631581</v>
      </c>
      <c r="S40" s="51">
        <f t="shared" ref="S40:T40" si="20">SUM(S28:S39)</f>
        <v>1799546.4744911732</v>
      </c>
      <c r="T40" s="49">
        <f t="shared" si="20"/>
        <v>26214.796299999998</v>
      </c>
      <c r="U40" s="50">
        <f t="shared" ref="U40" si="21">U39</f>
        <v>106.13277854251011</v>
      </c>
      <c r="V40" s="51">
        <f t="shared" ref="V40:W40" si="22">SUM(V28:V39)</f>
        <v>2031246.41179152</v>
      </c>
      <c r="W40" s="49">
        <f t="shared" si="22"/>
        <v>24807.143999999997</v>
      </c>
      <c r="X40" s="50">
        <f t="shared" ref="X40" si="23">X39</f>
        <v>102.087012345679</v>
      </c>
      <c r="Y40" s="51">
        <f t="shared" ref="Y40:Z40" si="24">SUM(Y28:Y39)</f>
        <v>2359584.4537776019</v>
      </c>
      <c r="Z40" s="49">
        <f t="shared" si="24"/>
        <v>22751.848000000002</v>
      </c>
      <c r="AA40" s="50">
        <f t="shared" ref="AA40" si="25">AA39</f>
        <v>92.112744939271266</v>
      </c>
      <c r="AB40" s="51">
        <f t="shared" ref="AB40:AC40" si="26">SUM(AB28:AB39)</f>
        <v>2189865.7018415844</v>
      </c>
      <c r="AC40" s="49">
        <f t="shared" si="26"/>
        <v>23184.841</v>
      </c>
      <c r="AD40" s="50">
        <f t="shared" ref="AD40" si="27">AD39</f>
        <v>93.487262096774188</v>
      </c>
      <c r="AE40" s="51">
        <f t="shared" ref="AE40:AF40" si="28">SUM(AE28:AE39)</f>
        <v>2490430.25</v>
      </c>
      <c r="AF40" s="49">
        <f t="shared" si="28"/>
        <v>21193.426000000003</v>
      </c>
      <c r="AG40" s="50">
        <f t="shared" ref="AG40" si="29">AG39</f>
        <v>85.803344129554674</v>
      </c>
      <c r="AH40" s="51">
        <f t="shared" ref="AH40:AI40" si="30">SUM(AH28:AH39)</f>
        <v>4837425</v>
      </c>
      <c r="AI40" s="49">
        <f t="shared" si="30"/>
        <v>0</v>
      </c>
      <c r="AJ40" s="50">
        <f t="shared" ref="AJ40" si="31">AJ39</f>
        <v>0</v>
      </c>
      <c r="AK40" s="51">
        <f t="shared" ref="AK40:AL40" si="32">SUM(AK28:AK39)</f>
        <v>0</v>
      </c>
      <c r="AL40" s="49">
        <f t="shared" si="32"/>
        <v>0</v>
      </c>
      <c r="AM40" s="50" t="e">
        <f t="shared" ref="AM40" si="33">AM39</f>
        <v>#DIV/0!</v>
      </c>
      <c r="AN40" s="51">
        <f t="shared" ref="AN40:AO40" si="34">SUM(AN28:AN39)</f>
        <v>0</v>
      </c>
      <c r="AO40" s="49">
        <f t="shared" si="34"/>
        <v>0</v>
      </c>
      <c r="AP40" s="50" t="e">
        <f t="shared" ref="AP40" si="35">AP39</f>
        <v>#DIV/0!</v>
      </c>
      <c r="AQ40" s="51">
        <f t="shared" ref="AQ40:AR40" si="36">SUM(AQ28:AQ39)</f>
        <v>0</v>
      </c>
      <c r="AR40" s="49">
        <f t="shared" si="36"/>
        <v>0</v>
      </c>
      <c r="AS40" s="50" t="e">
        <f t="shared" ref="AS40" si="37">AS39</f>
        <v>#DIV/0!</v>
      </c>
      <c r="AT40" s="51">
        <f t="shared" ref="AT40:AU40" si="38">SUM(AT28:AT39)</f>
        <v>0</v>
      </c>
      <c r="AU40" s="49">
        <f t="shared" si="38"/>
        <v>0</v>
      </c>
      <c r="AV40" s="50" t="e">
        <f t="shared" ref="AV40" si="39">AV39</f>
        <v>#DIV/0!</v>
      </c>
      <c r="AW40" s="51">
        <f t="shared" ref="AW40:AX40" si="40">SUM(AW28:AW39)</f>
        <v>0</v>
      </c>
      <c r="AX40" s="49">
        <f t="shared" si="40"/>
        <v>0</v>
      </c>
      <c r="AY40" s="50" t="e">
        <f t="shared" ref="AY40" si="41">AY39</f>
        <v>#DIV/0!</v>
      </c>
      <c r="AZ40" s="51">
        <f t="shared" ref="AZ40:BA40" si="42">SUM(AZ28:AZ39)</f>
        <v>0</v>
      </c>
      <c r="BA40" s="49">
        <f t="shared" si="42"/>
        <v>0</v>
      </c>
      <c r="BB40" s="50" t="e">
        <f t="shared" ref="BB40" si="43">BB39</f>
        <v>#DIV/0!</v>
      </c>
      <c r="BC40" s="51">
        <f t="shared" ref="BC40:BD40" si="44">SUM(BC28:BC39)</f>
        <v>0</v>
      </c>
      <c r="BD40" s="49">
        <f t="shared" si="44"/>
        <v>0</v>
      </c>
      <c r="BE40" s="50" t="e">
        <f t="shared" ref="BE40" si="45">BE39</f>
        <v>#DIV/0!</v>
      </c>
      <c r="BF40" s="51">
        <f t="shared" ref="BF40" si="46">SUM(BF28:BF39)</f>
        <v>0</v>
      </c>
    </row>
    <row r="41" spans="1:58" ht="15" customHeight="1" x14ac:dyDescent="0.25">
      <c r="A41" s="31"/>
      <c r="B41" s="12"/>
      <c r="C41" s="12"/>
      <c r="D41" s="12"/>
      <c r="E41" s="13"/>
      <c r="F41" s="13"/>
      <c r="G41" s="13"/>
      <c r="H41" s="13"/>
      <c r="I41" s="13"/>
      <c r="K41" s="13"/>
      <c r="Y41" s="12"/>
      <c r="Z41" s="12"/>
      <c r="AA41" s="15"/>
      <c r="AB41" s="15"/>
      <c r="AC41" s="15"/>
      <c r="AD41" s="15"/>
    </row>
    <row r="42" spans="1:58" ht="15" customHeight="1" x14ac:dyDescent="0.25">
      <c r="A42" s="31"/>
      <c r="B42" s="12"/>
      <c r="C42" s="12"/>
      <c r="D42" s="12"/>
      <c r="E42" s="13"/>
      <c r="F42" s="13"/>
      <c r="G42" s="13"/>
      <c r="H42" s="13"/>
      <c r="I42" s="13"/>
      <c r="K42" s="13"/>
      <c r="Y42" s="12"/>
      <c r="Z42" s="12"/>
      <c r="AA42" s="15"/>
      <c r="AB42" s="15"/>
      <c r="AC42" s="15"/>
      <c r="AD42" s="15"/>
    </row>
    <row r="43" spans="1:58" ht="15" customHeight="1" x14ac:dyDescent="0.25">
      <c r="A43" s="31"/>
      <c r="B43" s="12"/>
      <c r="C43" s="12"/>
      <c r="D43" s="12"/>
      <c r="E43" s="13"/>
      <c r="F43" s="13"/>
      <c r="G43" s="13"/>
      <c r="H43" s="13"/>
      <c r="I43" s="13"/>
      <c r="K43" s="13"/>
      <c r="Y43" s="12"/>
      <c r="Z43" s="12"/>
      <c r="AA43" s="15"/>
      <c r="AB43" s="15"/>
      <c r="AC43" s="15"/>
      <c r="AD43" s="15"/>
    </row>
    <row r="44" spans="1:58" ht="15" customHeight="1" x14ac:dyDescent="0.25">
      <c r="A44" s="31"/>
      <c r="B44" s="12"/>
      <c r="C44" s="12"/>
      <c r="D44" s="12"/>
      <c r="E44" s="13"/>
      <c r="F44" s="13"/>
      <c r="G44" s="13"/>
      <c r="H44" s="13"/>
      <c r="I44" s="13"/>
      <c r="K44" s="13"/>
      <c r="Y44" s="12"/>
      <c r="Z44" s="12"/>
      <c r="AA44" s="15"/>
      <c r="AB44" s="15"/>
      <c r="AC44" s="15"/>
      <c r="AD44" s="15"/>
    </row>
    <row r="45" spans="1:58" ht="15" customHeight="1" x14ac:dyDescent="0.25">
      <c r="A45" s="31"/>
      <c r="B45" s="12"/>
      <c r="C45" s="12"/>
      <c r="D45" s="12"/>
      <c r="E45" s="13"/>
      <c r="F45" s="13"/>
      <c r="G45" s="13"/>
      <c r="H45" s="13"/>
      <c r="I45" s="13"/>
      <c r="K45" s="13"/>
      <c r="Y45" s="12"/>
      <c r="Z45" s="12"/>
      <c r="AA45" s="15"/>
      <c r="AB45" s="15"/>
      <c r="AC45" s="15"/>
      <c r="AD45" s="15"/>
    </row>
    <row r="46" spans="1:58" ht="15" customHeight="1" x14ac:dyDescent="0.25">
      <c r="A46" s="31"/>
      <c r="B46" s="12"/>
      <c r="C46" s="12"/>
      <c r="D46" s="12"/>
      <c r="E46" s="13"/>
      <c r="F46" s="13"/>
      <c r="G46" s="13"/>
      <c r="H46" s="13"/>
      <c r="I46" s="13"/>
      <c r="K46" s="13"/>
      <c r="Y46" s="12"/>
      <c r="Z46" s="12"/>
      <c r="AA46" s="15"/>
      <c r="AB46" s="15"/>
      <c r="AC46" s="15"/>
      <c r="AD46" s="15"/>
    </row>
    <row r="47" spans="1:58" ht="15" customHeight="1" x14ac:dyDescent="0.25">
      <c r="A47" s="31"/>
      <c r="B47" s="12"/>
      <c r="C47" s="12"/>
      <c r="D47" s="12"/>
      <c r="E47" s="13"/>
      <c r="F47" s="13"/>
      <c r="G47" s="13"/>
      <c r="H47" s="13"/>
      <c r="I47" s="13"/>
      <c r="K47" s="13"/>
    </row>
    <row r="48" spans="1:58" ht="15" customHeight="1" x14ac:dyDescent="0.25">
      <c r="A48" s="31"/>
      <c r="B48" s="12"/>
      <c r="C48" s="12"/>
      <c r="D48" s="12"/>
      <c r="E48" s="13"/>
      <c r="F48" s="13"/>
      <c r="G48" s="13"/>
      <c r="H48" s="13"/>
      <c r="I48" s="13"/>
      <c r="J48" s="7"/>
      <c r="K48" s="13"/>
      <c r="L48" s="7"/>
      <c r="M48" s="7"/>
    </row>
    <row r="49" spans="1:25" ht="15" customHeight="1" x14ac:dyDescent="0.25">
      <c r="A49" s="31"/>
      <c r="B49" s="12"/>
      <c r="C49" s="12"/>
      <c r="D49" s="12"/>
      <c r="E49" s="13"/>
      <c r="F49" s="13"/>
      <c r="G49" s="13"/>
      <c r="H49" s="13"/>
      <c r="I49" s="13"/>
      <c r="J49" s="7"/>
      <c r="K49" s="13"/>
      <c r="L49" s="7"/>
      <c r="M49" s="7"/>
      <c r="S49" s="13"/>
      <c r="T49" s="13"/>
      <c r="U49" s="13"/>
      <c r="V49" s="13"/>
      <c r="W49" s="13"/>
      <c r="X49" s="13"/>
    </row>
    <row r="50" spans="1:25" ht="15" customHeight="1" x14ac:dyDescent="0.25">
      <c r="A50" s="31"/>
      <c r="B50" s="12"/>
      <c r="C50" s="12"/>
      <c r="D50" s="12"/>
      <c r="E50" s="13"/>
      <c r="F50" s="13"/>
      <c r="G50" s="13"/>
      <c r="H50" s="13"/>
      <c r="I50" s="13"/>
      <c r="J50" s="7"/>
      <c r="K50" s="13"/>
      <c r="L50" s="7"/>
      <c r="M50" s="7"/>
      <c r="S50" s="13"/>
      <c r="T50" s="13"/>
      <c r="U50" s="13"/>
      <c r="V50" s="13"/>
      <c r="W50" s="13"/>
      <c r="X50" s="13"/>
      <c r="Y50" s="13"/>
    </row>
    <row r="51" spans="1:25" ht="15" customHeight="1" x14ac:dyDescent="0.25">
      <c r="A51" s="31"/>
      <c r="B51" s="12"/>
      <c r="C51" s="12"/>
      <c r="D51" s="12"/>
      <c r="E51" s="13"/>
      <c r="F51" s="13"/>
      <c r="G51" s="13"/>
      <c r="H51" s="13"/>
      <c r="I51" s="13"/>
      <c r="J51" s="7"/>
      <c r="K51" s="152"/>
      <c r="L51" s="7"/>
      <c r="M51" s="7"/>
      <c r="S51" s="13"/>
      <c r="T51" s="13"/>
      <c r="U51" s="13"/>
      <c r="V51" s="13"/>
      <c r="W51" s="13"/>
      <c r="X51" s="13"/>
      <c r="Y51" s="13"/>
    </row>
    <row r="52" spans="1:25" ht="15" customHeight="1" x14ac:dyDescent="0.25">
      <c r="A52" s="31"/>
      <c r="B52" s="12"/>
      <c r="C52" s="12"/>
      <c r="D52" s="12"/>
      <c r="E52" s="13"/>
      <c r="F52" s="13"/>
      <c r="G52" s="13"/>
      <c r="H52" s="13"/>
      <c r="I52" s="13"/>
      <c r="J52" s="7"/>
      <c r="K52" s="152"/>
      <c r="L52" s="7"/>
      <c r="M52" s="7"/>
      <c r="S52" s="13"/>
      <c r="T52" s="13"/>
      <c r="U52" s="13"/>
      <c r="V52" s="13"/>
      <c r="W52" s="13"/>
      <c r="X52" s="13"/>
      <c r="Y52" s="13"/>
    </row>
    <row r="53" spans="1:25" ht="15" customHeight="1" x14ac:dyDescent="0.25">
      <c r="A53" s="31"/>
      <c r="B53" s="12"/>
      <c r="C53" s="12"/>
      <c r="D53" s="12"/>
      <c r="E53" s="13"/>
      <c r="F53" s="13"/>
      <c r="G53" s="13"/>
      <c r="H53" s="13"/>
      <c r="I53" s="13"/>
      <c r="J53" s="7"/>
      <c r="K53" s="152"/>
      <c r="L53" s="7"/>
      <c r="M53" s="7"/>
    </row>
    <row r="54" spans="1:25" ht="15" customHeight="1" x14ac:dyDescent="0.25">
      <c r="A54" s="31"/>
      <c r="B54" s="12"/>
      <c r="C54" s="12"/>
      <c r="D54" s="12"/>
      <c r="E54" s="13"/>
      <c r="F54" s="13"/>
      <c r="G54" s="13"/>
      <c r="H54" s="13"/>
      <c r="I54" s="13"/>
      <c r="J54" s="7"/>
      <c r="K54" s="152"/>
      <c r="L54" s="7"/>
      <c r="M54" s="7"/>
      <c r="S54" s="13"/>
      <c r="T54" s="13"/>
      <c r="U54" s="13"/>
      <c r="V54" s="13"/>
      <c r="W54" s="13"/>
      <c r="X54" s="13"/>
      <c r="Y54" s="13"/>
    </row>
    <row r="55" spans="1:25" ht="15" customHeight="1" x14ac:dyDescent="0.25">
      <c r="A55" s="31"/>
      <c r="B55" s="12"/>
      <c r="C55" s="12"/>
      <c r="D55" s="12"/>
      <c r="E55" s="13"/>
      <c r="G55" s="13"/>
      <c r="H55" s="13"/>
      <c r="I55" s="13"/>
      <c r="J55" s="7"/>
      <c r="K55" s="152"/>
      <c r="L55" s="7"/>
      <c r="M55" s="7"/>
    </row>
    <row r="56" spans="1:25" ht="15" customHeight="1" x14ac:dyDescent="0.25">
      <c r="A56" s="31"/>
      <c r="B56" s="7"/>
      <c r="C56" s="7"/>
      <c r="J56" s="7"/>
      <c r="K56" s="152"/>
      <c r="L56" s="7"/>
      <c r="M56" s="7"/>
    </row>
    <row r="57" spans="1:25" ht="15" customHeight="1" x14ac:dyDescent="0.25">
      <c r="A57" s="31"/>
      <c r="B57" s="7"/>
      <c r="C57" s="7"/>
      <c r="J57" s="7"/>
      <c r="K57" s="152"/>
      <c r="L57" s="7"/>
      <c r="M57" s="7"/>
    </row>
    <row r="58" spans="1:25" ht="15" customHeight="1" x14ac:dyDescent="0.25">
      <c r="A58" s="31"/>
      <c r="B58" s="7"/>
      <c r="C58" s="7"/>
      <c r="J58" s="7"/>
      <c r="K58" s="152"/>
      <c r="L58" s="7"/>
      <c r="M58" s="7"/>
    </row>
    <row r="59" spans="1:25" ht="15" customHeight="1" x14ac:dyDescent="0.25">
      <c r="A59" s="31"/>
      <c r="B59" s="7"/>
      <c r="C59" s="7"/>
      <c r="J59" s="7"/>
      <c r="K59" s="152"/>
      <c r="L59" s="7"/>
      <c r="M59" s="7"/>
    </row>
    <row r="60" spans="1:25" ht="15" customHeight="1" x14ac:dyDescent="0.25">
      <c r="A60" s="31"/>
      <c r="B60" s="7"/>
      <c r="C60" s="7"/>
      <c r="J60" s="7"/>
      <c r="K60" s="152"/>
      <c r="L60" s="7"/>
      <c r="M60" s="7"/>
    </row>
    <row r="61" spans="1:25" ht="15" customHeight="1" x14ac:dyDescent="0.25">
      <c r="A61" s="31"/>
      <c r="B61" s="7"/>
      <c r="C61" s="7"/>
      <c r="J61" s="7"/>
      <c r="K61" s="152"/>
      <c r="L61" s="7"/>
      <c r="M61" s="7"/>
    </row>
    <row r="62" spans="1:25" ht="15" customHeight="1" x14ac:dyDescent="0.25">
      <c r="A62" s="31"/>
      <c r="B62" s="7"/>
      <c r="C62" s="7"/>
      <c r="J62" s="7"/>
      <c r="K62" s="152"/>
      <c r="L62" s="7"/>
      <c r="M62" s="7"/>
    </row>
    <row r="63" spans="1:25" ht="15" customHeight="1" x14ac:dyDescent="0.25">
      <c r="A63" s="31"/>
      <c r="B63" s="7"/>
      <c r="C63" s="7"/>
      <c r="J63" s="7"/>
      <c r="K63" s="7"/>
      <c r="L63" s="7"/>
      <c r="M63" s="7"/>
    </row>
    <row r="64" spans="1:25" ht="15" customHeight="1" x14ac:dyDescent="0.25">
      <c r="A64" s="31"/>
      <c r="B64" s="7"/>
      <c r="C64" s="7"/>
      <c r="J64" s="7"/>
      <c r="K64" s="7"/>
      <c r="L64" s="7"/>
      <c r="M64" s="7"/>
    </row>
    <row r="65" spans="1:13" ht="15" customHeight="1" x14ac:dyDescent="0.25">
      <c r="A65" s="31"/>
      <c r="B65" s="7"/>
      <c r="C65" s="7"/>
      <c r="J65" s="7"/>
      <c r="K65" s="7"/>
      <c r="L65" s="7"/>
      <c r="M65" s="7"/>
    </row>
    <row r="66" spans="1:13" x14ac:dyDescent="0.25">
      <c r="A66" s="7"/>
      <c r="B66" s="7"/>
      <c r="C66" s="7"/>
      <c r="J66" s="7"/>
      <c r="K66" s="7"/>
      <c r="L66" s="7"/>
      <c r="M66" s="7"/>
    </row>
    <row r="67" spans="1:13" x14ac:dyDescent="0.25">
      <c r="J67" s="7"/>
      <c r="K67" s="7"/>
      <c r="L67" s="7"/>
      <c r="M67" s="7"/>
    </row>
    <row r="68" spans="1:13" x14ac:dyDescent="0.25">
      <c r="J68" s="7"/>
      <c r="K68" s="7"/>
      <c r="L68" s="7"/>
      <c r="M68" s="7"/>
    </row>
  </sheetData>
  <mergeCells count="25">
    <mergeCell ref="Z26:AB26"/>
    <mergeCell ref="AC26:AE26"/>
    <mergeCell ref="AU26:AW26"/>
    <mergeCell ref="AX26:AZ26"/>
    <mergeCell ref="BA26:BC26"/>
    <mergeCell ref="BD26:BF26"/>
    <mergeCell ref="AF26:AH26"/>
    <mergeCell ref="AI26:AK26"/>
    <mergeCell ref="AL26:AN26"/>
    <mergeCell ref="AO26:AQ26"/>
    <mergeCell ref="AR26:AT26"/>
    <mergeCell ref="T26:V26"/>
    <mergeCell ref="W26:Y26"/>
    <mergeCell ref="B26:D26"/>
    <mergeCell ref="E26:G26"/>
    <mergeCell ref="H26:J26"/>
    <mergeCell ref="K26:M26"/>
    <mergeCell ref="N26:P26"/>
    <mergeCell ref="Q26:S26"/>
    <mergeCell ref="M7:T7"/>
    <mergeCell ref="A1:J4"/>
    <mergeCell ref="M1:N1"/>
    <mergeCell ref="O1:P1"/>
    <mergeCell ref="R1:S1"/>
    <mergeCell ref="A7:K7"/>
  </mergeCells>
  <phoneticPr fontId="21" type="noConversion"/>
  <conditionalFormatting sqref="P22:Q22 E22:G22">
    <cfRule type="cellIs" dxfId="42" priority="15" operator="lessThanOrEqual">
      <formula>0</formula>
    </cfRule>
    <cfRule type="cellIs" dxfId="41" priority="16" operator="greaterThan">
      <formula>0</formula>
    </cfRule>
  </conditionalFormatting>
  <conditionalFormatting sqref="D22">
    <cfRule type="cellIs" dxfId="40" priority="13" operator="lessThanOrEqual">
      <formula>1</formula>
    </cfRule>
    <cfRule type="cellIs" dxfId="39" priority="14" operator="greaterThan">
      <formula>1</formula>
    </cfRule>
  </conditionalFormatting>
  <conditionalFormatting sqref="R22 H22">
    <cfRule type="cellIs" dxfId="38" priority="33" operator="lessThan">
      <formula>1</formula>
    </cfRule>
    <cfRule type="cellIs" dxfId="37" priority="34" operator="greaterThan">
      <formula>1</formula>
    </cfRule>
    <cfRule type="top10" dxfId="36" priority="35" percent="1" rank="10"/>
  </conditionalFormatting>
  <pageMargins left="0.7" right="0.7" top="0.75" bottom="0.75" header="0.3" footer="0.3"/>
  <pageSetup paperSize="9" orientation="portrait" r:id="rId1"/>
  <ignoredErrors>
    <ignoredError sqref="D10:D19 G10:G11 C29:C38 F29:F38 I29:I38 L29:L38 O29:O38 R29:R38 U29:U38 X29:X38 AA29:AA38 AD29:AD38 AG29:AG38 AJ29:AJ38" formulaRange="1"/>
    <ignoredError sqref="G21 O21:P21 R21 D21:E21 C40 BE40 X40:BB40 U40 O40 F40 L40 R40 H40:I40" formula="1"/>
    <ignoredError sqref="T12:T20 T10:T11 K10:K20 G9" evalError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7" tint="0.39997558519241921"/>
  </sheetPr>
  <dimension ref="A1:BU40"/>
  <sheetViews>
    <sheetView zoomScale="50" zoomScaleNormal="50" workbookViewId="0">
      <selection activeCell="Z1" sqref="Z1"/>
    </sheetView>
  </sheetViews>
  <sheetFormatPr baseColWidth="10" defaultRowHeight="15" x14ac:dyDescent="0.25"/>
  <cols>
    <col min="1" max="1" width="30.7109375" customWidth="1"/>
    <col min="2" max="4" width="22.7109375" customWidth="1"/>
    <col min="5" max="5" width="31.7109375" bestFit="1" customWidth="1"/>
    <col min="6" max="6" width="22.7109375" customWidth="1"/>
    <col min="7" max="8" width="23.85546875" bestFit="1" customWidth="1"/>
    <col min="9" max="9" width="20" bestFit="1" customWidth="1"/>
    <col min="10" max="10" width="24" bestFit="1" customWidth="1"/>
    <col min="11" max="11" width="16.42578125" bestFit="1" customWidth="1"/>
    <col min="12" max="12" width="23.28515625" bestFit="1" customWidth="1"/>
    <col min="13" max="13" width="22.42578125" bestFit="1" customWidth="1"/>
    <col min="14" max="14" width="22.7109375" customWidth="1"/>
    <col min="15" max="15" width="15.140625" bestFit="1" customWidth="1"/>
    <col min="16" max="16" width="22.7109375" customWidth="1"/>
    <col min="17" max="18" width="17.85546875" customWidth="1"/>
    <col min="19" max="19" width="19.28515625" bestFit="1" customWidth="1"/>
    <col min="20" max="20" width="16.7109375" bestFit="1" customWidth="1"/>
    <col min="21" max="21" width="16.42578125" bestFit="1" customWidth="1"/>
    <col min="22" max="22" width="17.85546875" bestFit="1" customWidth="1"/>
    <col min="23" max="23" width="18.85546875" bestFit="1" customWidth="1"/>
    <col min="24" max="24" width="16.7109375" bestFit="1" customWidth="1"/>
    <col min="25" max="25" width="19" customWidth="1"/>
    <col min="26" max="26" width="12.85546875" bestFit="1" customWidth="1"/>
    <col min="27" max="28" width="16" bestFit="1" customWidth="1"/>
    <col min="29" max="30" width="12.85546875" bestFit="1" customWidth="1"/>
    <col min="31" max="32" width="16.7109375" bestFit="1" customWidth="1"/>
    <col min="33" max="33" width="12.85546875" bestFit="1" customWidth="1"/>
    <col min="34" max="34" width="11.42578125" customWidth="1"/>
    <col min="35" max="35" width="15.42578125" customWidth="1"/>
    <col min="36" max="36" width="12.5703125" bestFit="1" customWidth="1"/>
    <col min="37" max="37" width="11.42578125" customWidth="1"/>
    <col min="38" max="38" width="15" bestFit="1" customWidth="1"/>
    <col min="39" max="39" width="12.5703125" bestFit="1" customWidth="1"/>
    <col min="40" max="40" width="11.7109375" customWidth="1"/>
    <col min="41" max="42" width="11.42578125" customWidth="1"/>
    <col min="43" max="43" width="12.5703125" bestFit="1" customWidth="1"/>
    <col min="44" max="46" width="11.42578125" customWidth="1"/>
    <col min="47" max="47" width="12.5703125" bestFit="1" customWidth="1"/>
    <col min="48" max="50" width="11.42578125" customWidth="1"/>
    <col min="51" max="51" width="12.5703125" bestFit="1" customWidth="1"/>
    <col min="52" max="52" width="16.7109375" bestFit="1" customWidth="1"/>
    <col min="53" max="54" width="12.85546875" bestFit="1" customWidth="1"/>
    <col min="55" max="56" width="16.7109375" bestFit="1" customWidth="1"/>
    <col min="57" max="58" width="12.85546875" bestFit="1" customWidth="1"/>
    <col min="59" max="60" width="16.7109375" bestFit="1" customWidth="1"/>
    <col min="61" max="62" width="12.85546875" bestFit="1" customWidth="1"/>
    <col min="63" max="64" width="16.7109375" bestFit="1" customWidth="1"/>
    <col min="65" max="65" width="12.85546875" bestFit="1" customWidth="1"/>
    <col min="67" max="67" width="12.5703125" bestFit="1" customWidth="1"/>
    <col min="71" max="71" width="12.5703125" bestFit="1" customWidth="1"/>
  </cols>
  <sheetData>
    <row r="1" spans="1:27" ht="15" customHeight="1" x14ac:dyDescent="0.25">
      <c r="A1" s="216" t="s">
        <v>68</v>
      </c>
      <c r="B1" s="216"/>
      <c r="C1" s="216"/>
      <c r="D1" s="216"/>
      <c r="E1" s="216"/>
      <c r="F1" s="216"/>
      <c r="G1" s="216"/>
      <c r="H1" s="216"/>
      <c r="I1" s="216"/>
      <c r="J1" s="216"/>
      <c r="K1" s="75"/>
      <c r="L1" s="97" t="s">
        <v>51</v>
      </c>
      <c r="M1" s="233" t="s">
        <v>57</v>
      </c>
      <c r="N1" s="234"/>
      <c r="O1" s="233" t="s">
        <v>32</v>
      </c>
      <c r="P1" s="235"/>
      <c r="Q1" s="109" t="s">
        <v>59</v>
      </c>
      <c r="R1" s="233" t="s">
        <v>58</v>
      </c>
      <c r="S1" s="235"/>
      <c r="T1" s="100" t="s">
        <v>59</v>
      </c>
    </row>
    <row r="2" spans="1:27" ht="15" customHeight="1" x14ac:dyDescent="0.25">
      <c r="A2" s="216"/>
      <c r="B2" s="216"/>
      <c r="C2" s="216"/>
      <c r="D2" s="216"/>
      <c r="E2" s="216"/>
      <c r="F2" s="216"/>
      <c r="G2" s="216"/>
      <c r="H2" s="216"/>
      <c r="I2" s="216"/>
      <c r="J2" s="216"/>
      <c r="K2" s="75"/>
      <c r="L2" s="91" t="s">
        <v>47</v>
      </c>
      <c r="M2" s="20">
        <v>0.95</v>
      </c>
      <c r="N2" s="20">
        <f>M2</f>
        <v>0.95</v>
      </c>
      <c r="O2" s="20" t="s">
        <v>46</v>
      </c>
      <c r="P2" s="20" t="e">
        <f>VLOOKUP(9^9,X9:X20,1)</f>
        <v>#N/A</v>
      </c>
      <c r="Q2" s="20"/>
      <c r="R2" s="20" t="s">
        <v>46</v>
      </c>
      <c r="S2" s="20" t="e">
        <f>VLOOKUP(9^9,O9:O20,1)</f>
        <v>#N/A</v>
      </c>
      <c r="T2" s="20"/>
    </row>
    <row r="3" spans="1:27" ht="15" customHeight="1" x14ac:dyDescent="0.25">
      <c r="A3" s="216"/>
      <c r="B3" s="216"/>
      <c r="C3" s="216"/>
      <c r="D3" s="216"/>
      <c r="E3" s="216"/>
      <c r="F3" s="216"/>
      <c r="G3" s="216"/>
      <c r="H3" s="216"/>
      <c r="I3" s="216"/>
      <c r="J3" s="216"/>
      <c r="K3" s="75"/>
      <c r="L3" s="91" t="s">
        <v>48</v>
      </c>
      <c r="M3" s="20">
        <v>0.05</v>
      </c>
      <c r="N3" s="20">
        <f>M2+M3</f>
        <v>1</v>
      </c>
      <c r="O3" s="20" t="s">
        <v>52</v>
      </c>
      <c r="P3" s="20">
        <v>0.02</v>
      </c>
      <c r="Q3" s="20" t="e">
        <f>P2</f>
        <v>#N/A</v>
      </c>
      <c r="R3" s="20" t="s">
        <v>52</v>
      </c>
      <c r="S3" s="20">
        <v>0.02</v>
      </c>
      <c r="T3" s="20" t="e">
        <f>S2</f>
        <v>#N/A</v>
      </c>
    </row>
    <row r="4" spans="1:27" ht="15.75" customHeight="1" x14ac:dyDescent="0.25">
      <c r="A4" s="216"/>
      <c r="B4" s="216"/>
      <c r="C4" s="216"/>
      <c r="D4" s="216"/>
      <c r="E4" s="216"/>
      <c r="F4" s="216"/>
      <c r="G4" s="216"/>
      <c r="H4" s="216"/>
      <c r="I4" s="216"/>
      <c r="J4" s="216"/>
      <c r="K4" s="75"/>
      <c r="L4" s="91" t="s">
        <v>49</v>
      </c>
      <c r="M4" s="20">
        <v>0.2</v>
      </c>
      <c r="N4" s="20">
        <f>M2+M3+M4</f>
        <v>1.2</v>
      </c>
      <c r="O4" s="20" t="s">
        <v>53</v>
      </c>
      <c r="P4" s="20" t="e">
        <f>SUM(M2:M5)-(P2+P3)</f>
        <v>#N/A</v>
      </c>
      <c r="Q4" s="20"/>
      <c r="R4" s="20" t="s">
        <v>53</v>
      </c>
      <c r="S4" s="20" t="e">
        <f>SUM(M2:M5)-(S2+S3)</f>
        <v>#N/A</v>
      </c>
      <c r="T4" s="20"/>
    </row>
    <row r="5" spans="1:27" x14ac:dyDescent="0.25">
      <c r="L5" s="91" t="s">
        <v>50</v>
      </c>
      <c r="M5" s="92">
        <v>0.8</v>
      </c>
      <c r="N5" s="91"/>
      <c r="O5" s="91" t="s">
        <v>54</v>
      </c>
      <c r="P5" s="91">
        <v>2</v>
      </c>
      <c r="Q5" s="91"/>
      <c r="R5" s="91" t="s">
        <v>54</v>
      </c>
      <c r="S5" s="91">
        <v>2</v>
      </c>
      <c r="T5" s="91"/>
    </row>
    <row r="7" spans="1:27" ht="45" customHeight="1" x14ac:dyDescent="0.25">
      <c r="A7" s="243" t="s">
        <v>39</v>
      </c>
      <c r="B7" s="244"/>
      <c r="C7" s="244"/>
      <c r="D7" s="244"/>
      <c r="E7" s="244"/>
      <c r="F7" s="244"/>
      <c r="G7" s="244"/>
      <c r="H7" s="244"/>
      <c r="I7" s="244"/>
      <c r="J7" s="244"/>
      <c r="K7" s="244"/>
      <c r="L7" s="244"/>
      <c r="M7" s="244"/>
      <c r="N7" s="244"/>
      <c r="O7" s="245"/>
      <c r="Q7" s="242" t="s">
        <v>40</v>
      </c>
      <c r="R7" s="242"/>
      <c r="S7" s="242"/>
      <c r="T7" s="242"/>
      <c r="U7" s="242"/>
      <c r="V7" s="242"/>
      <c r="W7" s="242"/>
      <c r="X7" s="242"/>
      <c r="AA7" s="165"/>
    </row>
    <row r="8" spans="1:27" ht="42" x14ac:dyDescent="0.25">
      <c r="A8" s="26">
        <f>'A3'!AN3</f>
        <v>2023</v>
      </c>
      <c r="B8" s="22" t="s">
        <v>25</v>
      </c>
      <c r="C8" s="22" t="s">
        <v>61</v>
      </c>
      <c r="D8" s="22" t="s">
        <v>38</v>
      </c>
      <c r="E8" s="22" t="s">
        <v>60</v>
      </c>
      <c r="F8" s="23" t="s">
        <v>26</v>
      </c>
      <c r="G8" s="23" t="s">
        <v>77</v>
      </c>
      <c r="H8" s="23" t="s">
        <v>27</v>
      </c>
      <c r="I8" s="23" t="s">
        <v>43</v>
      </c>
      <c r="J8" s="23" t="s">
        <v>37</v>
      </c>
      <c r="K8" s="16" t="s">
        <v>21</v>
      </c>
      <c r="L8" s="116" t="s">
        <v>70</v>
      </c>
      <c r="M8" s="74" t="s">
        <v>34</v>
      </c>
      <c r="N8" s="74" t="s">
        <v>42</v>
      </c>
      <c r="O8" s="74" t="s">
        <v>56</v>
      </c>
      <c r="Q8" s="26">
        <f>A8</f>
        <v>2023</v>
      </c>
      <c r="R8" s="9" t="s">
        <v>65</v>
      </c>
      <c r="S8" s="22" t="s">
        <v>64</v>
      </c>
      <c r="T8" s="10" t="s">
        <v>67</v>
      </c>
      <c r="U8" s="23" t="s">
        <v>66</v>
      </c>
      <c r="V8" s="74" t="s">
        <v>21</v>
      </c>
      <c r="W8" s="122" t="s">
        <v>70</v>
      </c>
      <c r="X8" s="74" t="s">
        <v>56</v>
      </c>
      <c r="AA8" s="165"/>
    </row>
    <row r="9" spans="1:27" ht="30" customHeight="1" x14ac:dyDescent="0.25">
      <c r="A9" s="8" t="s">
        <v>4</v>
      </c>
      <c r="B9" s="128">
        <v>2391292</v>
      </c>
      <c r="C9" s="24">
        <f>B9</f>
        <v>2391292</v>
      </c>
      <c r="D9" s="24">
        <v>38</v>
      </c>
      <c r="E9" s="24">
        <f>B9/M9/1000</f>
        <v>108.69509090909091</v>
      </c>
      <c r="F9" s="25"/>
      <c r="G9" s="76" t="e">
        <f>IF(F9="",NA(),F9)</f>
        <v>#N/A</v>
      </c>
      <c r="H9" s="76">
        <f>F9/M9</f>
        <v>0</v>
      </c>
      <c r="I9" s="25"/>
      <c r="J9" s="76" t="str">
        <f t="shared" ref="J9:J20" si="0">IFERROR((($F9*1000)/($N9)/$I9),"")</f>
        <v/>
      </c>
      <c r="K9" s="17">
        <f t="shared" ref="K9:K20" si="1">IF(F9="",B9,F9)</f>
        <v>2391292</v>
      </c>
      <c r="L9" s="17">
        <f>K9</f>
        <v>2391292</v>
      </c>
      <c r="M9" s="74">
        <f>INDEX('7. Administratif'!$B$14:$T$26,2,MATCH($A$8,'7. Administratif'!$B$14:$T$14,0))</f>
        <v>22</v>
      </c>
      <c r="N9" s="74" cm="1">
        <f t="array" ref="N9:N20">_xlfn.XLOOKUP(A8,'7. Administratif'!B33:T33,'7. Administratif'!B34:T45,,0)</f>
        <v>96008</v>
      </c>
      <c r="O9" s="96" t="e">
        <f t="shared" ref="O9:O20" si="2">IF(G9="","",G9/C9)</f>
        <v>#N/A</v>
      </c>
      <c r="Q9" s="8" t="s">
        <v>4</v>
      </c>
      <c r="R9" s="128">
        <v>313239.57771764311</v>
      </c>
      <c r="S9" s="24">
        <f>R9</f>
        <v>313239.57771764311</v>
      </c>
      <c r="T9" s="25"/>
      <c r="U9" s="76" t="e">
        <f>IF(T9="",NA(),T9)</f>
        <v>#N/A</v>
      </c>
      <c r="V9" s="17">
        <f>IF(T9="",R9,T9)</f>
        <v>313239.57771764311</v>
      </c>
      <c r="W9" s="17">
        <f>V9</f>
        <v>313239.57771764311</v>
      </c>
      <c r="X9" s="117" t="e">
        <f>IF(U9="","",U9/S9)</f>
        <v>#N/A</v>
      </c>
      <c r="AA9" s="165"/>
    </row>
    <row r="10" spans="1:27" ht="30" customHeight="1" x14ac:dyDescent="0.25">
      <c r="A10" s="8" t="s">
        <v>5</v>
      </c>
      <c r="B10" s="128">
        <v>1992766</v>
      </c>
      <c r="C10" s="24">
        <f>C9+B10</f>
        <v>4384058</v>
      </c>
      <c r="D10" s="24">
        <f>$D$9</f>
        <v>38</v>
      </c>
      <c r="E10" s="24">
        <f>SUM(B$9:B10)/SUM(M$9:M10)/1000</f>
        <v>104.38233333333334</v>
      </c>
      <c r="F10" s="25"/>
      <c r="G10" s="127" t="e">
        <f>IF(F10="",NA(),F10+G9)</f>
        <v>#N/A</v>
      </c>
      <c r="H10" s="76">
        <f>SUM(F$9:F10)/SUM(M$9:M10)</f>
        <v>0</v>
      </c>
      <c r="I10" s="25"/>
      <c r="J10" s="76" t="str">
        <f t="shared" si="0"/>
        <v/>
      </c>
      <c r="K10" s="17">
        <f t="shared" si="1"/>
        <v>1992766</v>
      </c>
      <c r="L10" s="17">
        <f>K10+L9</f>
        <v>4384058</v>
      </c>
      <c r="M10" s="74">
        <f>INDEX('7. Administratif'!$B$14:$T$26,3,MATCH($A$8,'7. Administratif'!$B$14:$T$14,0))</f>
        <v>20</v>
      </c>
      <c r="N10" s="74">
        <v>96008</v>
      </c>
      <c r="O10" s="96" t="e">
        <f t="shared" si="2"/>
        <v>#N/A</v>
      </c>
      <c r="Q10" s="8" t="s">
        <v>5</v>
      </c>
      <c r="R10" s="128">
        <v>148901.48122470386</v>
      </c>
      <c r="S10" s="24">
        <f>S9+R10</f>
        <v>462141.05894234695</v>
      </c>
      <c r="T10" s="25"/>
      <c r="U10" s="76" t="e">
        <f>IF(T10="",NA(),T10+U9)</f>
        <v>#N/A</v>
      </c>
      <c r="V10" s="17">
        <f t="shared" ref="V10:V20" si="3">IF(T10="",R10,T10)</f>
        <v>148901.48122470386</v>
      </c>
      <c r="W10" s="17">
        <f>W9+V10</f>
        <v>462141.05894234695</v>
      </c>
      <c r="X10" s="117" t="e">
        <f t="shared" ref="X10:X20" si="4">IF(U10="","",U10/S10)</f>
        <v>#N/A</v>
      </c>
      <c r="AA10" s="165"/>
    </row>
    <row r="11" spans="1:27" ht="30" customHeight="1" x14ac:dyDescent="0.25">
      <c r="A11" s="8" t="s">
        <v>6</v>
      </c>
      <c r="B11" s="128">
        <v>1539377</v>
      </c>
      <c r="C11" s="24">
        <f t="shared" ref="C11:C20" si="5">C10+B11</f>
        <v>5923435</v>
      </c>
      <c r="D11" s="24">
        <f t="shared" ref="D11:D20" si="6">$D$9</f>
        <v>38</v>
      </c>
      <c r="E11" s="24">
        <f>SUM(B$9:B11)/SUM(M$9:M11)/1000</f>
        <v>91.129769230769227</v>
      </c>
      <c r="F11" s="25"/>
      <c r="G11" s="127" t="e">
        <f t="shared" ref="G11:G20" si="7">IF(F11="",NA(),F11+G10)</f>
        <v>#N/A</v>
      </c>
      <c r="H11" s="76">
        <f>SUM(F$9:F11)/SUM(M$9:M11)</f>
        <v>0</v>
      </c>
      <c r="I11" s="25"/>
      <c r="J11" s="76" t="str">
        <f t="shared" si="0"/>
        <v/>
      </c>
      <c r="K11" s="17">
        <f t="shared" si="1"/>
        <v>1539377</v>
      </c>
      <c r="L11" s="17">
        <f t="shared" ref="L11:L20" si="8">K11+L10</f>
        <v>5923435</v>
      </c>
      <c r="M11" s="74">
        <f>INDEX('7. Administratif'!$B$14:$T$26,4,MATCH($A$8,'7. Administratif'!$B$14:$T$14,0))</f>
        <v>23</v>
      </c>
      <c r="N11" s="74">
        <v>96008</v>
      </c>
      <c r="O11" s="96" t="e">
        <f t="shared" si="2"/>
        <v>#N/A</v>
      </c>
      <c r="Q11" s="8" t="s">
        <v>6</v>
      </c>
      <c r="R11" s="128">
        <v>95784.407179353046</v>
      </c>
      <c r="S11" s="24">
        <f t="shared" ref="S11:S20" si="9">S10+R11</f>
        <v>557925.46612170001</v>
      </c>
      <c r="T11" s="25"/>
      <c r="U11" s="76" t="e">
        <f t="shared" ref="U11:U20" si="10">IF(T11="",NA(),T11+U10)</f>
        <v>#N/A</v>
      </c>
      <c r="V11" s="17">
        <f t="shared" si="3"/>
        <v>95784.407179353046</v>
      </c>
      <c r="W11" s="17">
        <f t="shared" ref="W11:W20" si="11">W10+V11</f>
        <v>557925.46612170001</v>
      </c>
      <c r="X11" s="117" t="e">
        <f t="shared" si="4"/>
        <v>#N/A</v>
      </c>
      <c r="AA11" s="165"/>
    </row>
    <row r="12" spans="1:27" ht="30" customHeight="1" x14ac:dyDescent="0.25">
      <c r="A12" s="8" t="s">
        <v>7</v>
      </c>
      <c r="B12" s="128">
        <v>814830</v>
      </c>
      <c r="C12" s="24">
        <f t="shared" si="5"/>
        <v>6738265</v>
      </c>
      <c r="D12" s="24">
        <f t="shared" si="6"/>
        <v>38</v>
      </c>
      <c r="E12" s="24">
        <f>SUM(B$9:B12)/SUM(M$9:M12)/1000</f>
        <v>80.217440476190475</v>
      </c>
      <c r="F12" s="25"/>
      <c r="G12" s="127" t="e">
        <f t="shared" si="7"/>
        <v>#N/A</v>
      </c>
      <c r="H12" s="76">
        <f>SUM(F$9:F12)/SUM(M$9:M12)</f>
        <v>0</v>
      </c>
      <c r="I12" s="25"/>
      <c r="J12" s="76" t="str">
        <f t="shared" si="0"/>
        <v/>
      </c>
      <c r="K12" s="17">
        <f t="shared" si="1"/>
        <v>814830</v>
      </c>
      <c r="L12" s="17">
        <f t="shared" si="8"/>
        <v>6738265</v>
      </c>
      <c r="M12" s="74">
        <f>INDEX('7. Administratif'!$B$14:$T$26,5,MATCH($A$8,'7. Administratif'!$B$14:$T$14,0))</f>
        <v>19</v>
      </c>
      <c r="N12" s="74">
        <v>96008</v>
      </c>
      <c r="O12" s="96" t="e">
        <f t="shared" si="2"/>
        <v>#N/A</v>
      </c>
      <c r="Q12" s="8" t="s">
        <v>7</v>
      </c>
      <c r="R12" s="128">
        <v>67200.274131320766</v>
      </c>
      <c r="S12" s="24">
        <f t="shared" si="9"/>
        <v>625125.74025302078</v>
      </c>
      <c r="T12" s="25"/>
      <c r="U12" s="76" t="e">
        <f t="shared" si="10"/>
        <v>#N/A</v>
      </c>
      <c r="V12" s="17">
        <f t="shared" si="3"/>
        <v>67200.274131320766</v>
      </c>
      <c r="W12" s="17">
        <f t="shared" si="11"/>
        <v>625125.74025302078</v>
      </c>
      <c r="X12" s="117" t="e">
        <f t="shared" si="4"/>
        <v>#N/A</v>
      </c>
      <c r="AA12" s="165"/>
    </row>
    <row r="13" spans="1:27" ht="30" customHeight="1" x14ac:dyDescent="0.25">
      <c r="A13" s="8" t="s">
        <v>8</v>
      </c>
      <c r="B13" s="128">
        <v>216504</v>
      </c>
      <c r="C13" s="24">
        <f t="shared" si="5"/>
        <v>6954769</v>
      </c>
      <c r="D13" s="24">
        <f t="shared" si="6"/>
        <v>38</v>
      </c>
      <c r="E13" s="24">
        <f>SUM(B$9:B13)/SUM(M$9:M13)/1000</f>
        <v>68.184009803921569</v>
      </c>
      <c r="F13" s="25"/>
      <c r="G13" s="127" t="e">
        <f t="shared" si="7"/>
        <v>#N/A</v>
      </c>
      <c r="H13" s="76">
        <f>SUM(F$9:F13)/SUM(M$9:M13)</f>
        <v>0</v>
      </c>
      <c r="I13" s="25"/>
      <c r="J13" s="76" t="str">
        <f t="shared" si="0"/>
        <v/>
      </c>
      <c r="K13" s="17">
        <f t="shared" si="1"/>
        <v>216504</v>
      </c>
      <c r="L13" s="17">
        <f t="shared" si="8"/>
        <v>6954769</v>
      </c>
      <c r="M13" s="74">
        <f>INDEX('7. Administratif'!$B$14:$T$26,6,MATCH($A$8,'7. Administratif'!$B$14:$T$14,0))</f>
        <v>18</v>
      </c>
      <c r="N13" s="74">
        <v>96008</v>
      </c>
      <c r="O13" s="96" t="e">
        <f t="shared" si="2"/>
        <v>#N/A</v>
      </c>
      <c r="Q13" s="8" t="s">
        <v>8</v>
      </c>
      <c r="R13" s="128">
        <v>32166.217663695552</v>
      </c>
      <c r="S13" s="24">
        <f t="shared" si="9"/>
        <v>657291.95791671635</v>
      </c>
      <c r="T13" s="25"/>
      <c r="U13" s="76" t="e">
        <f t="shared" si="10"/>
        <v>#N/A</v>
      </c>
      <c r="V13" s="17">
        <f t="shared" si="3"/>
        <v>32166.217663695552</v>
      </c>
      <c r="W13" s="17">
        <f t="shared" si="11"/>
        <v>657291.95791671635</v>
      </c>
      <c r="X13" s="117" t="e">
        <f t="shared" si="4"/>
        <v>#N/A</v>
      </c>
      <c r="AA13" s="165"/>
    </row>
    <row r="14" spans="1:27" ht="30" customHeight="1" x14ac:dyDescent="0.25">
      <c r="A14" s="8" t="s">
        <v>9</v>
      </c>
      <c r="B14" s="128">
        <v>60000</v>
      </c>
      <c r="C14" s="24">
        <f t="shared" si="5"/>
        <v>7014769</v>
      </c>
      <c r="D14" s="24">
        <f t="shared" si="6"/>
        <v>38</v>
      </c>
      <c r="E14" s="24">
        <f>SUM(B$9:B14)/SUM(M$9:M14)/1000</f>
        <v>56.570717741935482</v>
      </c>
      <c r="F14" s="25"/>
      <c r="G14" s="127" t="e">
        <f t="shared" si="7"/>
        <v>#N/A</v>
      </c>
      <c r="H14" s="76">
        <f>SUM(F$9:F14)/SUM(M$9:M14)</f>
        <v>0</v>
      </c>
      <c r="I14" s="25"/>
      <c r="J14" s="76" t="str">
        <f t="shared" si="0"/>
        <v/>
      </c>
      <c r="K14" s="17">
        <f t="shared" si="1"/>
        <v>60000</v>
      </c>
      <c r="L14" s="17">
        <f t="shared" si="8"/>
        <v>7014769</v>
      </c>
      <c r="M14" s="74">
        <f>INDEX('7. Administratif'!$B$14:$T$26,7,MATCH($A$8,'7. Administratif'!$B$14:$T$14,0))</f>
        <v>22</v>
      </c>
      <c r="N14" s="74">
        <v>96008</v>
      </c>
      <c r="O14" s="96" t="e">
        <f t="shared" si="2"/>
        <v>#N/A</v>
      </c>
      <c r="Q14" s="8" t="s">
        <v>9</v>
      </c>
      <c r="R14" s="128">
        <v>14874.554721923785</v>
      </c>
      <c r="S14" s="24">
        <f t="shared" si="9"/>
        <v>672166.51263864012</v>
      </c>
      <c r="T14" s="25"/>
      <c r="U14" s="76" t="e">
        <f t="shared" si="10"/>
        <v>#N/A</v>
      </c>
      <c r="V14" s="17">
        <f t="shared" si="3"/>
        <v>14874.554721923785</v>
      </c>
      <c r="W14" s="17">
        <f t="shared" si="11"/>
        <v>672166.51263864012</v>
      </c>
      <c r="X14" s="117" t="e">
        <f t="shared" si="4"/>
        <v>#N/A</v>
      </c>
      <c r="AA14" s="165"/>
    </row>
    <row r="15" spans="1:27" ht="30" customHeight="1" x14ac:dyDescent="0.25">
      <c r="A15" s="8" t="s">
        <v>10</v>
      </c>
      <c r="B15" s="128">
        <v>50000</v>
      </c>
      <c r="C15" s="24">
        <f t="shared" si="5"/>
        <v>7064769</v>
      </c>
      <c r="D15" s="24">
        <f t="shared" si="6"/>
        <v>38</v>
      </c>
      <c r="E15" s="24">
        <f>SUM(B$9:B15)/SUM(M$9:M15)/1000</f>
        <v>49.060895833333333</v>
      </c>
      <c r="F15" s="25"/>
      <c r="G15" s="127" t="e">
        <f t="shared" si="7"/>
        <v>#N/A</v>
      </c>
      <c r="H15" s="76">
        <f>SUM(F$9:F15)/SUM(M$9:M15)</f>
        <v>0</v>
      </c>
      <c r="I15" s="25"/>
      <c r="J15" s="76" t="str">
        <f t="shared" si="0"/>
        <v/>
      </c>
      <c r="K15" s="17">
        <f t="shared" si="1"/>
        <v>50000</v>
      </c>
      <c r="L15" s="17">
        <f t="shared" si="8"/>
        <v>7064769</v>
      </c>
      <c r="M15" s="74">
        <f>INDEX('7. Administratif'!$B$14:$T$26,8,MATCH($A$8,'7. Administratif'!$B$14:$T$14,0))</f>
        <v>20</v>
      </c>
      <c r="N15" s="74">
        <v>96008</v>
      </c>
      <c r="O15" s="96" t="e">
        <f t="shared" si="2"/>
        <v>#N/A</v>
      </c>
      <c r="Q15" s="8" t="s">
        <v>10</v>
      </c>
      <c r="R15" s="128">
        <v>14270.023473488456</v>
      </c>
      <c r="S15" s="24">
        <f t="shared" si="9"/>
        <v>686436.53611212852</v>
      </c>
      <c r="T15" s="25"/>
      <c r="U15" s="76" t="e">
        <f t="shared" si="10"/>
        <v>#N/A</v>
      </c>
      <c r="V15" s="17">
        <f t="shared" si="3"/>
        <v>14270.023473488456</v>
      </c>
      <c r="W15" s="17">
        <f t="shared" si="11"/>
        <v>686436.53611212852</v>
      </c>
      <c r="X15" s="117" t="e">
        <f t="shared" si="4"/>
        <v>#N/A</v>
      </c>
      <c r="AA15" s="165"/>
    </row>
    <row r="16" spans="1:27" ht="30" customHeight="1" x14ac:dyDescent="0.25">
      <c r="A16" s="8" t="s">
        <v>11</v>
      </c>
      <c r="B16" s="128">
        <v>35000</v>
      </c>
      <c r="C16" s="24">
        <f t="shared" si="5"/>
        <v>7099769</v>
      </c>
      <c r="D16" s="24">
        <f t="shared" si="6"/>
        <v>38</v>
      </c>
      <c r="E16" s="24">
        <f>SUM(B$9:B16)/SUM(M$9:M16)/1000</f>
        <v>42.769692771084337</v>
      </c>
      <c r="F16" s="25"/>
      <c r="G16" s="127" t="e">
        <f t="shared" si="7"/>
        <v>#N/A</v>
      </c>
      <c r="H16" s="76">
        <f>SUM(F$9:F16)/SUM(M$9:M16)</f>
        <v>0</v>
      </c>
      <c r="I16" s="25"/>
      <c r="J16" s="76" t="str">
        <f t="shared" si="0"/>
        <v/>
      </c>
      <c r="K16" s="17">
        <f t="shared" si="1"/>
        <v>35000</v>
      </c>
      <c r="L16" s="17">
        <f t="shared" si="8"/>
        <v>7099769</v>
      </c>
      <c r="M16" s="74">
        <f>INDEX('7. Administratif'!$B$14:$T$26,9,MATCH($A$8,'7. Administratif'!$B$14:$T$14,0))</f>
        <v>22</v>
      </c>
      <c r="N16" s="74">
        <v>96008</v>
      </c>
      <c r="O16" s="96" t="e">
        <f t="shared" si="2"/>
        <v>#N/A</v>
      </c>
      <c r="Q16" s="8" t="s">
        <v>11</v>
      </c>
      <c r="R16" s="128">
        <v>12107.653989763759</v>
      </c>
      <c r="S16" s="24">
        <f t="shared" si="9"/>
        <v>698544.19010189234</v>
      </c>
      <c r="T16" s="25"/>
      <c r="U16" s="76" t="e">
        <f t="shared" si="10"/>
        <v>#N/A</v>
      </c>
      <c r="V16" s="17">
        <f t="shared" si="3"/>
        <v>12107.653989763759</v>
      </c>
      <c r="W16" s="17">
        <f t="shared" si="11"/>
        <v>698544.19010189234</v>
      </c>
      <c r="X16" s="117" t="e">
        <f t="shared" si="4"/>
        <v>#N/A</v>
      </c>
      <c r="AA16" s="165"/>
    </row>
    <row r="17" spans="1:73" ht="30" customHeight="1" x14ac:dyDescent="0.25">
      <c r="A17" s="8" t="s">
        <v>12</v>
      </c>
      <c r="B17" s="128">
        <v>60000</v>
      </c>
      <c r="C17" s="24">
        <f t="shared" si="5"/>
        <v>7159769</v>
      </c>
      <c r="D17" s="24">
        <f t="shared" si="6"/>
        <v>38</v>
      </c>
      <c r="E17" s="24">
        <f>SUM(B$9:B17)/SUM(M$9:M17)/1000</f>
        <v>38.287534759358294</v>
      </c>
      <c r="F17" s="25"/>
      <c r="G17" s="127" t="e">
        <f t="shared" si="7"/>
        <v>#N/A</v>
      </c>
      <c r="H17" s="76">
        <f>SUM(F$9:F17)/SUM(M$9:M17)</f>
        <v>0</v>
      </c>
      <c r="I17" s="25"/>
      <c r="J17" s="76" t="str">
        <f t="shared" si="0"/>
        <v/>
      </c>
      <c r="K17" s="17">
        <f t="shared" si="1"/>
        <v>60000</v>
      </c>
      <c r="L17" s="17">
        <f t="shared" si="8"/>
        <v>7159769</v>
      </c>
      <c r="M17" s="74">
        <f>INDEX('7. Administratif'!$B$14:$T$26,10,MATCH($A$8,'7. Administratif'!$B$14:$T$14,0))</f>
        <v>21</v>
      </c>
      <c r="N17" s="74">
        <v>96008</v>
      </c>
      <c r="O17" s="96" t="e">
        <f t="shared" si="2"/>
        <v>#N/A</v>
      </c>
      <c r="Q17" s="8" t="s">
        <v>12</v>
      </c>
      <c r="R17" s="128">
        <v>15239.975684067449</v>
      </c>
      <c r="S17" s="24">
        <f t="shared" si="9"/>
        <v>713784.16578595981</v>
      </c>
      <c r="T17" s="25"/>
      <c r="U17" s="76" t="e">
        <f t="shared" si="10"/>
        <v>#N/A</v>
      </c>
      <c r="V17" s="17">
        <f t="shared" si="3"/>
        <v>15239.975684067449</v>
      </c>
      <c r="W17" s="17">
        <f t="shared" si="11"/>
        <v>713784.16578595981</v>
      </c>
      <c r="X17" s="117" t="e">
        <f t="shared" si="4"/>
        <v>#N/A</v>
      </c>
      <c r="AA17" s="165"/>
    </row>
    <row r="18" spans="1:73" ht="30" customHeight="1" x14ac:dyDescent="0.25">
      <c r="A18" s="8" t="s">
        <v>13</v>
      </c>
      <c r="B18" s="128">
        <v>523652</v>
      </c>
      <c r="C18" s="24">
        <f t="shared" si="5"/>
        <v>7683421</v>
      </c>
      <c r="D18" s="24">
        <f t="shared" si="6"/>
        <v>38</v>
      </c>
      <c r="E18" s="24">
        <f>SUM(B$9:B18)/SUM(M$9:M18)/1000</f>
        <v>36.762779904306221</v>
      </c>
      <c r="F18" s="25"/>
      <c r="G18" s="127" t="e">
        <f t="shared" si="7"/>
        <v>#N/A</v>
      </c>
      <c r="H18" s="76">
        <f>SUM(F$9:F18)/SUM(M$9:M18)</f>
        <v>0</v>
      </c>
      <c r="I18" s="25"/>
      <c r="J18" s="76" t="str">
        <f t="shared" si="0"/>
        <v/>
      </c>
      <c r="K18" s="17">
        <f t="shared" si="1"/>
        <v>523652</v>
      </c>
      <c r="L18" s="17">
        <f t="shared" si="8"/>
        <v>7683421</v>
      </c>
      <c r="M18" s="74">
        <f>INDEX('7. Administratif'!$B$14:$T$26,11,MATCH($A$8,'7. Administratif'!$B$14:$T$14,0))</f>
        <v>22</v>
      </c>
      <c r="N18" s="74">
        <v>96008</v>
      </c>
      <c r="O18" s="96" t="e">
        <f t="shared" si="2"/>
        <v>#N/A</v>
      </c>
      <c r="Q18" s="8" t="s">
        <v>13</v>
      </c>
      <c r="R18" s="128">
        <v>52218.49841559396</v>
      </c>
      <c r="S18" s="24">
        <f t="shared" si="9"/>
        <v>766002.66420155379</v>
      </c>
      <c r="T18" s="25"/>
      <c r="U18" s="76" t="e">
        <f t="shared" si="10"/>
        <v>#N/A</v>
      </c>
      <c r="V18" s="17">
        <f t="shared" si="3"/>
        <v>52218.49841559396</v>
      </c>
      <c r="W18" s="17">
        <f t="shared" si="11"/>
        <v>766002.66420155379</v>
      </c>
      <c r="X18" s="117" t="e">
        <f t="shared" si="4"/>
        <v>#N/A</v>
      </c>
      <c r="AA18" s="165"/>
    </row>
    <row r="19" spans="1:73" ht="30" customHeight="1" x14ac:dyDescent="0.25">
      <c r="A19" s="8" t="s">
        <v>14</v>
      </c>
      <c r="B19" s="128">
        <v>1272000</v>
      </c>
      <c r="C19" s="24">
        <f t="shared" si="5"/>
        <v>8955421</v>
      </c>
      <c r="D19" s="24">
        <f t="shared" si="6"/>
        <v>38</v>
      </c>
      <c r="E19" s="24">
        <f>SUM(B$9:B19)/SUM(M$9:M19)/1000</f>
        <v>38.93661304347826</v>
      </c>
      <c r="F19" s="25"/>
      <c r="G19" s="127" t="e">
        <f t="shared" si="7"/>
        <v>#N/A</v>
      </c>
      <c r="H19" s="76">
        <f>SUM(F$9:F19)/SUM(M$9:M19)</f>
        <v>0</v>
      </c>
      <c r="I19" s="25"/>
      <c r="J19" s="76" t="str">
        <f t="shared" si="0"/>
        <v/>
      </c>
      <c r="K19" s="17">
        <f t="shared" si="1"/>
        <v>1272000</v>
      </c>
      <c r="L19" s="17">
        <f t="shared" si="8"/>
        <v>8955421</v>
      </c>
      <c r="M19" s="74">
        <f>INDEX('7. Administratif'!$B$14:$T$26,12,MATCH($A$8,'7. Administratif'!$B$14:$T$14,0))</f>
        <v>21</v>
      </c>
      <c r="N19" s="74">
        <v>96008</v>
      </c>
      <c r="O19" s="96" t="e">
        <f t="shared" si="2"/>
        <v>#N/A</v>
      </c>
      <c r="Q19" s="8" t="s">
        <v>14</v>
      </c>
      <c r="R19" s="128">
        <v>113297.97042739757</v>
      </c>
      <c r="S19" s="24">
        <f t="shared" si="9"/>
        <v>879300.63462895132</v>
      </c>
      <c r="T19" s="25"/>
      <c r="U19" s="76" t="e">
        <f t="shared" si="10"/>
        <v>#N/A</v>
      </c>
      <c r="V19" s="17">
        <f t="shared" si="3"/>
        <v>113297.97042739757</v>
      </c>
      <c r="W19" s="17">
        <f t="shared" si="11"/>
        <v>879300.63462895132</v>
      </c>
      <c r="X19" s="117" t="e">
        <f t="shared" si="4"/>
        <v>#N/A</v>
      </c>
    </row>
    <row r="20" spans="1:73" ht="30" customHeight="1" x14ac:dyDescent="0.25">
      <c r="A20" s="8" t="s">
        <v>15</v>
      </c>
      <c r="B20" s="128">
        <v>1405938</v>
      </c>
      <c r="C20" s="24">
        <f t="shared" si="5"/>
        <v>10361359</v>
      </c>
      <c r="D20" s="24">
        <f t="shared" si="6"/>
        <v>38</v>
      </c>
      <c r="E20" s="24">
        <f>SUM(B$9:B20)/SUM(M$9:M20)/1000</f>
        <v>42.119345528455284</v>
      </c>
      <c r="F20" s="25"/>
      <c r="G20" s="127" t="e">
        <f t="shared" si="7"/>
        <v>#N/A</v>
      </c>
      <c r="H20" s="76">
        <f>SUM(F$9:F20)/SUM(M$9:M20)</f>
        <v>0</v>
      </c>
      <c r="I20" s="25"/>
      <c r="J20" s="76" t="str">
        <f t="shared" si="0"/>
        <v/>
      </c>
      <c r="K20" s="17">
        <f t="shared" si="1"/>
        <v>1405938</v>
      </c>
      <c r="L20" s="17">
        <f t="shared" si="8"/>
        <v>10361359</v>
      </c>
      <c r="M20" s="74">
        <f>INDEX('7. Administratif'!$B$14:$T$26,13,MATCH($A$8,'7. Administratif'!$B$14:$T$14,0))</f>
        <v>16</v>
      </c>
      <c r="N20" s="74">
        <v>96008</v>
      </c>
      <c r="O20" s="96" t="e">
        <f t="shared" si="2"/>
        <v>#N/A</v>
      </c>
      <c r="Q20" s="8" t="s">
        <v>15</v>
      </c>
      <c r="R20" s="128">
        <v>109135.22408463934</v>
      </c>
      <c r="S20" s="24">
        <f t="shared" si="9"/>
        <v>988435.85871359066</v>
      </c>
      <c r="T20" s="25"/>
      <c r="U20" s="76" t="e">
        <f t="shared" si="10"/>
        <v>#N/A</v>
      </c>
      <c r="V20" s="17">
        <f t="shared" si="3"/>
        <v>109135.22408463934</v>
      </c>
      <c r="W20" s="17">
        <f t="shared" si="11"/>
        <v>988435.85871359066</v>
      </c>
      <c r="X20" s="117" t="e">
        <f t="shared" si="4"/>
        <v>#N/A</v>
      </c>
    </row>
    <row r="21" spans="1:73" ht="45" customHeight="1" x14ac:dyDescent="0.25">
      <c r="A21" s="111" t="s">
        <v>20</v>
      </c>
      <c r="B21" s="112">
        <f>SUM(B9:B20)</f>
        <v>10361359</v>
      </c>
      <c r="C21" s="112">
        <f>K21-B21</f>
        <v>0</v>
      </c>
      <c r="D21" s="112">
        <f>$D$20</f>
        <v>38</v>
      </c>
      <c r="E21" s="112"/>
      <c r="F21" s="112">
        <f>SUM(F9:F20)</f>
        <v>0</v>
      </c>
      <c r="G21" s="112"/>
      <c r="H21" s="112">
        <f>H20</f>
        <v>0</v>
      </c>
      <c r="I21" s="112">
        <f>SUM(I9:I20)</f>
        <v>0</v>
      </c>
      <c r="J21" s="112" t="str">
        <f>J20</f>
        <v/>
      </c>
      <c r="K21" s="113">
        <f>SUM(K9:K20)</f>
        <v>10361359</v>
      </c>
      <c r="L21" s="113"/>
      <c r="M21" s="64">
        <f>SUM(M9:M20)</f>
        <v>246</v>
      </c>
      <c r="N21" s="95"/>
      <c r="O21" s="95"/>
      <c r="Q21" s="111" t="s">
        <v>20</v>
      </c>
      <c r="R21" s="119">
        <f>SUM(R9:R20)</f>
        <v>988435.85871359066</v>
      </c>
      <c r="S21" s="119">
        <f>V21-R21</f>
        <v>0</v>
      </c>
      <c r="T21" s="112">
        <f>SUM(T9:T20)</f>
        <v>0</v>
      </c>
      <c r="U21" s="112"/>
      <c r="V21" s="120">
        <f>SUM(V9:V20)</f>
        <v>988435.85871359066</v>
      </c>
      <c r="W21" s="114"/>
      <c r="X21" s="114"/>
    </row>
    <row r="22" spans="1:73" ht="30" customHeight="1" x14ac:dyDescent="0.25">
      <c r="A22" s="8" t="s">
        <v>23</v>
      </c>
      <c r="B22" s="20">
        <f>B21/B21</f>
        <v>1</v>
      </c>
      <c r="C22" s="121">
        <f>C21/B21</f>
        <v>0</v>
      </c>
      <c r="D22" s="18"/>
      <c r="E22" s="18"/>
      <c r="F22" s="18">
        <f>K22-B22</f>
        <v>0</v>
      </c>
      <c r="G22" s="18"/>
      <c r="H22" s="18">
        <f>C22-B22</f>
        <v>-1</v>
      </c>
      <c r="I22" s="18"/>
      <c r="J22" s="18"/>
      <c r="K22" s="18">
        <f>K21/B21</f>
        <v>1</v>
      </c>
      <c r="L22" s="115"/>
      <c r="M22" s="19"/>
      <c r="N22" s="19"/>
      <c r="O22" s="19"/>
      <c r="Q22" s="8" t="s">
        <v>23</v>
      </c>
      <c r="R22" s="20">
        <f>R21/R21</f>
        <v>1</v>
      </c>
      <c r="S22" s="108">
        <f>S21/R21</f>
        <v>0</v>
      </c>
      <c r="T22" s="18">
        <f>V22-R22</f>
        <v>0</v>
      </c>
      <c r="U22" s="18"/>
      <c r="V22" s="18">
        <f>V21/R21</f>
        <v>1</v>
      </c>
      <c r="W22" s="115"/>
      <c r="X22" s="115"/>
    </row>
    <row r="25" spans="1:73" ht="15.75" thickBot="1" x14ac:dyDescent="0.3"/>
    <row r="26" spans="1:73" ht="36.75" thickBot="1" x14ac:dyDescent="0.3">
      <c r="A26" s="130" t="s">
        <v>33</v>
      </c>
      <c r="B26" s="239">
        <v>2013</v>
      </c>
      <c r="C26" s="240"/>
      <c r="D26" s="240"/>
      <c r="E26" s="241"/>
      <c r="F26" s="239">
        <v>2014</v>
      </c>
      <c r="G26" s="240"/>
      <c r="H26" s="240"/>
      <c r="I26" s="241"/>
      <c r="J26" s="239">
        <v>2015</v>
      </c>
      <c r="K26" s="240"/>
      <c r="L26" s="240"/>
      <c r="M26" s="241"/>
      <c r="N26" s="239">
        <v>2016</v>
      </c>
      <c r="O26" s="240"/>
      <c r="P26" s="240"/>
      <c r="Q26" s="241"/>
      <c r="R26" s="239">
        <v>2017</v>
      </c>
      <c r="S26" s="240"/>
      <c r="T26" s="240"/>
      <c r="U26" s="241"/>
      <c r="V26" s="239">
        <v>2018</v>
      </c>
      <c r="W26" s="240"/>
      <c r="X26" s="240"/>
      <c r="Y26" s="241"/>
      <c r="Z26" s="239">
        <v>2019</v>
      </c>
      <c r="AA26" s="240"/>
      <c r="AB26" s="240"/>
      <c r="AC26" s="241"/>
      <c r="AD26" s="239">
        <v>2020</v>
      </c>
      <c r="AE26" s="240"/>
      <c r="AF26" s="240"/>
      <c r="AG26" s="241"/>
      <c r="AH26" s="239">
        <v>2021</v>
      </c>
      <c r="AI26" s="240"/>
      <c r="AJ26" s="240"/>
      <c r="AK26" s="241"/>
      <c r="AL26" s="239">
        <v>2022</v>
      </c>
      <c r="AM26" s="240"/>
      <c r="AN26" s="240"/>
      <c r="AO26" s="241"/>
      <c r="AP26" s="239">
        <v>2023</v>
      </c>
      <c r="AQ26" s="240"/>
      <c r="AR26" s="240"/>
      <c r="AS26" s="241"/>
      <c r="AT26" s="239">
        <v>2024</v>
      </c>
      <c r="AU26" s="240"/>
      <c r="AV26" s="240"/>
      <c r="AW26" s="241"/>
      <c r="AX26" s="239">
        <v>2025</v>
      </c>
      <c r="AY26" s="240"/>
      <c r="AZ26" s="240"/>
      <c r="BA26" s="241"/>
      <c r="BB26" s="239">
        <v>2026</v>
      </c>
      <c r="BC26" s="240"/>
      <c r="BD26" s="240"/>
      <c r="BE26" s="241"/>
      <c r="BF26" s="239">
        <v>2027</v>
      </c>
      <c r="BG26" s="240"/>
      <c r="BH26" s="240"/>
      <c r="BI26" s="241"/>
      <c r="BJ26" s="239">
        <v>2028</v>
      </c>
      <c r="BK26" s="240"/>
      <c r="BL26" s="240"/>
      <c r="BM26" s="241"/>
      <c r="BN26" s="239">
        <v>2029</v>
      </c>
      <c r="BO26" s="240"/>
      <c r="BP26" s="240"/>
      <c r="BQ26" s="241"/>
      <c r="BR26" s="239">
        <v>2030</v>
      </c>
      <c r="BS26" s="240"/>
      <c r="BT26" s="240"/>
      <c r="BU26" s="241"/>
    </row>
    <row r="27" spans="1:73" ht="24" thickBot="1" x14ac:dyDescent="0.3">
      <c r="A27" s="54" t="s">
        <v>29</v>
      </c>
      <c r="B27" s="133" t="s">
        <v>30</v>
      </c>
      <c r="C27" s="134" t="s">
        <v>80</v>
      </c>
      <c r="D27" s="134" t="s">
        <v>43</v>
      </c>
      <c r="E27" s="135" t="s">
        <v>32</v>
      </c>
      <c r="F27" s="133" t="s">
        <v>30</v>
      </c>
      <c r="G27" s="134" t="s">
        <v>80</v>
      </c>
      <c r="H27" s="134" t="s">
        <v>43</v>
      </c>
      <c r="I27" s="135" t="s">
        <v>32</v>
      </c>
      <c r="J27" s="133" t="s">
        <v>30</v>
      </c>
      <c r="K27" s="134" t="s">
        <v>80</v>
      </c>
      <c r="L27" s="134" t="s">
        <v>43</v>
      </c>
      <c r="M27" s="135" t="s">
        <v>32</v>
      </c>
      <c r="N27" s="133" t="s">
        <v>30</v>
      </c>
      <c r="O27" s="134" t="s">
        <v>80</v>
      </c>
      <c r="P27" s="134" t="s">
        <v>43</v>
      </c>
      <c r="Q27" s="135" t="s">
        <v>32</v>
      </c>
      <c r="R27" s="133" t="s">
        <v>30</v>
      </c>
      <c r="S27" s="134" t="s">
        <v>80</v>
      </c>
      <c r="T27" s="134" t="s">
        <v>43</v>
      </c>
      <c r="U27" s="135" t="s">
        <v>32</v>
      </c>
      <c r="V27" s="133" t="s">
        <v>30</v>
      </c>
      <c r="W27" s="134" t="s">
        <v>80</v>
      </c>
      <c r="X27" s="134" t="s">
        <v>43</v>
      </c>
      <c r="Y27" s="135" t="s">
        <v>32</v>
      </c>
      <c r="Z27" s="133" t="s">
        <v>30</v>
      </c>
      <c r="AA27" s="134" t="s">
        <v>80</v>
      </c>
      <c r="AB27" s="134" t="s">
        <v>43</v>
      </c>
      <c r="AC27" s="135" t="s">
        <v>32</v>
      </c>
      <c r="AD27" s="133" t="s">
        <v>30</v>
      </c>
      <c r="AE27" s="134" t="s">
        <v>80</v>
      </c>
      <c r="AF27" s="134" t="s">
        <v>43</v>
      </c>
      <c r="AG27" s="135" t="s">
        <v>32</v>
      </c>
      <c r="AH27" s="133" t="s">
        <v>30</v>
      </c>
      <c r="AI27" s="134" t="s">
        <v>80</v>
      </c>
      <c r="AJ27" s="134" t="s">
        <v>43</v>
      </c>
      <c r="AK27" s="135" t="s">
        <v>32</v>
      </c>
      <c r="AL27" s="133" t="s">
        <v>30</v>
      </c>
      <c r="AM27" s="134" t="s">
        <v>80</v>
      </c>
      <c r="AN27" s="134" t="s">
        <v>43</v>
      </c>
      <c r="AO27" s="135" t="s">
        <v>32</v>
      </c>
      <c r="AP27" s="133" t="s">
        <v>30</v>
      </c>
      <c r="AQ27" s="134" t="s">
        <v>80</v>
      </c>
      <c r="AR27" s="134" t="s">
        <v>43</v>
      </c>
      <c r="AS27" s="135" t="s">
        <v>32</v>
      </c>
      <c r="AT27" s="133" t="s">
        <v>30</v>
      </c>
      <c r="AU27" s="134" t="s">
        <v>80</v>
      </c>
      <c r="AV27" s="134" t="s">
        <v>43</v>
      </c>
      <c r="AW27" s="135" t="s">
        <v>32</v>
      </c>
      <c r="AX27" s="133" t="s">
        <v>30</v>
      </c>
      <c r="AY27" s="134" t="s">
        <v>80</v>
      </c>
      <c r="AZ27" s="134" t="s">
        <v>43</v>
      </c>
      <c r="BA27" s="135" t="s">
        <v>32</v>
      </c>
      <c r="BB27" s="133" t="s">
        <v>30</v>
      </c>
      <c r="BC27" s="134" t="s">
        <v>80</v>
      </c>
      <c r="BD27" s="134" t="s">
        <v>43</v>
      </c>
      <c r="BE27" s="135" t="s">
        <v>32</v>
      </c>
      <c r="BF27" s="133" t="s">
        <v>30</v>
      </c>
      <c r="BG27" s="134" t="s">
        <v>80</v>
      </c>
      <c r="BH27" s="134" t="s">
        <v>43</v>
      </c>
      <c r="BI27" s="135" t="s">
        <v>32</v>
      </c>
      <c r="BJ27" s="133" t="s">
        <v>30</v>
      </c>
      <c r="BK27" s="134" t="s">
        <v>80</v>
      </c>
      <c r="BL27" s="134" t="s">
        <v>43</v>
      </c>
      <c r="BM27" s="135" t="s">
        <v>32</v>
      </c>
      <c r="BN27" s="133" t="s">
        <v>30</v>
      </c>
      <c r="BO27" s="134" t="s">
        <v>80</v>
      </c>
      <c r="BP27" s="134" t="s">
        <v>43</v>
      </c>
      <c r="BQ27" s="135" t="s">
        <v>32</v>
      </c>
      <c r="BR27" s="133" t="s">
        <v>30</v>
      </c>
      <c r="BS27" s="134" t="s">
        <v>80</v>
      </c>
      <c r="BT27" s="134" t="s">
        <v>43</v>
      </c>
      <c r="BU27" s="135" t="s">
        <v>32</v>
      </c>
    </row>
    <row r="28" spans="1:73" ht="23.25" x14ac:dyDescent="0.25">
      <c r="A28" s="52" t="s">
        <v>4</v>
      </c>
      <c r="B28" s="39">
        <v>4675.6909999999998</v>
      </c>
      <c r="C28" s="40">
        <f>B28*1000000/'7. Administratif'!C34/D28</f>
        <v>92.676823724120112</v>
      </c>
      <c r="D28" s="139">
        <v>522.1</v>
      </c>
      <c r="E28" s="41"/>
      <c r="F28" s="39">
        <v>2676.9850000000001</v>
      </c>
      <c r="G28" s="40">
        <f>F28*1000000/'7. Administratif'!D34/H28</f>
        <v>65.106658291200631</v>
      </c>
      <c r="H28" s="139">
        <v>425.5</v>
      </c>
      <c r="I28" s="41"/>
      <c r="J28" s="39">
        <v>3400.6849999999995</v>
      </c>
      <c r="K28" s="40">
        <f>J28*1000000/'7. Administratif'!E34/L28</f>
        <v>74.135497414299721</v>
      </c>
      <c r="L28" s="139">
        <v>474.7000000000001</v>
      </c>
      <c r="M28" s="41"/>
      <c r="N28" s="39">
        <v>3154.442</v>
      </c>
      <c r="O28" s="40">
        <f>N28*1000000/'7. Administratif'!F34/P28</f>
        <v>72.622614874766342</v>
      </c>
      <c r="P28" s="139">
        <v>449.49999999999994</v>
      </c>
      <c r="Q28" s="41"/>
      <c r="R28" s="39">
        <v>4938.820999999999</v>
      </c>
      <c r="S28" s="40">
        <f>R28*1000000/'7. Administratif'!G34/T28</f>
        <v>84.674586940371711</v>
      </c>
      <c r="T28" s="139">
        <v>603.6</v>
      </c>
      <c r="U28" s="41"/>
      <c r="V28" s="39">
        <v>2816.1459999999997</v>
      </c>
      <c r="W28" s="40">
        <f>V28*1000000/'7. Administratif'!H34/X28</f>
        <v>78.13135686045419</v>
      </c>
      <c r="X28" s="131">
        <v>372.99999999999994</v>
      </c>
      <c r="Y28" s="41"/>
      <c r="Z28" s="39">
        <v>3245.8540000000003</v>
      </c>
      <c r="AA28" s="40">
        <f>Z28*1000000/'7. Administratif'!I34/AB28</f>
        <v>63.696344150492592</v>
      </c>
      <c r="AB28" s="139">
        <v>517.70000000000005</v>
      </c>
      <c r="AC28" s="41"/>
      <c r="AD28" s="39">
        <v>2401.6679999999997</v>
      </c>
      <c r="AE28" s="40">
        <f>AD28*1000000/'7. Administratif'!J34/AF28</f>
        <v>55.706073979728153</v>
      </c>
      <c r="AF28" s="139">
        <v>438</v>
      </c>
      <c r="AG28" s="41"/>
      <c r="AH28" s="39">
        <v>2511.248</v>
      </c>
      <c r="AI28" s="40">
        <f>AH28*1000000/'7. Administratif'!K34/AJ28</f>
        <v>52.703311731208913</v>
      </c>
      <c r="AJ28" s="139">
        <v>496.3</v>
      </c>
      <c r="AK28" s="41"/>
      <c r="AL28" s="39">
        <v>2808.1469999999999</v>
      </c>
      <c r="AM28" s="40">
        <f>AL28*1000000/'7. Administratif'!L34/AN28</f>
        <v>60.270129457066837</v>
      </c>
      <c r="AN28" s="139">
        <v>485.30000000000007</v>
      </c>
      <c r="AO28" s="41"/>
      <c r="AP28" s="39"/>
      <c r="AQ28" s="40" t="e">
        <f>AP28*1000000/'7. Administratif'!M34/AR28</f>
        <v>#DIV/0!</v>
      </c>
      <c r="AR28" s="40"/>
      <c r="AS28" s="41"/>
      <c r="AT28" s="39"/>
      <c r="AU28" s="40" t="e">
        <f>AT28*1000000/'7. Administratif'!N34/AV28</f>
        <v>#DIV/0!</v>
      </c>
      <c r="AV28" s="40"/>
      <c r="AW28" s="41"/>
      <c r="AX28" s="39"/>
      <c r="AY28" s="40" t="e">
        <f>AX28*1000000/'7. Administratif'!O34/AZ28</f>
        <v>#DIV/0!</v>
      </c>
      <c r="AZ28" s="40"/>
      <c r="BA28" s="41"/>
      <c r="BB28" s="39"/>
      <c r="BC28" s="40" t="e">
        <f>BB28*1000000/'7. Administratif'!P34/BD28</f>
        <v>#DIV/0!</v>
      </c>
      <c r="BD28" s="40"/>
      <c r="BE28" s="41"/>
      <c r="BF28" s="39"/>
      <c r="BG28" s="40" t="e">
        <f>BF28*1000000/'7. Administratif'!Q34/BH28</f>
        <v>#DIV/0!</v>
      </c>
      <c r="BH28" s="40"/>
      <c r="BI28" s="41"/>
      <c r="BJ28" s="39"/>
      <c r="BK28" s="40" t="e">
        <f>BJ28*1000000/'7. Administratif'!R34/BL28</f>
        <v>#DIV/0!</v>
      </c>
      <c r="BL28" s="40"/>
      <c r="BM28" s="41"/>
      <c r="BN28" s="39"/>
      <c r="BO28" s="40" t="e">
        <f>BN28*1000000/'7. Administratif'!S34/BP28</f>
        <v>#DIV/0!</v>
      </c>
      <c r="BP28" s="40"/>
      <c r="BQ28" s="41"/>
      <c r="BR28" s="39"/>
      <c r="BS28" s="40" t="e">
        <f>BR28*1000000/'7. Administratif'!T34/BT28</f>
        <v>#DIV/0!</v>
      </c>
      <c r="BT28" s="40"/>
      <c r="BU28" s="41"/>
    </row>
    <row r="29" spans="1:73" ht="23.25" x14ac:dyDescent="0.25">
      <c r="A29" s="53" t="s">
        <v>5</v>
      </c>
      <c r="B29" s="44">
        <v>4539.2929999999997</v>
      </c>
      <c r="C29" s="45">
        <f>B29*1000000/'7. Administratif'!C35/D29</f>
        <v>94.32740898189995</v>
      </c>
      <c r="D29" s="140">
        <v>498</v>
      </c>
      <c r="E29" s="46"/>
      <c r="F29" s="44">
        <v>2076.7429999999999</v>
      </c>
      <c r="G29" s="45">
        <f>F29*1000000/'7. Administratif'!D35/H29</f>
        <v>59.914289056943289</v>
      </c>
      <c r="H29" s="140">
        <v>358.7</v>
      </c>
      <c r="I29" s="46"/>
      <c r="J29" s="44">
        <v>3244.8339999999998</v>
      </c>
      <c r="K29" s="45">
        <f>J29*1000000/'7. Administratif'!E35/L29</f>
        <v>74.620645564846242</v>
      </c>
      <c r="L29" s="140">
        <v>450</v>
      </c>
      <c r="M29" s="46"/>
      <c r="N29" s="44">
        <v>2647.6310000000003</v>
      </c>
      <c r="O29" s="45">
        <f>N29*1000000/'7. Administratif'!F35/P29</f>
        <v>72.140895459115697</v>
      </c>
      <c r="P29" s="140">
        <v>379.8</v>
      </c>
      <c r="Q29" s="46"/>
      <c r="R29" s="44">
        <v>2208.4690000000001</v>
      </c>
      <c r="S29" s="45">
        <f>R29*1000000/'7. Administratif'!G35/T29</f>
        <v>63.484519735813286</v>
      </c>
      <c r="T29" s="140">
        <v>360.00000000000006</v>
      </c>
      <c r="U29" s="46"/>
      <c r="V29" s="44">
        <v>3877.5630000000001</v>
      </c>
      <c r="W29" s="45">
        <f>V29*1000000/'7. Administratif'!H35/X29</f>
        <v>81.575749343184398</v>
      </c>
      <c r="X29" s="132">
        <v>491.90000000000003</v>
      </c>
      <c r="Y29" s="46"/>
      <c r="Z29" s="44">
        <v>1967.617</v>
      </c>
      <c r="AA29" s="45">
        <f>Z29*1000000/'7. Administratif'!I35/AB29</f>
        <v>55.72320903012406</v>
      </c>
      <c r="AB29" s="140">
        <v>358.73036363636368</v>
      </c>
      <c r="AC29" s="46"/>
      <c r="AD29" s="44">
        <v>1590.905</v>
      </c>
      <c r="AE29" s="45">
        <f>AD29*1000000/'7. Administratif'!J35/AF29</f>
        <v>51.260633205026522</v>
      </c>
      <c r="AF29" s="140">
        <v>315.3</v>
      </c>
      <c r="AG29" s="46"/>
      <c r="AH29" s="44">
        <v>2000.1590000000001</v>
      </c>
      <c r="AI29" s="45">
        <f>AH29*1000000/'7. Administratif'!K35/AJ29</f>
        <v>56.445379173955565</v>
      </c>
      <c r="AJ29" s="140">
        <v>369.08696130239514</v>
      </c>
      <c r="AK29" s="46"/>
      <c r="AL29" s="44">
        <v>1763.6190000000004</v>
      </c>
      <c r="AM29" s="45">
        <f>AL29*1000000/'7. Administratif'!L35/AN29</f>
        <v>53.137114429549172</v>
      </c>
      <c r="AN29" s="140">
        <v>345.7</v>
      </c>
      <c r="AO29" s="46"/>
      <c r="AP29" s="44"/>
      <c r="AQ29" s="45" t="e">
        <f>AP29*1000000/'7. Administratif'!M35/AR29</f>
        <v>#DIV/0!</v>
      </c>
      <c r="AR29" s="45"/>
      <c r="AS29" s="46"/>
      <c r="AT29" s="44"/>
      <c r="AU29" s="45" t="e">
        <f>AT29*1000000/'7. Administratif'!N35/AV29</f>
        <v>#DIV/0!</v>
      </c>
      <c r="AV29" s="45"/>
      <c r="AW29" s="46"/>
      <c r="AX29" s="44"/>
      <c r="AY29" s="45" t="e">
        <f>AX29*1000000/'7. Administratif'!O35/AZ29</f>
        <v>#DIV/0!</v>
      </c>
      <c r="AZ29" s="45"/>
      <c r="BA29" s="46"/>
      <c r="BB29" s="44"/>
      <c r="BC29" s="45" t="e">
        <f>BB29*1000000/'7. Administratif'!P35/BD29</f>
        <v>#DIV/0!</v>
      </c>
      <c r="BD29" s="45"/>
      <c r="BE29" s="46"/>
      <c r="BF29" s="44"/>
      <c r="BG29" s="45" t="e">
        <f>BF29*1000000/'7. Administratif'!Q35/BH29</f>
        <v>#DIV/0!</v>
      </c>
      <c r="BH29" s="45"/>
      <c r="BI29" s="46"/>
      <c r="BJ29" s="44"/>
      <c r="BK29" s="45" t="e">
        <f>BJ29*1000000/'7. Administratif'!R35/BL29</f>
        <v>#DIV/0!</v>
      </c>
      <c r="BL29" s="45"/>
      <c r="BM29" s="46"/>
      <c r="BN29" s="44"/>
      <c r="BO29" s="45" t="e">
        <f>BN29*1000000/'7. Administratif'!S35/BP29</f>
        <v>#DIV/0!</v>
      </c>
      <c r="BP29" s="45"/>
      <c r="BQ29" s="46"/>
      <c r="BR29" s="44"/>
      <c r="BS29" s="45" t="e">
        <f>BR29*1000000/'7. Administratif'!T35/BT29</f>
        <v>#DIV/0!</v>
      </c>
      <c r="BT29" s="45"/>
      <c r="BU29" s="46"/>
    </row>
    <row r="30" spans="1:73" ht="23.25" x14ac:dyDescent="0.25">
      <c r="A30" s="53" t="s">
        <v>6</v>
      </c>
      <c r="B30" s="39">
        <v>3361.8820000000001</v>
      </c>
      <c r="C30" s="40">
        <f>B30*1000000/'7. Administratif'!C36/D30</f>
        <v>78.5162858768729</v>
      </c>
      <c r="D30" s="139">
        <v>443.1</v>
      </c>
      <c r="E30" s="41"/>
      <c r="F30" s="39">
        <v>1612.1010000000001</v>
      </c>
      <c r="G30" s="40">
        <f>F30*1000000/'7. Administratif'!D36/H30</f>
        <v>54.04240274042985</v>
      </c>
      <c r="H30" s="139">
        <v>308.7</v>
      </c>
      <c r="I30" s="41"/>
      <c r="J30" s="39">
        <v>1781.8449999999998</v>
      </c>
      <c r="K30" s="40">
        <f>J30*1000000/'7. Administratif'!E36/L30</f>
        <v>55.507200763745836</v>
      </c>
      <c r="L30" s="139">
        <v>332.2</v>
      </c>
      <c r="M30" s="41"/>
      <c r="N30" s="39">
        <v>2435.0889999999999</v>
      </c>
      <c r="O30" s="40">
        <f>N30*1000000/'7. Administratif'!F36/P30</f>
        <v>64.322870858654767</v>
      </c>
      <c r="P30" s="139">
        <v>391.76754128440359</v>
      </c>
      <c r="Q30" s="41"/>
      <c r="R30" s="39">
        <v>1528.4390000000005</v>
      </c>
      <c r="S30" s="40">
        <f>R30*1000000/'7. Administratif'!G36/T30</f>
        <v>56.819710026014072</v>
      </c>
      <c r="T30" s="139">
        <v>278.37365355767707</v>
      </c>
      <c r="U30" s="41"/>
      <c r="V30" s="39">
        <v>2822.5089999999991</v>
      </c>
      <c r="W30" s="40">
        <f>V30*1000000/'7. Administratif'!H36/X30</f>
        <v>71.819139073633593</v>
      </c>
      <c r="X30" s="131">
        <v>406.7</v>
      </c>
      <c r="Y30" s="41"/>
      <c r="Z30" s="39">
        <v>1469.337</v>
      </c>
      <c r="AA30" s="40">
        <f>Z30*1000000/'7. Administratif'!I36/AB30</f>
        <v>47.453255768112655</v>
      </c>
      <c r="AB30" s="139">
        <v>314.57129535717991</v>
      </c>
      <c r="AC30" s="41"/>
      <c r="AD30" s="39">
        <v>1434.5379999999998</v>
      </c>
      <c r="AE30" s="40">
        <f>AD30*1000000/'7. Administratif'!J36/AF30</f>
        <v>42.255989784087177</v>
      </c>
      <c r="AF30" s="139">
        <v>344.89545284791535</v>
      </c>
      <c r="AG30" s="41"/>
      <c r="AH30" s="39">
        <v>1557.6680000000003</v>
      </c>
      <c r="AI30" s="40">
        <f>AH30*1000000/'7. Administratif'!K36/AJ30</f>
        <v>44.175642315062689</v>
      </c>
      <c r="AJ30" s="139">
        <v>367.26927902776191</v>
      </c>
      <c r="AK30" s="41"/>
      <c r="AL30" s="39">
        <v>1246.4920000000002</v>
      </c>
      <c r="AM30" s="40">
        <f>AL30*1000000/'7. Administratif'!L36/AN30</f>
        <v>43.599266061215808</v>
      </c>
      <c r="AN30" s="139">
        <v>297.78505248902906</v>
      </c>
      <c r="AO30" s="41"/>
      <c r="AP30" s="39"/>
      <c r="AQ30" s="40" t="e">
        <f>AP30*1000000/'7. Administratif'!M36/AR30</f>
        <v>#DIV/0!</v>
      </c>
      <c r="AR30" s="40"/>
      <c r="AS30" s="41"/>
      <c r="AT30" s="39"/>
      <c r="AU30" s="40" t="e">
        <f>AT30*1000000/'7. Administratif'!N36/AV30</f>
        <v>#DIV/0!</v>
      </c>
      <c r="AV30" s="40"/>
      <c r="AW30" s="41"/>
      <c r="AX30" s="39"/>
      <c r="AY30" s="40" t="e">
        <f>AX30*1000000/'7. Administratif'!O36/AZ30</f>
        <v>#DIV/0!</v>
      </c>
      <c r="AZ30" s="40"/>
      <c r="BA30" s="41"/>
      <c r="BB30" s="39"/>
      <c r="BC30" s="40" t="e">
        <f>BB30*1000000/'7. Administratif'!P36/BD30</f>
        <v>#DIV/0!</v>
      </c>
      <c r="BD30" s="40"/>
      <c r="BE30" s="41"/>
      <c r="BF30" s="39"/>
      <c r="BG30" s="40" t="e">
        <f>BF30*1000000/'7. Administratif'!Q36/BH30</f>
        <v>#DIV/0!</v>
      </c>
      <c r="BH30" s="40"/>
      <c r="BI30" s="41"/>
      <c r="BJ30" s="39"/>
      <c r="BK30" s="40" t="e">
        <f>BJ30*1000000/'7. Administratif'!R36/BL30</f>
        <v>#DIV/0!</v>
      </c>
      <c r="BL30" s="40"/>
      <c r="BM30" s="41"/>
      <c r="BN30" s="39"/>
      <c r="BO30" s="40" t="e">
        <f>BN30*1000000/'7. Administratif'!S36/BP30</f>
        <v>#DIV/0!</v>
      </c>
      <c r="BP30" s="40"/>
      <c r="BQ30" s="41"/>
      <c r="BR30" s="39"/>
      <c r="BS30" s="40" t="e">
        <f>BR30*1000000/'7. Administratif'!T36/BT30</f>
        <v>#DIV/0!</v>
      </c>
      <c r="BT30" s="40"/>
      <c r="BU30" s="41"/>
    </row>
    <row r="31" spans="1:73" ht="23.25" x14ac:dyDescent="0.25">
      <c r="A31" s="53" t="s">
        <v>7</v>
      </c>
      <c r="B31" s="44">
        <v>1616.0550000000001</v>
      </c>
      <c r="C31" s="45">
        <f>B31*1000000/'7. Administratif'!C37/D31</f>
        <v>64.972058462827576</v>
      </c>
      <c r="D31" s="140">
        <v>257.39999999999998</v>
      </c>
      <c r="E31" s="46"/>
      <c r="F31" s="44">
        <v>749.66600000000005</v>
      </c>
      <c r="G31" s="45">
        <f>F31*1000000/'7. Administratif'!D37/H31</f>
        <v>38.867473335610704</v>
      </c>
      <c r="H31" s="140">
        <v>199.6</v>
      </c>
      <c r="I31" s="46"/>
      <c r="J31" s="44">
        <v>991.3979999999998</v>
      </c>
      <c r="K31" s="45">
        <f>J31*1000000/'7. Administratif'!E37/L31</f>
        <v>44.977524869932886</v>
      </c>
      <c r="L31" s="140">
        <v>228.10327347607833</v>
      </c>
      <c r="M31" s="46"/>
      <c r="N31" s="44">
        <v>1330.5360000000001</v>
      </c>
      <c r="O31" s="45">
        <f>N31*1000000/'7. Administratif'!F37/P31</f>
        <v>55.614539898455675</v>
      </c>
      <c r="P31" s="140">
        <v>247.58099999999996</v>
      </c>
      <c r="Q31" s="46"/>
      <c r="R31" s="44">
        <v>1100.1650000000002</v>
      </c>
      <c r="S31" s="45">
        <f>R31*1000000/'7. Administratif'!G37/T31</f>
        <v>43.373396717580512</v>
      </c>
      <c r="T31" s="140">
        <v>262.49039815783527</v>
      </c>
      <c r="U31" s="46"/>
      <c r="V31" s="44">
        <v>657.56799999999998</v>
      </c>
      <c r="W31" s="45">
        <f>V31*1000000/'7. Administratif'!H37/X31</f>
        <v>42.490796115356403</v>
      </c>
      <c r="X31" s="132">
        <v>160.14922229677336</v>
      </c>
      <c r="Y31" s="46"/>
      <c r="Z31" s="44">
        <v>943.88799999999969</v>
      </c>
      <c r="AA31" s="45">
        <f>Z31*1000000/'7. Administratif'!I37/AB31</f>
        <v>38.205221017213304</v>
      </c>
      <c r="AB31" s="140">
        <v>250.99290140112299</v>
      </c>
      <c r="AC31" s="46"/>
      <c r="AD31" s="44">
        <v>374.99000000000007</v>
      </c>
      <c r="AE31" s="45">
        <f>AD31*1000000/'7. Administratif'!J37/AF31</f>
        <v>21.391281235592977</v>
      </c>
      <c r="AF31" s="140">
        <v>180.2111463945804</v>
      </c>
      <c r="AG31" s="46"/>
      <c r="AH31" s="44">
        <v>1026.029</v>
      </c>
      <c r="AI31" s="45">
        <f>AH31*1000000/'7. Administratif'!K37/AJ31</f>
        <v>36.925230273530069</v>
      </c>
      <c r="AJ31" s="140">
        <v>289.42030769230763</v>
      </c>
      <c r="AK31" s="46"/>
      <c r="AL31" s="44">
        <v>690.53600000000006</v>
      </c>
      <c r="AM31" s="45">
        <f>AL31*1000000/'7. Administratif'!L37/AN31</f>
        <v>31.288032052055847</v>
      </c>
      <c r="AN31" s="140">
        <v>229.87971719357242</v>
      </c>
      <c r="AO31" s="46"/>
      <c r="AP31" s="44"/>
      <c r="AQ31" s="45" t="e">
        <f>AP31*1000000/'7. Administratif'!M37/AR31</f>
        <v>#DIV/0!</v>
      </c>
      <c r="AR31" s="45"/>
      <c r="AS31" s="46"/>
      <c r="AT31" s="44"/>
      <c r="AU31" s="45" t="e">
        <f>AT31*1000000/'7. Administratif'!N37/AV31</f>
        <v>#DIV/0!</v>
      </c>
      <c r="AV31" s="45"/>
      <c r="AW31" s="46"/>
      <c r="AX31" s="44"/>
      <c r="AY31" s="45" t="e">
        <f>AX31*1000000/'7. Administratif'!O37/AZ31</f>
        <v>#DIV/0!</v>
      </c>
      <c r="AZ31" s="45"/>
      <c r="BA31" s="46"/>
      <c r="BB31" s="44"/>
      <c r="BC31" s="45" t="e">
        <f>BB31*1000000/'7. Administratif'!P37/BD31</f>
        <v>#DIV/0!</v>
      </c>
      <c r="BD31" s="45"/>
      <c r="BE31" s="46"/>
      <c r="BF31" s="44"/>
      <c r="BG31" s="45" t="e">
        <f>BF31*1000000/'7. Administratif'!Q37/BH31</f>
        <v>#DIV/0!</v>
      </c>
      <c r="BH31" s="45"/>
      <c r="BI31" s="46"/>
      <c r="BJ31" s="44"/>
      <c r="BK31" s="45" t="e">
        <f>BJ31*1000000/'7. Administratif'!R37/BL31</f>
        <v>#DIV/0!</v>
      </c>
      <c r="BL31" s="45"/>
      <c r="BM31" s="46"/>
      <c r="BN31" s="44"/>
      <c r="BO31" s="45" t="e">
        <f>BN31*1000000/'7. Administratif'!S37/BP31</f>
        <v>#DIV/0!</v>
      </c>
      <c r="BP31" s="45"/>
      <c r="BQ31" s="46"/>
      <c r="BR31" s="44"/>
      <c r="BS31" s="45" t="e">
        <f>BR31*1000000/'7. Administratif'!T37/BT31</f>
        <v>#DIV/0!</v>
      </c>
      <c r="BT31" s="45"/>
      <c r="BU31" s="46"/>
    </row>
    <row r="32" spans="1:73" ht="23.25" x14ac:dyDescent="0.25">
      <c r="A32" s="53" t="s">
        <v>8</v>
      </c>
      <c r="B32" s="39">
        <v>530.16700000000003</v>
      </c>
      <c r="C32" s="40">
        <f>B32*1000000/'7. Administratif'!C38/D32</f>
        <v>27.295789864321907</v>
      </c>
      <c r="D32" s="139">
        <v>201</v>
      </c>
      <c r="E32" s="41"/>
      <c r="F32" s="39">
        <v>346.25400000000002</v>
      </c>
      <c r="G32" s="40">
        <f>F32*1000000/'7. Administratif'!D38/H32</f>
        <v>22.009968973707693</v>
      </c>
      <c r="H32" s="139">
        <v>162.80000000000001</v>
      </c>
      <c r="I32" s="41"/>
      <c r="J32" s="39">
        <v>200.55599999999995</v>
      </c>
      <c r="K32" s="40">
        <f>J32*1000000/'7. Administratif'!E38/L32</f>
        <v>15.479758984626677</v>
      </c>
      <c r="L32" s="139">
        <v>134.07583069549472</v>
      </c>
      <c r="M32" s="41"/>
      <c r="N32" s="39">
        <v>387.44000000000011</v>
      </c>
      <c r="O32" s="40">
        <f>N32*1000000/'7. Administratif'!F38/P32</f>
        <v>25.830639653233792</v>
      </c>
      <c r="P32" s="139">
        <v>155.22023152342564</v>
      </c>
      <c r="Q32" s="41"/>
      <c r="R32" s="39">
        <v>436.20699999999988</v>
      </c>
      <c r="S32" s="40">
        <f>R32*1000000/'7. Administratif'!G38/T32</f>
        <v>34.269538092334649</v>
      </c>
      <c r="T32" s="139">
        <v>131.72354544736234</v>
      </c>
      <c r="U32" s="41"/>
      <c r="V32" s="39">
        <v>271.82300000000004</v>
      </c>
      <c r="W32" s="40">
        <f>V32*1000000/'7. Administratif'!H38/X32</f>
        <v>27.995453555371984</v>
      </c>
      <c r="X32" s="131">
        <v>100.47956011682489</v>
      </c>
      <c r="Y32" s="41"/>
      <c r="Z32" s="39">
        <v>527.93500000000017</v>
      </c>
      <c r="AA32" s="40">
        <f>Z32*1000000/'7. Administratif'!I38/AB32</f>
        <v>28.370932036443769</v>
      </c>
      <c r="AB32" s="139">
        <v>189.04732743795404</v>
      </c>
      <c r="AC32" s="41"/>
      <c r="AD32" s="39">
        <v>212.06399999999999</v>
      </c>
      <c r="AE32" s="40">
        <f>AD32*1000000/'7. Administratif'!J38/AF32</f>
        <v>14.51599130768939</v>
      </c>
      <c r="AF32" s="139">
        <v>150.18238950353856</v>
      </c>
      <c r="AG32" s="41"/>
      <c r="AH32" s="39">
        <v>397.54200000000003</v>
      </c>
      <c r="AI32" s="40">
        <f>AH32*1000000/'7. Administratif'!K38/AJ32</f>
        <v>21.11956673141626</v>
      </c>
      <c r="AJ32" s="139">
        <v>196.06071908917627</v>
      </c>
      <c r="AK32" s="41"/>
      <c r="AL32" s="39">
        <v>106.893</v>
      </c>
      <c r="AM32" s="40">
        <f>AL32*1000000/'7. Administratif'!L38/AN32</f>
        <v>13.434825247683605</v>
      </c>
      <c r="AN32" s="139">
        <v>82.872381898770342</v>
      </c>
      <c r="AO32" s="41"/>
      <c r="AP32" s="39"/>
      <c r="AQ32" s="40" t="e">
        <f>AP32*1000000/'7. Administratif'!M38/AR32</f>
        <v>#DIV/0!</v>
      </c>
      <c r="AR32" s="40"/>
      <c r="AS32" s="41"/>
      <c r="AT32" s="39"/>
      <c r="AU32" s="40" t="e">
        <f>AT32*1000000/'7. Administratif'!N38/AV32</f>
        <v>#DIV/0!</v>
      </c>
      <c r="AV32" s="40"/>
      <c r="AW32" s="41"/>
      <c r="AX32" s="39"/>
      <c r="AY32" s="40" t="e">
        <f>AX32*1000000/'7. Administratif'!O38/AZ32</f>
        <v>#DIV/0!</v>
      </c>
      <c r="AZ32" s="40"/>
      <c r="BA32" s="41"/>
      <c r="BB32" s="39"/>
      <c r="BC32" s="40" t="e">
        <f>BB32*1000000/'7. Administratif'!P38/BD32</f>
        <v>#DIV/0!</v>
      </c>
      <c r="BD32" s="40"/>
      <c r="BE32" s="41"/>
      <c r="BF32" s="39"/>
      <c r="BG32" s="40" t="e">
        <f>BF32*1000000/'7. Administratif'!Q38/BH32</f>
        <v>#DIV/0!</v>
      </c>
      <c r="BH32" s="40"/>
      <c r="BI32" s="41"/>
      <c r="BJ32" s="39"/>
      <c r="BK32" s="40" t="e">
        <f>BJ32*1000000/'7. Administratif'!R38/BL32</f>
        <v>#DIV/0!</v>
      </c>
      <c r="BL32" s="40"/>
      <c r="BM32" s="41"/>
      <c r="BN32" s="39"/>
      <c r="BO32" s="40" t="e">
        <f>BN32*1000000/'7. Administratif'!S38/BP32</f>
        <v>#DIV/0!</v>
      </c>
      <c r="BP32" s="40"/>
      <c r="BQ32" s="41"/>
      <c r="BR32" s="39"/>
      <c r="BS32" s="40" t="e">
        <f>BR32*1000000/'7. Administratif'!T38/BT32</f>
        <v>#DIV/0!</v>
      </c>
      <c r="BT32" s="40"/>
      <c r="BU32" s="41"/>
    </row>
    <row r="33" spans="1:73" ht="23.25" x14ac:dyDescent="0.25">
      <c r="A33" s="53" t="s">
        <v>9</v>
      </c>
      <c r="B33" s="44">
        <v>125.559</v>
      </c>
      <c r="C33" s="45">
        <f>B33*1000000/'7. Administratif'!C39/D33</f>
        <v>14.59946271316827</v>
      </c>
      <c r="D33" s="140">
        <v>89</v>
      </c>
      <c r="E33" s="46"/>
      <c r="F33" s="44">
        <v>52.073</v>
      </c>
      <c r="G33" s="45">
        <f>F33*1000000/'7. Administratif'!D39/H33</f>
        <v>11.180071788801179</v>
      </c>
      <c r="H33" s="140">
        <v>48.2</v>
      </c>
      <c r="I33" s="46"/>
      <c r="J33" s="44">
        <v>95.307999999999993</v>
      </c>
      <c r="K33" s="45">
        <f>J33*1000000/'7. Administratif'!E39/L33</f>
        <v>22.021937614330572</v>
      </c>
      <c r="L33" s="140">
        <v>44.787091486676601</v>
      </c>
      <c r="M33" s="46"/>
      <c r="N33" s="44">
        <v>100.47700000000003</v>
      </c>
      <c r="O33" s="45">
        <f>N33*1000000/'7. Administratif'!F39/P33</f>
        <v>16.955011118205054</v>
      </c>
      <c r="P33" s="140">
        <v>61.32641992295499</v>
      </c>
      <c r="Q33" s="46"/>
      <c r="R33" s="44">
        <v>48.755999999999986</v>
      </c>
      <c r="S33" s="45">
        <f>R33*1000000/'7. Administratif'!G39/T33</f>
        <v>17.21097407663007</v>
      </c>
      <c r="T33" s="140">
        <v>29.31579321539332</v>
      </c>
      <c r="U33" s="46"/>
      <c r="V33" s="44">
        <v>87.916000000000011</v>
      </c>
      <c r="W33" s="45">
        <f>V33*1000000/'7. Administratif'!H39/X33</f>
        <v>25.367068383881684</v>
      </c>
      <c r="X33" s="132">
        <v>35.865482056117166</v>
      </c>
      <c r="Y33" s="46"/>
      <c r="Z33" s="44">
        <v>75.915999999999997</v>
      </c>
      <c r="AA33" s="45">
        <f>Z33*1000000/'7. Administratif'!I39/AB33</f>
        <v>18.457100950466753</v>
      </c>
      <c r="AB33" s="140">
        <v>41.78626172360989</v>
      </c>
      <c r="AC33" s="46"/>
      <c r="AD33" s="44">
        <v>61.814999999999998</v>
      </c>
      <c r="AE33" s="45">
        <f>AD33*1000000/'7. Administratif'!J39/AF33</f>
        <v>9.6219757548603528</v>
      </c>
      <c r="AF33" s="140">
        <v>66.043240728703807</v>
      </c>
      <c r="AG33" s="46"/>
      <c r="AH33" s="44">
        <v>85.262999999999977</v>
      </c>
      <c r="AI33" s="45">
        <f>AH33*1000000/'7. Administratif'!K39/AJ33</f>
        <v>29.312172133411075</v>
      </c>
      <c r="AJ33" s="140">
        <v>30.297387689468973</v>
      </c>
      <c r="AK33" s="46"/>
      <c r="AL33" s="44">
        <v>72.210999999999999</v>
      </c>
      <c r="AM33" s="45">
        <f>AL33*1000000/'7. Administratif'!L39/AN33</f>
        <v>24.375673390299472</v>
      </c>
      <c r="AN33" s="140">
        <v>30.855977871340578</v>
      </c>
      <c r="AO33" s="46"/>
      <c r="AP33" s="44"/>
      <c r="AQ33" s="45" t="e">
        <f>AP33*1000000/'7. Administratif'!M39/AR33</f>
        <v>#DIV/0!</v>
      </c>
      <c r="AR33" s="45"/>
      <c r="AS33" s="46"/>
      <c r="AT33" s="44"/>
      <c r="AU33" s="45" t="e">
        <f>AT33*1000000/'7. Administratif'!N39/AV33</f>
        <v>#DIV/0!</v>
      </c>
      <c r="AV33" s="45"/>
      <c r="AW33" s="46"/>
      <c r="AX33" s="44"/>
      <c r="AY33" s="45" t="e">
        <f>AX33*1000000/'7. Administratif'!O39/AZ33</f>
        <v>#DIV/0!</v>
      </c>
      <c r="AZ33" s="45"/>
      <c r="BA33" s="46"/>
      <c r="BB33" s="44"/>
      <c r="BC33" s="45" t="e">
        <f>BB33*1000000/'7. Administratif'!P39/BD33</f>
        <v>#DIV/0!</v>
      </c>
      <c r="BD33" s="45"/>
      <c r="BE33" s="46"/>
      <c r="BF33" s="44"/>
      <c r="BG33" s="45" t="e">
        <f>BF33*1000000/'7. Administratif'!Q39/BH33</f>
        <v>#DIV/0!</v>
      </c>
      <c r="BH33" s="45"/>
      <c r="BI33" s="46"/>
      <c r="BJ33" s="44"/>
      <c r="BK33" s="45" t="e">
        <f>BJ33*1000000/'7. Administratif'!R39/BL33</f>
        <v>#DIV/0!</v>
      </c>
      <c r="BL33" s="45"/>
      <c r="BM33" s="46"/>
      <c r="BN33" s="44"/>
      <c r="BO33" s="45" t="e">
        <f>BN33*1000000/'7. Administratif'!S39/BP33</f>
        <v>#DIV/0!</v>
      </c>
      <c r="BP33" s="45"/>
      <c r="BQ33" s="46"/>
      <c r="BR33" s="44"/>
      <c r="BS33" s="45" t="e">
        <f>BR33*1000000/'7. Administratif'!T39/BT33</f>
        <v>#DIV/0!</v>
      </c>
      <c r="BT33" s="45"/>
      <c r="BU33" s="46"/>
    </row>
    <row r="34" spans="1:73" ht="23.25" x14ac:dyDescent="0.25">
      <c r="A34" s="53" t="s">
        <v>10</v>
      </c>
      <c r="B34" s="39">
        <v>87.415999999999997</v>
      </c>
      <c r="C34" s="40">
        <f>B34*1000000/'7. Administratif'!C40/D34</f>
        <v>62.388128727258191</v>
      </c>
      <c r="D34" s="139">
        <v>14.5</v>
      </c>
      <c r="E34" s="41"/>
      <c r="F34" s="39">
        <v>55.371000000000002</v>
      </c>
      <c r="G34" s="40">
        <f>F34*1000000/'7. Administratif'!D40/H34</f>
        <v>17.906529410547229</v>
      </c>
      <c r="H34" s="139">
        <v>32</v>
      </c>
      <c r="I34" s="41"/>
      <c r="J34" s="39">
        <v>69.447000000000003</v>
      </c>
      <c r="K34" s="40">
        <f>J34*1000000/'7. Administratif'!E40/L34</f>
        <v>35.763361572252492</v>
      </c>
      <c r="L34" s="139">
        <v>20.095285831614699</v>
      </c>
      <c r="M34" s="41"/>
      <c r="N34" s="39">
        <v>78.822999999999993</v>
      </c>
      <c r="O34" s="40">
        <f>N34*1000000/'7. Administratif'!F40/P34</f>
        <v>24.675032013264047</v>
      </c>
      <c r="P34" s="139">
        <v>33.057824294448189</v>
      </c>
      <c r="Q34" s="41"/>
      <c r="R34" s="39">
        <v>58.286999999999992</v>
      </c>
      <c r="S34" s="40">
        <f>R34*1000000/'7. Administratif'!G40/T34</f>
        <v>24.521299429261539</v>
      </c>
      <c r="T34" s="139">
        <v>24.598422362505083</v>
      </c>
      <c r="U34" s="41"/>
      <c r="V34" s="39">
        <v>82.646999999999991</v>
      </c>
      <c r="W34" s="40">
        <f>V34*1000000/'7. Administratif'!H40/X34</f>
        <v>60.62172553901496</v>
      </c>
      <c r="X34" s="131">
        <v>14.10840218533253</v>
      </c>
      <c r="Y34" s="41"/>
      <c r="Z34" s="39">
        <v>69.728999999999985</v>
      </c>
      <c r="AA34" s="40">
        <f>Z34*1000000/'7. Administratif'!I40/AB34</f>
        <v>36.885524403993855</v>
      </c>
      <c r="AB34" s="139">
        <v>19.205303082961251</v>
      </c>
      <c r="AC34" s="41"/>
      <c r="AD34" s="39">
        <v>48.774000000000001</v>
      </c>
      <c r="AE34" s="40">
        <f>AD34*1000000/'7. Administratif'!J40/AF34</f>
        <v>18.064651417490012</v>
      </c>
      <c r="AF34" s="139">
        <v>27.756042818332137</v>
      </c>
      <c r="AG34" s="41"/>
      <c r="AH34" s="39">
        <v>72.337999999999994</v>
      </c>
      <c r="AI34" s="40">
        <f>AH34*1000000/'7. Administratif'!K40/AJ34</f>
        <v>26.349637609681114</v>
      </c>
      <c r="AJ34" s="139">
        <v>28.594626473575303</v>
      </c>
      <c r="AK34" s="41"/>
      <c r="AL34" s="39">
        <v>59.955999999999996</v>
      </c>
      <c r="AM34" s="40">
        <f>AL34*1000000/'7. Administratif'!L40/AN34</f>
        <v>32.699083854113319</v>
      </c>
      <c r="AN34" s="139">
        <v>19.098077140346387</v>
      </c>
      <c r="AO34" s="41"/>
      <c r="AP34" s="39"/>
      <c r="AQ34" s="40" t="e">
        <f>AP34*1000000/'7. Administratif'!M40/AR34</f>
        <v>#DIV/0!</v>
      </c>
      <c r="AR34" s="40"/>
      <c r="AS34" s="41"/>
      <c r="AT34" s="39"/>
      <c r="AU34" s="40" t="e">
        <f>AT34*1000000/'7. Administratif'!N40/AV34</f>
        <v>#DIV/0!</v>
      </c>
      <c r="AV34" s="40"/>
      <c r="AW34" s="41"/>
      <c r="AX34" s="39"/>
      <c r="AY34" s="40" t="e">
        <f>AX34*1000000/'7. Administratif'!O40/AZ34</f>
        <v>#DIV/0!</v>
      </c>
      <c r="AZ34" s="40"/>
      <c r="BA34" s="41"/>
      <c r="BB34" s="39"/>
      <c r="BC34" s="40" t="e">
        <f>BB34*1000000/'7. Administratif'!P40/BD34</f>
        <v>#DIV/0!</v>
      </c>
      <c r="BD34" s="40"/>
      <c r="BE34" s="41"/>
      <c r="BF34" s="39"/>
      <c r="BG34" s="40" t="e">
        <f>BF34*1000000/'7. Administratif'!Q40/BH34</f>
        <v>#DIV/0!</v>
      </c>
      <c r="BH34" s="40"/>
      <c r="BI34" s="41"/>
      <c r="BJ34" s="39"/>
      <c r="BK34" s="40" t="e">
        <f>BJ34*1000000/'7. Administratif'!R40/BL34</f>
        <v>#DIV/0!</v>
      </c>
      <c r="BL34" s="40"/>
      <c r="BM34" s="41"/>
      <c r="BN34" s="39"/>
      <c r="BO34" s="40" t="e">
        <f>BN34*1000000/'7. Administratif'!S40/BP34</f>
        <v>#DIV/0!</v>
      </c>
      <c r="BP34" s="40"/>
      <c r="BQ34" s="41"/>
      <c r="BR34" s="39"/>
      <c r="BS34" s="40" t="e">
        <f>BR34*1000000/'7. Administratif'!T40/BT34</f>
        <v>#DIV/0!</v>
      </c>
      <c r="BT34" s="40"/>
      <c r="BU34" s="41"/>
    </row>
    <row r="35" spans="1:73" ht="23.25" x14ac:dyDescent="0.25">
      <c r="A35" s="53" t="s">
        <v>11</v>
      </c>
      <c r="B35" s="44">
        <v>79.790999999999997</v>
      </c>
      <c r="C35" s="45">
        <f>B35*1000000/'7. Administratif'!C41/D35</f>
        <v>18.766369506807457</v>
      </c>
      <c r="D35" s="140">
        <v>44</v>
      </c>
      <c r="E35" s="46"/>
      <c r="F35" s="44">
        <v>31.945</v>
      </c>
      <c r="G35" s="45">
        <f>F35*1000000/'7. Administratif'!D41/H35</f>
        <v>5.2307606254604435</v>
      </c>
      <c r="H35" s="140">
        <v>63.2</v>
      </c>
      <c r="I35" s="46"/>
      <c r="J35" s="44">
        <v>40.948</v>
      </c>
      <c r="K35" s="45">
        <f>J35*1000000/'7. Administratif'!E41/L35</f>
        <v>14.224483233333851</v>
      </c>
      <c r="L35" s="140">
        <v>29.790324138408288</v>
      </c>
      <c r="M35" s="46"/>
      <c r="N35" s="44">
        <v>54.104000000000006</v>
      </c>
      <c r="O35" s="45">
        <f>N35*1000000/'7. Administratif'!F41/P35</f>
        <v>16.598223091215068</v>
      </c>
      <c r="P35" s="140">
        <v>33.732366375505357</v>
      </c>
      <c r="Q35" s="46"/>
      <c r="R35" s="44">
        <v>41.795999999999999</v>
      </c>
      <c r="S35" s="45">
        <f>R35*1000000/'7. Administratif'!G41/T35</f>
        <v>14.707853949231655</v>
      </c>
      <c r="T35" s="140">
        <v>29.407929165340065</v>
      </c>
      <c r="U35" s="46"/>
      <c r="V35" s="44">
        <v>51.525999999999982</v>
      </c>
      <c r="W35" s="45">
        <f>V35*1000000/'7. Administratif'!H41/X35</f>
        <v>19.7770724050159</v>
      </c>
      <c r="X35" s="132">
        <v>26.961463182430471</v>
      </c>
      <c r="Y35" s="46"/>
      <c r="Z35" s="44">
        <v>35.806999999999995</v>
      </c>
      <c r="AA35" s="45">
        <f>Z35*1000000/'7. Administratif'!I41/AB35</f>
        <v>11.888783666490708</v>
      </c>
      <c r="AB35" s="140">
        <v>30.598081868383463</v>
      </c>
      <c r="AC35" s="46"/>
      <c r="AD35" s="44">
        <v>32.558999999999997</v>
      </c>
      <c r="AE35" s="45">
        <f>AD35*1000000/'7. Administratif'!J41/AF35</f>
        <v>12.323732802456632</v>
      </c>
      <c r="AF35" s="140">
        <v>27.159861107553738</v>
      </c>
      <c r="AG35" s="46"/>
      <c r="AH35" s="44">
        <v>34.215000000000003</v>
      </c>
      <c r="AI35" s="45">
        <f>AH35*1000000/'7. Administratif'!K41/AJ35</f>
        <v>6.5743445082199647</v>
      </c>
      <c r="AJ35" s="140">
        <v>54.207161110651093</v>
      </c>
      <c r="AK35" s="46"/>
      <c r="AL35" s="44">
        <v>31.71</v>
      </c>
      <c r="AM35" s="45">
        <f>AL35*1000000/'7. Administratif'!L41/AN35</f>
        <v>23.847424005409298</v>
      </c>
      <c r="AN35" s="140">
        <v>13.849922581871343</v>
      </c>
      <c r="AO35" s="46"/>
      <c r="AP35" s="44"/>
      <c r="AQ35" s="45" t="e">
        <f>AP35*1000000/'7. Administratif'!M41/AR35</f>
        <v>#DIV/0!</v>
      </c>
      <c r="AR35" s="45"/>
      <c r="AS35" s="46"/>
      <c r="AT35" s="44"/>
      <c r="AU35" s="45" t="e">
        <f>AT35*1000000/'7. Administratif'!N41/AV35</f>
        <v>#DIV/0!</v>
      </c>
      <c r="AV35" s="45"/>
      <c r="AW35" s="46"/>
      <c r="AX35" s="44"/>
      <c r="AY35" s="45" t="e">
        <f>AX35*1000000/'7. Administratif'!O41/AZ35</f>
        <v>#DIV/0!</v>
      </c>
      <c r="AZ35" s="45"/>
      <c r="BA35" s="46"/>
      <c r="BB35" s="44"/>
      <c r="BC35" s="45" t="e">
        <f>BB35*1000000/'7. Administratif'!P41/BD35</f>
        <v>#DIV/0!</v>
      </c>
      <c r="BD35" s="45"/>
      <c r="BE35" s="46"/>
      <c r="BF35" s="44"/>
      <c r="BG35" s="45" t="e">
        <f>BF35*1000000/'7. Administratif'!Q41/BH35</f>
        <v>#DIV/0!</v>
      </c>
      <c r="BH35" s="45"/>
      <c r="BI35" s="46"/>
      <c r="BJ35" s="44"/>
      <c r="BK35" s="45" t="e">
        <f>BJ35*1000000/'7. Administratif'!R41/BL35</f>
        <v>#DIV/0!</v>
      </c>
      <c r="BL35" s="45"/>
      <c r="BM35" s="46"/>
      <c r="BN35" s="44"/>
      <c r="BO35" s="45" t="e">
        <f>BN35*1000000/'7. Administratif'!S41/BP35</f>
        <v>#DIV/0!</v>
      </c>
      <c r="BP35" s="45"/>
      <c r="BQ35" s="46"/>
      <c r="BR35" s="44"/>
      <c r="BS35" s="45" t="e">
        <f>BR35*1000000/'7. Administratif'!T41/BT35</f>
        <v>#DIV/0!</v>
      </c>
      <c r="BT35" s="45"/>
      <c r="BU35" s="46"/>
    </row>
    <row r="36" spans="1:73" ht="23.25" x14ac:dyDescent="0.25">
      <c r="A36" s="53" t="s">
        <v>12</v>
      </c>
      <c r="B36" s="39">
        <v>80.444000000000003</v>
      </c>
      <c r="C36" s="40">
        <f>B36*1000000/'7. Administratif'!C42/D36</f>
        <v>8.5470005557186575</v>
      </c>
      <c r="D36" s="139">
        <v>97.4</v>
      </c>
      <c r="E36" s="41"/>
      <c r="F36" s="39">
        <v>102.536</v>
      </c>
      <c r="G36" s="40">
        <f>F36*1000000/'7. Administratif'!D42/H36</f>
        <v>12.956016764279036</v>
      </c>
      <c r="H36" s="139">
        <v>81.900000000000006</v>
      </c>
      <c r="I36" s="41"/>
      <c r="J36" s="39">
        <v>197.858</v>
      </c>
      <c r="K36" s="40">
        <f>J36*1000000/'7. Administratif'!E42/L36</f>
        <v>16.234603847257951</v>
      </c>
      <c r="L36" s="139">
        <v>126.12202961331899</v>
      </c>
      <c r="M36" s="41"/>
      <c r="N36" s="39">
        <v>109.745</v>
      </c>
      <c r="O36" s="40">
        <f>N36*1000000/'7. Administratif'!F42/P36</f>
        <v>16.96058215267961</v>
      </c>
      <c r="P36" s="139">
        <v>66.961167893970469</v>
      </c>
      <c r="Q36" s="41"/>
      <c r="R36" s="39">
        <v>306.02099999999996</v>
      </c>
      <c r="S36" s="40">
        <f>R36*1000000/'7. Administratif'!G42/T36</f>
        <v>24.655825891080259</v>
      </c>
      <c r="T36" s="139">
        <v>128.44307880496279</v>
      </c>
      <c r="U36" s="41"/>
      <c r="V36" s="39">
        <v>114.053</v>
      </c>
      <c r="W36" s="40">
        <f>V36*1000000/'7. Administratif'!H42/X36</f>
        <v>15.816963487142917</v>
      </c>
      <c r="X36" s="131">
        <v>74.621269446310052</v>
      </c>
      <c r="Y36" s="41"/>
      <c r="Z36" s="39">
        <v>87.248000000000019</v>
      </c>
      <c r="AA36" s="40">
        <f>Z36*1000000/'7. Administratif'!I42/AB36</f>
        <v>9.7800476405712899</v>
      </c>
      <c r="AB36" s="139">
        <v>90.631298138776813</v>
      </c>
      <c r="AC36" s="41"/>
      <c r="AD36" s="39">
        <v>136.21299999999999</v>
      </c>
      <c r="AE36" s="40">
        <f>AD36*1000000/'7. Administratif'!J42/AF36</f>
        <v>16.605272528450332</v>
      </c>
      <c r="AF36" s="139">
        <v>84.327904967702978</v>
      </c>
      <c r="AG36" s="41"/>
      <c r="AH36" s="39">
        <v>86.432000000000002</v>
      </c>
      <c r="AI36" s="40">
        <f>AH36*1000000/'7. Administratif'!K42/AJ36</f>
        <v>12.013404623696124</v>
      </c>
      <c r="AJ36" s="139">
        <v>74.937816547992867</v>
      </c>
      <c r="AK36" s="41"/>
      <c r="AL36" s="39">
        <v>187.11799999999999</v>
      </c>
      <c r="AM36" s="40">
        <f>AL36*1000000/'7. Administratif'!L42/AN36</f>
        <v>19.707449864861314</v>
      </c>
      <c r="AN36" s="139">
        <v>98.895769438113007</v>
      </c>
      <c r="AO36" s="41"/>
      <c r="AP36" s="39"/>
      <c r="AQ36" s="40" t="e">
        <f>AP36*1000000/'7. Administratif'!M42/AR36</f>
        <v>#DIV/0!</v>
      </c>
      <c r="AR36" s="40"/>
      <c r="AS36" s="41"/>
      <c r="AT36" s="39"/>
      <c r="AU36" s="40" t="e">
        <f>AT36*1000000/'7. Administratif'!N42/AV36</f>
        <v>#DIV/0!</v>
      </c>
      <c r="AV36" s="40"/>
      <c r="AW36" s="41"/>
      <c r="AX36" s="39"/>
      <c r="AY36" s="40" t="e">
        <f>AX36*1000000/'7. Administratif'!O42/AZ36</f>
        <v>#DIV/0!</v>
      </c>
      <c r="AZ36" s="40"/>
      <c r="BA36" s="41"/>
      <c r="BB36" s="39"/>
      <c r="BC36" s="40" t="e">
        <f>BB36*1000000/'7. Administratif'!P42/BD36</f>
        <v>#DIV/0!</v>
      </c>
      <c r="BD36" s="40"/>
      <c r="BE36" s="41"/>
      <c r="BF36" s="39"/>
      <c r="BG36" s="40" t="e">
        <f>BF36*1000000/'7. Administratif'!Q42/BH36</f>
        <v>#DIV/0!</v>
      </c>
      <c r="BH36" s="40"/>
      <c r="BI36" s="41"/>
      <c r="BJ36" s="39"/>
      <c r="BK36" s="40" t="e">
        <f>BJ36*1000000/'7. Administratif'!R42/BL36</f>
        <v>#DIV/0!</v>
      </c>
      <c r="BL36" s="40"/>
      <c r="BM36" s="41"/>
      <c r="BN36" s="39"/>
      <c r="BO36" s="40" t="e">
        <f>BN36*1000000/'7. Administratif'!S42/BP36</f>
        <v>#DIV/0!</v>
      </c>
      <c r="BP36" s="40"/>
      <c r="BQ36" s="41"/>
      <c r="BR36" s="39"/>
      <c r="BS36" s="40" t="e">
        <f>BR36*1000000/'7. Administratif'!T42/BT36</f>
        <v>#DIV/0!</v>
      </c>
      <c r="BT36" s="40"/>
      <c r="BU36" s="41"/>
    </row>
    <row r="37" spans="1:73" ht="23.25" x14ac:dyDescent="0.25">
      <c r="A37" s="53" t="s">
        <v>13</v>
      </c>
      <c r="B37" s="44">
        <v>633.25900000000001</v>
      </c>
      <c r="C37" s="45">
        <f>B37*1000000/'7. Administratif'!C43/D37</f>
        <v>38.056360762417839</v>
      </c>
      <c r="D37" s="140">
        <v>172.2</v>
      </c>
      <c r="E37" s="46"/>
      <c r="F37" s="44">
        <v>712.74599999999998</v>
      </c>
      <c r="G37" s="45">
        <f>F37*1000000/'7. Administratif'!D43/H37</f>
        <v>46.27277055079572</v>
      </c>
      <c r="H37" s="140">
        <v>159.4</v>
      </c>
      <c r="I37" s="46"/>
      <c r="J37" s="44">
        <v>1062.0359999999998</v>
      </c>
      <c r="K37" s="45">
        <f>J37*1000000/'7. Administratif'!E43/L37</f>
        <v>45.148330248767579</v>
      </c>
      <c r="L37" s="140">
        <v>243.4313888888889</v>
      </c>
      <c r="M37" s="46"/>
      <c r="N37" s="44">
        <v>1208.9650000000001</v>
      </c>
      <c r="O37" s="45">
        <f>N37*1000000/'7. Administratif'!F43/P37</f>
        <v>48.813972664094564</v>
      </c>
      <c r="P37" s="140">
        <v>256.3</v>
      </c>
      <c r="Q37" s="46"/>
      <c r="R37" s="44">
        <v>900.76100000000008</v>
      </c>
      <c r="S37" s="45">
        <f>R37*1000000/'7. Administratif'!G43/T37</f>
        <v>46.360323980363653</v>
      </c>
      <c r="T37" s="140">
        <v>201.06762303161776</v>
      </c>
      <c r="U37" s="46"/>
      <c r="V37" s="44">
        <v>776.63000000000011</v>
      </c>
      <c r="W37" s="45">
        <f>V37*1000000/'7. Administratif'!H43/X37</f>
        <v>40.062311597540422</v>
      </c>
      <c r="X37" s="132">
        <v>200.61213038230528</v>
      </c>
      <c r="Y37" s="46"/>
      <c r="Z37" s="44">
        <v>632.774</v>
      </c>
      <c r="AA37" s="45">
        <f>Z37*1000000/'7. Administratif'!I43/AB37</f>
        <v>34.217293302553202</v>
      </c>
      <c r="AB37" s="140">
        <v>187.8739923262757</v>
      </c>
      <c r="AC37" s="46"/>
      <c r="AD37" s="44">
        <v>747.17300000000012</v>
      </c>
      <c r="AE37" s="45">
        <f>AD37*1000000/'7. Administratif'!J43/AF37</f>
        <v>33.369287665623318</v>
      </c>
      <c r="AF37" s="140">
        <v>230.18286666666665</v>
      </c>
      <c r="AG37" s="46"/>
      <c r="AH37" s="44">
        <v>687.87581999999986</v>
      </c>
      <c r="AI37" s="45">
        <f>AH37*1000000/'7. Administratif'!K43/AJ37</f>
        <v>30.285381671137841</v>
      </c>
      <c r="AJ37" s="140">
        <v>236.57539264748252</v>
      </c>
      <c r="AK37" s="46"/>
      <c r="AL37" s="44">
        <v>203.73599999999999</v>
      </c>
      <c r="AM37" s="45">
        <f>AL37*1000000/'7. Administratif'!L43/AN37</f>
        <v>22.029060958341994</v>
      </c>
      <c r="AN37" s="140">
        <v>96.330622743424883</v>
      </c>
      <c r="AO37" s="46"/>
      <c r="AP37" s="44"/>
      <c r="AQ37" s="45" t="e">
        <f>AP37*1000000/'7. Administratif'!M43/AR37</f>
        <v>#DIV/0!</v>
      </c>
      <c r="AR37" s="45"/>
      <c r="AS37" s="46"/>
      <c r="AT37" s="44"/>
      <c r="AU37" s="45" t="e">
        <f>AT37*1000000/'7. Administratif'!N43/AV37</f>
        <v>#DIV/0!</v>
      </c>
      <c r="AV37" s="45"/>
      <c r="AW37" s="46"/>
      <c r="AX37" s="44"/>
      <c r="AY37" s="45" t="e">
        <f>AX37*1000000/'7. Administratif'!O43/AZ37</f>
        <v>#DIV/0!</v>
      </c>
      <c r="AZ37" s="45"/>
      <c r="BA37" s="46"/>
      <c r="BB37" s="44"/>
      <c r="BC37" s="45" t="e">
        <f>BB37*1000000/'7. Administratif'!P43/BD37</f>
        <v>#DIV/0!</v>
      </c>
      <c r="BD37" s="45"/>
      <c r="BE37" s="46"/>
      <c r="BF37" s="44"/>
      <c r="BG37" s="45" t="e">
        <f>BF37*1000000/'7. Administratif'!Q43/BH37</f>
        <v>#DIV/0!</v>
      </c>
      <c r="BH37" s="45"/>
      <c r="BI37" s="46"/>
      <c r="BJ37" s="44"/>
      <c r="BK37" s="45" t="e">
        <f>BJ37*1000000/'7. Administratif'!R43/BL37</f>
        <v>#DIV/0!</v>
      </c>
      <c r="BL37" s="45"/>
      <c r="BM37" s="46"/>
      <c r="BN37" s="44"/>
      <c r="BO37" s="45" t="e">
        <f>BN37*1000000/'7. Administratif'!S43/BP37</f>
        <v>#DIV/0!</v>
      </c>
      <c r="BP37" s="45"/>
      <c r="BQ37" s="46"/>
      <c r="BR37" s="44"/>
      <c r="BS37" s="45" t="e">
        <f>BR37*1000000/'7. Administratif'!T43/BT37</f>
        <v>#DIV/0!</v>
      </c>
      <c r="BT37" s="45"/>
      <c r="BU37" s="46"/>
    </row>
    <row r="38" spans="1:73" ht="23.25" x14ac:dyDescent="0.25">
      <c r="A38" s="53" t="s">
        <v>14</v>
      </c>
      <c r="B38" s="39">
        <v>2418.5120000000002</v>
      </c>
      <c r="C38" s="40">
        <f>B38*1000000/'7. Administratif'!C44/D38</f>
        <v>63.49077939418698</v>
      </c>
      <c r="D38" s="139">
        <v>394.2</v>
      </c>
      <c r="E38" s="41"/>
      <c r="F38" s="39">
        <v>1446.1659999999999</v>
      </c>
      <c r="G38" s="40">
        <f>F38*1000000/'7. Administratif'!D44/H38</f>
        <v>48.875587663168268</v>
      </c>
      <c r="H38" s="139">
        <v>306.2</v>
      </c>
      <c r="I38" s="41"/>
      <c r="J38" s="39">
        <v>1609.5210000000002</v>
      </c>
      <c r="K38" s="40">
        <f>J38*1000000/'7. Administratif'!E44/L38</f>
        <v>56.638563171400676</v>
      </c>
      <c r="L38" s="139">
        <v>294.07861999423795</v>
      </c>
      <c r="M38" s="41"/>
      <c r="N38" s="39">
        <v>2370.4990000000007</v>
      </c>
      <c r="O38" s="40">
        <f>N38*1000000/'7. Administratif'!F44/P38</f>
        <v>65.486387732089625</v>
      </c>
      <c r="P38" s="139">
        <v>374.59999999999991</v>
      </c>
      <c r="Q38" s="41"/>
      <c r="R38" s="39">
        <v>2453.7570000000001</v>
      </c>
      <c r="S38" s="40">
        <f>R38*1000000/'7. Administratif'!G44/T38</f>
        <v>68.388902468926673</v>
      </c>
      <c r="T38" s="139">
        <v>371.30000000000007</v>
      </c>
      <c r="U38" s="41"/>
      <c r="V38" s="39">
        <v>1677.115</v>
      </c>
      <c r="W38" s="40">
        <f>V38*1000000/'7. Administratif'!H44/X38</f>
        <v>49.853671399409755</v>
      </c>
      <c r="X38" s="131">
        <v>348.13262773722624</v>
      </c>
      <c r="Y38" s="41"/>
      <c r="Z38" s="39">
        <v>1473.8119999999999</v>
      </c>
      <c r="AA38" s="40">
        <f>Z38*1000000/'7. Administratif'!I44/AB38</f>
        <v>42.476297853895176</v>
      </c>
      <c r="AB38" s="139">
        <v>352.5</v>
      </c>
      <c r="AC38" s="41"/>
      <c r="AD38" s="39">
        <v>1296.7130000000004</v>
      </c>
      <c r="AE38" s="40">
        <f>AD38*1000000/'7. Administratif'!J44/AF38</f>
        <v>42.800186132449255</v>
      </c>
      <c r="AF38" s="139">
        <v>315.56642105263165</v>
      </c>
      <c r="AG38" s="41"/>
      <c r="AH38" s="39">
        <v>1687.0009999999997</v>
      </c>
      <c r="AI38" s="40">
        <f>AH38*1000000/'7. Administratif'!K44/AJ38</f>
        <v>44.848041844734809</v>
      </c>
      <c r="AJ38" s="139">
        <v>391.8</v>
      </c>
      <c r="AK38" s="41"/>
      <c r="AL38" s="39">
        <v>1097.0609999999999</v>
      </c>
      <c r="AM38" s="40">
        <f>AL38*1000000/'7. Administratif'!L44/AN38</f>
        <v>39.70096167254259</v>
      </c>
      <c r="AN38" s="139">
        <v>287.82089999999999</v>
      </c>
      <c r="AO38" s="41"/>
      <c r="AP38" s="39"/>
      <c r="AQ38" s="40" t="e">
        <f>AP38*1000000/'7. Administratif'!M44/AR38</f>
        <v>#DIV/0!</v>
      </c>
      <c r="AR38" s="40"/>
      <c r="AS38" s="41"/>
      <c r="AT38" s="39"/>
      <c r="AU38" s="40" t="e">
        <f>AT38*1000000/'7. Administratif'!N44/AV38</f>
        <v>#DIV/0!</v>
      </c>
      <c r="AV38" s="40"/>
      <c r="AW38" s="41"/>
      <c r="AX38" s="39"/>
      <c r="AY38" s="40" t="e">
        <f>AX38*1000000/'7. Administratif'!O44/AZ38</f>
        <v>#DIV/0!</v>
      </c>
      <c r="AZ38" s="40"/>
      <c r="BA38" s="41"/>
      <c r="BB38" s="39"/>
      <c r="BC38" s="40" t="e">
        <f>BB38*1000000/'7. Administratif'!P44/BD38</f>
        <v>#DIV/0!</v>
      </c>
      <c r="BD38" s="40"/>
      <c r="BE38" s="41"/>
      <c r="BF38" s="39"/>
      <c r="BG38" s="40" t="e">
        <f>BF38*1000000/'7. Administratif'!Q44/BH38</f>
        <v>#DIV/0!</v>
      </c>
      <c r="BH38" s="40"/>
      <c r="BI38" s="41"/>
      <c r="BJ38" s="39"/>
      <c r="BK38" s="40" t="e">
        <f>BJ38*1000000/'7. Administratif'!R44/BL38</f>
        <v>#DIV/0!</v>
      </c>
      <c r="BL38" s="40"/>
      <c r="BM38" s="41"/>
      <c r="BN38" s="39"/>
      <c r="BO38" s="40" t="e">
        <f>BN38*1000000/'7. Administratif'!S44/BP38</f>
        <v>#DIV/0!</v>
      </c>
      <c r="BP38" s="40"/>
      <c r="BQ38" s="41"/>
      <c r="BR38" s="39"/>
      <c r="BS38" s="40" t="e">
        <f>BR38*1000000/'7. Administratif'!T44/BT38</f>
        <v>#DIV/0!</v>
      </c>
      <c r="BT38" s="40"/>
      <c r="BU38" s="41"/>
    </row>
    <row r="39" spans="1:73" ht="23.25" x14ac:dyDescent="0.25">
      <c r="A39" s="53" t="s">
        <v>15</v>
      </c>
      <c r="B39" s="44">
        <v>2337.3200000000002</v>
      </c>
      <c r="C39" s="45">
        <f>B39*1000000/'7. Administratif'!C45/D39</f>
        <v>51.62827465538814</v>
      </c>
      <c r="D39" s="140">
        <v>468.5</v>
      </c>
      <c r="E39" s="46"/>
      <c r="F39" s="44">
        <v>2184.21</v>
      </c>
      <c r="G39" s="45">
        <f>F39*1000000/'7. Administratif'!D45/H39</f>
        <v>50.600810168962106</v>
      </c>
      <c r="H39" s="140">
        <v>446.7</v>
      </c>
      <c r="I39" s="46"/>
      <c r="J39" s="44">
        <v>1814.1220000000001</v>
      </c>
      <c r="K39" s="45">
        <f>J39*1000000/'7. Administratif'!E45/L39</f>
        <v>49.171063069990907</v>
      </c>
      <c r="L39" s="140">
        <v>381.79999999999995</v>
      </c>
      <c r="M39" s="46"/>
      <c r="N39" s="44">
        <v>3139.875</v>
      </c>
      <c r="O39" s="45">
        <f>N39*1000000/'7. Administratif'!F45/P39</f>
        <v>64.025848712723331</v>
      </c>
      <c r="P39" s="140">
        <v>507.50000000000011</v>
      </c>
      <c r="Q39" s="46"/>
      <c r="R39" s="44">
        <v>2675.1749999999993</v>
      </c>
      <c r="S39" s="45">
        <f>R39*1000000/'7. Administratif'!G45/T39</f>
        <v>59.420803279035432</v>
      </c>
      <c r="T39" s="140">
        <v>465.90000000000015</v>
      </c>
      <c r="U39" s="46"/>
      <c r="V39" s="44">
        <v>1513.146</v>
      </c>
      <c r="W39" s="45">
        <f>V39*1000000/'7. Administratif'!H45/X39</f>
        <v>37.524203379750929</v>
      </c>
      <c r="X39" s="132">
        <v>417.3</v>
      </c>
      <c r="Y39" s="46"/>
      <c r="Z39" s="44">
        <v>1633.1100000000004</v>
      </c>
      <c r="AA39" s="45">
        <f>Z39*1000000/'7. Administratif'!I45/AB39</f>
        <v>39.673005291113874</v>
      </c>
      <c r="AB39" s="140">
        <v>418.2000000000001</v>
      </c>
      <c r="AC39" s="46"/>
      <c r="AD39" s="44">
        <v>1509.4990000000003</v>
      </c>
      <c r="AE39" s="45">
        <f>AD39*1000000/'7. Administratif'!J45/AF39</f>
        <v>36.74371978700303</v>
      </c>
      <c r="AF39" s="140">
        <v>427.9</v>
      </c>
      <c r="AG39" s="46"/>
      <c r="AH39" s="44">
        <v>1618.9180000000001</v>
      </c>
      <c r="AI39" s="45">
        <f>AH39*1000000/'7. Administratif'!K45/AJ39</f>
        <v>37.875840011235951</v>
      </c>
      <c r="AJ39" s="140">
        <v>445.20000000000016</v>
      </c>
      <c r="AK39" s="46"/>
      <c r="AL39" s="44">
        <v>2097.8360000000002</v>
      </c>
      <c r="AM39" s="45">
        <f>AL39*1000000/'7. Administratif'!L45/AN39</f>
        <v>48.697654216357101</v>
      </c>
      <c r="AN39" s="140">
        <v>448.69999999999993</v>
      </c>
      <c r="AO39" s="46"/>
      <c r="AP39" s="44"/>
      <c r="AQ39" s="45" t="e">
        <f>AP39*1000000/'7. Administratif'!M45/AR39</f>
        <v>#DIV/0!</v>
      </c>
      <c r="AR39" s="45"/>
      <c r="AS39" s="46"/>
      <c r="AT39" s="44"/>
      <c r="AU39" s="45" t="e">
        <f>AT39*1000000/'7. Administratif'!N45/AV39</f>
        <v>#DIV/0!</v>
      </c>
      <c r="AV39" s="45"/>
      <c r="AW39" s="46"/>
      <c r="AX39" s="44"/>
      <c r="AY39" s="45" t="e">
        <f>AX39*1000000/'7. Administratif'!O45/AZ39</f>
        <v>#DIV/0!</v>
      </c>
      <c r="AZ39" s="45"/>
      <c r="BA39" s="46"/>
      <c r="BB39" s="44"/>
      <c r="BC39" s="45" t="e">
        <f>BB39*1000000/'7. Administratif'!P45/BD39</f>
        <v>#DIV/0!</v>
      </c>
      <c r="BD39" s="45"/>
      <c r="BE39" s="46"/>
      <c r="BF39" s="44"/>
      <c r="BG39" s="45" t="e">
        <f>BF39*1000000/'7. Administratif'!Q45/BH39</f>
        <v>#DIV/0!</v>
      </c>
      <c r="BH39" s="45"/>
      <c r="BI39" s="46"/>
      <c r="BJ39" s="44"/>
      <c r="BK39" s="45" t="e">
        <f>BJ39*1000000/'7. Administratif'!R45/BL39</f>
        <v>#DIV/0!</v>
      </c>
      <c r="BL39" s="45"/>
      <c r="BM39" s="46"/>
      <c r="BN39" s="44"/>
      <c r="BO39" s="45" t="e">
        <f>BN39*1000000/'7. Administratif'!S45/BP39</f>
        <v>#DIV/0!</v>
      </c>
      <c r="BP39" s="45"/>
      <c r="BQ39" s="46"/>
      <c r="BR39" s="44"/>
      <c r="BS39" s="45" t="e">
        <f>BR39*1000000/'7. Administratif'!T45/BT39</f>
        <v>#DIV/0!</v>
      </c>
      <c r="BT39" s="45"/>
      <c r="BU39" s="46"/>
    </row>
    <row r="40" spans="1:73" ht="24" thickBot="1" x14ac:dyDescent="0.4">
      <c r="A40" s="54" t="s">
        <v>20</v>
      </c>
      <c r="B40" s="137">
        <f>SUM(B28:B39)</f>
        <v>20485.388999999996</v>
      </c>
      <c r="C40" s="138">
        <f>C39</f>
        <v>51.62827465538814</v>
      </c>
      <c r="D40" s="141">
        <f>SUM(D28:D39)</f>
        <v>3201.3999999999996</v>
      </c>
      <c r="E40" s="136">
        <f>SUM(E28:E39)</f>
        <v>0</v>
      </c>
      <c r="F40" s="137">
        <f t="shared" ref="F40" si="12">SUM(F28:F39)</f>
        <v>12046.795999999998</v>
      </c>
      <c r="G40" s="138">
        <f t="shared" ref="G40" si="13">G39</f>
        <v>50.600810168962106</v>
      </c>
      <c r="H40" s="141">
        <f t="shared" ref="H40:J40" si="14">SUM(H28:H39)</f>
        <v>2592.9</v>
      </c>
      <c r="I40" s="136">
        <f t="shared" si="14"/>
        <v>0</v>
      </c>
      <c r="J40" s="137">
        <f t="shared" si="14"/>
        <v>14508.558000000001</v>
      </c>
      <c r="K40" s="138">
        <f t="shared" ref="K40" si="15">K39</f>
        <v>49.171063069990907</v>
      </c>
      <c r="L40" s="141">
        <f t="shared" ref="L40:N40" si="16">SUM(L28:L39)</f>
        <v>2759.1838441247191</v>
      </c>
      <c r="M40" s="136">
        <f t="shared" si="16"/>
        <v>0</v>
      </c>
      <c r="N40" s="137">
        <f t="shared" si="16"/>
        <v>17017.626000000004</v>
      </c>
      <c r="O40" s="138">
        <f t="shared" ref="O40" si="17">O39</f>
        <v>64.025848712723331</v>
      </c>
      <c r="P40" s="141">
        <f t="shared" ref="P40:R40" si="18">SUM(P28:P39)</f>
        <v>2957.3465512947078</v>
      </c>
      <c r="Q40" s="136">
        <f t="shared" si="18"/>
        <v>0</v>
      </c>
      <c r="R40" s="137">
        <f t="shared" si="18"/>
        <v>16696.654000000002</v>
      </c>
      <c r="S40" s="138">
        <f t="shared" ref="S40" si="19">S39</f>
        <v>59.420803279035432</v>
      </c>
      <c r="T40" s="141">
        <f t="shared" ref="T40:V40" si="20">SUM(T28:T39)</f>
        <v>2886.220443742694</v>
      </c>
      <c r="U40" s="136">
        <f t="shared" si="20"/>
        <v>0</v>
      </c>
      <c r="V40" s="137">
        <f t="shared" si="20"/>
        <v>14748.641999999998</v>
      </c>
      <c r="W40" s="138">
        <f t="shared" ref="W40" si="21">W39</f>
        <v>37.524203379750929</v>
      </c>
      <c r="X40" s="142">
        <f t="shared" ref="X40:Z40" si="22">SUM(X28:X39)</f>
        <v>2649.8301574033198</v>
      </c>
      <c r="Y40" s="136">
        <f t="shared" si="22"/>
        <v>0</v>
      </c>
      <c r="Z40" s="137">
        <f t="shared" si="22"/>
        <v>12163.027</v>
      </c>
      <c r="AA40" s="138">
        <f t="shared" ref="AA40" si="23">AA39</f>
        <v>39.673005291113874</v>
      </c>
      <c r="AB40" s="141">
        <f t="shared" ref="AB40:AD40" si="24">SUM(AB28:AB39)</f>
        <v>2771.8368249726277</v>
      </c>
      <c r="AC40" s="136">
        <f t="shared" si="24"/>
        <v>0</v>
      </c>
      <c r="AD40" s="137">
        <f t="shared" si="24"/>
        <v>9846.9109999999982</v>
      </c>
      <c r="AE40" s="138">
        <f t="shared" ref="AE40" si="25">AE39</f>
        <v>36.74371978700303</v>
      </c>
      <c r="AF40" s="141">
        <f t="shared" ref="AF40:AH40" si="26">SUM(AF28:AF39)</f>
        <v>2607.5253260876252</v>
      </c>
      <c r="AG40" s="136">
        <f t="shared" si="26"/>
        <v>0</v>
      </c>
      <c r="AH40" s="137">
        <f t="shared" si="26"/>
        <v>11764.688820000001</v>
      </c>
      <c r="AI40" s="138">
        <f t="shared" ref="AI40" si="27">AI39</f>
        <v>37.875840011235951</v>
      </c>
      <c r="AJ40" s="141">
        <f t="shared" ref="AJ40:AL40" si="28">SUM(AJ28:AJ39)</f>
        <v>2979.749651580812</v>
      </c>
      <c r="AK40" s="136">
        <f t="shared" si="28"/>
        <v>0</v>
      </c>
      <c r="AL40" s="137">
        <f t="shared" si="28"/>
        <v>10365.315000000002</v>
      </c>
      <c r="AM40" s="138">
        <f t="shared" ref="AM40" si="29">AM39</f>
        <v>48.697654216357101</v>
      </c>
      <c r="AN40" s="141">
        <f t="shared" ref="AN40:AP40" si="30">SUM(AN28:AN39)</f>
        <v>2437.0884213564677</v>
      </c>
      <c r="AO40" s="136">
        <f t="shared" si="30"/>
        <v>0</v>
      </c>
      <c r="AP40" s="137">
        <f t="shared" si="30"/>
        <v>0</v>
      </c>
      <c r="AQ40" s="138" t="e">
        <f t="shared" ref="AQ40" si="31">AQ39</f>
        <v>#DIV/0!</v>
      </c>
      <c r="AR40" s="138">
        <f t="shared" ref="AR40:AT40" si="32">SUM(AR28:AR39)</f>
        <v>0</v>
      </c>
      <c r="AS40" s="136">
        <f t="shared" si="32"/>
        <v>0</v>
      </c>
      <c r="AT40" s="137">
        <f t="shared" si="32"/>
        <v>0</v>
      </c>
      <c r="AU40" s="138" t="e">
        <f t="shared" ref="AU40" si="33">AU39</f>
        <v>#DIV/0!</v>
      </c>
      <c r="AV40" s="138">
        <f t="shared" ref="AV40:AX40" si="34">SUM(AV28:AV39)</f>
        <v>0</v>
      </c>
      <c r="AW40" s="136">
        <f t="shared" si="34"/>
        <v>0</v>
      </c>
      <c r="AX40" s="137">
        <f t="shared" si="34"/>
        <v>0</v>
      </c>
      <c r="AY40" s="138" t="e">
        <f t="shared" ref="AY40" si="35">AY39</f>
        <v>#DIV/0!</v>
      </c>
      <c r="AZ40" s="138">
        <f t="shared" ref="AZ40:BB40" si="36">SUM(AZ28:AZ39)</f>
        <v>0</v>
      </c>
      <c r="BA40" s="136">
        <f t="shared" si="36"/>
        <v>0</v>
      </c>
      <c r="BB40" s="137">
        <f t="shared" si="36"/>
        <v>0</v>
      </c>
      <c r="BC40" s="138" t="e">
        <f t="shared" ref="BC40" si="37">BC39</f>
        <v>#DIV/0!</v>
      </c>
      <c r="BD40" s="138">
        <f t="shared" ref="BD40:BF40" si="38">SUM(BD28:BD39)</f>
        <v>0</v>
      </c>
      <c r="BE40" s="136">
        <f t="shared" si="38"/>
        <v>0</v>
      </c>
      <c r="BF40" s="137">
        <f t="shared" si="38"/>
        <v>0</v>
      </c>
      <c r="BG40" s="138" t="e">
        <f t="shared" ref="BG40" si="39">BG39</f>
        <v>#DIV/0!</v>
      </c>
      <c r="BH40" s="138">
        <f t="shared" ref="BH40:BJ40" si="40">SUM(BH28:BH39)</f>
        <v>0</v>
      </c>
      <c r="BI40" s="136">
        <f t="shared" si="40"/>
        <v>0</v>
      </c>
      <c r="BJ40" s="137">
        <f t="shared" si="40"/>
        <v>0</v>
      </c>
      <c r="BK40" s="138" t="e">
        <f t="shared" ref="BK40" si="41">BK39</f>
        <v>#DIV/0!</v>
      </c>
      <c r="BL40" s="138">
        <f t="shared" ref="BL40:BN40" si="42">SUM(BL28:BL39)</f>
        <v>0</v>
      </c>
      <c r="BM40" s="136">
        <f t="shared" si="42"/>
        <v>0</v>
      </c>
      <c r="BN40" s="137">
        <f t="shared" si="42"/>
        <v>0</v>
      </c>
      <c r="BO40" s="138" t="e">
        <f t="shared" ref="BO40" si="43">BO39</f>
        <v>#DIV/0!</v>
      </c>
      <c r="BP40" s="138">
        <f>SUM(BP28:BP39)</f>
        <v>0</v>
      </c>
      <c r="BQ40" s="136">
        <f t="shared" ref="BQ40:BR40" si="44">SUM(BQ28:BQ39)</f>
        <v>0</v>
      </c>
      <c r="BR40" s="137">
        <f t="shared" si="44"/>
        <v>0</v>
      </c>
      <c r="BS40" s="138" t="e">
        <f t="shared" ref="BS40" si="45">BS39</f>
        <v>#DIV/0!</v>
      </c>
      <c r="BT40" s="138">
        <f t="shared" ref="BT40:BU40" si="46">SUM(BT28:BT39)</f>
        <v>0</v>
      </c>
      <c r="BU40" s="136">
        <f t="shared" si="46"/>
        <v>0</v>
      </c>
    </row>
  </sheetData>
  <mergeCells count="24">
    <mergeCell ref="BN26:BQ26"/>
    <mergeCell ref="BR26:BU26"/>
    <mergeCell ref="BF26:BI26"/>
    <mergeCell ref="BJ26:BM26"/>
    <mergeCell ref="B26:E26"/>
    <mergeCell ref="F26:I26"/>
    <mergeCell ref="J26:M26"/>
    <mergeCell ref="N26:Q26"/>
    <mergeCell ref="R26:U26"/>
    <mergeCell ref="V26:Y26"/>
    <mergeCell ref="AD26:AG26"/>
    <mergeCell ref="Z26:AC26"/>
    <mergeCell ref="AH26:AK26"/>
    <mergeCell ref="AL26:AO26"/>
    <mergeCell ref="AP26:AS26"/>
    <mergeCell ref="AT26:AW26"/>
    <mergeCell ref="AX26:BA26"/>
    <mergeCell ref="BB26:BE26"/>
    <mergeCell ref="A1:J4"/>
    <mergeCell ref="Q7:X7"/>
    <mergeCell ref="O1:P1"/>
    <mergeCell ref="M1:N1"/>
    <mergeCell ref="R1:S1"/>
    <mergeCell ref="A7:O7"/>
  </mergeCells>
  <phoneticPr fontId="21" type="noConversion"/>
  <conditionalFormatting sqref="V22 K22">
    <cfRule type="cellIs" dxfId="35" priority="10" operator="lessThan">
      <formula>1</formula>
    </cfRule>
    <cfRule type="cellIs" dxfId="34" priority="11" operator="greaterThan">
      <formula>1</formula>
    </cfRule>
    <cfRule type="top10" dxfId="33" priority="12" percent="1" rank="10"/>
  </conditionalFormatting>
  <conditionalFormatting sqref="T22:U22 F22:J22">
    <cfRule type="cellIs" dxfId="32" priority="8" operator="lessThanOrEqual">
      <formula>0</formula>
    </cfRule>
    <cfRule type="cellIs" dxfId="31" priority="9" operator="greaterThan">
      <formula>0</formula>
    </cfRule>
  </conditionalFormatting>
  <conditionalFormatting sqref="C22:E22">
    <cfRule type="cellIs" dxfId="30" priority="6" operator="lessThanOrEqual">
      <formula>1</formula>
    </cfRule>
    <cfRule type="cellIs" dxfId="29" priority="7" operator="greaterThan">
      <formula>1</formula>
    </cfRule>
  </conditionalFormatting>
  <pageMargins left="0.7" right="0.7" top="0.75" bottom="0.75" header="0.3" footer="0.3"/>
  <pageSetup paperSize="9" orientation="portrait" r:id="rId1"/>
  <ignoredErrors>
    <ignoredError sqref="E10 E11:E19" formulaRange="1"/>
    <ignoredError sqref="H21:J21 V9:V20 S21 F21 C40 G40 O40 W40 AA40 AE40 AI40 AM40" formula="1"/>
    <ignoredError sqref="O9:O20" evalError="1"/>
    <ignoredError sqref="K40 S40" formula="1" formulaRange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5" tint="-0.249977111117893"/>
  </sheetPr>
  <dimension ref="A1:BF41"/>
  <sheetViews>
    <sheetView zoomScale="55" zoomScaleNormal="55" workbookViewId="0">
      <selection sqref="A1:J4"/>
    </sheetView>
  </sheetViews>
  <sheetFormatPr baseColWidth="10" defaultRowHeight="15" x14ac:dyDescent="0.25"/>
  <cols>
    <col min="1" max="1" width="31.7109375" bestFit="1" customWidth="1"/>
    <col min="2" max="3" width="18.7109375" bestFit="1" customWidth="1"/>
    <col min="4" max="4" width="17.42578125" bestFit="1" customWidth="1"/>
    <col min="5" max="5" width="18.85546875" customWidth="1"/>
    <col min="6" max="6" width="17.7109375" bestFit="1" customWidth="1"/>
    <col min="7" max="7" width="15.7109375" bestFit="1" customWidth="1"/>
    <col min="8" max="8" width="15.5703125" customWidth="1"/>
    <col min="9" max="9" width="17.28515625" customWidth="1"/>
    <col min="10" max="11" width="17.85546875" bestFit="1" customWidth="1"/>
    <col min="12" max="14" width="20.5703125" bestFit="1" customWidth="1"/>
    <col min="15" max="15" width="23" bestFit="1" customWidth="1"/>
    <col min="16" max="16" width="17.85546875" bestFit="1" customWidth="1"/>
    <col min="17" max="17" width="15.42578125" bestFit="1" customWidth="1"/>
    <col min="18" max="19" width="13.5703125" bestFit="1" customWidth="1"/>
    <col min="20" max="20" width="12.28515625" customWidth="1"/>
    <col min="28" max="28" width="14.140625" bestFit="1" customWidth="1"/>
    <col min="31" max="31" width="12.140625" bestFit="1" customWidth="1"/>
    <col min="34" max="34" width="12.140625" bestFit="1" customWidth="1"/>
  </cols>
  <sheetData>
    <row r="1" spans="1:20" ht="15" customHeight="1" x14ac:dyDescent="0.25">
      <c r="A1" s="225" t="s">
        <v>69</v>
      </c>
      <c r="B1" s="225"/>
      <c r="C1" s="225"/>
      <c r="D1" s="225"/>
      <c r="E1" s="225"/>
      <c r="F1" s="225"/>
      <c r="G1" s="225"/>
      <c r="H1" s="225"/>
      <c r="I1" s="225"/>
      <c r="J1" s="225"/>
      <c r="K1" s="11"/>
      <c r="L1" s="97" t="s">
        <v>51</v>
      </c>
      <c r="M1" s="233" t="s">
        <v>57</v>
      </c>
      <c r="N1" s="234"/>
      <c r="O1" s="233" t="s">
        <v>32</v>
      </c>
      <c r="P1" s="235"/>
      <c r="Q1" s="118" t="s">
        <v>59</v>
      </c>
      <c r="R1" s="233" t="s">
        <v>58</v>
      </c>
      <c r="S1" s="235"/>
      <c r="T1" s="100" t="s">
        <v>59</v>
      </c>
    </row>
    <row r="2" spans="1:20" ht="15" customHeight="1" x14ac:dyDescent="0.25">
      <c r="A2" s="225"/>
      <c r="B2" s="225"/>
      <c r="C2" s="225"/>
      <c r="D2" s="225"/>
      <c r="E2" s="225"/>
      <c r="F2" s="225"/>
      <c r="G2" s="225"/>
      <c r="H2" s="225"/>
      <c r="I2" s="225"/>
      <c r="J2" s="225"/>
      <c r="K2" s="11"/>
      <c r="L2" s="91" t="s">
        <v>47</v>
      </c>
      <c r="M2" s="20">
        <v>0.95</v>
      </c>
      <c r="N2" s="20">
        <f>M2</f>
        <v>0.95</v>
      </c>
      <c r="O2" s="20" t="s">
        <v>46</v>
      </c>
      <c r="P2" s="20" t="e">
        <f>VLOOKUP(9^9,R9:R20,1)</f>
        <v>#N/A</v>
      </c>
      <c r="Q2" s="20"/>
      <c r="R2" s="20" t="s">
        <v>46</v>
      </c>
      <c r="S2" s="20" t="e">
        <f>VLOOKUP(9^9,I9:I20,1)</f>
        <v>#N/A</v>
      </c>
      <c r="T2" s="20"/>
    </row>
    <row r="3" spans="1:20" ht="15" customHeight="1" x14ac:dyDescent="0.25">
      <c r="A3" s="225"/>
      <c r="B3" s="225"/>
      <c r="C3" s="225"/>
      <c r="D3" s="225"/>
      <c r="E3" s="225"/>
      <c r="F3" s="225"/>
      <c r="G3" s="225"/>
      <c r="H3" s="225"/>
      <c r="I3" s="225"/>
      <c r="J3" s="225"/>
      <c r="K3" s="11"/>
      <c r="L3" s="91" t="s">
        <v>48</v>
      </c>
      <c r="M3" s="20">
        <v>0.05</v>
      </c>
      <c r="N3" s="20">
        <f>M2+M3</f>
        <v>1</v>
      </c>
      <c r="O3" s="20" t="s">
        <v>52</v>
      </c>
      <c r="P3" s="20">
        <v>0.02</v>
      </c>
      <c r="Q3" s="20" t="e">
        <f>P2</f>
        <v>#N/A</v>
      </c>
      <c r="R3" s="20" t="s">
        <v>52</v>
      </c>
      <c r="S3" s="20">
        <v>0.02</v>
      </c>
      <c r="T3" s="20" t="e">
        <f>S2</f>
        <v>#N/A</v>
      </c>
    </row>
    <row r="4" spans="1:20" ht="15.75" customHeight="1" x14ac:dyDescent="0.25">
      <c r="A4" s="225"/>
      <c r="B4" s="225"/>
      <c r="C4" s="225"/>
      <c r="D4" s="225"/>
      <c r="E4" s="225"/>
      <c r="F4" s="225"/>
      <c r="G4" s="225"/>
      <c r="H4" s="225"/>
      <c r="I4" s="225"/>
      <c r="J4" s="225"/>
      <c r="K4" s="11"/>
      <c r="L4" s="91" t="s">
        <v>49</v>
      </c>
      <c r="M4" s="20">
        <v>0.2</v>
      </c>
      <c r="N4" s="20">
        <f>M2+M3+M4</f>
        <v>1.2</v>
      </c>
      <c r="O4" s="20" t="s">
        <v>53</v>
      </c>
      <c r="P4" s="20" t="e">
        <f>SUM(M2:M5)-(P2+P3)</f>
        <v>#N/A</v>
      </c>
      <c r="Q4" s="20"/>
      <c r="R4" s="20" t="s">
        <v>53</v>
      </c>
      <c r="S4" s="20" t="e">
        <f>SUM(M2:M5)-(S2+S3)</f>
        <v>#N/A</v>
      </c>
      <c r="T4" s="20"/>
    </row>
    <row r="5" spans="1:20" x14ac:dyDescent="0.25">
      <c r="K5" s="110"/>
      <c r="L5" s="91" t="s">
        <v>50</v>
      </c>
      <c r="M5" s="92">
        <v>0.8</v>
      </c>
      <c r="N5" s="91"/>
      <c r="O5" s="91" t="s">
        <v>54</v>
      </c>
      <c r="P5" s="91">
        <v>2</v>
      </c>
      <c r="Q5" s="91"/>
      <c r="R5" s="91" t="s">
        <v>54</v>
      </c>
      <c r="S5" s="91">
        <v>2</v>
      </c>
      <c r="T5" s="91"/>
    </row>
    <row r="6" spans="1:20" x14ac:dyDescent="0.25">
      <c r="K6" s="110"/>
      <c r="L6" s="110"/>
      <c r="M6" s="110"/>
    </row>
    <row r="7" spans="1:20" ht="33.75" x14ac:dyDescent="0.25">
      <c r="A7" s="246" t="s">
        <v>71</v>
      </c>
      <c r="B7" s="247"/>
      <c r="C7" s="247"/>
      <c r="D7" s="247"/>
      <c r="E7" s="247"/>
      <c r="F7" s="247"/>
      <c r="G7" s="247"/>
      <c r="H7" s="247"/>
      <c r="I7" s="248"/>
      <c r="K7" s="246" t="s">
        <v>72</v>
      </c>
      <c r="L7" s="247"/>
      <c r="M7" s="247"/>
      <c r="N7" s="247"/>
      <c r="O7" s="247"/>
      <c r="P7" s="247"/>
      <c r="Q7" s="247"/>
      <c r="R7" s="248"/>
    </row>
    <row r="8" spans="1:20" ht="42" x14ac:dyDescent="0.25">
      <c r="A8" s="61">
        <f>'A3'!AN3</f>
        <v>2023</v>
      </c>
      <c r="B8" s="62" t="s">
        <v>73</v>
      </c>
      <c r="C8" s="62" t="s">
        <v>74</v>
      </c>
      <c r="D8" s="63" t="s">
        <v>26</v>
      </c>
      <c r="E8" s="63" t="s">
        <v>76</v>
      </c>
      <c r="F8" s="64" t="s">
        <v>21</v>
      </c>
      <c r="G8" s="126" t="s">
        <v>70</v>
      </c>
      <c r="H8" s="64" t="s">
        <v>34</v>
      </c>
      <c r="I8" s="74" t="s">
        <v>56</v>
      </c>
      <c r="K8" s="61">
        <f>A8</f>
        <v>2023</v>
      </c>
      <c r="L8" s="93" t="s">
        <v>65</v>
      </c>
      <c r="M8" s="62" t="s">
        <v>64</v>
      </c>
      <c r="N8" s="10" t="s">
        <v>67</v>
      </c>
      <c r="O8" s="23" t="s">
        <v>66</v>
      </c>
      <c r="P8" s="64" t="s">
        <v>21</v>
      </c>
      <c r="Q8" s="125" t="s">
        <v>78</v>
      </c>
      <c r="R8" s="122" t="s">
        <v>75</v>
      </c>
    </row>
    <row r="9" spans="1:20" ht="23.25" x14ac:dyDescent="0.25">
      <c r="A9" s="8" t="s">
        <v>4</v>
      </c>
      <c r="B9" s="128">
        <v>3898</v>
      </c>
      <c r="C9" s="24">
        <f>B9</f>
        <v>3898</v>
      </c>
      <c r="D9" s="25"/>
      <c r="E9" s="76" t="e">
        <f>IF(D9="",NA(),D9)</f>
        <v>#N/A</v>
      </c>
      <c r="F9" s="17">
        <f t="shared" ref="F9:F20" si="0">IF(D9="",B9,D9)</f>
        <v>3898</v>
      </c>
      <c r="G9" s="124">
        <f>F9</f>
        <v>3898</v>
      </c>
      <c r="H9" s="64">
        <f>INDEX('7. Administratif'!$B$14:$T$26,2,MATCH($A$8,'7. Administratif'!$B$14:$T$14,0))</f>
        <v>22</v>
      </c>
      <c r="I9" s="96" t="e">
        <f t="shared" ref="I9:I20" si="1">IF(E9="","",E9/C9)</f>
        <v>#N/A</v>
      </c>
      <c r="K9" s="8" t="s">
        <v>4</v>
      </c>
      <c r="L9" s="129">
        <v>7120</v>
      </c>
      <c r="M9" s="102">
        <f>L9</f>
        <v>7120</v>
      </c>
      <c r="N9" s="103"/>
      <c r="O9" s="127" t="e">
        <f>IF(N9="",NA(),N9)</f>
        <v>#N/A</v>
      </c>
      <c r="P9" s="104">
        <f>IF(N9="",L9,N9)</f>
        <v>7120</v>
      </c>
      <c r="Q9" s="17">
        <f>P9</f>
        <v>7120</v>
      </c>
      <c r="R9" s="90" t="e">
        <f>IF(O9="","",O9/M9)</f>
        <v>#N/A</v>
      </c>
    </row>
    <row r="10" spans="1:20" ht="23.25" x14ac:dyDescent="0.25">
      <c r="A10" s="8" t="s">
        <v>5</v>
      </c>
      <c r="B10" s="128">
        <v>4589</v>
      </c>
      <c r="C10" s="24">
        <f>C9+B10</f>
        <v>8487</v>
      </c>
      <c r="D10" s="25"/>
      <c r="E10" s="127" t="e">
        <f>IF(D10="",NA(),D10+E9)</f>
        <v>#N/A</v>
      </c>
      <c r="F10" s="17">
        <f t="shared" si="0"/>
        <v>4589</v>
      </c>
      <c r="G10" s="124">
        <f>F10+G9</f>
        <v>8487</v>
      </c>
      <c r="H10" s="64">
        <f>INDEX('7. Administratif'!$B$14:$T$26,3,MATCH($A$8,'7. Administratif'!$B$14:$T$14,0))</f>
        <v>20</v>
      </c>
      <c r="I10" s="96" t="e">
        <f t="shared" si="1"/>
        <v>#N/A</v>
      </c>
      <c r="K10" s="8" t="s">
        <v>5</v>
      </c>
      <c r="L10" s="129">
        <v>8334</v>
      </c>
      <c r="M10" s="102">
        <f>M9+L10</f>
        <v>15454</v>
      </c>
      <c r="N10" s="103"/>
      <c r="O10" s="127" t="e">
        <f>IF(N10="",NA(),N10+O9)</f>
        <v>#N/A</v>
      </c>
      <c r="P10" s="104">
        <f>IF(N10="",L10,N10)</f>
        <v>8334</v>
      </c>
      <c r="Q10" s="17">
        <f>Q9+P10</f>
        <v>15454</v>
      </c>
      <c r="R10" s="90" t="e">
        <f>IF(O10="","",O10/M10)</f>
        <v>#N/A</v>
      </c>
    </row>
    <row r="11" spans="1:20" ht="23.25" x14ac:dyDescent="0.25">
      <c r="A11" s="8" t="s">
        <v>6</v>
      </c>
      <c r="B11" s="128">
        <v>5145</v>
      </c>
      <c r="C11" s="24">
        <f t="shared" ref="C11:C20" si="2">C10+B11</f>
        <v>13632</v>
      </c>
      <c r="D11" s="25"/>
      <c r="E11" s="127" t="e">
        <f t="shared" ref="E11:E20" si="3">IF(D11="",NA(),D11+E10)</f>
        <v>#N/A</v>
      </c>
      <c r="F11" s="17">
        <f t="shared" si="0"/>
        <v>5145</v>
      </c>
      <c r="G11" s="124">
        <f t="shared" ref="G11:G20" si="4">F11+G10</f>
        <v>13632</v>
      </c>
      <c r="H11" s="64">
        <f>INDEX('7. Administratif'!$B$14:$T$26,4,MATCH($A$8,'7. Administratif'!$B$14:$T$14,0))</f>
        <v>23</v>
      </c>
      <c r="I11" s="96" t="e">
        <f t="shared" si="1"/>
        <v>#N/A</v>
      </c>
      <c r="K11" s="8" t="s">
        <v>6</v>
      </c>
      <c r="L11" s="129">
        <v>9312</v>
      </c>
      <c r="M11" s="102">
        <f t="shared" ref="M11:M20" si="5">M10+L11</f>
        <v>24766</v>
      </c>
      <c r="N11" s="103"/>
      <c r="O11" s="127" t="e">
        <f t="shared" ref="O11:O20" si="6">IF(N11="",NA(),N11+O10)</f>
        <v>#N/A</v>
      </c>
      <c r="P11" s="104">
        <f t="shared" ref="P11:P20" si="7">IF(N11="",L11,N11)</f>
        <v>9312</v>
      </c>
      <c r="Q11" s="17">
        <f t="shared" ref="Q11:Q20" si="8">Q10+P11</f>
        <v>24766</v>
      </c>
      <c r="R11" s="90" t="e">
        <f t="shared" ref="R11:R20" si="9">IF(O11="","",O11/M11)</f>
        <v>#N/A</v>
      </c>
    </row>
    <row r="12" spans="1:20" ht="23.25" x14ac:dyDescent="0.25">
      <c r="A12" s="8" t="s">
        <v>7</v>
      </c>
      <c r="B12" s="128">
        <v>5425</v>
      </c>
      <c r="C12" s="24">
        <f t="shared" si="2"/>
        <v>19057</v>
      </c>
      <c r="D12" s="25"/>
      <c r="E12" s="127" t="e">
        <f t="shared" si="3"/>
        <v>#N/A</v>
      </c>
      <c r="F12" s="17">
        <f t="shared" si="0"/>
        <v>5425</v>
      </c>
      <c r="G12" s="124">
        <f t="shared" si="4"/>
        <v>19057</v>
      </c>
      <c r="H12" s="64">
        <f>INDEX('7. Administratif'!$B$14:$T$26,5,MATCH($A$8,'7. Administratif'!$B$14:$T$14,0))</f>
        <v>19</v>
      </c>
      <c r="I12" s="96" t="e">
        <f t="shared" si="1"/>
        <v>#N/A</v>
      </c>
      <c r="K12" s="8" t="s">
        <v>7</v>
      </c>
      <c r="L12" s="129">
        <v>10245</v>
      </c>
      <c r="M12" s="102">
        <f t="shared" si="5"/>
        <v>35011</v>
      </c>
      <c r="N12" s="103"/>
      <c r="O12" s="127" t="e">
        <f t="shared" si="6"/>
        <v>#N/A</v>
      </c>
      <c r="P12" s="104">
        <f t="shared" si="7"/>
        <v>10245</v>
      </c>
      <c r="Q12" s="17">
        <f t="shared" si="8"/>
        <v>35011</v>
      </c>
      <c r="R12" s="90" t="e">
        <f t="shared" si="9"/>
        <v>#N/A</v>
      </c>
    </row>
    <row r="13" spans="1:20" ht="23.25" x14ac:dyDescent="0.25">
      <c r="A13" s="8" t="s">
        <v>8</v>
      </c>
      <c r="B13" s="128">
        <v>5904</v>
      </c>
      <c r="C13" s="24">
        <f t="shared" si="2"/>
        <v>24961</v>
      </c>
      <c r="D13" s="25"/>
      <c r="E13" s="127" t="e">
        <f t="shared" si="3"/>
        <v>#N/A</v>
      </c>
      <c r="F13" s="17">
        <f t="shared" si="0"/>
        <v>5904</v>
      </c>
      <c r="G13" s="124">
        <f t="shared" si="4"/>
        <v>24961</v>
      </c>
      <c r="H13" s="64">
        <f>INDEX('7. Administratif'!$B$14:$T$26,6,MATCH($A$8,'7. Administratif'!$B$14:$T$14,0))</f>
        <v>18</v>
      </c>
      <c r="I13" s="96" t="e">
        <f t="shared" si="1"/>
        <v>#N/A</v>
      </c>
      <c r="K13" s="8" t="s">
        <v>8</v>
      </c>
      <c r="L13" s="129">
        <v>11127</v>
      </c>
      <c r="M13" s="102">
        <f t="shared" si="5"/>
        <v>46138</v>
      </c>
      <c r="N13" s="103"/>
      <c r="O13" s="127" t="e">
        <f t="shared" si="6"/>
        <v>#N/A</v>
      </c>
      <c r="P13" s="104">
        <f t="shared" si="7"/>
        <v>11127</v>
      </c>
      <c r="Q13" s="17">
        <f t="shared" si="8"/>
        <v>46138</v>
      </c>
      <c r="R13" s="90" t="e">
        <f t="shared" si="9"/>
        <v>#N/A</v>
      </c>
    </row>
    <row r="14" spans="1:20" ht="23.25" x14ac:dyDescent="0.25">
      <c r="A14" s="8" t="s">
        <v>9</v>
      </c>
      <c r="B14" s="128">
        <v>6747</v>
      </c>
      <c r="C14" s="24">
        <f t="shared" si="2"/>
        <v>31708</v>
      </c>
      <c r="D14" s="25"/>
      <c r="E14" s="127" t="e">
        <f t="shared" si="3"/>
        <v>#N/A</v>
      </c>
      <c r="F14" s="17">
        <f t="shared" si="0"/>
        <v>6747</v>
      </c>
      <c r="G14" s="124">
        <f t="shared" si="4"/>
        <v>31708</v>
      </c>
      <c r="H14" s="64">
        <f>INDEX('7. Administratif'!$B$14:$T$26,7,MATCH($A$8,'7. Administratif'!$B$14:$T$14,0))</f>
        <v>22</v>
      </c>
      <c r="I14" s="96" t="e">
        <f t="shared" si="1"/>
        <v>#N/A</v>
      </c>
      <c r="K14" s="8" t="s">
        <v>9</v>
      </c>
      <c r="L14" s="129">
        <v>12677</v>
      </c>
      <c r="M14" s="102">
        <f t="shared" si="5"/>
        <v>58815</v>
      </c>
      <c r="N14" s="103"/>
      <c r="O14" s="127" t="e">
        <f t="shared" si="6"/>
        <v>#N/A</v>
      </c>
      <c r="P14" s="104">
        <f t="shared" si="7"/>
        <v>12677</v>
      </c>
      <c r="Q14" s="17">
        <f t="shared" si="8"/>
        <v>58815</v>
      </c>
      <c r="R14" s="90" t="e">
        <f t="shared" si="9"/>
        <v>#N/A</v>
      </c>
    </row>
    <row r="15" spans="1:20" ht="23.25" x14ac:dyDescent="0.25">
      <c r="A15" s="8" t="s">
        <v>10</v>
      </c>
      <c r="B15" s="128">
        <v>6522</v>
      </c>
      <c r="C15" s="24">
        <f t="shared" si="2"/>
        <v>38230</v>
      </c>
      <c r="D15" s="25"/>
      <c r="E15" s="127" t="e">
        <f t="shared" si="3"/>
        <v>#N/A</v>
      </c>
      <c r="F15" s="17">
        <f t="shared" si="0"/>
        <v>6522</v>
      </c>
      <c r="G15" s="124">
        <f t="shared" si="4"/>
        <v>38230</v>
      </c>
      <c r="H15" s="64">
        <f>INDEX('7. Administratif'!$B$14:$T$26,8,MATCH($A$8,'7. Administratif'!$B$14:$T$14,0))</f>
        <v>20</v>
      </c>
      <c r="I15" s="96" t="e">
        <f t="shared" si="1"/>
        <v>#N/A</v>
      </c>
      <c r="K15" s="8" t="s">
        <v>10</v>
      </c>
      <c r="L15" s="129">
        <v>12010</v>
      </c>
      <c r="M15" s="102">
        <f t="shared" si="5"/>
        <v>70825</v>
      </c>
      <c r="N15" s="103"/>
      <c r="O15" s="127" t="e">
        <f t="shared" si="6"/>
        <v>#N/A</v>
      </c>
      <c r="P15" s="104">
        <f t="shared" si="7"/>
        <v>12010</v>
      </c>
      <c r="Q15" s="17">
        <f t="shared" si="8"/>
        <v>70825</v>
      </c>
      <c r="R15" s="90" t="e">
        <f t="shared" si="9"/>
        <v>#N/A</v>
      </c>
    </row>
    <row r="16" spans="1:20" ht="23.25" x14ac:dyDescent="0.25">
      <c r="A16" s="8" t="s">
        <v>11</v>
      </c>
      <c r="B16" s="128">
        <v>6405</v>
      </c>
      <c r="C16" s="24">
        <f t="shared" si="2"/>
        <v>44635</v>
      </c>
      <c r="D16" s="25"/>
      <c r="E16" s="127" t="e">
        <f t="shared" si="3"/>
        <v>#N/A</v>
      </c>
      <c r="F16" s="17">
        <f t="shared" si="0"/>
        <v>6405</v>
      </c>
      <c r="G16" s="124">
        <f t="shared" si="4"/>
        <v>44635</v>
      </c>
      <c r="H16" s="64">
        <f>INDEX('7. Administratif'!$B$14:$T$26,9,MATCH($A$8,'7. Administratif'!$B$14:$T$14,0))</f>
        <v>22</v>
      </c>
      <c r="I16" s="96" t="e">
        <f t="shared" si="1"/>
        <v>#N/A</v>
      </c>
      <c r="K16" s="8" t="s">
        <v>11</v>
      </c>
      <c r="L16" s="129">
        <v>11799</v>
      </c>
      <c r="M16" s="102">
        <f t="shared" si="5"/>
        <v>82624</v>
      </c>
      <c r="N16" s="103"/>
      <c r="O16" s="127" t="e">
        <f t="shared" si="6"/>
        <v>#N/A</v>
      </c>
      <c r="P16" s="104">
        <f t="shared" si="7"/>
        <v>11799</v>
      </c>
      <c r="Q16" s="17">
        <f t="shared" si="8"/>
        <v>82624</v>
      </c>
      <c r="R16" s="90" t="e">
        <f t="shared" si="9"/>
        <v>#N/A</v>
      </c>
    </row>
    <row r="17" spans="1:58" ht="23.25" x14ac:dyDescent="0.25">
      <c r="A17" s="8" t="s">
        <v>12</v>
      </c>
      <c r="B17" s="128">
        <v>6179</v>
      </c>
      <c r="C17" s="24">
        <f t="shared" si="2"/>
        <v>50814</v>
      </c>
      <c r="D17" s="25"/>
      <c r="E17" s="127" t="e">
        <f t="shared" si="3"/>
        <v>#N/A</v>
      </c>
      <c r="F17" s="17">
        <f t="shared" si="0"/>
        <v>6179</v>
      </c>
      <c r="G17" s="124">
        <f t="shared" si="4"/>
        <v>50814</v>
      </c>
      <c r="H17" s="64">
        <f>INDEX('7. Administratif'!$B$14:$T$26,10,MATCH($A$8,'7. Administratif'!$B$14:$T$14,0))</f>
        <v>21</v>
      </c>
      <c r="I17" s="96" t="e">
        <f t="shared" si="1"/>
        <v>#N/A</v>
      </c>
      <c r="K17" s="8" t="s">
        <v>12</v>
      </c>
      <c r="L17" s="129">
        <v>11392</v>
      </c>
      <c r="M17" s="102">
        <f t="shared" si="5"/>
        <v>94016</v>
      </c>
      <c r="N17" s="103"/>
      <c r="O17" s="127" t="e">
        <f t="shared" si="6"/>
        <v>#N/A</v>
      </c>
      <c r="P17" s="104">
        <f t="shared" si="7"/>
        <v>11392</v>
      </c>
      <c r="Q17" s="17">
        <f t="shared" si="8"/>
        <v>94016</v>
      </c>
      <c r="R17" s="90" t="e">
        <f t="shared" si="9"/>
        <v>#N/A</v>
      </c>
    </row>
    <row r="18" spans="1:58" ht="23.25" x14ac:dyDescent="0.25">
      <c r="A18" s="8" t="s">
        <v>13</v>
      </c>
      <c r="B18" s="128">
        <v>5704</v>
      </c>
      <c r="C18" s="24">
        <f t="shared" si="2"/>
        <v>56518</v>
      </c>
      <c r="D18" s="25"/>
      <c r="E18" s="127" t="e">
        <f t="shared" si="3"/>
        <v>#N/A</v>
      </c>
      <c r="F18" s="17">
        <f t="shared" si="0"/>
        <v>5704</v>
      </c>
      <c r="G18" s="124">
        <f t="shared" si="4"/>
        <v>56518</v>
      </c>
      <c r="H18" s="64">
        <f>INDEX('7. Administratif'!$B$14:$T$26,11,MATCH($A$8,'7. Administratif'!$B$14:$T$14,0))</f>
        <v>22</v>
      </c>
      <c r="I18" s="96" t="e">
        <f t="shared" si="1"/>
        <v>#N/A</v>
      </c>
      <c r="K18" s="8" t="s">
        <v>13</v>
      </c>
      <c r="L18" s="129">
        <v>10536</v>
      </c>
      <c r="M18" s="102">
        <f t="shared" si="5"/>
        <v>104552</v>
      </c>
      <c r="N18" s="103"/>
      <c r="O18" s="127" t="e">
        <f t="shared" si="6"/>
        <v>#N/A</v>
      </c>
      <c r="P18" s="104">
        <f t="shared" si="7"/>
        <v>10536</v>
      </c>
      <c r="Q18" s="17">
        <f t="shared" si="8"/>
        <v>104552</v>
      </c>
      <c r="R18" s="90" t="e">
        <f t="shared" si="9"/>
        <v>#N/A</v>
      </c>
    </row>
    <row r="19" spans="1:58" ht="23.25" x14ac:dyDescent="0.25">
      <c r="A19" s="8" t="s">
        <v>14</v>
      </c>
      <c r="B19" s="128">
        <v>5227</v>
      </c>
      <c r="C19" s="24">
        <f t="shared" si="2"/>
        <v>61745</v>
      </c>
      <c r="D19" s="25"/>
      <c r="E19" s="127" t="e">
        <f t="shared" si="3"/>
        <v>#N/A</v>
      </c>
      <c r="F19" s="17">
        <f t="shared" si="0"/>
        <v>5227</v>
      </c>
      <c r="G19" s="124">
        <f t="shared" si="4"/>
        <v>61745</v>
      </c>
      <c r="H19" s="64">
        <f>INDEX('7. Administratif'!$B$14:$T$26,12,MATCH($A$8,'7. Administratif'!$B$14:$T$14,0))</f>
        <v>21</v>
      </c>
      <c r="I19" s="96" t="e">
        <f t="shared" si="1"/>
        <v>#N/A</v>
      </c>
      <c r="K19" s="8" t="s">
        <v>14</v>
      </c>
      <c r="L19" s="129">
        <v>9677</v>
      </c>
      <c r="M19" s="102">
        <f t="shared" si="5"/>
        <v>114229</v>
      </c>
      <c r="N19" s="103"/>
      <c r="O19" s="127" t="e">
        <f t="shared" si="6"/>
        <v>#N/A</v>
      </c>
      <c r="P19" s="104">
        <f t="shared" si="7"/>
        <v>9677</v>
      </c>
      <c r="Q19" s="17">
        <f t="shared" si="8"/>
        <v>114229</v>
      </c>
      <c r="R19" s="90" t="e">
        <f t="shared" si="9"/>
        <v>#N/A</v>
      </c>
    </row>
    <row r="20" spans="1:58" ht="23.25" x14ac:dyDescent="0.25">
      <c r="A20" s="8" t="s">
        <v>15</v>
      </c>
      <c r="B20" s="128">
        <v>3255</v>
      </c>
      <c r="C20" s="24">
        <f t="shared" si="2"/>
        <v>65000</v>
      </c>
      <c r="D20" s="25"/>
      <c r="E20" s="127" t="e">
        <f t="shared" si="3"/>
        <v>#N/A</v>
      </c>
      <c r="F20" s="17">
        <f t="shared" si="0"/>
        <v>3255</v>
      </c>
      <c r="G20" s="124">
        <f t="shared" si="4"/>
        <v>65000</v>
      </c>
      <c r="H20" s="64">
        <f>INDEX('7. Administratif'!$B$14:$T$26,13,MATCH($A$8,'7. Administratif'!$B$14:$T$14,0))</f>
        <v>16</v>
      </c>
      <c r="I20" s="96" t="e">
        <f t="shared" si="1"/>
        <v>#N/A</v>
      </c>
      <c r="K20" s="8" t="s">
        <v>15</v>
      </c>
      <c r="L20" s="129">
        <v>6128</v>
      </c>
      <c r="M20" s="102">
        <f t="shared" si="5"/>
        <v>120357</v>
      </c>
      <c r="N20" s="103"/>
      <c r="O20" s="127" t="e">
        <f t="shared" si="6"/>
        <v>#N/A</v>
      </c>
      <c r="P20" s="104">
        <f t="shared" si="7"/>
        <v>6128</v>
      </c>
      <c r="Q20" s="17">
        <f t="shared" si="8"/>
        <v>120357</v>
      </c>
      <c r="R20" s="90" t="e">
        <f t="shared" si="9"/>
        <v>#N/A</v>
      </c>
    </row>
    <row r="21" spans="1:58" ht="23.25" x14ac:dyDescent="0.25">
      <c r="A21" s="8" t="s">
        <v>20</v>
      </c>
      <c r="B21" s="14">
        <f>SUM(B9:B20)</f>
        <v>65000</v>
      </c>
      <c r="C21" s="14">
        <f>F21-B21</f>
        <v>0</v>
      </c>
      <c r="D21" s="14">
        <f>SUM(D9:D20)</f>
        <v>0</v>
      </c>
      <c r="E21" s="14"/>
      <c r="F21" s="21">
        <f>SUM(F9:F20)</f>
        <v>65000</v>
      </c>
      <c r="G21" s="21"/>
      <c r="H21" s="64">
        <f>SUM(H9:H20)</f>
        <v>246</v>
      </c>
      <c r="I21" s="95"/>
      <c r="K21" s="8" t="s">
        <v>20</v>
      </c>
      <c r="L21" s="106">
        <f>SUM(L9:L20)</f>
        <v>120357</v>
      </c>
      <c r="M21" s="106">
        <f>P21-L21</f>
        <v>0</v>
      </c>
      <c r="N21" s="105">
        <f>SUM(N9:N20)</f>
        <v>0</v>
      </c>
      <c r="O21" s="105"/>
      <c r="P21" s="107">
        <f>SUM(P9:P20)</f>
        <v>120357</v>
      </c>
      <c r="Q21" s="101"/>
    </row>
    <row r="22" spans="1:58" ht="23.25" x14ac:dyDescent="0.25">
      <c r="A22" s="8" t="s">
        <v>23</v>
      </c>
      <c r="B22" s="20">
        <f>B21/B21</f>
        <v>1</v>
      </c>
      <c r="C22" s="108">
        <f>C21/B21</f>
        <v>0</v>
      </c>
      <c r="D22" s="18">
        <f>F22-B22</f>
        <v>0</v>
      </c>
      <c r="E22" s="18"/>
      <c r="F22" s="18">
        <f>F21/B21</f>
        <v>1</v>
      </c>
      <c r="G22" s="115"/>
      <c r="H22" s="19"/>
      <c r="I22" s="19"/>
      <c r="K22" s="8" t="s">
        <v>23</v>
      </c>
      <c r="L22" s="20">
        <f>L21/L21</f>
        <v>1</v>
      </c>
      <c r="M22" s="108">
        <f>M21/L21</f>
        <v>0</v>
      </c>
      <c r="N22" s="18">
        <f>P22-L22</f>
        <v>0</v>
      </c>
      <c r="O22" s="18"/>
      <c r="P22" s="18">
        <f>P21/L21</f>
        <v>1</v>
      </c>
    </row>
    <row r="26" spans="1:58" ht="15.75" thickBot="1" x14ac:dyDescent="0.3"/>
    <row r="27" spans="1:58" ht="36" x14ac:dyDescent="0.25">
      <c r="A27" s="32" t="s">
        <v>28</v>
      </c>
      <c r="B27" s="236">
        <v>2012</v>
      </c>
      <c r="C27" s="237"/>
      <c r="D27" s="238"/>
      <c r="E27" s="236">
        <v>2013</v>
      </c>
      <c r="F27" s="237"/>
      <c r="G27" s="238"/>
      <c r="H27" s="236">
        <v>2014</v>
      </c>
      <c r="I27" s="237"/>
      <c r="J27" s="238"/>
      <c r="K27" s="236">
        <v>2015</v>
      </c>
      <c r="L27" s="237"/>
      <c r="M27" s="238"/>
      <c r="N27" s="236">
        <v>2016</v>
      </c>
      <c r="O27" s="237"/>
      <c r="P27" s="238"/>
      <c r="Q27" s="236">
        <v>2017</v>
      </c>
      <c r="R27" s="237"/>
      <c r="S27" s="238"/>
      <c r="T27" s="236">
        <v>2018</v>
      </c>
      <c r="U27" s="237"/>
      <c r="V27" s="238"/>
      <c r="W27" s="236">
        <v>2019</v>
      </c>
      <c r="X27" s="237"/>
      <c r="Y27" s="238"/>
      <c r="Z27" s="236">
        <v>2020</v>
      </c>
      <c r="AA27" s="237"/>
      <c r="AB27" s="238"/>
      <c r="AC27" s="236">
        <v>2021</v>
      </c>
      <c r="AD27" s="237"/>
      <c r="AE27" s="238"/>
      <c r="AF27" s="236">
        <v>2022</v>
      </c>
      <c r="AG27" s="237"/>
      <c r="AH27" s="238"/>
      <c r="AI27" s="236">
        <v>2023</v>
      </c>
      <c r="AJ27" s="237"/>
      <c r="AK27" s="238"/>
      <c r="AL27" s="236">
        <v>2024</v>
      </c>
      <c r="AM27" s="237"/>
      <c r="AN27" s="238"/>
      <c r="AO27" s="236">
        <v>2025</v>
      </c>
      <c r="AP27" s="237"/>
      <c r="AQ27" s="238"/>
      <c r="AR27" s="236">
        <v>2026</v>
      </c>
      <c r="AS27" s="237"/>
      <c r="AT27" s="238"/>
      <c r="AU27" s="236">
        <v>2027</v>
      </c>
      <c r="AV27" s="237"/>
      <c r="AW27" s="238"/>
      <c r="AX27" s="236">
        <v>2028</v>
      </c>
      <c r="AY27" s="237"/>
      <c r="AZ27" s="238"/>
      <c r="BA27" s="236">
        <v>2029</v>
      </c>
      <c r="BB27" s="237"/>
      <c r="BC27" s="238"/>
      <c r="BD27" s="236">
        <v>2030</v>
      </c>
      <c r="BE27" s="237"/>
      <c r="BF27" s="238"/>
    </row>
    <row r="28" spans="1:58" ht="24" thickBot="1" x14ac:dyDescent="0.3">
      <c r="A28" s="33" t="s">
        <v>29</v>
      </c>
      <c r="B28" s="153" t="s">
        <v>81</v>
      </c>
      <c r="C28" s="155" t="s">
        <v>82</v>
      </c>
      <c r="D28" s="154" t="s">
        <v>32</v>
      </c>
      <c r="E28" s="153" t="s">
        <v>81</v>
      </c>
      <c r="F28" s="155" t="s">
        <v>82</v>
      </c>
      <c r="G28" s="154" t="s">
        <v>32</v>
      </c>
      <c r="H28" s="153" t="s">
        <v>81</v>
      </c>
      <c r="I28" s="155" t="s">
        <v>82</v>
      </c>
      <c r="J28" s="154" t="s">
        <v>32</v>
      </c>
      <c r="K28" s="153" t="s">
        <v>81</v>
      </c>
      <c r="L28" s="155" t="s">
        <v>82</v>
      </c>
      <c r="M28" s="154" t="s">
        <v>32</v>
      </c>
      <c r="N28" s="153" t="s">
        <v>81</v>
      </c>
      <c r="O28" s="155" t="s">
        <v>82</v>
      </c>
      <c r="P28" s="154" t="s">
        <v>32</v>
      </c>
      <c r="Q28" s="153" t="s">
        <v>81</v>
      </c>
      <c r="R28" s="155" t="s">
        <v>82</v>
      </c>
      <c r="S28" s="154" t="s">
        <v>32</v>
      </c>
      <c r="T28" s="153" t="s">
        <v>81</v>
      </c>
      <c r="U28" s="155" t="s">
        <v>82</v>
      </c>
      <c r="V28" s="154" t="s">
        <v>32</v>
      </c>
      <c r="W28" s="153" t="s">
        <v>81</v>
      </c>
      <c r="X28" s="155" t="s">
        <v>82</v>
      </c>
      <c r="Y28" s="154" t="s">
        <v>32</v>
      </c>
      <c r="Z28" s="153" t="s">
        <v>81</v>
      </c>
      <c r="AA28" s="155" t="s">
        <v>82</v>
      </c>
      <c r="AB28" s="154" t="s">
        <v>32</v>
      </c>
      <c r="AC28" s="153" t="s">
        <v>81</v>
      </c>
      <c r="AD28" s="155" t="s">
        <v>82</v>
      </c>
      <c r="AE28" s="154" t="s">
        <v>32</v>
      </c>
      <c r="AF28" s="153" t="s">
        <v>81</v>
      </c>
      <c r="AG28" s="155" t="s">
        <v>82</v>
      </c>
      <c r="AH28" s="154" t="s">
        <v>32</v>
      </c>
      <c r="AI28" s="153" t="s">
        <v>81</v>
      </c>
      <c r="AJ28" s="155" t="s">
        <v>82</v>
      </c>
      <c r="AK28" s="154" t="s">
        <v>32</v>
      </c>
      <c r="AL28" s="153" t="s">
        <v>81</v>
      </c>
      <c r="AM28" s="155" t="s">
        <v>82</v>
      </c>
      <c r="AN28" s="154" t="s">
        <v>32</v>
      </c>
      <c r="AO28" s="153" t="s">
        <v>81</v>
      </c>
      <c r="AP28" s="155" t="s">
        <v>82</v>
      </c>
      <c r="AQ28" s="154" t="s">
        <v>32</v>
      </c>
      <c r="AR28" s="153" t="s">
        <v>81</v>
      </c>
      <c r="AS28" s="155" t="s">
        <v>82</v>
      </c>
      <c r="AT28" s="154" t="s">
        <v>32</v>
      </c>
      <c r="AU28" s="153" t="s">
        <v>81</v>
      </c>
      <c r="AV28" s="155" t="s">
        <v>82</v>
      </c>
      <c r="AW28" s="154" t="s">
        <v>32</v>
      </c>
      <c r="AX28" s="153" t="s">
        <v>81</v>
      </c>
      <c r="AY28" s="155" t="s">
        <v>82</v>
      </c>
      <c r="AZ28" s="154" t="s">
        <v>32</v>
      </c>
      <c r="BA28" s="153" t="s">
        <v>81</v>
      </c>
      <c r="BB28" s="155" t="s">
        <v>82</v>
      </c>
      <c r="BC28" s="154" t="s">
        <v>32</v>
      </c>
      <c r="BD28" s="153" t="s">
        <v>81</v>
      </c>
      <c r="BE28" s="155" t="s">
        <v>82</v>
      </c>
      <c r="BF28" s="154" t="s">
        <v>32</v>
      </c>
    </row>
    <row r="29" spans="1:58" ht="23.25" x14ac:dyDescent="0.25">
      <c r="A29" s="52" t="s">
        <v>4</v>
      </c>
      <c r="B29" s="34">
        <v>4468</v>
      </c>
      <c r="C29" s="156">
        <f>B29</f>
        <v>4468</v>
      </c>
      <c r="D29" s="36"/>
      <c r="E29" s="34">
        <v>5804</v>
      </c>
      <c r="F29" s="156">
        <f>E29</f>
        <v>5804</v>
      </c>
      <c r="G29" s="36"/>
      <c r="H29" s="34">
        <v>4895</v>
      </c>
      <c r="I29" s="156">
        <f>H29</f>
        <v>4895</v>
      </c>
      <c r="J29" s="36"/>
      <c r="K29" s="34">
        <v>5289.45</v>
      </c>
      <c r="L29" s="156">
        <f>K29</f>
        <v>5289.45</v>
      </c>
      <c r="M29" s="36"/>
      <c r="N29" s="34">
        <v>4874</v>
      </c>
      <c r="O29" s="156">
        <f>N29</f>
        <v>4874</v>
      </c>
      <c r="P29" s="36">
        <v>12810.39</v>
      </c>
      <c r="Q29" s="34">
        <v>4819.6000000000004</v>
      </c>
      <c r="R29" s="156">
        <f>Q29</f>
        <v>4819.6000000000004</v>
      </c>
      <c r="S29" s="36">
        <v>17208.46</v>
      </c>
      <c r="T29" s="34">
        <v>4021</v>
      </c>
      <c r="U29" s="156">
        <f>T29</f>
        <v>4021</v>
      </c>
      <c r="V29" s="36">
        <v>10526.800000000001</v>
      </c>
      <c r="W29" s="34">
        <v>4768</v>
      </c>
      <c r="X29" s="156">
        <f>W29</f>
        <v>4768</v>
      </c>
      <c r="Y29" s="36">
        <v>7960.9</v>
      </c>
      <c r="Z29" s="34">
        <v>2744</v>
      </c>
      <c r="AA29" s="156">
        <f>Z29</f>
        <v>2744</v>
      </c>
      <c r="AB29" s="36">
        <v>4765.7800000000007</v>
      </c>
      <c r="AC29" s="34">
        <v>1343</v>
      </c>
      <c r="AD29" s="156">
        <f>AC29</f>
        <v>1343</v>
      </c>
      <c r="AE29" s="36">
        <v>2465.9499999999998</v>
      </c>
      <c r="AF29" s="34">
        <v>3842</v>
      </c>
      <c r="AG29" s="156">
        <f>AF29</f>
        <v>3842</v>
      </c>
      <c r="AH29" s="36">
        <v>7093.2944359925796</v>
      </c>
      <c r="AI29" s="34"/>
      <c r="AJ29" s="156">
        <f>AI29</f>
        <v>0</v>
      </c>
      <c r="AK29" s="36"/>
      <c r="AL29" s="34"/>
      <c r="AM29" s="156">
        <f>AL29</f>
        <v>0</v>
      </c>
      <c r="AN29" s="36"/>
      <c r="AO29" s="34"/>
      <c r="AP29" s="156">
        <f>AO29</f>
        <v>0</v>
      </c>
      <c r="AQ29" s="36"/>
      <c r="AR29" s="34"/>
      <c r="AS29" s="156">
        <f>AR29</f>
        <v>0</v>
      </c>
      <c r="AT29" s="36"/>
      <c r="AU29" s="34"/>
      <c r="AV29" s="156">
        <f>AU29</f>
        <v>0</v>
      </c>
      <c r="AW29" s="36"/>
      <c r="AX29" s="34"/>
      <c r="AY29" s="156">
        <f>AX29</f>
        <v>0</v>
      </c>
      <c r="AZ29" s="36"/>
      <c r="BA29" s="34"/>
      <c r="BB29" s="156">
        <f>BA29</f>
        <v>0</v>
      </c>
      <c r="BC29" s="36"/>
      <c r="BD29" s="34"/>
      <c r="BE29" s="156">
        <f>BD29</f>
        <v>0</v>
      </c>
      <c r="BF29" s="36"/>
    </row>
    <row r="30" spans="1:58" ht="23.25" x14ac:dyDescent="0.25">
      <c r="A30" s="53" t="s">
        <v>5</v>
      </c>
      <c r="B30" s="44">
        <v>4427</v>
      </c>
      <c r="C30" s="157">
        <f>C29+B30</f>
        <v>8895</v>
      </c>
      <c r="D30" s="46"/>
      <c r="E30" s="44">
        <v>4853</v>
      </c>
      <c r="F30" s="157">
        <f>F29+E30</f>
        <v>10657</v>
      </c>
      <c r="G30" s="46"/>
      <c r="H30" s="44">
        <v>5293.08</v>
      </c>
      <c r="I30" s="157">
        <f>I29+H30</f>
        <v>10188.08</v>
      </c>
      <c r="J30" s="46"/>
      <c r="K30" s="44">
        <v>3717.0000000000009</v>
      </c>
      <c r="L30" s="157">
        <f>L29+K30</f>
        <v>9006.4500000000007</v>
      </c>
      <c r="M30" s="46"/>
      <c r="N30" s="44">
        <v>10526</v>
      </c>
      <c r="O30" s="157">
        <f>O29+N30</f>
        <v>15400</v>
      </c>
      <c r="P30" s="46">
        <v>16880.989999999998</v>
      </c>
      <c r="Q30" s="44">
        <v>5368.4</v>
      </c>
      <c r="R30" s="157">
        <f>R29+Q30</f>
        <v>10188</v>
      </c>
      <c r="S30" s="46">
        <v>6692.72</v>
      </c>
      <c r="T30" s="44">
        <v>3125</v>
      </c>
      <c r="U30" s="157">
        <f>U29+T30</f>
        <v>7146</v>
      </c>
      <c r="V30" s="46">
        <v>5227.95</v>
      </c>
      <c r="W30" s="44">
        <v>4491</v>
      </c>
      <c r="X30" s="157">
        <f>X29+W30</f>
        <v>9259</v>
      </c>
      <c r="Y30" s="46">
        <v>7513.12</v>
      </c>
      <c r="Z30" s="44">
        <v>3548</v>
      </c>
      <c r="AA30" s="157">
        <f>AA29+Z30</f>
        <v>6292</v>
      </c>
      <c r="AB30" s="46">
        <v>6087.3899999999994</v>
      </c>
      <c r="AC30" s="44">
        <v>4440</v>
      </c>
      <c r="AD30" s="157">
        <f>AD29+AC30</f>
        <v>5783</v>
      </c>
      <c r="AE30" s="46">
        <v>7563.91</v>
      </c>
      <c r="AF30" s="44">
        <v>3696</v>
      </c>
      <c r="AG30" s="157">
        <f>AG29+AF30</f>
        <v>7538</v>
      </c>
      <c r="AH30" s="46">
        <v>6512.01</v>
      </c>
      <c r="AI30" s="44"/>
      <c r="AJ30" s="157">
        <f>AJ29+AI30</f>
        <v>0</v>
      </c>
      <c r="AK30" s="46"/>
      <c r="AL30" s="44"/>
      <c r="AM30" s="157">
        <f>AM29+AL30</f>
        <v>0</v>
      </c>
      <c r="AN30" s="46"/>
      <c r="AO30" s="44"/>
      <c r="AP30" s="157">
        <f>AP29+AO30</f>
        <v>0</v>
      </c>
      <c r="AQ30" s="46"/>
      <c r="AR30" s="44"/>
      <c r="AS30" s="157">
        <f>AS29+AR30</f>
        <v>0</v>
      </c>
      <c r="AT30" s="46"/>
      <c r="AU30" s="44"/>
      <c r="AV30" s="157">
        <f>AV29+AU30</f>
        <v>0</v>
      </c>
      <c r="AW30" s="46"/>
      <c r="AX30" s="44"/>
      <c r="AY30" s="157">
        <f>AY29+AX30</f>
        <v>0</v>
      </c>
      <c r="AZ30" s="46"/>
      <c r="BA30" s="44"/>
      <c r="BB30" s="157">
        <f>BB29+BA30</f>
        <v>0</v>
      </c>
      <c r="BC30" s="46"/>
      <c r="BD30" s="44"/>
      <c r="BE30" s="157">
        <f>BE29+BD30</f>
        <v>0</v>
      </c>
      <c r="BF30" s="46"/>
    </row>
    <row r="31" spans="1:58" ht="23.25" x14ac:dyDescent="0.25">
      <c r="A31" s="53" t="s">
        <v>6</v>
      </c>
      <c r="B31" s="39">
        <v>10098</v>
      </c>
      <c r="C31" s="158">
        <f t="shared" ref="C31:C40" si="10">C30+B31</f>
        <v>18993</v>
      </c>
      <c r="D31" s="41"/>
      <c r="E31" s="39">
        <v>7206</v>
      </c>
      <c r="F31" s="158">
        <f t="shared" ref="F31:F40" si="11">F30+E31</f>
        <v>17863</v>
      </c>
      <c r="G31" s="41"/>
      <c r="H31" s="39">
        <v>7752.159999999998</v>
      </c>
      <c r="I31" s="158">
        <f t="shared" ref="I31:I40" si="12">I30+H31</f>
        <v>17940.239999999998</v>
      </c>
      <c r="J31" s="41"/>
      <c r="K31" s="39">
        <v>6740.380000000001</v>
      </c>
      <c r="L31" s="158">
        <f t="shared" ref="L31:L40" si="13">L30+K31</f>
        <v>15746.830000000002</v>
      </c>
      <c r="M31" s="41"/>
      <c r="N31" s="39">
        <v>11157</v>
      </c>
      <c r="O31" s="158">
        <f t="shared" ref="O31:O40" si="14">O30+N31</f>
        <v>26557</v>
      </c>
      <c r="P31" s="41">
        <v>17878.099999999999</v>
      </c>
      <c r="Q31" s="39">
        <v>8036.7000000000007</v>
      </c>
      <c r="R31" s="158">
        <f t="shared" ref="R31:R40" si="15">R30+Q31</f>
        <v>18224.7</v>
      </c>
      <c r="S31" s="41">
        <v>11307.76</v>
      </c>
      <c r="T31" s="39">
        <v>5280</v>
      </c>
      <c r="U31" s="158">
        <f t="shared" ref="U31:U40" si="16">U30+T31</f>
        <v>12426</v>
      </c>
      <c r="V31" s="41">
        <v>8657.5499999999993</v>
      </c>
      <c r="W31" s="39">
        <v>4514</v>
      </c>
      <c r="X31" s="158">
        <f t="shared" ref="X31:X40" si="17">X30+W31</f>
        <v>13773</v>
      </c>
      <c r="Y31" s="41">
        <v>7550.3200000000006</v>
      </c>
      <c r="Z31" s="39">
        <v>4475</v>
      </c>
      <c r="AA31" s="158">
        <f t="shared" ref="AA31:AA40" si="18">AA30+Z31</f>
        <v>10767</v>
      </c>
      <c r="AB31" s="41">
        <v>7611.1900000000005</v>
      </c>
      <c r="AC31" s="39">
        <v>6334</v>
      </c>
      <c r="AD31" s="158">
        <f t="shared" ref="AD31:AD40" si="19">AD30+AC31</f>
        <v>12117</v>
      </c>
      <c r="AE31" s="41">
        <v>10681.63</v>
      </c>
      <c r="AF31" s="39">
        <v>4813</v>
      </c>
      <c r="AG31" s="158">
        <f t="shared" ref="AG31:AG40" si="20">AG30+AF31</f>
        <v>12351</v>
      </c>
      <c r="AH31" s="41">
        <v>8401.98</v>
      </c>
      <c r="AI31" s="39"/>
      <c r="AJ31" s="158">
        <f t="shared" ref="AJ31:AJ40" si="21">AJ30+AI31</f>
        <v>0</v>
      </c>
      <c r="AK31" s="41"/>
      <c r="AL31" s="39"/>
      <c r="AM31" s="158">
        <f t="shared" ref="AM31:AM40" si="22">AM30+AL31</f>
        <v>0</v>
      </c>
      <c r="AN31" s="41"/>
      <c r="AO31" s="39"/>
      <c r="AP31" s="158">
        <f t="shared" ref="AP31:AP40" si="23">AP30+AO31</f>
        <v>0</v>
      </c>
      <c r="AQ31" s="41"/>
      <c r="AR31" s="39"/>
      <c r="AS31" s="158">
        <f t="shared" ref="AS31:AS40" si="24">AS30+AR31</f>
        <v>0</v>
      </c>
      <c r="AT31" s="41"/>
      <c r="AU31" s="39"/>
      <c r="AV31" s="158">
        <f t="shared" ref="AV31:AV40" si="25">AV30+AU31</f>
        <v>0</v>
      </c>
      <c r="AW31" s="41"/>
      <c r="AX31" s="39"/>
      <c r="AY31" s="158">
        <f t="shared" ref="AY31:AY40" si="26">AY30+AX31</f>
        <v>0</v>
      </c>
      <c r="AZ31" s="41"/>
      <c r="BA31" s="39"/>
      <c r="BB31" s="158">
        <f t="shared" ref="BB31:BB40" si="27">BB30+BA31</f>
        <v>0</v>
      </c>
      <c r="BC31" s="41"/>
      <c r="BD31" s="39"/>
      <c r="BE31" s="158">
        <f t="shared" ref="BE31:BE40" si="28">BE30+BD31</f>
        <v>0</v>
      </c>
      <c r="BF31" s="41"/>
    </row>
    <row r="32" spans="1:58" ht="23.25" x14ac:dyDescent="0.25">
      <c r="A32" s="53" t="s">
        <v>7</v>
      </c>
      <c r="B32" s="44">
        <v>8123</v>
      </c>
      <c r="C32" s="157">
        <f t="shared" si="10"/>
        <v>27116</v>
      </c>
      <c r="D32" s="46"/>
      <c r="E32" s="44">
        <v>8445</v>
      </c>
      <c r="F32" s="157">
        <f t="shared" si="11"/>
        <v>26308</v>
      </c>
      <c r="G32" s="46"/>
      <c r="H32" s="44">
        <v>9153</v>
      </c>
      <c r="I32" s="157">
        <f t="shared" si="12"/>
        <v>27093.239999999998</v>
      </c>
      <c r="J32" s="46"/>
      <c r="K32" s="44">
        <v>8313</v>
      </c>
      <c r="L32" s="157">
        <f t="shared" si="13"/>
        <v>24059.83</v>
      </c>
      <c r="M32" s="46"/>
      <c r="N32" s="44">
        <v>10473</v>
      </c>
      <c r="O32" s="157">
        <f t="shared" si="14"/>
        <v>37030</v>
      </c>
      <c r="P32" s="46">
        <v>16808.300000000003</v>
      </c>
      <c r="Q32" s="44">
        <v>7137.2999999999993</v>
      </c>
      <c r="R32" s="157">
        <f t="shared" si="15"/>
        <v>25362</v>
      </c>
      <c r="S32" s="46">
        <v>12266.35</v>
      </c>
      <c r="T32" s="44">
        <v>9258</v>
      </c>
      <c r="U32" s="157">
        <f t="shared" si="16"/>
        <v>21684</v>
      </c>
      <c r="V32" s="46">
        <v>15659.449999999997</v>
      </c>
      <c r="W32" s="44">
        <v>5249</v>
      </c>
      <c r="X32" s="157">
        <f t="shared" si="17"/>
        <v>19022</v>
      </c>
      <c r="Y32" s="46">
        <v>9001.48</v>
      </c>
      <c r="Z32" s="44">
        <v>5073</v>
      </c>
      <c r="AA32" s="157">
        <f t="shared" si="18"/>
        <v>15840</v>
      </c>
      <c r="AB32" s="46">
        <v>8854.1899999999969</v>
      </c>
      <c r="AC32" s="44">
        <v>6742</v>
      </c>
      <c r="AD32" s="157">
        <f t="shared" si="19"/>
        <v>18859</v>
      </c>
      <c r="AE32" s="46">
        <v>11861.13</v>
      </c>
      <c r="AF32" s="44">
        <v>5162</v>
      </c>
      <c r="AG32" s="157">
        <f t="shared" si="20"/>
        <v>17513</v>
      </c>
      <c r="AH32" s="46">
        <v>9696.42</v>
      </c>
      <c r="AI32" s="44"/>
      <c r="AJ32" s="157">
        <f t="shared" si="21"/>
        <v>0</v>
      </c>
      <c r="AK32" s="46"/>
      <c r="AL32" s="44"/>
      <c r="AM32" s="157">
        <f t="shared" si="22"/>
        <v>0</v>
      </c>
      <c r="AN32" s="46"/>
      <c r="AO32" s="44"/>
      <c r="AP32" s="157">
        <f t="shared" si="23"/>
        <v>0</v>
      </c>
      <c r="AQ32" s="46"/>
      <c r="AR32" s="44"/>
      <c r="AS32" s="157">
        <f t="shared" si="24"/>
        <v>0</v>
      </c>
      <c r="AT32" s="46"/>
      <c r="AU32" s="44"/>
      <c r="AV32" s="157">
        <f t="shared" si="25"/>
        <v>0</v>
      </c>
      <c r="AW32" s="46"/>
      <c r="AX32" s="44"/>
      <c r="AY32" s="157">
        <f t="shared" si="26"/>
        <v>0</v>
      </c>
      <c r="AZ32" s="46"/>
      <c r="BA32" s="44"/>
      <c r="BB32" s="157">
        <f t="shared" si="27"/>
        <v>0</v>
      </c>
      <c r="BC32" s="46"/>
      <c r="BD32" s="44"/>
      <c r="BE32" s="157">
        <f t="shared" si="28"/>
        <v>0</v>
      </c>
      <c r="BF32" s="46"/>
    </row>
    <row r="33" spans="1:58" ht="23.25" x14ac:dyDescent="0.25">
      <c r="A33" s="53" t="s">
        <v>8</v>
      </c>
      <c r="B33" s="39">
        <v>7155</v>
      </c>
      <c r="C33" s="158">
        <f t="shared" si="10"/>
        <v>34271</v>
      </c>
      <c r="D33" s="41"/>
      <c r="E33" s="39">
        <v>6396</v>
      </c>
      <c r="F33" s="158">
        <f t="shared" si="11"/>
        <v>32704</v>
      </c>
      <c r="G33" s="41"/>
      <c r="H33" s="39">
        <v>6741.5800000000017</v>
      </c>
      <c r="I33" s="158">
        <f t="shared" si="12"/>
        <v>33834.82</v>
      </c>
      <c r="J33" s="41"/>
      <c r="K33" s="39">
        <v>7231.68</v>
      </c>
      <c r="L33" s="158">
        <f t="shared" si="13"/>
        <v>31291.510000000002</v>
      </c>
      <c r="M33" s="41"/>
      <c r="N33" s="39">
        <v>7423</v>
      </c>
      <c r="O33" s="158">
        <f t="shared" si="14"/>
        <v>44453</v>
      </c>
      <c r="P33" s="41">
        <v>11983.03</v>
      </c>
      <c r="Q33" s="39">
        <v>6893</v>
      </c>
      <c r="R33" s="158">
        <f t="shared" si="15"/>
        <v>32255</v>
      </c>
      <c r="S33" s="41">
        <v>11232.47</v>
      </c>
      <c r="T33" s="39">
        <v>5688</v>
      </c>
      <c r="U33" s="158">
        <f t="shared" si="16"/>
        <v>27372</v>
      </c>
      <c r="V33" s="41">
        <v>8876.2999999999993</v>
      </c>
      <c r="W33" s="39">
        <v>5188</v>
      </c>
      <c r="X33" s="158">
        <f t="shared" si="17"/>
        <v>24210</v>
      </c>
      <c r="Y33" s="41">
        <v>8899.86</v>
      </c>
      <c r="Z33" s="39">
        <v>3968</v>
      </c>
      <c r="AA33" s="158">
        <f t="shared" si="18"/>
        <v>19808</v>
      </c>
      <c r="AB33" s="41">
        <v>6981.99</v>
      </c>
      <c r="AC33" s="39">
        <v>4170</v>
      </c>
      <c r="AD33" s="158">
        <f t="shared" si="19"/>
        <v>23029</v>
      </c>
      <c r="AE33" s="41">
        <v>7435.7500000000009</v>
      </c>
      <c r="AF33" s="39">
        <v>5912</v>
      </c>
      <c r="AG33" s="158">
        <f t="shared" si="20"/>
        <v>23425</v>
      </c>
      <c r="AH33" s="41">
        <v>11066.23</v>
      </c>
      <c r="AI33" s="39"/>
      <c r="AJ33" s="158">
        <f t="shared" si="21"/>
        <v>0</v>
      </c>
      <c r="AK33" s="41"/>
      <c r="AL33" s="39"/>
      <c r="AM33" s="158">
        <f t="shared" si="22"/>
        <v>0</v>
      </c>
      <c r="AN33" s="41"/>
      <c r="AO33" s="39"/>
      <c r="AP33" s="158">
        <f t="shared" si="23"/>
        <v>0</v>
      </c>
      <c r="AQ33" s="41"/>
      <c r="AR33" s="39"/>
      <c r="AS33" s="158">
        <f t="shared" si="24"/>
        <v>0</v>
      </c>
      <c r="AT33" s="41"/>
      <c r="AU33" s="39"/>
      <c r="AV33" s="158">
        <f t="shared" si="25"/>
        <v>0</v>
      </c>
      <c r="AW33" s="41"/>
      <c r="AX33" s="39"/>
      <c r="AY33" s="158">
        <f t="shared" si="26"/>
        <v>0</v>
      </c>
      <c r="AZ33" s="41"/>
      <c r="BA33" s="39"/>
      <c r="BB33" s="158">
        <f t="shared" si="27"/>
        <v>0</v>
      </c>
      <c r="BC33" s="41"/>
      <c r="BD33" s="39"/>
      <c r="BE33" s="158">
        <f t="shared" si="28"/>
        <v>0</v>
      </c>
      <c r="BF33" s="41"/>
    </row>
    <row r="34" spans="1:58" ht="23.25" x14ac:dyDescent="0.25">
      <c r="A34" s="53" t="s">
        <v>9</v>
      </c>
      <c r="B34" s="44">
        <v>10261</v>
      </c>
      <c r="C34" s="157">
        <f t="shared" si="10"/>
        <v>44532</v>
      </c>
      <c r="D34" s="46"/>
      <c r="E34" s="44">
        <v>10885</v>
      </c>
      <c r="F34" s="157">
        <f t="shared" si="11"/>
        <v>43589</v>
      </c>
      <c r="G34" s="46"/>
      <c r="H34" s="44">
        <v>10453.18</v>
      </c>
      <c r="I34" s="157">
        <f t="shared" si="12"/>
        <v>44288</v>
      </c>
      <c r="J34" s="46"/>
      <c r="K34" s="44">
        <v>8208.5299999999988</v>
      </c>
      <c r="L34" s="157">
        <f t="shared" si="13"/>
        <v>39500.04</v>
      </c>
      <c r="M34" s="46"/>
      <c r="N34" s="44">
        <v>7646</v>
      </c>
      <c r="O34" s="157">
        <f t="shared" si="14"/>
        <v>52099</v>
      </c>
      <c r="P34" s="46">
        <v>13527.189999999999</v>
      </c>
      <c r="Q34" s="44">
        <v>14346</v>
      </c>
      <c r="R34" s="157">
        <f t="shared" si="15"/>
        <v>46601</v>
      </c>
      <c r="S34" s="46">
        <v>13342.699999999999</v>
      </c>
      <c r="T34" s="44">
        <v>8319</v>
      </c>
      <c r="U34" s="157">
        <f t="shared" si="16"/>
        <v>35691</v>
      </c>
      <c r="V34" s="46">
        <v>11887.199999999999</v>
      </c>
      <c r="W34" s="44">
        <v>6243</v>
      </c>
      <c r="X34" s="157">
        <f t="shared" si="17"/>
        <v>30453</v>
      </c>
      <c r="Y34" s="46">
        <v>10657.390000000001</v>
      </c>
      <c r="Z34" s="44">
        <v>4884</v>
      </c>
      <c r="AA34" s="157">
        <f t="shared" si="18"/>
        <v>24692</v>
      </c>
      <c r="AB34" s="46">
        <v>8533.9699999999993</v>
      </c>
      <c r="AC34" s="44">
        <v>6821</v>
      </c>
      <c r="AD34" s="157">
        <f t="shared" si="19"/>
        <v>29850</v>
      </c>
      <c r="AE34" s="46">
        <v>11997.060000000001</v>
      </c>
      <c r="AF34" s="44">
        <v>7510</v>
      </c>
      <c r="AG34" s="157">
        <f t="shared" si="20"/>
        <v>30935</v>
      </c>
      <c r="AH34" s="46">
        <v>13984.81</v>
      </c>
      <c r="AI34" s="44"/>
      <c r="AJ34" s="157">
        <f t="shared" si="21"/>
        <v>0</v>
      </c>
      <c r="AK34" s="46"/>
      <c r="AL34" s="44"/>
      <c r="AM34" s="157">
        <f t="shared" si="22"/>
        <v>0</v>
      </c>
      <c r="AN34" s="46"/>
      <c r="AO34" s="44"/>
      <c r="AP34" s="157">
        <f t="shared" si="23"/>
        <v>0</v>
      </c>
      <c r="AQ34" s="46"/>
      <c r="AR34" s="44"/>
      <c r="AS34" s="157">
        <f t="shared" si="24"/>
        <v>0</v>
      </c>
      <c r="AT34" s="46"/>
      <c r="AU34" s="44"/>
      <c r="AV34" s="157">
        <f t="shared" si="25"/>
        <v>0</v>
      </c>
      <c r="AW34" s="46"/>
      <c r="AX34" s="44"/>
      <c r="AY34" s="157">
        <f t="shared" si="26"/>
        <v>0</v>
      </c>
      <c r="AZ34" s="46"/>
      <c r="BA34" s="44"/>
      <c r="BB34" s="157">
        <f t="shared" si="27"/>
        <v>0</v>
      </c>
      <c r="BC34" s="46"/>
      <c r="BD34" s="44"/>
      <c r="BE34" s="157">
        <f t="shared" si="28"/>
        <v>0</v>
      </c>
      <c r="BF34" s="46"/>
    </row>
    <row r="35" spans="1:58" ht="23.25" x14ac:dyDescent="0.25">
      <c r="A35" s="53" t="s">
        <v>10</v>
      </c>
      <c r="B35" s="39">
        <v>9968</v>
      </c>
      <c r="C35" s="158">
        <f t="shared" si="10"/>
        <v>54500</v>
      </c>
      <c r="D35" s="41"/>
      <c r="E35" s="39">
        <v>17147</v>
      </c>
      <c r="F35" s="158">
        <f t="shared" si="11"/>
        <v>60736</v>
      </c>
      <c r="G35" s="41"/>
      <c r="H35" s="39">
        <v>8754.39</v>
      </c>
      <c r="I35" s="158">
        <f t="shared" si="12"/>
        <v>53042.39</v>
      </c>
      <c r="J35" s="41"/>
      <c r="K35" s="39">
        <v>9080.9700000000012</v>
      </c>
      <c r="L35" s="158">
        <f t="shared" si="13"/>
        <v>48581.01</v>
      </c>
      <c r="M35" s="41"/>
      <c r="N35" s="39">
        <v>9224</v>
      </c>
      <c r="O35" s="158">
        <f t="shared" si="14"/>
        <v>61323</v>
      </c>
      <c r="P35" s="41">
        <v>15662.449999999999</v>
      </c>
      <c r="Q35" s="39">
        <v>8761</v>
      </c>
      <c r="R35" s="158">
        <f t="shared" si="15"/>
        <v>55362</v>
      </c>
      <c r="S35" s="41">
        <v>13997.640000000001</v>
      </c>
      <c r="T35" s="39">
        <v>9666</v>
      </c>
      <c r="U35" s="158">
        <f t="shared" si="16"/>
        <v>45357</v>
      </c>
      <c r="V35" s="41">
        <v>13520.09</v>
      </c>
      <c r="W35" s="39">
        <v>6978</v>
      </c>
      <c r="X35" s="158">
        <f t="shared" si="17"/>
        <v>37431</v>
      </c>
      <c r="Y35" s="41">
        <v>11881.819999999998</v>
      </c>
      <c r="Z35" s="39">
        <v>7252</v>
      </c>
      <c r="AA35" s="158">
        <f t="shared" si="18"/>
        <v>31944</v>
      </c>
      <c r="AB35" s="41">
        <v>12546.079999999998</v>
      </c>
      <c r="AC35" s="39">
        <v>5238</v>
      </c>
      <c r="AD35" s="158">
        <f t="shared" si="19"/>
        <v>35088</v>
      </c>
      <c r="AE35" s="41">
        <v>9273.36</v>
      </c>
      <c r="AF35" s="39">
        <v>7435</v>
      </c>
      <c r="AG35" s="158">
        <f t="shared" si="20"/>
        <v>38370</v>
      </c>
      <c r="AH35" s="41">
        <v>13847.83</v>
      </c>
      <c r="AI35" s="39"/>
      <c r="AJ35" s="158">
        <f t="shared" si="21"/>
        <v>0</v>
      </c>
      <c r="AK35" s="41"/>
      <c r="AL35" s="39"/>
      <c r="AM35" s="158">
        <f t="shared" si="22"/>
        <v>0</v>
      </c>
      <c r="AN35" s="41"/>
      <c r="AO35" s="39"/>
      <c r="AP35" s="158">
        <f t="shared" si="23"/>
        <v>0</v>
      </c>
      <c r="AQ35" s="41"/>
      <c r="AR35" s="39"/>
      <c r="AS35" s="158">
        <f t="shared" si="24"/>
        <v>0</v>
      </c>
      <c r="AT35" s="41"/>
      <c r="AU35" s="39"/>
      <c r="AV35" s="158">
        <f t="shared" si="25"/>
        <v>0</v>
      </c>
      <c r="AW35" s="41"/>
      <c r="AX35" s="39"/>
      <c r="AY35" s="158">
        <f t="shared" si="26"/>
        <v>0</v>
      </c>
      <c r="AZ35" s="41"/>
      <c r="BA35" s="39"/>
      <c r="BB35" s="158">
        <f t="shared" si="27"/>
        <v>0</v>
      </c>
      <c r="BC35" s="41"/>
      <c r="BD35" s="39"/>
      <c r="BE35" s="158">
        <f t="shared" si="28"/>
        <v>0</v>
      </c>
      <c r="BF35" s="41"/>
    </row>
    <row r="36" spans="1:58" ht="23.25" x14ac:dyDescent="0.25">
      <c r="A36" s="53" t="s">
        <v>11</v>
      </c>
      <c r="B36" s="44">
        <v>9763</v>
      </c>
      <c r="C36" s="157">
        <f t="shared" si="10"/>
        <v>64263</v>
      </c>
      <c r="D36" s="46"/>
      <c r="E36" s="44">
        <v>10783</v>
      </c>
      <c r="F36" s="157">
        <f t="shared" si="11"/>
        <v>71519</v>
      </c>
      <c r="G36" s="46"/>
      <c r="H36" s="44">
        <v>6319.5500000000029</v>
      </c>
      <c r="I36" s="157">
        <f t="shared" si="12"/>
        <v>59361.94</v>
      </c>
      <c r="J36" s="46"/>
      <c r="K36" s="44">
        <v>6762.0400000000009</v>
      </c>
      <c r="L36" s="157">
        <f t="shared" si="13"/>
        <v>55343.05</v>
      </c>
      <c r="M36" s="46"/>
      <c r="N36" s="44">
        <v>8530</v>
      </c>
      <c r="O36" s="157">
        <f t="shared" si="14"/>
        <v>69853</v>
      </c>
      <c r="P36" s="46">
        <v>15634</v>
      </c>
      <c r="Q36" s="44">
        <v>7308</v>
      </c>
      <c r="R36" s="157">
        <f t="shared" si="15"/>
        <v>62670</v>
      </c>
      <c r="S36" s="46">
        <v>11914.56</v>
      </c>
      <c r="T36" s="44">
        <v>7992</v>
      </c>
      <c r="U36" s="157">
        <f t="shared" si="16"/>
        <v>53349</v>
      </c>
      <c r="V36" s="46">
        <v>10801.889999999998</v>
      </c>
      <c r="W36" s="44">
        <v>10773</v>
      </c>
      <c r="X36" s="157">
        <f t="shared" si="17"/>
        <v>48204</v>
      </c>
      <c r="Y36" s="46">
        <v>18203.909999999996</v>
      </c>
      <c r="Z36" s="44">
        <v>4235</v>
      </c>
      <c r="AA36" s="157">
        <f t="shared" si="18"/>
        <v>36179</v>
      </c>
      <c r="AB36" s="46">
        <v>7434.37</v>
      </c>
      <c r="AC36" s="44">
        <v>4800</v>
      </c>
      <c r="AD36" s="157">
        <f t="shared" si="19"/>
        <v>39888</v>
      </c>
      <c r="AE36" s="46">
        <v>8519.73</v>
      </c>
      <c r="AF36" s="44">
        <v>6152</v>
      </c>
      <c r="AG36" s="157">
        <f t="shared" si="20"/>
        <v>44522</v>
      </c>
      <c r="AH36" s="46">
        <v>11504.56</v>
      </c>
      <c r="AI36" s="44"/>
      <c r="AJ36" s="157">
        <f t="shared" si="21"/>
        <v>0</v>
      </c>
      <c r="AK36" s="46"/>
      <c r="AL36" s="44"/>
      <c r="AM36" s="157">
        <f t="shared" si="22"/>
        <v>0</v>
      </c>
      <c r="AN36" s="46"/>
      <c r="AO36" s="44"/>
      <c r="AP36" s="157">
        <f t="shared" si="23"/>
        <v>0</v>
      </c>
      <c r="AQ36" s="46"/>
      <c r="AR36" s="44"/>
      <c r="AS36" s="157">
        <f t="shared" si="24"/>
        <v>0</v>
      </c>
      <c r="AT36" s="46"/>
      <c r="AU36" s="44"/>
      <c r="AV36" s="157">
        <f t="shared" si="25"/>
        <v>0</v>
      </c>
      <c r="AW36" s="46"/>
      <c r="AX36" s="44"/>
      <c r="AY36" s="157">
        <f t="shared" si="26"/>
        <v>0</v>
      </c>
      <c r="AZ36" s="46"/>
      <c r="BA36" s="44"/>
      <c r="BB36" s="157">
        <f t="shared" si="27"/>
        <v>0</v>
      </c>
      <c r="BC36" s="46"/>
      <c r="BD36" s="44"/>
      <c r="BE36" s="157">
        <f t="shared" si="28"/>
        <v>0</v>
      </c>
      <c r="BF36" s="46"/>
    </row>
    <row r="37" spans="1:58" ht="23.25" x14ac:dyDescent="0.25">
      <c r="A37" s="53" t="s">
        <v>12</v>
      </c>
      <c r="B37" s="39">
        <v>7945</v>
      </c>
      <c r="C37" s="158">
        <f t="shared" si="10"/>
        <v>72208</v>
      </c>
      <c r="D37" s="41"/>
      <c r="E37" s="39">
        <v>7075</v>
      </c>
      <c r="F37" s="158">
        <f t="shared" si="11"/>
        <v>78594</v>
      </c>
      <c r="G37" s="41"/>
      <c r="H37" s="39">
        <v>10137.820000000007</v>
      </c>
      <c r="I37" s="158">
        <f t="shared" si="12"/>
        <v>69499.760000000009</v>
      </c>
      <c r="J37" s="41"/>
      <c r="K37" s="39">
        <v>7206.2799999999988</v>
      </c>
      <c r="L37" s="158">
        <f t="shared" si="13"/>
        <v>62549.33</v>
      </c>
      <c r="M37" s="41"/>
      <c r="N37" s="39">
        <v>8775</v>
      </c>
      <c r="O37" s="158">
        <f t="shared" si="14"/>
        <v>78628</v>
      </c>
      <c r="P37" s="41">
        <v>15951.670000000002</v>
      </c>
      <c r="Q37" s="39">
        <v>6923</v>
      </c>
      <c r="R37" s="158">
        <f t="shared" si="15"/>
        <v>69593</v>
      </c>
      <c r="S37" s="41">
        <v>10464.830000000002</v>
      </c>
      <c r="T37" s="39">
        <v>6725</v>
      </c>
      <c r="U37" s="158">
        <f t="shared" si="16"/>
        <v>60074</v>
      </c>
      <c r="V37" s="41">
        <v>10144.129999999999</v>
      </c>
      <c r="W37" s="39">
        <v>7118</v>
      </c>
      <c r="X37" s="158">
        <f t="shared" si="17"/>
        <v>55322</v>
      </c>
      <c r="Y37" s="41">
        <v>12115.04</v>
      </c>
      <c r="Z37" s="39">
        <v>8061</v>
      </c>
      <c r="AA37" s="158">
        <f t="shared" si="18"/>
        <v>44240</v>
      </c>
      <c r="AB37" s="41">
        <v>13916.759999999998</v>
      </c>
      <c r="AC37" s="39">
        <v>5647</v>
      </c>
      <c r="AD37" s="158">
        <f t="shared" si="19"/>
        <v>45535</v>
      </c>
      <c r="AE37" s="41">
        <v>9977.08</v>
      </c>
      <c r="AF37" s="39">
        <v>6062</v>
      </c>
      <c r="AG37" s="158">
        <f t="shared" si="20"/>
        <v>50584</v>
      </c>
      <c r="AH37" s="41">
        <v>11340.18</v>
      </c>
      <c r="AI37" s="39"/>
      <c r="AJ37" s="158">
        <f t="shared" si="21"/>
        <v>0</v>
      </c>
      <c r="AK37" s="41"/>
      <c r="AL37" s="39"/>
      <c r="AM37" s="158">
        <f t="shared" si="22"/>
        <v>0</v>
      </c>
      <c r="AN37" s="41"/>
      <c r="AO37" s="39"/>
      <c r="AP37" s="158">
        <f t="shared" si="23"/>
        <v>0</v>
      </c>
      <c r="AQ37" s="41"/>
      <c r="AR37" s="39"/>
      <c r="AS37" s="158">
        <f t="shared" si="24"/>
        <v>0</v>
      </c>
      <c r="AT37" s="41"/>
      <c r="AU37" s="39"/>
      <c r="AV37" s="158">
        <f t="shared" si="25"/>
        <v>0</v>
      </c>
      <c r="AW37" s="41"/>
      <c r="AX37" s="39"/>
      <c r="AY37" s="158">
        <f t="shared" si="26"/>
        <v>0</v>
      </c>
      <c r="AZ37" s="41"/>
      <c r="BA37" s="39"/>
      <c r="BB37" s="158">
        <f t="shared" si="27"/>
        <v>0</v>
      </c>
      <c r="BC37" s="41"/>
      <c r="BD37" s="39"/>
      <c r="BE37" s="158">
        <f t="shared" si="28"/>
        <v>0</v>
      </c>
      <c r="BF37" s="41"/>
    </row>
    <row r="38" spans="1:58" ht="23.25" x14ac:dyDescent="0.25">
      <c r="A38" s="53" t="s">
        <v>13</v>
      </c>
      <c r="B38" s="44">
        <v>9346</v>
      </c>
      <c r="C38" s="157">
        <f t="shared" si="10"/>
        <v>81554</v>
      </c>
      <c r="D38" s="46"/>
      <c r="E38" s="44">
        <v>7366</v>
      </c>
      <c r="F38" s="157">
        <f t="shared" si="11"/>
        <v>85960</v>
      </c>
      <c r="G38" s="46"/>
      <c r="H38" s="44">
        <v>6953.6900000000023</v>
      </c>
      <c r="I38" s="157">
        <f t="shared" si="12"/>
        <v>76453.450000000012</v>
      </c>
      <c r="J38" s="46"/>
      <c r="K38" s="44">
        <v>11374.300000000003</v>
      </c>
      <c r="L38" s="157">
        <f t="shared" si="13"/>
        <v>73923.63</v>
      </c>
      <c r="M38" s="46"/>
      <c r="N38" s="44">
        <v>8696</v>
      </c>
      <c r="O38" s="157">
        <f t="shared" si="14"/>
        <v>87324</v>
      </c>
      <c r="P38" s="46">
        <v>15817.880000000001</v>
      </c>
      <c r="Q38" s="44">
        <v>7603</v>
      </c>
      <c r="R38" s="157">
        <f t="shared" si="15"/>
        <v>77196</v>
      </c>
      <c r="S38" s="46">
        <v>10204.06</v>
      </c>
      <c r="T38" s="44">
        <v>5652</v>
      </c>
      <c r="U38" s="157">
        <f t="shared" si="16"/>
        <v>65726</v>
      </c>
      <c r="V38" s="46">
        <v>9065.7999999999993</v>
      </c>
      <c r="W38" s="44">
        <v>6785</v>
      </c>
      <c r="X38" s="157">
        <f t="shared" si="17"/>
        <v>62107</v>
      </c>
      <c r="Y38" s="46">
        <v>11382.6</v>
      </c>
      <c r="Z38" s="44">
        <v>5315</v>
      </c>
      <c r="AA38" s="157">
        <f t="shared" si="18"/>
        <v>49555</v>
      </c>
      <c r="AB38" s="46">
        <v>8993.619999999999</v>
      </c>
      <c r="AC38" s="44">
        <v>5705</v>
      </c>
      <c r="AD38" s="157">
        <f t="shared" si="19"/>
        <v>51240</v>
      </c>
      <c r="AE38" s="46">
        <v>9888.42</v>
      </c>
      <c r="AF38" s="44">
        <v>5754</v>
      </c>
      <c r="AG38" s="157">
        <f t="shared" si="20"/>
        <v>56338</v>
      </c>
      <c r="AH38" s="46">
        <v>10524.650000000001</v>
      </c>
      <c r="AI38" s="44"/>
      <c r="AJ38" s="157">
        <f t="shared" si="21"/>
        <v>0</v>
      </c>
      <c r="AK38" s="46"/>
      <c r="AL38" s="44"/>
      <c r="AM38" s="157">
        <f t="shared" si="22"/>
        <v>0</v>
      </c>
      <c r="AN38" s="46"/>
      <c r="AO38" s="44"/>
      <c r="AP38" s="157">
        <f t="shared" si="23"/>
        <v>0</v>
      </c>
      <c r="AQ38" s="46"/>
      <c r="AR38" s="44"/>
      <c r="AS38" s="157">
        <f t="shared" si="24"/>
        <v>0</v>
      </c>
      <c r="AT38" s="46"/>
      <c r="AU38" s="44"/>
      <c r="AV38" s="157">
        <f t="shared" si="25"/>
        <v>0</v>
      </c>
      <c r="AW38" s="46"/>
      <c r="AX38" s="44"/>
      <c r="AY38" s="157">
        <f t="shared" si="26"/>
        <v>0</v>
      </c>
      <c r="AZ38" s="46"/>
      <c r="BA38" s="44"/>
      <c r="BB38" s="157">
        <f t="shared" si="27"/>
        <v>0</v>
      </c>
      <c r="BC38" s="46"/>
      <c r="BD38" s="44"/>
      <c r="BE38" s="157">
        <f t="shared" si="28"/>
        <v>0</v>
      </c>
      <c r="BF38" s="46"/>
    </row>
    <row r="39" spans="1:58" ht="23.25" x14ac:dyDescent="0.25">
      <c r="A39" s="53" t="s">
        <v>14</v>
      </c>
      <c r="B39" s="39">
        <v>8330</v>
      </c>
      <c r="C39" s="158">
        <f t="shared" si="10"/>
        <v>89884</v>
      </c>
      <c r="D39" s="41"/>
      <c r="E39" s="39">
        <v>5766</v>
      </c>
      <c r="F39" s="158">
        <f t="shared" si="11"/>
        <v>91726</v>
      </c>
      <c r="G39" s="41"/>
      <c r="H39" s="39">
        <v>5521.3099999999977</v>
      </c>
      <c r="I39" s="158">
        <f t="shared" si="12"/>
        <v>81974.760000000009</v>
      </c>
      <c r="J39" s="41"/>
      <c r="K39" s="39">
        <v>6195.9199999999983</v>
      </c>
      <c r="L39" s="158">
        <f t="shared" si="13"/>
        <v>80119.55</v>
      </c>
      <c r="M39" s="41"/>
      <c r="N39" s="39">
        <v>8355</v>
      </c>
      <c r="O39" s="158">
        <f t="shared" si="14"/>
        <v>95679</v>
      </c>
      <c r="P39" s="41">
        <v>14046.82</v>
      </c>
      <c r="Q39" s="39">
        <v>6856</v>
      </c>
      <c r="R39" s="158">
        <f t="shared" si="15"/>
        <v>84052</v>
      </c>
      <c r="S39" s="41">
        <v>10601.94</v>
      </c>
      <c r="T39" s="39">
        <v>4545</v>
      </c>
      <c r="U39" s="158">
        <f t="shared" si="16"/>
        <v>70271</v>
      </c>
      <c r="V39" s="41">
        <v>8261.86</v>
      </c>
      <c r="W39" s="39">
        <v>6065</v>
      </c>
      <c r="X39" s="158">
        <f t="shared" si="17"/>
        <v>68172</v>
      </c>
      <c r="Y39" s="41">
        <v>10201.790000000001</v>
      </c>
      <c r="Z39" s="39">
        <v>6014</v>
      </c>
      <c r="AA39" s="158">
        <f t="shared" si="18"/>
        <v>55569</v>
      </c>
      <c r="AB39" s="41">
        <v>10142.85</v>
      </c>
      <c r="AC39" s="39">
        <v>4288</v>
      </c>
      <c r="AD39" s="158">
        <f t="shared" si="19"/>
        <v>55528</v>
      </c>
      <c r="AE39" s="41">
        <v>7496.52</v>
      </c>
      <c r="AF39" s="39">
        <v>6081</v>
      </c>
      <c r="AG39" s="158">
        <f t="shared" si="20"/>
        <v>62419</v>
      </c>
      <c r="AH39" s="41">
        <v>11102.34</v>
      </c>
      <c r="AI39" s="39"/>
      <c r="AJ39" s="158">
        <f t="shared" si="21"/>
        <v>0</v>
      </c>
      <c r="AK39" s="41"/>
      <c r="AL39" s="39"/>
      <c r="AM39" s="158">
        <f t="shared" si="22"/>
        <v>0</v>
      </c>
      <c r="AN39" s="41"/>
      <c r="AO39" s="39"/>
      <c r="AP39" s="158">
        <f t="shared" si="23"/>
        <v>0</v>
      </c>
      <c r="AQ39" s="41"/>
      <c r="AR39" s="39"/>
      <c r="AS39" s="158">
        <f t="shared" si="24"/>
        <v>0</v>
      </c>
      <c r="AT39" s="41"/>
      <c r="AU39" s="39"/>
      <c r="AV39" s="158">
        <f t="shared" si="25"/>
        <v>0</v>
      </c>
      <c r="AW39" s="41"/>
      <c r="AX39" s="39"/>
      <c r="AY39" s="158">
        <f t="shared" si="26"/>
        <v>0</v>
      </c>
      <c r="AZ39" s="41"/>
      <c r="BA39" s="39"/>
      <c r="BB39" s="158">
        <f t="shared" si="27"/>
        <v>0</v>
      </c>
      <c r="BC39" s="41"/>
      <c r="BD39" s="39"/>
      <c r="BE39" s="158">
        <f t="shared" si="28"/>
        <v>0</v>
      </c>
      <c r="BF39" s="41"/>
    </row>
    <row r="40" spans="1:58" ht="23.25" x14ac:dyDescent="0.25">
      <c r="A40" s="53" t="s">
        <v>15</v>
      </c>
      <c r="B40" s="44">
        <v>4568</v>
      </c>
      <c r="C40" s="157">
        <f t="shared" si="10"/>
        <v>94452</v>
      </c>
      <c r="D40" s="46"/>
      <c r="E40" s="44">
        <v>3544</v>
      </c>
      <c r="F40" s="157">
        <f t="shared" si="11"/>
        <v>95270</v>
      </c>
      <c r="G40" s="46"/>
      <c r="H40" s="44">
        <v>5108.5</v>
      </c>
      <c r="I40" s="157">
        <f t="shared" si="12"/>
        <v>87083.260000000009</v>
      </c>
      <c r="J40" s="46"/>
      <c r="K40" s="44">
        <v>4936.3300000000017</v>
      </c>
      <c r="L40" s="157">
        <f t="shared" si="13"/>
        <v>85055.88</v>
      </c>
      <c r="M40" s="46"/>
      <c r="N40" s="44">
        <v>4257</v>
      </c>
      <c r="O40" s="157">
        <f t="shared" si="14"/>
        <v>99936</v>
      </c>
      <c r="P40" s="46">
        <v>2756.89</v>
      </c>
      <c r="Q40" s="44">
        <v>3417</v>
      </c>
      <c r="R40" s="157">
        <f t="shared" si="15"/>
        <v>87469</v>
      </c>
      <c r="S40" s="46">
        <v>1821.4699999999998</v>
      </c>
      <c r="T40" s="44">
        <v>3116</v>
      </c>
      <c r="U40" s="157">
        <f t="shared" si="16"/>
        <v>73387</v>
      </c>
      <c r="V40" s="46">
        <v>2710.7999999999997</v>
      </c>
      <c r="W40" s="44">
        <v>6056</v>
      </c>
      <c r="X40" s="157">
        <f t="shared" si="17"/>
        <v>74228</v>
      </c>
      <c r="Y40" s="46">
        <v>10187.030000000001</v>
      </c>
      <c r="Z40" s="44">
        <v>6014</v>
      </c>
      <c r="AA40" s="157">
        <f t="shared" si="18"/>
        <v>61583</v>
      </c>
      <c r="AB40" s="46">
        <v>10142.85</v>
      </c>
      <c r="AC40" s="44">
        <v>4312</v>
      </c>
      <c r="AD40" s="157">
        <f t="shared" si="19"/>
        <v>59840</v>
      </c>
      <c r="AE40" s="46">
        <v>7537.0400000000009</v>
      </c>
      <c r="AF40" s="44">
        <v>3513</v>
      </c>
      <c r="AG40" s="157">
        <f t="shared" si="20"/>
        <v>65932</v>
      </c>
      <c r="AH40" s="46">
        <v>9754.4</v>
      </c>
      <c r="AI40" s="44"/>
      <c r="AJ40" s="157">
        <f t="shared" si="21"/>
        <v>0</v>
      </c>
      <c r="AK40" s="46"/>
      <c r="AL40" s="44"/>
      <c r="AM40" s="157">
        <f t="shared" si="22"/>
        <v>0</v>
      </c>
      <c r="AN40" s="46"/>
      <c r="AO40" s="44"/>
      <c r="AP40" s="157">
        <f t="shared" si="23"/>
        <v>0</v>
      </c>
      <c r="AQ40" s="46"/>
      <c r="AR40" s="44"/>
      <c r="AS40" s="157">
        <f t="shared" si="24"/>
        <v>0</v>
      </c>
      <c r="AT40" s="46"/>
      <c r="AU40" s="44"/>
      <c r="AV40" s="157">
        <f t="shared" si="25"/>
        <v>0</v>
      </c>
      <c r="AW40" s="46"/>
      <c r="AX40" s="44"/>
      <c r="AY40" s="157">
        <f t="shared" si="26"/>
        <v>0</v>
      </c>
      <c r="AZ40" s="46"/>
      <c r="BA40" s="44"/>
      <c r="BB40" s="157">
        <f t="shared" si="27"/>
        <v>0</v>
      </c>
      <c r="BC40" s="46"/>
      <c r="BD40" s="44"/>
      <c r="BE40" s="157">
        <f t="shared" si="28"/>
        <v>0</v>
      </c>
      <c r="BF40" s="46"/>
    </row>
    <row r="41" spans="1:58" ht="24" thickBot="1" x14ac:dyDescent="0.3">
      <c r="A41" s="54" t="s">
        <v>20</v>
      </c>
      <c r="B41" s="49">
        <f>B40</f>
        <v>4568</v>
      </c>
      <c r="C41" s="159">
        <f>C40</f>
        <v>94452</v>
      </c>
      <c r="D41" s="160">
        <f>SUM(D29:D40)</f>
        <v>0</v>
      </c>
      <c r="E41" s="49">
        <f t="shared" ref="E41" si="29">E40</f>
        <v>3544</v>
      </c>
      <c r="F41" s="159">
        <f>F40</f>
        <v>95270</v>
      </c>
      <c r="G41" s="160">
        <f>SUM(G29:G40)</f>
        <v>0</v>
      </c>
      <c r="H41" s="49">
        <f t="shared" ref="H41" si="30">H40</f>
        <v>5108.5</v>
      </c>
      <c r="I41" s="159">
        <f>I40</f>
        <v>87083.260000000009</v>
      </c>
      <c r="J41" s="160">
        <f>SUM(J29:J40)</f>
        <v>0</v>
      </c>
      <c r="K41" s="49">
        <f t="shared" ref="K41" si="31">K40</f>
        <v>4936.3300000000017</v>
      </c>
      <c r="L41" s="159">
        <f>L40</f>
        <v>85055.88</v>
      </c>
      <c r="M41" s="160">
        <f>SUM(M29:M40)</f>
        <v>0</v>
      </c>
      <c r="N41" s="49">
        <f t="shared" ref="N41" si="32">N40</f>
        <v>4257</v>
      </c>
      <c r="O41" s="159">
        <f>O40</f>
        <v>99936</v>
      </c>
      <c r="P41" s="160">
        <f>SUM(P29:P40)</f>
        <v>169757.71000000002</v>
      </c>
      <c r="Q41" s="49">
        <f t="shared" ref="Q41" si="33">Q40</f>
        <v>3417</v>
      </c>
      <c r="R41" s="159">
        <f>R40</f>
        <v>87469</v>
      </c>
      <c r="S41" s="160">
        <f>SUM(S29:S40)</f>
        <v>131054.96</v>
      </c>
      <c r="T41" s="49">
        <f t="shared" ref="T41" si="34">T40</f>
        <v>3116</v>
      </c>
      <c r="U41" s="159">
        <f>U40</f>
        <v>73387</v>
      </c>
      <c r="V41" s="160">
        <f>SUM(V29:V40)</f>
        <v>115339.82</v>
      </c>
      <c r="W41" s="49">
        <f t="shared" ref="W41" si="35">W40</f>
        <v>6056</v>
      </c>
      <c r="X41" s="159">
        <f>X40</f>
        <v>74228</v>
      </c>
      <c r="Y41" s="160">
        <f>SUM(Y29:Y40)</f>
        <v>125555.26000000001</v>
      </c>
      <c r="Z41" s="49">
        <f t="shared" ref="Z41" si="36">Z40</f>
        <v>6014</v>
      </c>
      <c r="AA41" s="159">
        <f>AA40</f>
        <v>61583</v>
      </c>
      <c r="AB41" s="160">
        <f>SUM(AB29:AB40)</f>
        <v>106011.04000000001</v>
      </c>
      <c r="AC41" s="49">
        <f t="shared" ref="AC41" si="37">AC40</f>
        <v>4312</v>
      </c>
      <c r="AD41" s="159">
        <f>AD40</f>
        <v>59840</v>
      </c>
      <c r="AE41" s="160">
        <f>SUM(AE29:AE40)</f>
        <v>104697.57999999999</v>
      </c>
      <c r="AF41" s="49">
        <f t="shared" ref="AF41" si="38">AF40</f>
        <v>3513</v>
      </c>
      <c r="AG41" s="159">
        <f>AG40</f>
        <v>65932</v>
      </c>
      <c r="AH41" s="160">
        <f>SUM(AH29:AH40)</f>
        <v>124828.70443599255</v>
      </c>
      <c r="AI41" s="49">
        <f t="shared" ref="AI41" si="39">AI40</f>
        <v>0</v>
      </c>
      <c r="AJ41" s="159">
        <f>AJ40</f>
        <v>0</v>
      </c>
      <c r="AK41" s="160">
        <f>SUM(AK29:AK40)</f>
        <v>0</v>
      </c>
      <c r="AL41" s="49">
        <f t="shared" ref="AL41" si="40">AL40</f>
        <v>0</v>
      </c>
      <c r="AM41" s="159">
        <f>AM40</f>
        <v>0</v>
      </c>
      <c r="AN41" s="160">
        <f>SUM(AN29:AN40)</f>
        <v>0</v>
      </c>
      <c r="AO41" s="49">
        <f t="shared" ref="AO41" si="41">AO40</f>
        <v>0</v>
      </c>
      <c r="AP41" s="159">
        <f>AP40</f>
        <v>0</v>
      </c>
      <c r="AQ41" s="160">
        <f>SUM(AQ29:AQ40)</f>
        <v>0</v>
      </c>
      <c r="AR41" s="49">
        <f t="shared" ref="AR41" si="42">AR40</f>
        <v>0</v>
      </c>
      <c r="AS41" s="159">
        <f>AS40</f>
        <v>0</v>
      </c>
      <c r="AT41" s="160">
        <f>SUM(AT29:AT40)</f>
        <v>0</v>
      </c>
      <c r="AU41" s="49">
        <f t="shared" ref="AU41" si="43">AU40</f>
        <v>0</v>
      </c>
      <c r="AV41" s="159">
        <f>AV40</f>
        <v>0</v>
      </c>
      <c r="AW41" s="160">
        <f>SUM(AW29:AW40)</f>
        <v>0</v>
      </c>
      <c r="AX41" s="49">
        <f t="shared" ref="AX41" si="44">AX40</f>
        <v>0</v>
      </c>
      <c r="AY41" s="159">
        <f>AY40</f>
        <v>0</v>
      </c>
      <c r="AZ41" s="160">
        <f>SUM(AZ29:AZ40)</f>
        <v>0</v>
      </c>
      <c r="BA41" s="49">
        <f t="shared" ref="BA41" si="45">BA40</f>
        <v>0</v>
      </c>
      <c r="BB41" s="159">
        <f>BB40</f>
        <v>0</v>
      </c>
      <c r="BC41" s="160">
        <f>SUM(BC29:BC40)</f>
        <v>0</v>
      </c>
      <c r="BD41" s="49">
        <f t="shared" ref="BD41" si="46">BD40</f>
        <v>0</v>
      </c>
      <c r="BE41" s="159">
        <f>BE40</f>
        <v>0</v>
      </c>
      <c r="BF41" s="160">
        <f>SUM(BF29:BF40)</f>
        <v>0</v>
      </c>
    </row>
  </sheetData>
  <mergeCells count="25">
    <mergeCell ref="BD27:BF27"/>
    <mergeCell ref="AO27:AQ27"/>
    <mergeCell ref="AR27:AT27"/>
    <mergeCell ref="AU27:AW27"/>
    <mergeCell ref="AX27:AZ27"/>
    <mergeCell ref="BA27:BC27"/>
    <mergeCell ref="AF27:AH27"/>
    <mergeCell ref="AI27:AK27"/>
    <mergeCell ref="AL27:AN27"/>
    <mergeCell ref="H27:J27"/>
    <mergeCell ref="K27:M27"/>
    <mergeCell ref="N27:P27"/>
    <mergeCell ref="Q27:S27"/>
    <mergeCell ref="T27:V27"/>
    <mergeCell ref="W27:Y27"/>
    <mergeCell ref="Z27:AB27"/>
    <mergeCell ref="AC27:AE27"/>
    <mergeCell ref="B27:D27"/>
    <mergeCell ref="E27:G27"/>
    <mergeCell ref="A1:J4"/>
    <mergeCell ref="K7:R7"/>
    <mergeCell ref="M1:N1"/>
    <mergeCell ref="O1:P1"/>
    <mergeCell ref="R1:S1"/>
    <mergeCell ref="A7:I7"/>
  </mergeCells>
  <phoneticPr fontId="21" type="noConversion"/>
  <conditionalFormatting sqref="N22:O22 D22:E22">
    <cfRule type="cellIs" dxfId="28" priority="3" operator="lessThanOrEqual">
      <formula>0</formula>
    </cfRule>
    <cfRule type="cellIs" dxfId="27" priority="4" operator="greaterThan">
      <formula>0</formula>
    </cfRule>
  </conditionalFormatting>
  <conditionalFormatting sqref="P22 F22">
    <cfRule type="cellIs" dxfId="26" priority="5" operator="lessThan">
      <formula>1</formula>
    </cfRule>
    <cfRule type="cellIs" dxfId="25" priority="6" operator="greaterThan">
      <formula>1</formula>
    </cfRule>
    <cfRule type="top10" dxfId="24" priority="7" percent="1" rank="10"/>
  </conditionalFormatting>
  <pageMargins left="0.7" right="0.7" top="0.75" bottom="0.75" header="0.3" footer="0.3"/>
  <pageSetup paperSize="9" orientation="portrait" r:id="rId1"/>
  <ignoredErrors>
    <ignoredError sqref="M21 C21:D21 AB41 AE41:AH42 D41:Y41" formula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"/>
  <sheetViews>
    <sheetView workbookViewId="0">
      <selection activeCell="G40" sqref="G4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"/>
  <sheetViews>
    <sheetView workbookViewId="0">
      <selection activeCell="E38" sqref="E38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"/>
  <sheetViews>
    <sheetView workbookViewId="0">
      <selection activeCell="M30" sqref="M3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T45"/>
  <sheetViews>
    <sheetView showGridLines="0" zoomScale="55" zoomScaleNormal="55" workbookViewId="0">
      <selection activeCell="F18" sqref="F18"/>
    </sheetView>
  </sheetViews>
  <sheetFormatPr baseColWidth="10" defaultRowHeight="15" x14ac:dyDescent="0.25"/>
  <cols>
    <col min="1" max="9" width="15.7109375" style="1" customWidth="1"/>
    <col min="10" max="20" width="16.5703125" style="1" customWidth="1"/>
    <col min="21" max="16384" width="11.42578125" style="1"/>
  </cols>
  <sheetData>
    <row r="1" spans="1:20" x14ac:dyDescent="0.25">
      <c r="A1" s="185" t="s">
        <v>19</v>
      </c>
      <c r="B1" s="186"/>
      <c r="C1" s="186"/>
      <c r="D1" s="186"/>
      <c r="E1" s="186"/>
      <c r="F1" s="186"/>
      <c r="G1" s="186"/>
      <c r="H1" s="186"/>
      <c r="I1" s="186"/>
      <c r="J1" s="186"/>
      <c r="K1" s="186"/>
      <c r="L1" s="187"/>
    </row>
    <row r="2" spans="1:20" x14ac:dyDescent="0.25">
      <c r="A2" s="188"/>
      <c r="B2" s="189"/>
      <c r="C2" s="189"/>
      <c r="D2" s="189"/>
      <c r="E2" s="189"/>
      <c r="F2" s="189"/>
      <c r="G2" s="189"/>
      <c r="H2" s="189"/>
      <c r="I2" s="189"/>
      <c r="J2" s="189"/>
      <c r="K2" s="189"/>
      <c r="L2" s="190"/>
    </row>
    <row r="3" spans="1:20" x14ac:dyDescent="0.25">
      <c r="A3" s="188"/>
      <c r="B3" s="189"/>
      <c r="C3" s="189"/>
      <c r="D3" s="189"/>
      <c r="E3" s="189"/>
      <c r="F3" s="189"/>
      <c r="G3" s="189"/>
      <c r="H3" s="189"/>
      <c r="I3" s="189"/>
      <c r="J3" s="189"/>
      <c r="K3" s="189"/>
      <c r="L3" s="190"/>
    </row>
    <row r="4" spans="1:20" ht="15.75" thickBot="1" x14ac:dyDescent="0.3">
      <c r="A4" s="191"/>
      <c r="B4" s="192"/>
      <c r="C4" s="192"/>
      <c r="D4" s="192"/>
      <c r="E4" s="192"/>
      <c r="F4" s="192"/>
      <c r="G4" s="192"/>
      <c r="H4" s="192"/>
      <c r="I4" s="192"/>
      <c r="J4" s="192"/>
      <c r="K4" s="192"/>
      <c r="L4" s="193"/>
    </row>
    <row r="8" spans="1:20" ht="15.75" thickBot="1" x14ac:dyDescent="0.3"/>
    <row r="9" spans="1:20" x14ac:dyDescent="0.25">
      <c r="A9" s="249" t="s">
        <v>16</v>
      </c>
      <c r="B9" s="250"/>
      <c r="C9" s="250"/>
      <c r="D9" s="250"/>
      <c r="E9" s="250"/>
      <c r="F9" s="251"/>
    </row>
    <row r="10" spans="1:20" ht="15.75" thickBot="1" x14ac:dyDescent="0.3">
      <c r="A10" s="252"/>
      <c r="B10" s="253"/>
      <c r="C10" s="253"/>
      <c r="D10" s="253"/>
      <c r="E10" s="253"/>
      <c r="F10" s="254"/>
    </row>
    <row r="13" spans="1:20" ht="15.75" thickBot="1" x14ac:dyDescent="0.3"/>
    <row r="14" spans="1:20" ht="21" x14ac:dyDescent="0.35">
      <c r="A14" s="143" t="s">
        <v>18</v>
      </c>
      <c r="B14" s="73">
        <v>2012</v>
      </c>
      <c r="C14" s="73">
        <v>2013</v>
      </c>
      <c r="D14" s="73">
        <v>2014</v>
      </c>
      <c r="E14" s="73">
        <v>2015</v>
      </c>
      <c r="F14" s="73">
        <v>2016</v>
      </c>
      <c r="G14" s="73">
        <v>2017</v>
      </c>
      <c r="H14" s="73">
        <v>2018</v>
      </c>
      <c r="I14" s="73">
        <v>2019</v>
      </c>
      <c r="J14" s="73">
        <v>2020</v>
      </c>
      <c r="K14" s="73">
        <v>2021</v>
      </c>
      <c r="L14" s="73">
        <v>2022</v>
      </c>
      <c r="M14" s="73">
        <v>2023</v>
      </c>
      <c r="N14" s="73">
        <v>2024</v>
      </c>
      <c r="O14" s="73">
        <v>2025</v>
      </c>
      <c r="P14" s="73">
        <v>2026</v>
      </c>
      <c r="Q14" s="73">
        <v>2027</v>
      </c>
      <c r="R14" s="73">
        <v>2028</v>
      </c>
      <c r="S14" s="73">
        <v>2029</v>
      </c>
      <c r="T14" s="73">
        <v>2030</v>
      </c>
    </row>
    <row r="15" spans="1:20" ht="21" x14ac:dyDescent="0.35">
      <c r="A15" s="144" t="s">
        <v>4</v>
      </c>
      <c r="B15" s="65">
        <v>21</v>
      </c>
      <c r="C15" s="65">
        <v>22</v>
      </c>
      <c r="D15" s="65">
        <v>20</v>
      </c>
      <c r="E15" s="66">
        <v>20</v>
      </c>
      <c r="F15" s="66">
        <v>20</v>
      </c>
      <c r="G15" s="66">
        <v>22</v>
      </c>
      <c r="H15" s="66">
        <v>22</v>
      </c>
      <c r="I15" s="66">
        <v>21</v>
      </c>
      <c r="J15" s="66">
        <v>22</v>
      </c>
      <c r="K15" s="66">
        <v>20</v>
      </c>
      <c r="L15" s="66">
        <v>21</v>
      </c>
      <c r="M15" s="66">
        <v>22</v>
      </c>
      <c r="N15" s="66"/>
      <c r="O15" s="66"/>
      <c r="P15" s="66"/>
      <c r="Q15" s="66"/>
      <c r="R15" s="66"/>
      <c r="S15" s="65"/>
      <c r="T15" s="71"/>
    </row>
    <row r="16" spans="1:20" ht="21" x14ac:dyDescent="0.35">
      <c r="A16" s="144" t="s">
        <v>5</v>
      </c>
      <c r="B16" s="67">
        <v>21</v>
      </c>
      <c r="C16" s="67">
        <v>20</v>
      </c>
      <c r="D16" s="67">
        <v>20</v>
      </c>
      <c r="E16" s="68">
        <v>20</v>
      </c>
      <c r="F16" s="68">
        <v>21</v>
      </c>
      <c r="G16" s="68">
        <v>20</v>
      </c>
      <c r="H16" s="68">
        <v>20</v>
      </c>
      <c r="I16" s="68">
        <v>20</v>
      </c>
      <c r="J16" s="68">
        <v>20</v>
      </c>
      <c r="K16" s="68">
        <v>20</v>
      </c>
      <c r="L16" s="68">
        <v>20</v>
      </c>
      <c r="M16" s="68">
        <v>20</v>
      </c>
      <c r="N16" s="68"/>
      <c r="O16" s="68"/>
      <c r="P16" s="68"/>
      <c r="Q16" s="68"/>
      <c r="R16" s="68"/>
      <c r="S16" s="67"/>
      <c r="T16" s="72"/>
    </row>
    <row r="17" spans="1:20" ht="21" x14ac:dyDescent="0.35">
      <c r="A17" s="144" t="s">
        <v>6</v>
      </c>
      <c r="B17" s="65">
        <v>22</v>
      </c>
      <c r="C17" s="65">
        <v>21</v>
      </c>
      <c r="D17" s="65">
        <v>21</v>
      </c>
      <c r="E17" s="66">
        <v>22</v>
      </c>
      <c r="F17" s="66">
        <v>22</v>
      </c>
      <c r="G17" s="66">
        <v>23</v>
      </c>
      <c r="H17" s="66">
        <v>22</v>
      </c>
      <c r="I17" s="66">
        <v>21</v>
      </c>
      <c r="J17" s="66">
        <v>22</v>
      </c>
      <c r="K17" s="66">
        <v>23</v>
      </c>
      <c r="L17" s="66">
        <v>23</v>
      </c>
      <c r="M17" s="66">
        <v>23</v>
      </c>
      <c r="N17" s="66"/>
      <c r="O17" s="66"/>
      <c r="P17" s="66"/>
      <c r="Q17" s="66"/>
      <c r="R17" s="66"/>
      <c r="S17" s="65"/>
      <c r="T17" s="71"/>
    </row>
    <row r="18" spans="1:20" ht="21" x14ac:dyDescent="0.35">
      <c r="A18" s="144" t="s">
        <v>7</v>
      </c>
      <c r="B18" s="67">
        <v>20</v>
      </c>
      <c r="C18" s="67">
        <v>21</v>
      </c>
      <c r="D18" s="67">
        <v>21</v>
      </c>
      <c r="E18" s="68">
        <v>21</v>
      </c>
      <c r="F18" s="68">
        <v>21</v>
      </c>
      <c r="G18" s="68">
        <v>19</v>
      </c>
      <c r="H18" s="68">
        <v>20</v>
      </c>
      <c r="I18" s="68">
        <v>21</v>
      </c>
      <c r="J18" s="68">
        <v>21</v>
      </c>
      <c r="K18" s="68">
        <v>21</v>
      </c>
      <c r="L18" s="68">
        <v>20</v>
      </c>
      <c r="M18" s="68">
        <v>19</v>
      </c>
      <c r="N18" s="68"/>
      <c r="O18" s="68"/>
      <c r="P18" s="68"/>
      <c r="Q18" s="68"/>
      <c r="R18" s="68"/>
      <c r="S18" s="67"/>
      <c r="T18" s="72"/>
    </row>
    <row r="19" spans="1:20" ht="21" x14ac:dyDescent="0.35">
      <c r="A19" s="144" t="s">
        <v>8</v>
      </c>
      <c r="B19" s="65">
        <v>17</v>
      </c>
      <c r="C19" s="65">
        <v>19</v>
      </c>
      <c r="D19" s="65">
        <v>19</v>
      </c>
      <c r="E19" s="66">
        <v>16</v>
      </c>
      <c r="F19" s="66">
        <v>19</v>
      </c>
      <c r="G19" s="66">
        <v>20</v>
      </c>
      <c r="H19" s="66">
        <v>18</v>
      </c>
      <c r="I19" s="66">
        <v>19</v>
      </c>
      <c r="J19" s="66">
        <v>17</v>
      </c>
      <c r="K19" s="66">
        <v>18</v>
      </c>
      <c r="L19" s="66">
        <v>20</v>
      </c>
      <c r="M19" s="66">
        <v>18</v>
      </c>
      <c r="N19" s="66"/>
      <c r="O19" s="66"/>
      <c r="P19" s="66"/>
      <c r="Q19" s="66"/>
      <c r="R19" s="66"/>
      <c r="S19" s="65"/>
      <c r="T19" s="71"/>
    </row>
    <row r="20" spans="1:20" ht="21" x14ac:dyDescent="0.35">
      <c r="A20" s="144" t="s">
        <v>9</v>
      </c>
      <c r="B20" s="67">
        <v>21</v>
      </c>
      <c r="C20" s="67">
        <v>20</v>
      </c>
      <c r="D20" s="67">
        <v>20</v>
      </c>
      <c r="E20" s="68">
        <v>22</v>
      </c>
      <c r="F20" s="68">
        <v>22</v>
      </c>
      <c r="G20" s="68">
        <v>21</v>
      </c>
      <c r="H20" s="68">
        <v>21</v>
      </c>
      <c r="I20" s="68">
        <v>19</v>
      </c>
      <c r="J20" s="68">
        <v>21</v>
      </c>
      <c r="K20" s="68">
        <v>23</v>
      </c>
      <c r="L20" s="68">
        <v>21</v>
      </c>
      <c r="M20" s="68">
        <v>22</v>
      </c>
      <c r="N20" s="68"/>
      <c r="O20" s="68"/>
      <c r="P20" s="68"/>
      <c r="Q20" s="68"/>
      <c r="R20" s="68"/>
      <c r="S20" s="67"/>
      <c r="T20" s="72"/>
    </row>
    <row r="21" spans="1:20" ht="21" x14ac:dyDescent="0.35">
      <c r="A21" s="144" t="s">
        <v>10</v>
      </c>
      <c r="B21" s="65">
        <v>22</v>
      </c>
      <c r="C21" s="65">
        <v>23</v>
      </c>
      <c r="D21" s="65">
        <v>22</v>
      </c>
      <c r="E21" s="66">
        <v>21</v>
      </c>
      <c r="F21" s="66">
        <v>19</v>
      </c>
      <c r="G21" s="66">
        <v>20</v>
      </c>
      <c r="H21" s="66">
        <v>22</v>
      </c>
      <c r="I21" s="66">
        <v>23</v>
      </c>
      <c r="J21" s="66">
        <v>22</v>
      </c>
      <c r="K21" s="66">
        <v>21</v>
      </c>
      <c r="L21" s="66">
        <v>20</v>
      </c>
      <c r="M21" s="66">
        <v>20</v>
      </c>
      <c r="N21" s="66"/>
      <c r="O21" s="66"/>
      <c r="P21" s="66"/>
      <c r="Q21" s="66"/>
      <c r="R21" s="66"/>
      <c r="S21" s="65"/>
      <c r="T21" s="71"/>
    </row>
    <row r="22" spans="1:20" ht="21" x14ac:dyDescent="0.35">
      <c r="A22" s="144" t="s">
        <v>11</v>
      </c>
      <c r="B22" s="67">
        <v>22</v>
      </c>
      <c r="C22" s="67">
        <v>21</v>
      </c>
      <c r="D22" s="67">
        <v>20</v>
      </c>
      <c r="E22" s="68">
        <v>21</v>
      </c>
      <c r="F22" s="68">
        <v>22</v>
      </c>
      <c r="G22" s="68">
        <v>22</v>
      </c>
      <c r="H22" s="68">
        <v>22</v>
      </c>
      <c r="I22" s="68">
        <v>21</v>
      </c>
      <c r="J22" s="68">
        <v>21</v>
      </c>
      <c r="K22" s="68">
        <v>22</v>
      </c>
      <c r="L22" s="68">
        <v>22</v>
      </c>
      <c r="M22" s="68">
        <v>22</v>
      </c>
      <c r="N22" s="68"/>
      <c r="O22" s="68"/>
      <c r="P22" s="68"/>
      <c r="Q22" s="68"/>
      <c r="R22" s="68"/>
      <c r="S22" s="67"/>
      <c r="T22" s="72"/>
    </row>
    <row r="23" spans="1:20" ht="21" x14ac:dyDescent="0.35">
      <c r="A23" s="144" t="s">
        <v>12</v>
      </c>
      <c r="B23" s="65">
        <v>20</v>
      </c>
      <c r="C23" s="65">
        <v>21</v>
      </c>
      <c r="D23" s="65">
        <v>22</v>
      </c>
      <c r="E23" s="66">
        <v>22</v>
      </c>
      <c r="F23" s="66">
        <v>22</v>
      </c>
      <c r="G23" s="66">
        <v>21</v>
      </c>
      <c r="H23" s="66">
        <v>20</v>
      </c>
      <c r="I23" s="66">
        <v>21</v>
      </c>
      <c r="J23" s="66">
        <v>22</v>
      </c>
      <c r="K23" s="66">
        <v>22</v>
      </c>
      <c r="L23" s="66">
        <v>22</v>
      </c>
      <c r="M23" s="66">
        <v>21</v>
      </c>
      <c r="N23" s="66"/>
      <c r="O23" s="66"/>
      <c r="P23" s="66"/>
      <c r="Q23" s="66"/>
      <c r="R23" s="66"/>
      <c r="S23" s="65"/>
      <c r="T23" s="71"/>
    </row>
    <row r="24" spans="1:20" ht="21" x14ac:dyDescent="0.35">
      <c r="A24" s="144" t="s">
        <v>13</v>
      </c>
      <c r="B24" s="67">
        <v>23</v>
      </c>
      <c r="C24" s="67">
        <v>23</v>
      </c>
      <c r="D24" s="67">
        <v>23</v>
      </c>
      <c r="E24" s="68">
        <v>22</v>
      </c>
      <c r="F24" s="68">
        <v>20</v>
      </c>
      <c r="G24" s="68">
        <v>22</v>
      </c>
      <c r="H24" s="68">
        <v>23</v>
      </c>
      <c r="I24" s="68">
        <v>23</v>
      </c>
      <c r="J24" s="68">
        <v>22</v>
      </c>
      <c r="K24" s="68">
        <v>21</v>
      </c>
      <c r="L24" s="68">
        <v>21</v>
      </c>
      <c r="M24" s="68">
        <v>22</v>
      </c>
      <c r="N24" s="68"/>
      <c r="O24" s="68"/>
      <c r="P24" s="68"/>
      <c r="Q24" s="68"/>
      <c r="R24" s="68"/>
      <c r="S24" s="67"/>
      <c r="T24" s="72"/>
    </row>
    <row r="25" spans="1:20" ht="21" x14ac:dyDescent="0.35">
      <c r="A25" s="144" t="s">
        <v>14</v>
      </c>
      <c r="B25" s="65">
        <v>20</v>
      </c>
      <c r="C25" s="65">
        <v>19</v>
      </c>
      <c r="D25" s="65">
        <v>18</v>
      </c>
      <c r="E25" s="66">
        <v>20</v>
      </c>
      <c r="F25" s="66">
        <v>20</v>
      </c>
      <c r="G25" s="66">
        <v>21</v>
      </c>
      <c r="H25" s="66">
        <v>21</v>
      </c>
      <c r="I25" s="66">
        <v>19</v>
      </c>
      <c r="J25" s="66">
        <v>20</v>
      </c>
      <c r="K25" s="66">
        <v>20</v>
      </c>
      <c r="L25" s="66">
        <v>20</v>
      </c>
      <c r="M25" s="66">
        <v>21</v>
      </c>
      <c r="N25" s="66"/>
      <c r="O25" s="66"/>
      <c r="P25" s="66"/>
      <c r="Q25" s="66"/>
      <c r="R25" s="66"/>
      <c r="S25" s="65"/>
      <c r="T25" s="71"/>
    </row>
    <row r="26" spans="1:20" ht="21" x14ac:dyDescent="0.35">
      <c r="A26" s="144" t="s">
        <v>15</v>
      </c>
      <c r="B26" s="67">
        <v>15</v>
      </c>
      <c r="C26" s="67">
        <v>16</v>
      </c>
      <c r="D26" s="67">
        <v>15</v>
      </c>
      <c r="E26" s="68">
        <v>17</v>
      </c>
      <c r="F26" s="68">
        <v>17</v>
      </c>
      <c r="G26" s="68">
        <v>16</v>
      </c>
      <c r="H26" s="68">
        <v>16</v>
      </c>
      <c r="I26" s="68">
        <v>15</v>
      </c>
      <c r="J26" s="68">
        <v>17</v>
      </c>
      <c r="K26" s="68">
        <v>17</v>
      </c>
      <c r="L26" s="68">
        <v>17</v>
      </c>
      <c r="M26" s="68">
        <v>16</v>
      </c>
      <c r="N26" s="68"/>
      <c r="O26" s="68"/>
      <c r="P26" s="68"/>
      <c r="Q26" s="68"/>
      <c r="R26" s="68"/>
      <c r="S26" s="67"/>
      <c r="T26" s="72"/>
    </row>
    <row r="27" spans="1:20" ht="21" x14ac:dyDescent="0.35">
      <c r="A27" s="145" t="s">
        <v>17</v>
      </c>
      <c r="B27" s="146">
        <f t="shared" ref="B27:T27" si="0">SUM(B$15:B$26)</f>
        <v>244</v>
      </c>
      <c r="C27" s="146">
        <f t="shared" si="0"/>
        <v>246</v>
      </c>
      <c r="D27" s="146">
        <f t="shared" si="0"/>
        <v>241</v>
      </c>
      <c r="E27" s="146">
        <f t="shared" si="0"/>
        <v>244</v>
      </c>
      <c r="F27" s="146">
        <f t="shared" si="0"/>
        <v>245</v>
      </c>
      <c r="G27" s="146">
        <f t="shared" si="0"/>
        <v>247</v>
      </c>
      <c r="H27" s="146">
        <f t="shared" si="0"/>
        <v>247</v>
      </c>
      <c r="I27" s="146">
        <f t="shared" si="0"/>
        <v>243</v>
      </c>
      <c r="J27" s="146">
        <f t="shared" si="0"/>
        <v>247</v>
      </c>
      <c r="K27" s="146">
        <f t="shared" si="0"/>
        <v>248</v>
      </c>
      <c r="L27" s="146">
        <f t="shared" si="0"/>
        <v>247</v>
      </c>
      <c r="M27" s="146">
        <f t="shared" si="0"/>
        <v>246</v>
      </c>
      <c r="N27" s="146">
        <f t="shared" si="0"/>
        <v>0</v>
      </c>
      <c r="O27" s="146">
        <f t="shared" si="0"/>
        <v>0</v>
      </c>
      <c r="P27" s="146">
        <f t="shared" si="0"/>
        <v>0</v>
      </c>
      <c r="Q27" s="146">
        <f t="shared" si="0"/>
        <v>0</v>
      </c>
      <c r="R27" s="146">
        <f t="shared" si="0"/>
        <v>0</v>
      </c>
      <c r="S27" s="146">
        <f t="shared" si="0"/>
        <v>0</v>
      </c>
      <c r="T27" s="146">
        <f t="shared" si="0"/>
        <v>0</v>
      </c>
    </row>
    <row r="28" spans="1:20" ht="15.75" thickBot="1" x14ac:dyDescent="0.3"/>
    <row r="29" spans="1:20" x14ac:dyDescent="0.25">
      <c r="A29" s="249" t="s">
        <v>41</v>
      </c>
      <c r="B29" s="250"/>
      <c r="C29" s="250"/>
      <c r="D29" s="250"/>
      <c r="E29" s="250"/>
      <c r="F29" s="251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</row>
    <row r="30" spans="1:20" ht="15.75" thickBot="1" x14ac:dyDescent="0.3">
      <c r="A30" s="252"/>
      <c r="B30" s="253"/>
      <c r="C30" s="253"/>
      <c r="D30" s="253"/>
      <c r="E30" s="253"/>
      <c r="F30" s="254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</row>
    <row r="31" spans="1:20" x14ac:dyDescent="0.25"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</row>
    <row r="32" spans="1:20" ht="15.75" thickBot="1" x14ac:dyDescent="0.3"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</row>
    <row r="33" spans="1:20" ht="21" x14ac:dyDescent="0.35">
      <c r="A33" s="69" t="s">
        <v>18</v>
      </c>
      <c r="B33" s="73">
        <v>2012</v>
      </c>
      <c r="C33" s="73">
        <v>2013</v>
      </c>
      <c r="D33" s="73">
        <v>2014</v>
      </c>
      <c r="E33" s="73">
        <v>2015</v>
      </c>
      <c r="F33" s="73">
        <v>2016</v>
      </c>
      <c r="G33" s="73">
        <v>2017</v>
      </c>
      <c r="H33" s="73">
        <v>2018</v>
      </c>
      <c r="I33" s="73">
        <v>2019</v>
      </c>
      <c r="J33" s="73">
        <v>2020</v>
      </c>
      <c r="K33" s="73">
        <v>2021</v>
      </c>
      <c r="L33" s="73">
        <v>2022</v>
      </c>
      <c r="M33" s="73">
        <v>2023</v>
      </c>
      <c r="N33" s="73">
        <v>2024</v>
      </c>
      <c r="O33" s="73">
        <v>2025</v>
      </c>
      <c r="P33" s="73">
        <v>2026</v>
      </c>
      <c r="Q33" s="73">
        <v>2027</v>
      </c>
      <c r="R33" s="73">
        <v>2028</v>
      </c>
      <c r="S33" s="73">
        <v>2029</v>
      </c>
      <c r="T33" s="77">
        <v>2030</v>
      </c>
    </row>
    <row r="34" spans="1:20" ht="21" x14ac:dyDescent="0.35">
      <c r="A34" s="70" t="s">
        <v>4</v>
      </c>
      <c r="B34" s="79">
        <v>96632</v>
      </c>
      <c r="C34" s="79">
        <v>96632</v>
      </c>
      <c r="D34" s="79">
        <v>96632</v>
      </c>
      <c r="E34" s="80">
        <v>96632</v>
      </c>
      <c r="F34" s="80">
        <v>96632</v>
      </c>
      <c r="G34" s="80">
        <v>96632</v>
      </c>
      <c r="H34" s="80">
        <v>96632</v>
      </c>
      <c r="I34" s="88">
        <v>98432</v>
      </c>
      <c r="J34" s="80">
        <v>98432</v>
      </c>
      <c r="K34" s="80">
        <v>96008</v>
      </c>
      <c r="L34" s="80">
        <v>96008</v>
      </c>
      <c r="M34" s="80">
        <v>96008</v>
      </c>
      <c r="N34" s="80"/>
      <c r="O34" s="80"/>
      <c r="P34" s="80"/>
      <c r="Q34" s="80"/>
      <c r="R34" s="80"/>
      <c r="S34" s="79"/>
      <c r="T34" s="81"/>
    </row>
    <row r="35" spans="1:20" ht="21" x14ac:dyDescent="0.35">
      <c r="A35" s="70" t="s">
        <v>5</v>
      </c>
      <c r="B35" s="82">
        <v>96632</v>
      </c>
      <c r="C35" s="82">
        <v>96632</v>
      </c>
      <c r="D35" s="82">
        <v>96632</v>
      </c>
      <c r="E35" s="83">
        <v>96632</v>
      </c>
      <c r="F35" s="83">
        <v>96632</v>
      </c>
      <c r="G35" s="83">
        <v>96632</v>
      </c>
      <c r="H35" s="83">
        <v>96632</v>
      </c>
      <c r="I35" s="83">
        <v>98432</v>
      </c>
      <c r="J35" s="83">
        <v>98432</v>
      </c>
      <c r="K35" s="83">
        <v>96008</v>
      </c>
      <c r="L35" s="83">
        <v>96008</v>
      </c>
      <c r="M35" s="83">
        <v>96008</v>
      </c>
      <c r="N35" s="83"/>
      <c r="O35" s="83"/>
      <c r="P35" s="83"/>
      <c r="Q35" s="83"/>
      <c r="R35" s="83"/>
      <c r="S35" s="82"/>
      <c r="T35" s="84"/>
    </row>
    <row r="36" spans="1:20" ht="21" x14ac:dyDescent="0.35">
      <c r="A36" s="70" t="s">
        <v>6</v>
      </c>
      <c r="B36" s="79">
        <v>96632</v>
      </c>
      <c r="C36" s="79">
        <v>96632</v>
      </c>
      <c r="D36" s="79">
        <v>96632</v>
      </c>
      <c r="E36" s="80">
        <v>96632</v>
      </c>
      <c r="F36" s="80">
        <v>96632</v>
      </c>
      <c r="G36" s="80">
        <v>96632</v>
      </c>
      <c r="H36" s="80">
        <v>96632</v>
      </c>
      <c r="I36" s="80">
        <v>98432</v>
      </c>
      <c r="J36" s="80">
        <v>98432</v>
      </c>
      <c r="K36" s="80">
        <v>96008</v>
      </c>
      <c r="L36" s="80">
        <v>96008</v>
      </c>
      <c r="M36" s="80">
        <v>96008</v>
      </c>
      <c r="N36" s="80"/>
      <c r="O36" s="80"/>
      <c r="P36" s="80"/>
      <c r="Q36" s="80"/>
      <c r="R36" s="80"/>
      <c r="S36" s="79"/>
      <c r="T36" s="81"/>
    </row>
    <row r="37" spans="1:20" ht="21" x14ac:dyDescent="0.35">
      <c r="A37" s="70" t="s">
        <v>7</v>
      </c>
      <c r="B37" s="82">
        <v>96632</v>
      </c>
      <c r="C37" s="82">
        <v>96632</v>
      </c>
      <c r="D37" s="82">
        <v>96632</v>
      </c>
      <c r="E37" s="83">
        <v>96632</v>
      </c>
      <c r="F37" s="83">
        <v>96632</v>
      </c>
      <c r="G37" s="83">
        <v>96632</v>
      </c>
      <c r="H37" s="83">
        <v>96632</v>
      </c>
      <c r="I37" s="83">
        <v>98432</v>
      </c>
      <c r="J37" s="89">
        <v>97275</v>
      </c>
      <c r="K37" s="83">
        <v>96008</v>
      </c>
      <c r="L37" s="83">
        <v>96008</v>
      </c>
      <c r="M37" s="83">
        <v>96008</v>
      </c>
      <c r="N37" s="83"/>
      <c r="O37" s="83"/>
      <c r="P37" s="83"/>
      <c r="Q37" s="83"/>
      <c r="R37" s="83"/>
      <c r="S37" s="82"/>
      <c r="T37" s="84"/>
    </row>
    <row r="38" spans="1:20" ht="21" x14ac:dyDescent="0.35">
      <c r="A38" s="70" t="s">
        <v>8</v>
      </c>
      <c r="B38" s="79">
        <v>96632</v>
      </c>
      <c r="C38" s="79">
        <v>96632</v>
      </c>
      <c r="D38" s="79">
        <v>96632</v>
      </c>
      <c r="E38" s="80">
        <v>96632</v>
      </c>
      <c r="F38" s="80">
        <v>96632</v>
      </c>
      <c r="G38" s="80">
        <v>96632</v>
      </c>
      <c r="H38" s="80">
        <v>96632</v>
      </c>
      <c r="I38" s="80">
        <v>98432</v>
      </c>
      <c r="J38" s="80">
        <v>97275</v>
      </c>
      <c r="K38" s="80">
        <v>96008</v>
      </c>
      <c r="L38" s="80">
        <v>96008</v>
      </c>
      <c r="M38" s="80">
        <v>96008</v>
      </c>
      <c r="N38" s="80"/>
      <c r="O38" s="80"/>
      <c r="P38" s="80"/>
      <c r="Q38" s="80"/>
      <c r="R38" s="80"/>
      <c r="S38" s="79"/>
      <c r="T38" s="81"/>
    </row>
    <row r="39" spans="1:20" ht="21" x14ac:dyDescent="0.35">
      <c r="A39" s="70" t="s">
        <v>9</v>
      </c>
      <c r="B39" s="82">
        <v>96632</v>
      </c>
      <c r="C39" s="82">
        <v>96632</v>
      </c>
      <c r="D39" s="82">
        <v>96632</v>
      </c>
      <c r="E39" s="83">
        <v>96632</v>
      </c>
      <c r="F39" s="83">
        <v>96632</v>
      </c>
      <c r="G39" s="83">
        <v>96632</v>
      </c>
      <c r="H39" s="83">
        <v>96632</v>
      </c>
      <c r="I39" s="83">
        <v>98432</v>
      </c>
      <c r="J39" s="83">
        <v>97275</v>
      </c>
      <c r="K39" s="83">
        <v>96008</v>
      </c>
      <c r="L39" s="83">
        <v>96008</v>
      </c>
      <c r="M39" s="83">
        <v>96008</v>
      </c>
      <c r="N39" s="83"/>
      <c r="O39" s="83"/>
      <c r="P39" s="83"/>
      <c r="Q39" s="83"/>
      <c r="R39" s="83"/>
      <c r="S39" s="82"/>
      <c r="T39" s="84"/>
    </row>
    <row r="40" spans="1:20" ht="21" x14ac:dyDescent="0.35">
      <c r="A40" s="70" t="s">
        <v>10</v>
      </c>
      <c r="B40" s="79">
        <v>96632</v>
      </c>
      <c r="C40" s="79">
        <v>96632</v>
      </c>
      <c r="D40" s="79">
        <v>96632</v>
      </c>
      <c r="E40" s="80">
        <v>96632</v>
      </c>
      <c r="F40" s="80">
        <v>96632</v>
      </c>
      <c r="G40" s="80">
        <v>96632</v>
      </c>
      <c r="H40" s="80">
        <v>96632</v>
      </c>
      <c r="I40" s="80">
        <v>98432</v>
      </c>
      <c r="J40" s="80">
        <v>97275</v>
      </c>
      <c r="K40" s="80">
        <v>96008</v>
      </c>
      <c r="L40" s="80">
        <v>96008</v>
      </c>
      <c r="M40" s="80">
        <v>96008</v>
      </c>
      <c r="N40" s="80"/>
      <c r="O40" s="80"/>
      <c r="P40" s="80"/>
      <c r="Q40" s="80"/>
      <c r="R40" s="80"/>
      <c r="S40" s="79"/>
      <c r="T40" s="81"/>
    </row>
    <row r="41" spans="1:20" ht="21" x14ac:dyDescent="0.35">
      <c r="A41" s="70" t="s">
        <v>11</v>
      </c>
      <c r="B41" s="82">
        <v>96632</v>
      </c>
      <c r="C41" s="82">
        <v>96632</v>
      </c>
      <c r="D41" s="82">
        <v>96632</v>
      </c>
      <c r="E41" s="83">
        <v>96632</v>
      </c>
      <c r="F41" s="83">
        <v>96632</v>
      </c>
      <c r="G41" s="83">
        <v>96632</v>
      </c>
      <c r="H41" s="83">
        <v>96632</v>
      </c>
      <c r="I41" s="83">
        <v>98432</v>
      </c>
      <c r="J41" s="83">
        <v>97275</v>
      </c>
      <c r="K41" s="83">
        <v>96008</v>
      </c>
      <c r="L41" s="83">
        <v>96008</v>
      </c>
      <c r="M41" s="83">
        <v>96008</v>
      </c>
      <c r="N41" s="83"/>
      <c r="O41" s="83"/>
      <c r="P41" s="83"/>
      <c r="Q41" s="83"/>
      <c r="R41" s="83"/>
      <c r="S41" s="82"/>
      <c r="T41" s="84"/>
    </row>
    <row r="42" spans="1:20" ht="21" x14ac:dyDescent="0.35">
      <c r="A42" s="70" t="s">
        <v>12</v>
      </c>
      <c r="B42" s="79">
        <v>96632</v>
      </c>
      <c r="C42" s="79">
        <v>96632</v>
      </c>
      <c r="D42" s="79">
        <v>96632</v>
      </c>
      <c r="E42" s="80">
        <v>96632</v>
      </c>
      <c r="F42" s="80">
        <v>96632</v>
      </c>
      <c r="G42" s="80">
        <v>96632</v>
      </c>
      <c r="H42" s="80">
        <v>96632</v>
      </c>
      <c r="I42" s="80">
        <v>98432</v>
      </c>
      <c r="J42" s="80">
        <v>97275</v>
      </c>
      <c r="K42" s="80">
        <v>96008</v>
      </c>
      <c r="L42" s="80">
        <v>96008</v>
      </c>
      <c r="M42" s="80">
        <v>96008</v>
      </c>
      <c r="N42" s="80"/>
      <c r="O42" s="80"/>
      <c r="P42" s="80"/>
      <c r="Q42" s="80"/>
      <c r="R42" s="80"/>
      <c r="S42" s="79"/>
      <c r="T42" s="81"/>
    </row>
    <row r="43" spans="1:20" ht="21" x14ac:dyDescent="0.35">
      <c r="A43" s="70" t="s">
        <v>13</v>
      </c>
      <c r="B43" s="82">
        <v>96632</v>
      </c>
      <c r="C43" s="82">
        <v>96632</v>
      </c>
      <c r="D43" s="82">
        <v>96632</v>
      </c>
      <c r="E43" s="83">
        <v>96632</v>
      </c>
      <c r="F43" s="83">
        <v>96632</v>
      </c>
      <c r="G43" s="83">
        <v>96632</v>
      </c>
      <c r="H43" s="83">
        <v>96632</v>
      </c>
      <c r="I43" s="83">
        <v>98432</v>
      </c>
      <c r="J43" s="83">
        <v>97275</v>
      </c>
      <c r="K43" s="83">
        <v>96008</v>
      </c>
      <c r="L43" s="83">
        <v>96008</v>
      </c>
      <c r="M43" s="83">
        <v>96008</v>
      </c>
      <c r="N43" s="83"/>
      <c r="O43" s="83"/>
      <c r="P43" s="83"/>
      <c r="Q43" s="83"/>
      <c r="R43" s="83"/>
      <c r="S43" s="82"/>
      <c r="T43" s="84"/>
    </row>
    <row r="44" spans="1:20" ht="21" x14ac:dyDescent="0.35">
      <c r="A44" s="70" t="s">
        <v>14</v>
      </c>
      <c r="B44" s="79">
        <v>96632</v>
      </c>
      <c r="C44" s="79">
        <v>96632</v>
      </c>
      <c r="D44" s="79">
        <v>96632</v>
      </c>
      <c r="E44" s="80">
        <v>96632</v>
      </c>
      <c r="F44" s="80">
        <v>96632</v>
      </c>
      <c r="G44" s="80">
        <v>96632</v>
      </c>
      <c r="H44" s="80">
        <v>96632</v>
      </c>
      <c r="I44" s="80">
        <v>98432</v>
      </c>
      <c r="J44" s="88">
        <v>96008</v>
      </c>
      <c r="K44" s="80">
        <v>96008</v>
      </c>
      <c r="L44" s="80">
        <v>96008</v>
      </c>
      <c r="M44" s="80">
        <v>96008</v>
      </c>
      <c r="N44" s="80"/>
      <c r="O44" s="80"/>
      <c r="P44" s="80"/>
      <c r="Q44" s="80"/>
      <c r="R44" s="80"/>
      <c r="S44" s="79"/>
      <c r="T44" s="81"/>
    </row>
    <row r="45" spans="1:20" ht="21.75" thickBot="1" x14ac:dyDescent="0.4">
      <c r="A45" s="78" t="s">
        <v>15</v>
      </c>
      <c r="B45" s="85">
        <v>96632</v>
      </c>
      <c r="C45" s="85">
        <v>96632</v>
      </c>
      <c r="D45" s="85">
        <v>96632</v>
      </c>
      <c r="E45" s="86">
        <v>96632</v>
      </c>
      <c r="F45" s="86">
        <v>96632</v>
      </c>
      <c r="G45" s="86">
        <v>96632</v>
      </c>
      <c r="H45" s="86">
        <v>96632</v>
      </c>
      <c r="I45" s="86">
        <v>98432</v>
      </c>
      <c r="J45" s="86">
        <v>96008</v>
      </c>
      <c r="K45" s="86">
        <v>96008</v>
      </c>
      <c r="L45" s="86">
        <v>96008</v>
      </c>
      <c r="M45" s="86">
        <v>96008</v>
      </c>
      <c r="N45" s="86"/>
      <c r="O45" s="86"/>
      <c r="P45" s="86"/>
      <c r="Q45" s="86"/>
      <c r="R45" s="86"/>
      <c r="S45" s="85"/>
      <c r="T45" s="87"/>
    </row>
  </sheetData>
  <mergeCells count="3">
    <mergeCell ref="A1:L4"/>
    <mergeCell ref="A9:F10"/>
    <mergeCell ref="A29:F30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A3</vt:lpstr>
      <vt:lpstr>1. Context</vt:lpstr>
      <vt:lpstr>2. Objectifs</vt:lpstr>
      <vt:lpstr>3. Résultats</vt:lpstr>
      <vt:lpstr>3.1 ELEC</vt:lpstr>
      <vt:lpstr>3.2 GAZ</vt:lpstr>
      <vt:lpstr>3.3 EAU</vt:lpstr>
      <vt:lpstr>4. Grille de labélisation</vt:lpstr>
      <vt:lpstr>5. Points durs</vt:lpstr>
      <vt:lpstr>6. Plan d'actions</vt:lpstr>
      <vt:lpstr>7. Administratif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FABRICE MOUYSSET (EXTERNAL)</cp:lastModifiedBy>
  <dcterms:created xsi:type="dcterms:W3CDTF">2015-06-05T18:19:34Z</dcterms:created>
  <dcterms:modified xsi:type="dcterms:W3CDTF">2023-06-01T13:42:28Z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2021-08-03T11:53:27Z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7e4a2734-5353-456e-a021-aa05d3eecca5</vt:lpwstr>
  </property>
  <property fmtid="{D5CDD505-2E9C-101B-9397-08002B2CF9AE}" pid="8" name="MSIP_Label_2fd53d93-3f4c-4b90-b511-bd6bdbb4fba9_ContentBits">
    <vt:lpwstr>0</vt:lpwstr>
  </property>
</Properties>
</file>