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mc:AlternateContent xmlns:mc="http://schemas.openxmlformats.org/markup-compatibility/2006">
    <mc:Choice Requires="x15">
      <x15ac:absPath xmlns:x15ac="http://schemas.microsoft.com/office/spreadsheetml/2010/11/ac" url="/Users/charlotte/Downloads/"/>
    </mc:Choice>
  </mc:AlternateContent>
  <xr:revisionPtr revIDLastSave="0" documentId="13_ncr:1_{62F494FD-2F17-2047-8E78-E308CD360C79}" xr6:coauthVersionLast="36" xr6:coauthVersionMax="47" xr10:uidLastSave="{00000000-0000-0000-0000-000000000000}"/>
  <bookViews>
    <workbookView xWindow="0" yWindow="500" windowWidth="36200" windowHeight="19640" tabRatio="686" activeTab="15" xr2:uid="{00000000-000D-0000-FFFF-FFFF00000000}"/>
  </bookViews>
  <sheets>
    <sheet name="Janvier" sheetId="4" r:id="rId1"/>
    <sheet name="Février" sheetId="29" r:id="rId2"/>
    <sheet name="Mars" sheetId="30" r:id="rId3"/>
    <sheet name="Avril" sheetId="31" r:id="rId4"/>
    <sheet name="Mai" sheetId="32" r:id="rId5"/>
    <sheet name="Juin" sheetId="33" r:id="rId6"/>
    <sheet name="Juillet" sheetId="34" r:id="rId7"/>
    <sheet name="Août" sheetId="35" r:id="rId8"/>
    <sheet name="Septembre" sheetId="36" r:id="rId9"/>
    <sheet name="Octobre" sheetId="37" r:id="rId10"/>
    <sheet name="Novembre" sheetId="38" r:id="rId11"/>
    <sheet name="Décembre" sheetId="39" r:id="rId12"/>
    <sheet name="Noms des employés" sheetId="16" r:id="rId13"/>
    <sheet name="Type d'absence" sheetId="27" r:id="rId14"/>
    <sheet name="Synthèse" sheetId="40" r:id="rId15"/>
    <sheet name="Récap mensuel" sheetId="41" r:id="rId16"/>
  </sheets>
  <externalReferences>
    <externalReference r:id="rId17"/>
  </externalReferences>
  <definedNames>
    <definedName name="AnnéeCalendrier" localSheetId="7">Janvier!$AK$5</definedName>
    <definedName name="AnnéeCalendrier" localSheetId="3">Janvier!$AK$5</definedName>
    <definedName name="AnnéeCalendrier" localSheetId="11">Janvier!$AK$5</definedName>
    <definedName name="AnnéeCalendrier" localSheetId="1">Février!$AK$5</definedName>
    <definedName name="AnnéeCalendrier" localSheetId="6">Janvier!$AK$5</definedName>
    <definedName name="AnnéeCalendrier" localSheetId="5">Janvier!$AK$5</definedName>
    <definedName name="AnnéeCalendrier" localSheetId="4">Janvier!$AK$5</definedName>
    <definedName name="AnnéeCalendrier" localSheetId="2">Janvier!$AK$5</definedName>
    <definedName name="AnnéeCalendrier" localSheetId="10">Janvier!$AK$5</definedName>
    <definedName name="AnnéeCalendrier" localSheetId="9">Janvier!$AK$5</definedName>
    <definedName name="AnnéeCalendrier" localSheetId="15">[1]Janvier!$AK$5</definedName>
    <definedName name="AnnéeCalendrier" localSheetId="8">Janvier!$AK$5</definedName>
    <definedName name="AnnéeCalendrier">Janvier!$AK$5</definedName>
    <definedName name="AnnéeCalendrier01" localSheetId="15">[1]Janvier!$AK$5</definedName>
    <definedName name="AnnéeCalendrier01">Janvier!$AK$5</definedName>
    <definedName name="CléAbsenceJustifiée" localSheetId="15">[1]Janvier!$Z$3</definedName>
    <definedName name="CléAbsenceJustifiée">Janvier!$Z$3</definedName>
    <definedName name="CléCompteEpargneTemps">Janvier!$AD$3</definedName>
    <definedName name="CléCongé" localSheetId="7">Janvier!$C$3</definedName>
    <definedName name="CléCongé" localSheetId="3">Janvier!$C$3</definedName>
    <definedName name="CléCongé" localSheetId="11">Janvier!$C$3</definedName>
    <definedName name="CléCongé" localSheetId="1">Janvier!$C$3</definedName>
    <definedName name="CléCongé" localSheetId="6">Janvier!$C$3</definedName>
    <definedName name="CléCongé" localSheetId="5">Janvier!$C$3</definedName>
    <definedName name="CléCongé" localSheetId="4">Janvier!$C$3</definedName>
    <definedName name="CléCongé" localSheetId="2">Janvier!$C$3</definedName>
    <definedName name="CléCongé" localSheetId="10">Janvier!$C$3</definedName>
    <definedName name="CléCongé" localSheetId="9">Janvier!$C$3</definedName>
    <definedName name="CléCongé" localSheetId="15">[1]Janvier!$C$3</definedName>
    <definedName name="CléCongé" localSheetId="8">Janvier!$C$3</definedName>
    <definedName name="CléCongé">Janvier!$C$3</definedName>
    <definedName name="CléCongéMalade" localSheetId="15">[1]Janvier!$S$3</definedName>
    <definedName name="CléCongéMalade">Janvier!$S$3</definedName>
    <definedName name="CléCongéSpécial" localSheetId="15">[1]Janvier!$C$2</definedName>
    <definedName name="CléCongéSpécial">Janvier!$C$2</definedName>
    <definedName name="CléDemiCompteEpargneTemps">Janvier!$AD$2</definedName>
    <definedName name="CléDemiEnfantMalade" localSheetId="15">[1]Janvier!$V$2</definedName>
    <definedName name="CléDemiEnfantMalade">Janvier!$V$2</definedName>
    <definedName name="CléDemiRécupération" localSheetId="15">[1]Janvier!$I$2</definedName>
    <definedName name="CléDemiRécupération">Janvier!$I$2</definedName>
    <definedName name="CléDemiRtt" localSheetId="15">[1]Janvier!$F$2</definedName>
    <definedName name="CléDemiRtt">Janvier!$F$2</definedName>
    <definedName name="CléEnfantMalade" localSheetId="15">[1]Janvier!$V$3</definedName>
    <definedName name="CléEnfantMalade">Janvier!$V$3</definedName>
    <definedName name="CléFormation" localSheetId="15">[1]Janvier!$M$3</definedName>
    <definedName name="CléFormation">Janvier!$M$3</definedName>
    <definedName name="CléMaladie" localSheetId="7">Janvier!#REF!</definedName>
    <definedName name="CléMaladie" localSheetId="3">Janvier!#REF!</definedName>
    <definedName name="CléMaladie" localSheetId="11">Janvier!#REF!</definedName>
    <definedName name="CléMaladie" localSheetId="1">Janvier!#REF!</definedName>
    <definedName name="CléMaladie" localSheetId="6">Janvier!#REF!</definedName>
    <definedName name="CléMaladie" localSheetId="5">Janvier!#REF!</definedName>
    <definedName name="CléMaladie" localSheetId="4">Janvier!#REF!</definedName>
    <definedName name="CléMaladie" localSheetId="2">Janvier!#REF!</definedName>
    <definedName name="CléMaladie" localSheetId="10">Janvier!#REF!</definedName>
    <definedName name="CléMaladie" localSheetId="9">Janvier!#REF!</definedName>
    <definedName name="CléMaladie" localSheetId="15">[1]Janvier!$S$3</definedName>
    <definedName name="CléMaladie" localSheetId="8">Janvier!#REF!</definedName>
    <definedName name="CléMaladie">Janvier!$S$3</definedName>
    <definedName name="CléNonTravaillé" localSheetId="15">[1]Janvier!$Z$2</definedName>
    <definedName name="CléNonTravaillé">Janvier!$Z$2</definedName>
    <definedName name="CléPrésenceExceptionnelle" localSheetId="15">[1]Janvier!$P$2</definedName>
    <definedName name="CléPrésenceExceptionnelle">Janvier!$P$2</definedName>
    <definedName name="CléRécupération" localSheetId="15">[1]Janvier!$I$3</definedName>
    <definedName name="CléRécupération">Janvier!$I$3</definedName>
    <definedName name="CléRTT" localSheetId="15">[1]Janvier!$F$3</definedName>
    <definedName name="CléRTT">Janvier!$F$3</definedName>
    <definedName name="CléTélétravail" localSheetId="15">[1]Janvier!$P$3</definedName>
    <definedName name="CléTélétravail">Janvier!$P$3</definedName>
    <definedName name="Enfant_malade">Juin!$AF$3</definedName>
    <definedName name="Entrez_l’année">Janvier!$AK$5</definedName>
    <definedName name="ÉtiquetteCléAbsenceJustifiée">Janvier!$AA$3</definedName>
    <definedName name="ÉtiquetteCléCongé">Janvier!$D$3</definedName>
    <definedName name="EtiquetteCléCongéMaladie">Janvier!$T$3</definedName>
    <definedName name="ÉtiquetteCléCongéSpécial">Janvier!$D$2</definedName>
    <definedName name="EtiquetteCléDemiCompteEpargneTemps">Janvier!$AE$2</definedName>
    <definedName name="ÉtiquetteCléDemiEnfantMalade">Janvier!$W$2</definedName>
    <definedName name="ÉtiquetteCléDemiRécupération">Janvier!$J$2</definedName>
    <definedName name="ÉtiquetteCléDemiRTT">Janvier!$G$2</definedName>
    <definedName name="ÉtiquetteCléEnfantMalade">Janvier!$W$3</definedName>
    <definedName name="EtiquetteCléEpargneTemps">Janvier!$AE$3</definedName>
    <definedName name="ÉtiquetteCléFormation">Janvier!$N$3</definedName>
    <definedName name="ÉtiquetteCléNontravaillé">Janvier!$AA$2</definedName>
    <definedName name="ÉtiquetteCléPrésenceExceptionnelle">Janvier!$Q$2</definedName>
    <definedName name="ÉtiquetteCléRécupération">Janvier!$J$3</definedName>
    <definedName name="ÉtiquetteCléRTT">Janvier!$G$3</definedName>
    <definedName name="EtiquetteCléTélétravail">Janvier!$Q$3</definedName>
    <definedName name="_xlnm.Print_Titles" localSheetId="7">Août!$5:$7</definedName>
    <definedName name="_xlnm.Print_Titles" localSheetId="3">Avril!$5:$7</definedName>
    <definedName name="_xlnm.Print_Titles" localSheetId="11">Décembre!$5:$7</definedName>
    <definedName name="_xlnm.Print_Titles" localSheetId="1">Février!$5:$7</definedName>
    <definedName name="_xlnm.Print_Titles" localSheetId="0">Janvier!$5:$7</definedName>
    <definedName name="_xlnm.Print_Titles" localSheetId="6">Juillet!$5:$7</definedName>
    <definedName name="_xlnm.Print_Titles" localSheetId="5">Juin!$5:$7</definedName>
    <definedName name="_xlnm.Print_Titles" localSheetId="4">Mai!$5:$7</definedName>
    <definedName name="_xlnm.Print_Titles" localSheetId="2">Mars!$5:$7</definedName>
    <definedName name="_xlnm.Print_Titles" localSheetId="10">Novembre!$5:$7</definedName>
    <definedName name="_xlnm.Print_Titles" localSheetId="9">Octobre!$5:$7</definedName>
    <definedName name="_xlnm.Print_Titles" localSheetId="8">Septembre!$5:$7</definedName>
    <definedName name="Nom_clé">Janvier!$B$3</definedName>
    <definedName name="NomMois" localSheetId="7">Août!$B$5</definedName>
    <definedName name="NomMois" localSheetId="3">Avril!$B$5</definedName>
    <definedName name="NomMois" localSheetId="11">Décembre!$B$5</definedName>
    <definedName name="NomMois" localSheetId="1">Février!$B$5</definedName>
    <definedName name="NomMois" localSheetId="0">Janvier!$B$5</definedName>
    <definedName name="NomMois" localSheetId="6">Juillet!$B$5</definedName>
    <definedName name="NomMois" localSheetId="5">Juin!$B$5</definedName>
    <definedName name="NomMois" localSheetId="4">Mai!$B$5</definedName>
    <definedName name="NomMois" localSheetId="2">Mars!$B$5</definedName>
    <definedName name="NomMois" localSheetId="10">Novembre!$B$5</definedName>
    <definedName name="NomMois" localSheetId="9">Octobre!$B$5</definedName>
    <definedName name="NomMois" localSheetId="8">Septembre!$B$5</definedName>
    <definedName name="Segment_Motif">#N/A</definedName>
    <definedName name="Titre_Absence_Employé" localSheetId="7">Janvier!$B$1</definedName>
    <definedName name="Titre_Absence_Employé" localSheetId="3">Janvier!$B$1</definedName>
    <definedName name="Titre_Absence_Employé" localSheetId="11">Janvier!$B$1</definedName>
    <definedName name="Titre_Absence_Employé" localSheetId="1">Janvier!$B$1</definedName>
    <definedName name="Titre_Absence_Employé" localSheetId="6">Janvier!$B$1</definedName>
    <definedName name="Titre_Absence_Employé" localSheetId="5">Janvier!$B$1</definedName>
    <definedName name="Titre_Absence_Employé" localSheetId="4">Janvier!$B$1</definedName>
    <definedName name="Titre_Absence_Employé" localSheetId="2">Janvier!$B$1</definedName>
    <definedName name="Titre_Absence_Employé" localSheetId="10">Janvier!$B$1</definedName>
    <definedName name="Titre_Absence_Employé" localSheetId="9">Janvier!$B$1</definedName>
    <definedName name="Titre_Absence_Employé" localSheetId="8">Janvier!$B$1</definedName>
    <definedName name="Titre_Absence_Employé">Janvier!$B$1</definedName>
    <definedName name="Titre1" localSheetId="7">Janvier[[#Headers],[Nom de l’employé]]</definedName>
    <definedName name="Titre1" localSheetId="3">Janvier[[#Headers],[Nom de l’employé]]</definedName>
    <definedName name="Titre1" localSheetId="11">Janvier[[#Headers],[Nom de l’employé]]</definedName>
    <definedName name="Titre1" localSheetId="1">Janvier[[#Headers],[Nom de l’employé]]</definedName>
    <definedName name="Titre1" localSheetId="6">Janvier[[#Headers],[Nom de l’employé]]</definedName>
    <definedName name="Titre1" localSheetId="5">Janvier[[#Headers],[Nom de l’employé]]</definedName>
    <definedName name="Titre1" localSheetId="4">Janvier[[#Headers],[Nom de l’employé]]</definedName>
    <definedName name="Titre1" localSheetId="2">Janvier[[#Headers],[Nom de l’employé]]</definedName>
    <definedName name="Titre1" localSheetId="10">Janvier[[#Headers],[Nom de l’employé]]</definedName>
    <definedName name="Titre1" localSheetId="9">Janvier[[#Headers],[Nom de l’employé]]</definedName>
    <definedName name="Titre1" localSheetId="15">[1]!Janvier[[#Headers],[Nom de l’employé]]</definedName>
    <definedName name="Titre1" localSheetId="8">Janvier[[#Headers],[Nom de l’employé]]</definedName>
    <definedName name="Titre1">Janvier[[#Headers],[Nom de l’employé]]</definedName>
    <definedName name="Titre10" localSheetId="7">Octobre[[#Headers],[Nom de l’employé]]</definedName>
    <definedName name="Titre10" localSheetId="3">Octobre[[#Headers],[Nom de l’employé]]</definedName>
    <definedName name="Titre10" localSheetId="11">Octobre[[#Headers],[Nom de l’employé]]</definedName>
    <definedName name="Titre10" localSheetId="1">Octobre[[#Headers],[Nom de l’employé]]</definedName>
    <definedName name="Titre10" localSheetId="6">Octobre[[#Headers],[Nom de l’employé]]</definedName>
    <definedName name="Titre10" localSheetId="5">Octobre[[#Headers],[Nom de l’employé]]</definedName>
    <definedName name="Titre10" localSheetId="4">Octobre[[#Headers],[Nom de l’employé]]</definedName>
    <definedName name="Titre10" localSheetId="2">Octobre[[#Headers],[Nom de l’employé]]</definedName>
    <definedName name="Titre10" localSheetId="10">Octobre[[#Headers],[Nom de l’employé]]</definedName>
    <definedName name="Titre10" localSheetId="9">Octobre[[#Headers],[Nom de l’employé]]</definedName>
    <definedName name="Titre10" localSheetId="15">#REF!</definedName>
    <definedName name="Titre10" localSheetId="8">Octobre[[#Headers],[Nom de l’employé]]</definedName>
    <definedName name="Titre10">#REF!</definedName>
    <definedName name="Titre11" localSheetId="7">Novembre[[#Headers],[Nom de l’employé]]</definedName>
    <definedName name="Titre11" localSheetId="3">Novembre[[#Headers],[Nom de l’employé]]</definedName>
    <definedName name="Titre11" localSheetId="11">Novembre[[#Headers],[Nom de l’employé]]</definedName>
    <definedName name="Titre11" localSheetId="1">Novembre[[#Headers],[Nom de l’employé]]</definedName>
    <definedName name="Titre11" localSheetId="6">Novembre[[#Headers],[Nom de l’employé]]</definedName>
    <definedName name="Titre11" localSheetId="5">Novembre[[#Headers],[Nom de l’employé]]</definedName>
    <definedName name="Titre11" localSheetId="4">Novembre[[#Headers],[Nom de l’employé]]</definedName>
    <definedName name="Titre11" localSheetId="2">Novembre[[#Headers],[Nom de l’employé]]</definedName>
    <definedName name="Titre11" localSheetId="10">Novembre[[#Headers],[Nom de l’employé]]</definedName>
    <definedName name="Titre11" localSheetId="9">Novembre[[#Headers],[Nom de l’employé]]</definedName>
    <definedName name="Titre11" localSheetId="15">#REF!</definedName>
    <definedName name="Titre11" localSheetId="8">Novembre[[#Headers],[Nom de l’employé]]</definedName>
    <definedName name="Titre11">#REF!</definedName>
    <definedName name="Titre12" localSheetId="7">Décembre[[#Headers],[Nom de l’employé]]</definedName>
    <definedName name="Titre12" localSheetId="3">Décembre[[#Headers],[Nom de l’employé]]</definedName>
    <definedName name="Titre12" localSheetId="11">Décembre[[#Headers],[Nom de l’employé]]</definedName>
    <definedName name="Titre12" localSheetId="1">Décembre[[#Headers],[Nom de l’employé]]</definedName>
    <definedName name="Titre12" localSheetId="6">Décembre[[#Headers],[Nom de l’employé]]</definedName>
    <definedName name="Titre12" localSheetId="5">Décembre[[#Headers],[Nom de l’employé]]</definedName>
    <definedName name="Titre12" localSheetId="4">Décembre[[#Headers],[Nom de l’employé]]</definedName>
    <definedName name="Titre12" localSheetId="2">Décembre[[#Headers],[Nom de l’employé]]</definedName>
    <definedName name="Titre12" localSheetId="10">Décembre[[#Headers],[Nom de l’employé]]</definedName>
    <definedName name="Titre12" localSheetId="9">Décembre[[#Headers],[Nom de l’employé]]</definedName>
    <definedName name="Titre12" localSheetId="15">#REF!</definedName>
    <definedName name="Titre12" localSheetId="8">Décembre[[#Headers],[Nom de l’employé]]</definedName>
    <definedName name="Titre12">#REF!</definedName>
    <definedName name="Titre2" localSheetId="7">Février[[#Headers],[Nom de l’employé]]</definedName>
    <definedName name="Titre2" localSheetId="3">Février[[#Headers],[Nom de l’employé]]</definedName>
    <definedName name="Titre2" localSheetId="11">Février[[#Headers],[Nom de l’employé]]</definedName>
    <definedName name="Titre2" localSheetId="1">Février[[#Headers],[Nom de l’employé]]</definedName>
    <definedName name="Titre2" localSheetId="6">Février[[#Headers],[Nom de l’employé]]</definedName>
    <definedName name="Titre2" localSheetId="5">Février[[#Headers],[Nom de l’employé]]</definedName>
    <definedName name="Titre2" localSheetId="4">Février[[#Headers],[Nom de l’employé]]</definedName>
    <definedName name="Titre2" localSheetId="2">Février[[#Headers],[Nom de l’employé]]</definedName>
    <definedName name="Titre2" localSheetId="10">Février[[#Headers],[Nom de l’employé]]</definedName>
    <definedName name="Titre2" localSheetId="9">Février[[#Headers],[Nom de l’employé]]</definedName>
    <definedName name="Titre2" localSheetId="15">#REF!</definedName>
    <definedName name="Titre2" localSheetId="8">Février[[#Headers],[Nom de l’employé]]</definedName>
    <definedName name="Titre2">#REF!</definedName>
    <definedName name="Titre3" localSheetId="7">Mars[[#Headers],[Nom de l’employé]]</definedName>
    <definedName name="Titre3" localSheetId="3">Mars[[#Headers],[Nom de l’employé]]</definedName>
    <definedName name="Titre3" localSheetId="11">Mars[[#Headers],[Nom de l’employé]]</definedName>
    <definedName name="Titre3" localSheetId="1">Mars[[#Headers],[Nom de l’employé]]</definedName>
    <definedName name="Titre3" localSheetId="6">Mars[[#Headers],[Nom de l’employé]]</definedName>
    <definedName name="Titre3" localSheetId="5">Mars[[#Headers],[Nom de l’employé]]</definedName>
    <definedName name="Titre3" localSheetId="4">Mars[[#Headers],[Nom de l’employé]]</definedName>
    <definedName name="Titre3" localSheetId="2">Mars[[#Headers],[Nom de l’employé]]</definedName>
    <definedName name="Titre3" localSheetId="10">Mars[[#Headers],[Nom de l’employé]]</definedName>
    <definedName name="Titre3" localSheetId="9">Mars[[#Headers],[Nom de l’employé]]</definedName>
    <definedName name="Titre3" localSheetId="15">#REF!</definedName>
    <definedName name="Titre3" localSheetId="8">Mars[[#Headers],[Nom de l’employé]]</definedName>
    <definedName name="Titre3">#REF!</definedName>
    <definedName name="Titre4" localSheetId="7">Avril[[#Headers],[Nom de l’employé]]</definedName>
    <definedName name="Titre4" localSheetId="3">Avril[[#Headers],[Nom de l’employé]]</definedName>
    <definedName name="Titre4" localSheetId="11">Avril[[#Headers],[Nom de l’employé]]</definedName>
    <definedName name="Titre4" localSheetId="1">Avril[[#Headers],[Nom de l’employé]]</definedName>
    <definedName name="Titre4" localSheetId="6">Avril[[#Headers],[Nom de l’employé]]</definedName>
    <definedName name="Titre4" localSheetId="5">Avril[[#Headers],[Nom de l’employé]]</definedName>
    <definedName name="Titre4" localSheetId="4">Avril[[#Headers],[Nom de l’employé]]</definedName>
    <definedName name="Titre4" localSheetId="2">Avril[[#Headers],[Nom de l’employé]]</definedName>
    <definedName name="Titre4" localSheetId="10">Avril[[#Headers],[Nom de l’employé]]</definedName>
    <definedName name="Titre4" localSheetId="9">Avril[[#Headers],[Nom de l’employé]]</definedName>
    <definedName name="Titre4" localSheetId="15">#REF!</definedName>
    <definedName name="Titre4" localSheetId="8">Avril[[#Headers],[Nom de l’employé]]</definedName>
    <definedName name="Titre4">#REF!</definedName>
    <definedName name="Titre5" localSheetId="7">Mai[[#Headers],[Nom de l’employé]]</definedName>
    <definedName name="Titre5" localSheetId="3">Mai[[#Headers],[Nom de l’employé]]</definedName>
    <definedName name="Titre5" localSheetId="11">Mai[[#Headers],[Nom de l’employé]]</definedName>
    <definedName name="Titre5" localSheetId="1">Mai[[#Headers],[Nom de l’employé]]</definedName>
    <definedName name="Titre5" localSheetId="6">Mai[[#Headers],[Nom de l’employé]]</definedName>
    <definedName name="Titre5" localSheetId="5">Mai[[#Headers],[Nom de l’employé]]</definedName>
    <definedName name="Titre5" localSheetId="4">Mai[[#Headers],[Nom de l’employé]]</definedName>
    <definedName name="Titre5" localSheetId="2">Mai[[#Headers],[Nom de l’employé]]</definedName>
    <definedName name="Titre5" localSheetId="10">Mai[[#Headers],[Nom de l’employé]]</definedName>
    <definedName name="Titre5" localSheetId="9">Mai[[#Headers],[Nom de l’employé]]</definedName>
    <definedName name="Titre5" localSheetId="15">#REF!</definedName>
    <definedName name="Titre5" localSheetId="8">Mai[[#Headers],[Nom de l’employé]]</definedName>
    <definedName name="Titre5">#REF!</definedName>
    <definedName name="Titre6" localSheetId="7">Juin[[#Headers],[Nom de l’employé]]</definedName>
    <definedName name="Titre6" localSheetId="3">Juin[[#Headers],[Nom de l’employé]]</definedName>
    <definedName name="Titre6" localSheetId="11">Juin[[#Headers],[Nom de l’employé]]</definedName>
    <definedName name="Titre6" localSheetId="1">Juin[[#Headers],[Nom de l’employé]]</definedName>
    <definedName name="Titre6" localSheetId="6">Juin[[#Headers],[Nom de l’employé]]</definedName>
    <definedName name="Titre6" localSheetId="5">Juin[[#Headers],[Nom de l’employé]]</definedName>
    <definedName name="Titre6" localSheetId="4">Juin[[#Headers],[Nom de l’employé]]</definedName>
    <definedName name="Titre6" localSheetId="2">Juin[[#Headers],[Nom de l’employé]]</definedName>
    <definedName name="Titre6" localSheetId="10">Juin[[#Headers],[Nom de l’employé]]</definedName>
    <definedName name="Titre6" localSheetId="9">Juin[[#Headers],[Nom de l’employé]]</definedName>
    <definedName name="Titre6" localSheetId="15">#REF!</definedName>
    <definedName name="Titre6" localSheetId="8">Juin[[#Headers],[Nom de l’employé]]</definedName>
    <definedName name="Titre6">#REF!</definedName>
    <definedName name="Titre7" localSheetId="7">Juillet[[#Headers],[Nom de l’employé]]</definedName>
    <definedName name="Titre7" localSheetId="3">Juillet[[#Headers],[Nom de l’employé]]</definedName>
    <definedName name="Titre7" localSheetId="11">Juillet[[#Headers],[Nom de l’employé]]</definedName>
    <definedName name="Titre7" localSheetId="1">Juillet[[#Headers],[Nom de l’employé]]</definedName>
    <definedName name="Titre7" localSheetId="6">Juillet[[#Headers],[Nom de l’employé]]</definedName>
    <definedName name="Titre7" localSheetId="5">Juillet[[#Headers],[Nom de l’employé]]</definedName>
    <definedName name="Titre7" localSheetId="4">Juillet[[#Headers],[Nom de l’employé]]</definedName>
    <definedName name="Titre7" localSheetId="2">Juillet[[#Headers],[Nom de l’employé]]</definedName>
    <definedName name="Titre7" localSheetId="10">Juillet[[#Headers],[Nom de l’employé]]</definedName>
    <definedName name="Titre7" localSheetId="9">Juillet[[#Headers],[Nom de l’employé]]</definedName>
    <definedName name="Titre7" localSheetId="8">Juillet[[#Headers],[Nom de l’employé]]</definedName>
    <definedName name="Titre7">#REF!</definedName>
    <definedName name="Titre8" localSheetId="7">Août[[#Headers],[Nom de l’employé]]</definedName>
    <definedName name="Titre8" localSheetId="3">Août[[#Headers],[Nom de l’employé]]</definedName>
    <definedName name="Titre8" localSheetId="11">Août[[#Headers],[Nom de l’employé]]</definedName>
    <definedName name="Titre8" localSheetId="1">Août[[#Headers],[Nom de l’employé]]</definedName>
    <definedName name="Titre8" localSheetId="6">Août[[#Headers],[Nom de l’employé]]</definedName>
    <definedName name="Titre8" localSheetId="5">Août[[#Headers],[Nom de l’employé]]</definedName>
    <definedName name="Titre8" localSheetId="4">Août[[#Headers],[Nom de l’employé]]</definedName>
    <definedName name="Titre8" localSheetId="2">Août[[#Headers],[Nom de l’employé]]</definedName>
    <definedName name="Titre8" localSheetId="10">Août[[#Headers],[Nom de l’employé]]</definedName>
    <definedName name="Titre8" localSheetId="9">Août[[#Headers],[Nom de l’employé]]</definedName>
    <definedName name="Titre8" localSheetId="15">#REF!</definedName>
    <definedName name="Titre8" localSheetId="8">Août[[#Headers],[Nom de l’employé]]</definedName>
    <definedName name="Titre8">#REF!</definedName>
    <definedName name="Titre9" localSheetId="7">Septembre[[#Headers],[Nom de l’employé]]</definedName>
    <definedName name="Titre9" localSheetId="3">Septembre[[#Headers],[Nom de l’employé]]</definedName>
    <definedName name="Titre9" localSheetId="11">Septembre[[#Headers],[Nom de l’employé]]</definedName>
    <definedName name="Titre9" localSheetId="1">Septembre[[#Headers],[Nom de l’employé]]</definedName>
    <definedName name="Titre9" localSheetId="6">Septembre[[#Headers],[Nom de l’employé]]</definedName>
    <definedName name="Titre9" localSheetId="5">Septembre[[#Headers],[Nom de l’employé]]</definedName>
    <definedName name="Titre9" localSheetId="4">Septembre[[#Headers],[Nom de l’employé]]</definedName>
    <definedName name="Titre9" localSheetId="2">Septembre[[#Headers],[Nom de l’employé]]</definedName>
    <definedName name="Titre9" localSheetId="10">Septembre[[#Headers],[Nom de l’employé]]</definedName>
    <definedName name="Titre9" localSheetId="9">Septembre[[#Headers],[Nom de l’employé]]</definedName>
    <definedName name="Titre9" localSheetId="15">#REF!</definedName>
    <definedName name="Titre9" localSheetId="8">Septembre[[#Headers],[Nom de l’employé]]</definedName>
    <definedName name="Titre9">#REF!</definedName>
    <definedName name="TitreColonne13" localSheetId="7">T_Employés[[#Headers],[Noms des employés]]</definedName>
    <definedName name="TitreColonne13" localSheetId="3">T_Employés[[#Headers],[Noms des employés]]</definedName>
    <definedName name="TitreColonne13" localSheetId="11">T_Employés[[#Headers],[Noms des employés]]</definedName>
    <definedName name="TitreColonne13" localSheetId="1">T_Employés[[#Headers],[Noms des employés]]</definedName>
    <definedName name="TitreColonne13" localSheetId="6">T_Employés[[#Headers],[Noms des employés]]</definedName>
    <definedName name="TitreColonne13" localSheetId="5">T_Employés[[#Headers],[Noms des employés]]</definedName>
    <definedName name="TitreColonne13" localSheetId="4">T_Employés[[#Headers],[Noms des employés]]</definedName>
    <definedName name="TitreColonne13" localSheetId="2">T_Employés[[#Headers],[Noms des employés]]</definedName>
    <definedName name="TitreColonne13" localSheetId="10">T_Employés[[#Headers],[Noms des employés]]</definedName>
    <definedName name="TitreColonne13" localSheetId="9">T_Employés[[#Headers],[Noms des employés]]</definedName>
    <definedName name="TitreColonne13" localSheetId="15">[1]!NomEmployé[[#Headers],[Noms des employés]]</definedName>
    <definedName name="TitreColonne13" localSheetId="8">T_Employés[[#Headers],[Noms des employés]]</definedName>
    <definedName name="TitreColonne13">T_Employés[[#Headers],[Noms des employés]]</definedName>
  </definedNames>
  <calcPr calcId="181029" concurrentCalc="0"/>
  <pivotCaches>
    <pivotCache cacheId="1" r:id="rId18"/>
  </pivotCaches>
  <extLst>
    <ext xmlns:x14="http://schemas.microsoft.com/office/spreadsheetml/2009/9/main" uri="{BBE1A952-AA13-448e-AADC-164F8A28A991}">
      <x14:slicerCaches>
        <x14:slicerCache r:id="rId19"/>
      </x14:slicerCaches>
    </ext>
    <ext xmlns:x14="http://schemas.microsoft.com/office/spreadsheetml/2009/9/main" uri="{79F54976-1DA5-4618-B147-4CDE4B953A38}">
      <x14:workbookPr/>
    </ext>
  </extLst>
</workbook>
</file>

<file path=xl/calcChain.xml><?xml version="1.0" encoding="utf-8"?>
<calcChain xmlns="http://schemas.openxmlformats.org/spreadsheetml/2006/main">
  <c r="B1" i="39" l="1"/>
  <c r="B1" i="38"/>
  <c r="B1" i="37"/>
  <c r="B1" i="36"/>
  <c r="B1" i="35"/>
  <c r="B1" i="34"/>
  <c r="B1" i="33"/>
  <c r="B1" i="32"/>
  <c r="B1" i="31"/>
  <c r="B22" i="37"/>
  <c r="C22" i="37"/>
  <c r="D22" i="37"/>
  <c r="E22" i="37"/>
  <c r="F22" i="37"/>
  <c r="G22" i="37"/>
  <c r="H22" i="37"/>
  <c r="I22" i="37"/>
  <c r="J22" i="37"/>
  <c r="K22" i="37"/>
  <c r="L22" i="37"/>
  <c r="M22" i="37"/>
  <c r="N22" i="37"/>
  <c r="O22" i="37"/>
  <c r="P22" i="37"/>
  <c r="Q22" i="37"/>
  <c r="R22" i="37"/>
  <c r="S22" i="37"/>
  <c r="T22" i="37"/>
  <c r="U22" i="37"/>
  <c r="V22" i="37"/>
  <c r="W22" i="37"/>
  <c r="X22" i="37"/>
  <c r="Y22" i="37"/>
  <c r="Z22" i="37"/>
  <c r="AA22" i="37"/>
  <c r="AB22" i="37"/>
  <c r="AC22" i="37"/>
  <c r="AD22" i="37"/>
  <c r="AE22" i="37"/>
  <c r="AF22" i="37"/>
  <c r="AG22" i="37"/>
  <c r="AH8" i="37"/>
  <c r="AH9" i="37"/>
  <c r="AH22" i="37"/>
  <c r="AH10" i="37"/>
  <c r="AH11" i="37"/>
  <c r="AH12" i="37"/>
  <c r="AH13" i="37"/>
  <c r="AH14" i="37"/>
  <c r="AH15" i="37"/>
  <c r="AH16" i="37"/>
  <c r="AH17" i="37"/>
  <c r="AH18" i="37"/>
  <c r="AH19" i="37"/>
  <c r="AH20" i="37"/>
  <c r="AH21" i="37"/>
  <c r="AI8" i="37"/>
  <c r="AI9" i="37"/>
  <c r="AI10" i="37"/>
  <c r="AI22" i="37"/>
  <c r="AI11" i="37"/>
  <c r="AI12" i="37"/>
  <c r="AI13" i="37"/>
  <c r="AI14" i="37"/>
  <c r="AI15" i="37"/>
  <c r="AI16" i="37"/>
  <c r="AI17" i="37"/>
  <c r="AI18" i="37"/>
  <c r="AI19" i="37"/>
  <c r="AI20" i="37"/>
  <c r="AI21" i="37"/>
  <c r="AJ8" i="37"/>
  <c r="AJ22" i="37"/>
  <c r="AJ9" i="37"/>
  <c r="AJ10" i="37"/>
  <c r="AJ11" i="37"/>
  <c r="AJ12" i="37"/>
  <c r="AJ13" i="37"/>
  <c r="AJ14" i="37"/>
  <c r="AJ15" i="37"/>
  <c r="AJ16" i="37"/>
  <c r="AJ17" i="37"/>
  <c r="AJ18" i="37"/>
  <c r="AJ19" i="37"/>
  <c r="AJ20" i="37"/>
  <c r="AJ21" i="37"/>
  <c r="AJ21" i="39"/>
  <c r="AJ20" i="39"/>
  <c r="AJ19" i="39"/>
  <c r="AJ21" i="38"/>
  <c r="AJ20" i="38"/>
  <c r="AJ19" i="38"/>
  <c r="AH19" i="39"/>
  <c r="AH20" i="39"/>
  <c r="AH21" i="39"/>
  <c r="AI19" i="39"/>
  <c r="AI20" i="39"/>
  <c r="AI21" i="39"/>
  <c r="C22" i="39"/>
  <c r="D22" i="39"/>
  <c r="E22" i="39"/>
  <c r="F22" i="39"/>
  <c r="G22" i="39"/>
  <c r="H22" i="39"/>
  <c r="I22" i="39"/>
  <c r="J22" i="39"/>
  <c r="K22" i="39"/>
  <c r="L22" i="39"/>
  <c r="M22" i="39"/>
  <c r="N22" i="39"/>
  <c r="O22" i="39"/>
  <c r="P22" i="39"/>
  <c r="Q22" i="39"/>
  <c r="R22" i="39"/>
  <c r="S22" i="39"/>
  <c r="T22" i="39"/>
  <c r="U22" i="39"/>
  <c r="V22" i="39"/>
  <c r="W22" i="39"/>
  <c r="X22" i="39"/>
  <c r="Y22" i="39"/>
  <c r="Z22" i="39"/>
  <c r="AA22" i="39"/>
  <c r="AB22" i="39"/>
  <c r="AC22" i="39"/>
  <c r="AD22" i="39"/>
  <c r="AE22" i="39"/>
  <c r="AF22" i="39"/>
  <c r="AG22" i="39"/>
  <c r="AH19" i="38"/>
  <c r="AH20" i="38"/>
  <c r="AH21" i="38"/>
  <c r="AI19" i="38"/>
  <c r="AI20" i="38"/>
  <c r="AI21" i="38"/>
  <c r="C22" i="38"/>
  <c r="D22" i="38"/>
  <c r="E22" i="38"/>
  <c r="F22" i="38"/>
  <c r="G22" i="38"/>
  <c r="H22" i="38"/>
  <c r="I22" i="38"/>
  <c r="J22" i="38"/>
  <c r="K22" i="38"/>
  <c r="L22" i="38"/>
  <c r="M22" i="38"/>
  <c r="N22" i="38"/>
  <c r="O22" i="38"/>
  <c r="P22" i="38"/>
  <c r="Q22" i="38"/>
  <c r="R22" i="38"/>
  <c r="S22" i="38"/>
  <c r="T22" i="38"/>
  <c r="U22" i="38"/>
  <c r="V22" i="38"/>
  <c r="W22" i="38"/>
  <c r="X22" i="38"/>
  <c r="Y22" i="38"/>
  <c r="Z22" i="38"/>
  <c r="AA22" i="38"/>
  <c r="AB22" i="38"/>
  <c r="AC22" i="38"/>
  <c r="AD22" i="38"/>
  <c r="AE22" i="38"/>
  <c r="AF22" i="38"/>
  <c r="AG22" i="38"/>
  <c r="AK5" i="29"/>
  <c r="N6" i="29"/>
  <c r="AK5" i="33"/>
  <c r="AK5" i="34"/>
  <c r="AK5" i="35"/>
  <c r="AK5" i="36"/>
  <c r="AK5" i="37"/>
  <c r="AK5" i="38"/>
  <c r="AK5" i="39"/>
  <c r="AK5" i="30"/>
  <c r="AK5" i="32"/>
  <c r="AK5" i="31"/>
  <c r="C19" i="29"/>
  <c r="D19" i="29"/>
  <c r="E19" i="29"/>
  <c r="F19" i="29"/>
  <c r="G19" i="29"/>
  <c r="H19" i="29"/>
  <c r="I19" i="29"/>
  <c r="J19" i="29"/>
  <c r="K19" i="29"/>
  <c r="L19" i="29"/>
  <c r="M19" i="29"/>
  <c r="N19" i="29"/>
  <c r="O19" i="29"/>
  <c r="P19" i="29"/>
  <c r="Q19" i="29"/>
  <c r="R19" i="29"/>
  <c r="S19" i="29"/>
  <c r="T19" i="29"/>
  <c r="U19" i="29"/>
  <c r="V19" i="29"/>
  <c r="W19" i="29"/>
  <c r="X19" i="29"/>
  <c r="Y19" i="29"/>
  <c r="Z19" i="29"/>
  <c r="AA19" i="29"/>
  <c r="AB19" i="29"/>
  <c r="AC19" i="29"/>
  <c r="AD19" i="29"/>
  <c r="AE19" i="29"/>
  <c r="AF19" i="29"/>
  <c r="AG19" i="29"/>
  <c r="C19" i="4"/>
  <c r="D19" i="4"/>
  <c r="E19" i="4"/>
  <c r="F19" i="4"/>
  <c r="G19" i="4"/>
  <c r="H19" i="4"/>
  <c r="I19" i="4"/>
  <c r="J19" i="4"/>
  <c r="K19" i="4"/>
  <c r="L19" i="4"/>
  <c r="M19" i="4"/>
  <c r="N19" i="4"/>
  <c r="O19" i="4"/>
  <c r="P19" i="4"/>
  <c r="Q19" i="4"/>
  <c r="R19" i="4"/>
  <c r="S19" i="4"/>
  <c r="T19" i="4"/>
  <c r="U19" i="4"/>
  <c r="V19" i="4"/>
  <c r="W19" i="4"/>
  <c r="X19" i="4"/>
  <c r="Y19" i="4"/>
  <c r="Z19" i="4"/>
  <c r="AA19" i="4"/>
  <c r="AB19" i="4"/>
  <c r="AC19" i="4"/>
  <c r="AD19" i="4"/>
  <c r="AE19" i="4"/>
  <c r="AF19" i="4"/>
  <c r="AG19" i="4"/>
  <c r="C19" i="33"/>
  <c r="D19" i="33"/>
  <c r="E19" i="33"/>
  <c r="F19" i="33"/>
  <c r="G19" i="33"/>
  <c r="H19" i="33"/>
  <c r="I19" i="33"/>
  <c r="J19" i="33"/>
  <c r="K19" i="33"/>
  <c r="L19" i="33"/>
  <c r="M19" i="33"/>
  <c r="N19" i="33"/>
  <c r="O19" i="33"/>
  <c r="P19" i="33"/>
  <c r="Q19" i="33"/>
  <c r="R19" i="33"/>
  <c r="S19" i="33"/>
  <c r="T19" i="33"/>
  <c r="U19" i="33"/>
  <c r="V19" i="33"/>
  <c r="W19" i="33"/>
  <c r="X19" i="33"/>
  <c r="Y19" i="33"/>
  <c r="Z19" i="33"/>
  <c r="AA19" i="33"/>
  <c r="AB19" i="33"/>
  <c r="AC19" i="33"/>
  <c r="AD19" i="33"/>
  <c r="AE19" i="33"/>
  <c r="AF19" i="33"/>
  <c r="AG19" i="33"/>
  <c r="C19" i="35"/>
  <c r="D19" i="35"/>
  <c r="E19" i="35"/>
  <c r="F19" i="35"/>
  <c r="G19" i="35"/>
  <c r="H19" i="35"/>
  <c r="I19" i="35"/>
  <c r="J19" i="35"/>
  <c r="K19" i="35"/>
  <c r="L19" i="35"/>
  <c r="M19" i="35"/>
  <c r="N19" i="35"/>
  <c r="O19" i="35"/>
  <c r="P19" i="35"/>
  <c r="Q19" i="35"/>
  <c r="R19" i="35"/>
  <c r="S19" i="35"/>
  <c r="T19" i="35"/>
  <c r="U19" i="35"/>
  <c r="V19" i="35"/>
  <c r="W19" i="35"/>
  <c r="X19" i="35"/>
  <c r="Y19" i="35"/>
  <c r="Z19" i="35"/>
  <c r="AA19" i="35"/>
  <c r="AB19" i="35"/>
  <c r="AC19" i="35"/>
  <c r="AD19" i="35"/>
  <c r="AE19" i="35"/>
  <c r="AF19" i="35"/>
  <c r="AG19" i="35"/>
  <c r="AI9" i="29"/>
  <c r="AI9" i="4"/>
  <c r="AK9" i="4"/>
  <c r="AK9" i="29"/>
  <c r="AK9" i="30"/>
  <c r="AK9" i="31"/>
  <c r="AK9" i="32"/>
  <c r="AK9" i="33"/>
  <c r="AK9" i="34"/>
  <c r="AK9" i="35"/>
  <c r="AK9" i="36"/>
  <c r="AK9" i="37"/>
  <c r="AK9" i="38"/>
  <c r="AK9" i="39"/>
  <c r="AI9" i="30"/>
  <c r="AI9" i="31"/>
  <c r="AI9" i="32"/>
  <c r="AI9" i="33"/>
  <c r="AI9" i="34"/>
  <c r="AI9" i="35"/>
  <c r="AI19" i="35"/>
  <c r="AI10" i="29"/>
  <c r="AI10" i="4"/>
  <c r="AK10" i="4"/>
  <c r="AK10" i="29"/>
  <c r="AK10" i="30"/>
  <c r="AK10" i="31"/>
  <c r="AK10" i="32"/>
  <c r="AK10" i="33"/>
  <c r="AK10" i="34"/>
  <c r="AK10" i="35"/>
  <c r="AK10" i="36"/>
  <c r="AK10" i="37"/>
  <c r="AK10" i="38"/>
  <c r="AK10" i="39"/>
  <c r="AI10" i="30"/>
  <c r="AI10" i="31"/>
  <c r="AI19" i="31"/>
  <c r="AI10" i="32"/>
  <c r="AI10" i="33"/>
  <c r="AI10" i="34"/>
  <c r="AI10" i="35"/>
  <c r="AI13" i="29"/>
  <c r="AI13" i="4"/>
  <c r="AI19" i="4"/>
  <c r="AK13" i="4"/>
  <c r="AK13" i="29"/>
  <c r="AK13" i="30"/>
  <c r="AK13" i="31"/>
  <c r="AK13" i="32"/>
  <c r="AK13" i="33"/>
  <c r="AK13" i="34"/>
  <c r="AK13" i="35"/>
  <c r="AK13" i="36"/>
  <c r="AK13" i="37"/>
  <c r="AK13" i="38"/>
  <c r="AK13" i="39"/>
  <c r="AI13" i="30"/>
  <c r="AI13" i="31"/>
  <c r="AI13" i="32"/>
  <c r="AI13" i="33"/>
  <c r="AI13" i="34"/>
  <c r="AI13" i="35"/>
  <c r="AI14" i="29"/>
  <c r="AI14" i="4"/>
  <c r="AK14" i="4"/>
  <c r="AK14" i="29"/>
  <c r="AK14" i="30"/>
  <c r="AK14" i="31"/>
  <c r="AK14" i="32"/>
  <c r="AK14" i="33"/>
  <c r="AK14" i="34"/>
  <c r="AK14" i="35"/>
  <c r="AK14" i="36"/>
  <c r="AK14" i="37"/>
  <c r="AK14" i="38"/>
  <c r="AK14" i="39"/>
  <c r="AI14" i="30"/>
  <c r="AI14" i="31"/>
  <c r="AI14" i="32"/>
  <c r="AI14" i="33"/>
  <c r="AI14" i="34"/>
  <c r="AI14" i="35"/>
  <c r="AI15" i="29"/>
  <c r="AI15" i="4"/>
  <c r="AK15" i="4"/>
  <c r="AK15" i="29"/>
  <c r="AK15" i="30"/>
  <c r="AK15" i="31"/>
  <c r="AK15" i="32"/>
  <c r="AK15" i="33"/>
  <c r="AK15" i="34"/>
  <c r="AK15" i="35"/>
  <c r="AK15" i="36"/>
  <c r="AK15" i="37"/>
  <c r="AK15" i="38"/>
  <c r="AK15" i="39"/>
  <c r="AI15" i="30"/>
  <c r="AI15" i="31"/>
  <c r="AI15" i="32"/>
  <c r="AI15" i="33"/>
  <c r="AI15" i="34"/>
  <c r="AI15" i="35"/>
  <c r="AI16" i="29"/>
  <c r="AI16" i="4"/>
  <c r="AK16" i="4"/>
  <c r="AK16" i="29"/>
  <c r="AK16" i="30"/>
  <c r="AK16" i="31"/>
  <c r="AK16" i="32"/>
  <c r="AK16" i="33"/>
  <c r="AK16" i="34"/>
  <c r="AK16" i="35"/>
  <c r="AK16" i="36"/>
  <c r="AK16" i="37"/>
  <c r="AK16" i="38"/>
  <c r="AK16" i="39"/>
  <c r="AI16" i="30"/>
  <c r="AI16" i="31"/>
  <c r="AI16" i="32"/>
  <c r="AI16" i="33"/>
  <c r="AI16" i="34"/>
  <c r="AI16" i="35"/>
  <c r="AI17" i="29"/>
  <c r="AI17" i="4"/>
  <c r="AK17" i="4"/>
  <c r="AK17" i="29"/>
  <c r="AK17" i="30"/>
  <c r="AK17" i="31"/>
  <c r="AK17" i="32"/>
  <c r="AK17" i="33"/>
  <c r="AK17" i="34"/>
  <c r="AK17" i="35"/>
  <c r="AK17" i="36"/>
  <c r="AK17" i="37"/>
  <c r="AK17" i="38"/>
  <c r="AK17" i="39"/>
  <c r="AI17" i="30"/>
  <c r="AI17" i="31"/>
  <c r="AI17" i="32"/>
  <c r="AI17" i="33"/>
  <c r="AI17" i="34"/>
  <c r="AI17" i="35"/>
  <c r="AI18" i="29"/>
  <c r="AI18" i="4"/>
  <c r="AK18" i="4"/>
  <c r="AK18" i="29"/>
  <c r="AK18" i="30"/>
  <c r="AK18" i="31"/>
  <c r="AK18" i="32"/>
  <c r="AK18" i="33"/>
  <c r="AK18" i="34"/>
  <c r="AK18" i="35"/>
  <c r="AK18" i="36"/>
  <c r="AK18" i="37"/>
  <c r="AK18" i="38"/>
  <c r="AK18" i="39"/>
  <c r="AI18" i="30"/>
  <c r="AI18" i="31"/>
  <c r="AI18" i="32"/>
  <c r="AI18" i="33"/>
  <c r="AI18" i="34"/>
  <c r="AI18" i="35"/>
  <c r="AH8" i="35"/>
  <c r="AH19" i="35"/>
  <c r="AH9" i="35"/>
  <c r="AH10" i="35"/>
  <c r="AH11" i="35"/>
  <c r="AH12" i="35"/>
  <c r="AH13" i="35"/>
  <c r="AH14" i="35"/>
  <c r="AH15" i="35"/>
  <c r="AH16" i="35"/>
  <c r="AH17" i="35"/>
  <c r="AH18" i="35"/>
  <c r="AI8" i="35"/>
  <c r="AI11" i="35"/>
  <c r="AI12" i="35"/>
  <c r="AJ8" i="35"/>
  <c r="AJ9" i="35"/>
  <c r="AJ19" i="35"/>
  <c r="AJ10" i="35"/>
  <c r="AJ11" i="35"/>
  <c r="AJ12" i="35"/>
  <c r="AJ13" i="35"/>
  <c r="AJ14" i="35"/>
  <c r="AJ15" i="35"/>
  <c r="AJ16" i="35"/>
  <c r="AJ17" i="35"/>
  <c r="AJ18" i="35"/>
  <c r="AH8" i="34"/>
  <c r="AH9" i="34"/>
  <c r="AH19" i="34"/>
  <c r="AH10" i="34"/>
  <c r="AH11" i="34"/>
  <c r="AH12" i="34"/>
  <c r="AH13" i="34"/>
  <c r="AH14" i="34"/>
  <c r="AH15" i="34"/>
  <c r="AH16" i="34"/>
  <c r="AH17" i="34"/>
  <c r="AH18" i="34"/>
  <c r="AI8" i="34"/>
  <c r="AI11" i="34"/>
  <c r="AI19" i="34"/>
  <c r="AI12" i="34"/>
  <c r="AJ8" i="34"/>
  <c r="AJ9" i="34"/>
  <c r="AJ19" i="34"/>
  <c r="AJ10" i="34"/>
  <c r="AJ11" i="34"/>
  <c r="AJ12" i="34"/>
  <c r="AJ13" i="34"/>
  <c r="AJ14" i="34"/>
  <c r="AJ15" i="34"/>
  <c r="AJ16" i="34"/>
  <c r="AJ17" i="34"/>
  <c r="AJ18" i="34"/>
  <c r="AJ8" i="39"/>
  <c r="AJ9" i="39"/>
  <c r="AJ22" i="39"/>
  <c r="AJ10" i="39"/>
  <c r="AJ11" i="39"/>
  <c r="AJ12" i="39"/>
  <c r="AJ13" i="39"/>
  <c r="AJ14" i="39"/>
  <c r="AJ15" i="39"/>
  <c r="AJ16" i="39"/>
  <c r="AJ17" i="39"/>
  <c r="AJ18" i="39"/>
  <c r="AJ8" i="38"/>
  <c r="AJ9" i="38"/>
  <c r="AJ22" i="38"/>
  <c r="AJ10" i="38"/>
  <c r="AJ11" i="38"/>
  <c r="AJ12" i="38"/>
  <c r="AJ13" i="38"/>
  <c r="AJ14" i="38"/>
  <c r="AJ15" i="38"/>
  <c r="AJ16" i="38"/>
  <c r="AJ17" i="38"/>
  <c r="AJ18" i="38"/>
  <c r="AJ8" i="36"/>
  <c r="AJ9" i="36"/>
  <c r="AJ19" i="36"/>
  <c r="AJ10" i="36"/>
  <c r="AJ11" i="36"/>
  <c r="AJ12" i="36"/>
  <c r="AJ13" i="36"/>
  <c r="AJ14" i="36"/>
  <c r="AJ15" i="36"/>
  <c r="AJ16" i="36"/>
  <c r="AJ17" i="36"/>
  <c r="AJ18" i="36"/>
  <c r="AH8" i="36"/>
  <c r="AH9" i="36"/>
  <c r="AH19" i="36"/>
  <c r="AH10" i="36"/>
  <c r="AH11" i="36"/>
  <c r="AH12" i="36"/>
  <c r="AH13" i="36"/>
  <c r="AH14" i="36"/>
  <c r="AH15" i="36"/>
  <c r="AH16" i="36"/>
  <c r="AH17" i="36"/>
  <c r="AH18" i="36"/>
  <c r="AI8" i="36"/>
  <c r="AI9" i="36"/>
  <c r="AI19" i="36"/>
  <c r="AI10" i="36"/>
  <c r="AI11" i="36"/>
  <c r="AI12" i="36"/>
  <c r="AI13" i="36"/>
  <c r="AI14" i="36"/>
  <c r="AI15" i="36"/>
  <c r="AI16" i="36"/>
  <c r="AI17" i="36"/>
  <c r="AI18" i="36"/>
  <c r="AJ8" i="33"/>
  <c r="AJ9" i="33"/>
  <c r="AJ19" i="33"/>
  <c r="AJ10" i="33"/>
  <c r="AJ11" i="33"/>
  <c r="AJ12" i="33"/>
  <c r="AJ13" i="33"/>
  <c r="AJ14" i="33"/>
  <c r="AJ15" i="33"/>
  <c r="AJ16" i="33"/>
  <c r="AJ17" i="33"/>
  <c r="AJ18" i="33"/>
  <c r="AJ8" i="32"/>
  <c r="AJ9" i="32"/>
  <c r="AJ19" i="32"/>
  <c r="AJ10" i="32"/>
  <c r="AJ11" i="32"/>
  <c r="AJ12" i="32"/>
  <c r="AJ13" i="32"/>
  <c r="AJ14" i="32"/>
  <c r="AJ15" i="32"/>
  <c r="AJ16" i="32"/>
  <c r="AJ17" i="32"/>
  <c r="AJ18" i="32"/>
  <c r="AJ8" i="29"/>
  <c r="AJ9" i="29"/>
  <c r="AJ19" i="29"/>
  <c r="AJ10" i="29"/>
  <c r="AJ11" i="29"/>
  <c r="AJ12" i="29"/>
  <c r="AJ13" i="29"/>
  <c r="AJ14" i="29"/>
  <c r="AJ15" i="29"/>
  <c r="AJ16" i="29"/>
  <c r="AJ17" i="29"/>
  <c r="AJ18" i="29"/>
  <c r="AJ8" i="30"/>
  <c r="AJ9" i="30"/>
  <c r="AJ19" i="30"/>
  <c r="AJ10" i="30"/>
  <c r="AJ11" i="30"/>
  <c r="AJ12" i="30"/>
  <c r="AJ13" i="30"/>
  <c r="AJ14" i="30"/>
  <c r="AJ15" i="30"/>
  <c r="AJ16" i="30"/>
  <c r="AJ17" i="30"/>
  <c r="AJ18" i="30"/>
  <c r="AJ8" i="31"/>
  <c r="AJ9" i="31"/>
  <c r="AJ19" i="31"/>
  <c r="AJ10" i="31"/>
  <c r="AJ11" i="31"/>
  <c r="AJ12" i="31"/>
  <c r="AJ13" i="31"/>
  <c r="AJ14" i="31"/>
  <c r="AJ15" i="31"/>
  <c r="AJ16" i="31"/>
  <c r="AJ17" i="31"/>
  <c r="AJ18" i="31"/>
  <c r="AJ13" i="4"/>
  <c r="AJ8" i="4"/>
  <c r="AJ10" i="4"/>
  <c r="AJ19" i="4"/>
  <c r="AJ14" i="4"/>
  <c r="AJ9" i="4"/>
  <c r="AJ11" i="4"/>
  <c r="AJ12" i="4"/>
  <c r="AJ15" i="4"/>
  <c r="AJ16" i="4"/>
  <c r="AJ17" i="4"/>
  <c r="AJ18" i="4"/>
  <c r="AH18" i="39"/>
  <c r="AH17" i="39"/>
  <c r="AH16" i="39"/>
  <c r="AH15" i="39"/>
  <c r="AH14" i="39"/>
  <c r="AH13" i="39"/>
  <c r="AH12" i="39"/>
  <c r="AH22" i="39"/>
  <c r="AH11" i="39"/>
  <c r="AH10" i="39"/>
  <c r="AH9" i="39"/>
  <c r="AH8" i="39"/>
  <c r="AH18" i="38"/>
  <c r="AH17" i="38"/>
  <c r="AH16" i="38"/>
  <c r="AH15" i="38"/>
  <c r="AH14" i="38"/>
  <c r="AH13" i="38"/>
  <c r="AH12" i="38"/>
  <c r="AH11" i="38"/>
  <c r="AH22" i="38"/>
  <c r="AH10" i="38"/>
  <c r="AH9" i="38"/>
  <c r="AH8" i="38"/>
  <c r="AH18" i="33"/>
  <c r="AH17" i="33"/>
  <c r="AH16" i="33"/>
  <c r="AH15" i="33"/>
  <c r="AH14" i="33"/>
  <c r="AH13" i="33"/>
  <c r="AH12" i="33"/>
  <c r="AH11" i="33"/>
  <c r="AH10" i="33"/>
  <c r="AH19" i="33"/>
  <c r="AH9" i="33"/>
  <c r="AH8" i="33"/>
  <c r="AH18" i="32"/>
  <c r="AH17" i="32"/>
  <c r="AH16" i="32"/>
  <c r="AH15" i="32"/>
  <c r="AH14" i="32"/>
  <c r="AH13" i="32"/>
  <c r="AH12" i="32"/>
  <c r="AH11" i="32"/>
  <c r="AH10" i="32"/>
  <c r="AH9" i="32"/>
  <c r="AH19" i="32"/>
  <c r="AH18" i="31"/>
  <c r="AH17" i="31"/>
  <c r="AH16" i="31"/>
  <c r="AH15" i="31"/>
  <c r="AH14" i="31"/>
  <c r="AH13" i="31"/>
  <c r="AH12" i="31"/>
  <c r="AH11" i="31"/>
  <c r="AH10" i="31"/>
  <c r="AH9" i="31"/>
  <c r="AH8" i="31"/>
  <c r="AH19" i="31"/>
  <c r="AH18" i="29"/>
  <c r="AH17" i="29"/>
  <c r="AH16" i="29"/>
  <c r="AH15" i="29"/>
  <c r="AH14" i="29"/>
  <c r="AH19" i="29"/>
  <c r="AH13" i="29"/>
  <c r="AH12" i="29"/>
  <c r="AH11" i="29"/>
  <c r="AH10" i="29"/>
  <c r="AH9" i="29"/>
  <c r="AH8" i="29"/>
  <c r="AH18" i="4"/>
  <c r="AH17" i="4"/>
  <c r="AH10" i="4"/>
  <c r="AH19" i="4"/>
  <c r="AH16" i="4"/>
  <c r="AH15" i="4"/>
  <c r="AH14" i="4"/>
  <c r="AH13" i="4"/>
  <c r="AH12" i="4"/>
  <c r="AH11" i="4"/>
  <c r="AH9" i="4"/>
  <c r="AH8" i="4"/>
  <c r="AH8" i="32"/>
  <c r="AH18" i="30"/>
  <c r="AH17" i="30"/>
  <c r="AH16" i="30"/>
  <c r="AH15" i="30"/>
  <c r="AH14" i="30"/>
  <c r="AH13" i="30"/>
  <c r="AH19" i="30"/>
  <c r="AH12" i="30"/>
  <c r="AH11" i="30"/>
  <c r="AH10" i="30"/>
  <c r="AH9" i="30"/>
  <c r="AH8" i="30"/>
  <c r="AG19" i="36"/>
  <c r="AF19" i="36"/>
  <c r="AE19" i="36"/>
  <c r="AD19" i="36"/>
  <c r="AC19" i="36"/>
  <c r="AB19" i="36"/>
  <c r="AA19" i="36"/>
  <c r="Z19" i="36"/>
  <c r="Y19" i="36"/>
  <c r="X19" i="36"/>
  <c r="W19" i="36"/>
  <c r="V19" i="36"/>
  <c r="U19" i="36"/>
  <c r="T19" i="36"/>
  <c r="S19" i="36"/>
  <c r="R19" i="36"/>
  <c r="Q19" i="36"/>
  <c r="P19" i="36"/>
  <c r="O19" i="36"/>
  <c r="N19" i="36"/>
  <c r="M19" i="36"/>
  <c r="L19" i="36"/>
  <c r="K19" i="36"/>
  <c r="J19" i="36"/>
  <c r="I19" i="36"/>
  <c r="H19" i="36"/>
  <c r="G19" i="36"/>
  <c r="F19" i="36"/>
  <c r="E19" i="36"/>
  <c r="D19" i="36"/>
  <c r="C19" i="36"/>
  <c r="AG19" i="34"/>
  <c r="AF19" i="34"/>
  <c r="AE19" i="34"/>
  <c r="AD19" i="34"/>
  <c r="AC19" i="34"/>
  <c r="AB19" i="34"/>
  <c r="AA19" i="34"/>
  <c r="Z19" i="34"/>
  <c r="Y19" i="34"/>
  <c r="X19" i="34"/>
  <c r="W19" i="34"/>
  <c r="V19" i="34"/>
  <c r="U19" i="34"/>
  <c r="T19" i="34"/>
  <c r="S19" i="34"/>
  <c r="R19" i="34"/>
  <c r="Q19" i="34"/>
  <c r="P19" i="34"/>
  <c r="O19" i="34"/>
  <c r="N19" i="34"/>
  <c r="M19" i="34"/>
  <c r="L19" i="34"/>
  <c r="K19" i="34"/>
  <c r="J19" i="34"/>
  <c r="I19" i="34"/>
  <c r="H19" i="34"/>
  <c r="G19" i="34"/>
  <c r="F19" i="34"/>
  <c r="E19" i="34"/>
  <c r="D19" i="34"/>
  <c r="C19" i="34"/>
  <c r="AG19" i="32"/>
  <c r="AF19" i="32"/>
  <c r="AE19" i="32"/>
  <c r="AD19" i="32"/>
  <c r="AC19" i="32"/>
  <c r="AB19" i="32"/>
  <c r="AA19" i="32"/>
  <c r="Z19" i="32"/>
  <c r="Y19" i="32"/>
  <c r="X19" i="32"/>
  <c r="W19" i="32"/>
  <c r="V19" i="32"/>
  <c r="U19" i="32"/>
  <c r="T19" i="32"/>
  <c r="S19" i="32"/>
  <c r="R19" i="32"/>
  <c r="Q19" i="32"/>
  <c r="P19" i="32"/>
  <c r="O19" i="32"/>
  <c r="N19" i="32"/>
  <c r="M19" i="32"/>
  <c r="L19" i="32"/>
  <c r="K19" i="32"/>
  <c r="J19" i="32"/>
  <c r="I19" i="32"/>
  <c r="H19" i="32"/>
  <c r="G19" i="32"/>
  <c r="F19" i="32"/>
  <c r="E19" i="32"/>
  <c r="D19" i="32"/>
  <c r="C19" i="32"/>
  <c r="AG19" i="31"/>
  <c r="AF19" i="31"/>
  <c r="AE19" i="31"/>
  <c r="AD19" i="31"/>
  <c r="AC19" i="31"/>
  <c r="AB19" i="31"/>
  <c r="AA19" i="31"/>
  <c r="Z19" i="31"/>
  <c r="Y19" i="31"/>
  <c r="X19" i="31"/>
  <c r="W19" i="31"/>
  <c r="V19" i="31"/>
  <c r="U19" i="31"/>
  <c r="T19" i="31"/>
  <c r="S19" i="31"/>
  <c r="R19" i="31"/>
  <c r="Q19" i="31"/>
  <c r="P19" i="31"/>
  <c r="O19" i="31"/>
  <c r="N19" i="31"/>
  <c r="M19" i="31"/>
  <c r="L19" i="31"/>
  <c r="K19" i="31"/>
  <c r="J19" i="31"/>
  <c r="I19" i="31"/>
  <c r="H19" i="31"/>
  <c r="G19" i="31"/>
  <c r="F19" i="31"/>
  <c r="E19" i="31"/>
  <c r="D19" i="31"/>
  <c r="C19" i="31"/>
  <c r="AG19" i="30"/>
  <c r="AF19" i="30"/>
  <c r="AE19" i="30"/>
  <c r="AD19" i="30"/>
  <c r="AC19" i="30"/>
  <c r="AB19" i="30"/>
  <c r="AA19" i="30"/>
  <c r="Z19" i="30"/>
  <c r="Y19" i="30"/>
  <c r="X19" i="30"/>
  <c r="W19" i="30"/>
  <c r="V19" i="30"/>
  <c r="U19" i="30"/>
  <c r="T19" i="30"/>
  <c r="S19" i="30"/>
  <c r="R19" i="30"/>
  <c r="Q19" i="30"/>
  <c r="P19" i="30"/>
  <c r="O19" i="30"/>
  <c r="N19" i="30"/>
  <c r="M19" i="30"/>
  <c r="L19" i="30"/>
  <c r="K19" i="30"/>
  <c r="J19" i="30"/>
  <c r="I19" i="30"/>
  <c r="H19" i="30"/>
  <c r="G19" i="30"/>
  <c r="F19" i="30"/>
  <c r="E19" i="30"/>
  <c r="D19" i="30"/>
  <c r="C19" i="30"/>
  <c r="AI8" i="33"/>
  <c r="AI11" i="33"/>
  <c r="AI12" i="33"/>
  <c r="AI19" i="33"/>
  <c r="AI8" i="38"/>
  <c r="AI9" i="38"/>
  <c r="AI10" i="38"/>
  <c r="AI11" i="38"/>
  <c r="AI12" i="38"/>
  <c r="AI13" i="38"/>
  <c r="AI14" i="38"/>
  <c r="AI15" i="38"/>
  <c r="AI16" i="38"/>
  <c r="AI17" i="38"/>
  <c r="AI18" i="38"/>
  <c r="AI22" i="38"/>
  <c r="AI8" i="39"/>
  <c r="AI9" i="39"/>
  <c r="AI10" i="39"/>
  <c r="AI11" i="39"/>
  <c r="AI12" i="39"/>
  <c r="AI13" i="39"/>
  <c r="AI14" i="39"/>
  <c r="AI15" i="39"/>
  <c r="AI16" i="39"/>
  <c r="AI17" i="39"/>
  <c r="AI18" i="39"/>
  <c r="AI22" i="39"/>
  <c r="AI8" i="31"/>
  <c r="AI11" i="31"/>
  <c r="AI12" i="31"/>
  <c r="AI8" i="30"/>
  <c r="AI19" i="30"/>
  <c r="AI11" i="30"/>
  <c r="AI12" i="30"/>
  <c r="AI8" i="29"/>
  <c r="AI11" i="29"/>
  <c r="AI12" i="29"/>
  <c r="AI19" i="29"/>
  <c r="AI8" i="32"/>
  <c r="AI11" i="32"/>
  <c r="AI12" i="32"/>
  <c r="AI19" i="32"/>
  <c r="AI12" i="4"/>
  <c r="AI11" i="4"/>
  <c r="AI8" i="4"/>
  <c r="B22" i="39"/>
  <c r="AG6" i="39"/>
  <c r="AF6" i="39"/>
  <c r="AE6" i="39"/>
  <c r="AD6" i="39"/>
  <c r="AC6" i="39"/>
  <c r="AB6" i="39"/>
  <c r="AA6" i="39"/>
  <c r="Z6" i="39"/>
  <c r="Y6" i="39"/>
  <c r="X6" i="39"/>
  <c r="W6" i="39"/>
  <c r="V6" i="39"/>
  <c r="U6" i="39"/>
  <c r="T6" i="39"/>
  <c r="S6" i="39"/>
  <c r="R6" i="39"/>
  <c r="Q6" i="39"/>
  <c r="P6" i="39"/>
  <c r="O6" i="39"/>
  <c r="N6" i="39"/>
  <c r="M6" i="39"/>
  <c r="L6" i="39"/>
  <c r="K6" i="39"/>
  <c r="J6" i="39"/>
  <c r="I6" i="39"/>
  <c r="H6" i="39"/>
  <c r="G6" i="39"/>
  <c r="F6" i="39"/>
  <c r="E6" i="39"/>
  <c r="D6" i="39"/>
  <c r="C6" i="39"/>
  <c r="B22" i="38"/>
  <c r="AF6" i="38"/>
  <c r="AE6" i="38"/>
  <c r="AD6" i="38"/>
  <c r="AC6" i="38"/>
  <c r="AB6" i="38"/>
  <c r="AA6" i="38"/>
  <c r="Z6" i="38"/>
  <c r="Y6" i="38"/>
  <c r="X6" i="38"/>
  <c r="W6" i="38"/>
  <c r="V6" i="38"/>
  <c r="U6" i="38"/>
  <c r="T6" i="38"/>
  <c r="S6" i="38"/>
  <c r="R6" i="38"/>
  <c r="Q6" i="38"/>
  <c r="P6" i="38"/>
  <c r="O6" i="38"/>
  <c r="N6" i="38"/>
  <c r="M6" i="38"/>
  <c r="L6" i="38"/>
  <c r="K6" i="38"/>
  <c r="J6" i="38"/>
  <c r="I6" i="38"/>
  <c r="H6" i="38"/>
  <c r="G6" i="38"/>
  <c r="F6" i="38"/>
  <c r="E6" i="38"/>
  <c r="D6" i="38"/>
  <c r="C6" i="38"/>
  <c r="AG6" i="37"/>
  <c r="AF6" i="37"/>
  <c r="AE6" i="37"/>
  <c r="AD6" i="37"/>
  <c r="AC6" i="37"/>
  <c r="AB6" i="37"/>
  <c r="AA6" i="37"/>
  <c r="Z6" i="37"/>
  <c r="Y6" i="37"/>
  <c r="X6" i="37"/>
  <c r="W6" i="37"/>
  <c r="V6" i="37"/>
  <c r="U6" i="37"/>
  <c r="T6" i="37"/>
  <c r="S6" i="37"/>
  <c r="R6" i="37"/>
  <c r="Q6" i="37"/>
  <c r="P6" i="37"/>
  <c r="O6" i="37"/>
  <c r="N6" i="37"/>
  <c r="M6" i="37"/>
  <c r="L6" i="37"/>
  <c r="K6" i="37"/>
  <c r="J6" i="37"/>
  <c r="I6" i="37"/>
  <c r="H6" i="37"/>
  <c r="G6" i="37"/>
  <c r="F6" i="37"/>
  <c r="E6" i="37"/>
  <c r="D6" i="37"/>
  <c r="C6" i="37"/>
  <c r="B19" i="36"/>
  <c r="AF6" i="36"/>
  <c r="AE6" i="36"/>
  <c r="AD6" i="36"/>
  <c r="AC6" i="36"/>
  <c r="AB6" i="36"/>
  <c r="AA6" i="36"/>
  <c r="Z6" i="36"/>
  <c r="Y6" i="36"/>
  <c r="X6" i="36"/>
  <c r="W6" i="36"/>
  <c r="V6" i="36"/>
  <c r="U6" i="36"/>
  <c r="T6" i="36"/>
  <c r="S6" i="36"/>
  <c r="R6" i="36"/>
  <c r="Q6" i="36"/>
  <c r="P6" i="36"/>
  <c r="O6" i="36"/>
  <c r="N6" i="36"/>
  <c r="M6" i="36"/>
  <c r="L6" i="36"/>
  <c r="K6" i="36"/>
  <c r="J6" i="36"/>
  <c r="I6" i="36"/>
  <c r="H6" i="36"/>
  <c r="G6" i="36"/>
  <c r="F6" i="36"/>
  <c r="E6" i="36"/>
  <c r="D6" i="36"/>
  <c r="C6" i="36"/>
  <c r="B19" i="35"/>
  <c r="AG6" i="35"/>
  <c r="AF6" i="35"/>
  <c r="AE6" i="35"/>
  <c r="AD6" i="35"/>
  <c r="AC6" i="35"/>
  <c r="AB6" i="35"/>
  <c r="AA6" i="35"/>
  <c r="Z6" i="35"/>
  <c r="Y6" i="35"/>
  <c r="X6" i="35"/>
  <c r="W6" i="35"/>
  <c r="V6" i="35"/>
  <c r="U6" i="35"/>
  <c r="T6" i="35"/>
  <c r="S6" i="35"/>
  <c r="R6" i="35"/>
  <c r="Q6" i="35"/>
  <c r="P6" i="35"/>
  <c r="O6" i="35"/>
  <c r="N6" i="35"/>
  <c r="M6" i="35"/>
  <c r="L6" i="35"/>
  <c r="K6" i="35"/>
  <c r="J6" i="35"/>
  <c r="I6" i="35"/>
  <c r="H6" i="35"/>
  <c r="G6" i="35"/>
  <c r="F6" i="35"/>
  <c r="E6" i="35"/>
  <c r="D6" i="35"/>
  <c r="C6" i="35"/>
  <c r="B19" i="34"/>
  <c r="AG6" i="34"/>
  <c r="AF6" i="34"/>
  <c r="AE6" i="34"/>
  <c r="AD6" i="34"/>
  <c r="AC6" i="34"/>
  <c r="AB6" i="34"/>
  <c r="AA6" i="34"/>
  <c r="Z6" i="34"/>
  <c r="Y6" i="34"/>
  <c r="X6" i="34"/>
  <c r="W6" i="34"/>
  <c r="V6" i="34"/>
  <c r="U6" i="34"/>
  <c r="T6" i="34"/>
  <c r="S6" i="34"/>
  <c r="R6" i="34"/>
  <c r="Q6" i="34"/>
  <c r="P6" i="34"/>
  <c r="O6" i="34"/>
  <c r="N6" i="34"/>
  <c r="M6" i="34"/>
  <c r="L6" i="34"/>
  <c r="K6" i="34"/>
  <c r="J6" i="34"/>
  <c r="I6" i="34"/>
  <c r="H6" i="34"/>
  <c r="G6" i="34"/>
  <c r="F6" i="34"/>
  <c r="E6" i="34"/>
  <c r="D6" i="34"/>
  <c r="C6" i="34"/>
  <c r="B19" i="33"/>
  <c r="AF6" i="33"/>
  <c r="AE6" i="33"/>
  <c r="AD6" i="33"/>
  <c r="AC6" i="33"/>
  <c r="AB6" i="33"/>
  <c r="AA6" i="33"/>
  <c r="Z6" i="33"/>
  <c r="Y6" i="33"/>
  <c r="X6" i="33"/>
  <c r="W6" i="33"/>
  <c r="V6" i="33"/>
  <c r="U6" i="33"/>
  <c r="T6" i="33"/>
  <c r="S6" i="33"/>
  <c r="R6" i="33"/>
  <c r="Q6" i="33"/>
  <c r="P6" i="33"/>
  <c r="O6" i="33"/>
  <c r="N6" i="33"/>
  <c r="M6" i="33"/>
  <c r="L6" i="33"/>
  <c r="K6" i="33"/>
  <c r="J6" i="33"/>
  <c r="I6" i="33"/>
  <c r="H6" i="33"/>
  <c r="G6" i="33"/>
  <c r="F6" i="33"/>
  <c r="E6" i="33"/>
  <c r="D6" i="33"/>
  <c r="C6" i="33"/>
  <c r="B19" i="32"/>
  <c r="AG6" i="32"/>
  <c r="AF6" i="32"/>
  <c r="AE6" i="32"/>
  <c r="AD6" i="32"/>
  <c r="AC6" i="32"/>
  <c r="AB6" i="32"/>
  <c r="AA6" i="32"/>
  <c r="Z6" i="32"/>
  <c r="Y6" i="32"/>
  <c r="X6" i="32"/>
  <c r="W6" i="32"/>
  <c r="V6" i="32"/>
  <c r="U6" i="32"/>
  <c r="T6" i="32"/>
  <c r="S6" i="32"/>
  <c r="R6" i="32"/>
  <c r="Q6" i="32"/>
  <c r="P6" i="32"/>
  <c r="O6" i="32"/>
  <c r="N6" i="32"/>
  <c r="M6" i="32"/>
  <c r="L6" i="32"/>
  <c r="K6" i="32"/>
  <c r="J6" i="32"/>
  <c r="I6" i="32"/>
  <c r="H6" i="32"/>
  <c r="G6" i="32"/>
  <c r="F6" i="32"/>
  <c r="E6" i="32"/>
  <c r="D6" i="32"/>
  <c r="C6" i="32"/>
  <c r="B19" i="31"/>
  <c r="AF6" i="31"/>
  <c r="AE6" i="31"/>
  <c r="AD6" i="31"/>
  <c r="AC6" i="31"/>
  <c r="AB6" i="31"/>
  <c r="AA6" i="31"/>
  <c r="Z6" i="31"/>
  <c r="Y6" i="31"/>
  <c r="X6" i="31"/>
  <c r="W6" i="31"/>
  <c r="V6" i="31"/>
  <c r="U6" i="31"/>
  <c r="T6" i="31"/>
  <c r="S6" i="31"/>
  <c r="R6" i="31"/>
  <c r="Q6" i="31"/>
  <c r="P6" i="31"/>
  <c r="O6" i="31"/>
  <c r="N6" i="31"/>
  <c r="M6" i="31"/>
  <c r="L6" i="31"/>
  <c r="K6" i="31"/>
  <c r="J6" i="31"/>
  <c r="I6" i="31"/>
  <c r="H6" i="31"/>
  <c r="G6" i="31"/>
  <c r="F6" i="31"/>
  <c r="E6" i="31"/>
  <c r="D6" i="31"/>
  <c r="C6" i="31"/>
  <c r="B19" i="30"/>
  <c r="AG6" i="30"/>
  <c r="AF6" i="30"/>
  <c r="AE6" i="30"/>
  <c r="AD6" i="30"/>
  <c r="AC6" i="30"/>
  <c r="AB6" i="30"/>
  <c r="AA6" i="30"/>
  <c r="Z6" i="30"/>
  <c r="Y6" i="30"/>
  <c r="X6" i="30"/>
  <c r="W6" i="30"/>
  <c r="V6" i="30"/>
  <c r="U6" i="30"/>
  <c r="T6" i="30"/>
  <c r="S6" i="30"/>
  <c r="R6" i="30"/>
  <c r="Q6" i="30"/>
  <c r="P6" i="30"/>
  <c r="O6" i="30"/>
  <c r="N6" i="30"/>
  <c r="M6" i="30"/>
  <c r="L6" i="30"/>
  <c r="K6" i="30"/>
  <c r="J6" i="30"/>
  <c r="I6" i="30"/>
  <c r="H6" i="30"/>
  <c r="G6" i="30"/>
  <c r="F6" i="30"/>
  <c r="E6" i="30"/>
  <c r="D6" i="30"/>
  <c r="C6" i="30"/>
  <c r="B1" i="30"/>
  <c r="B19" i="29"/>
  <c r="B1" i="29"/>
  <c r="B19" i="4"/>
  <c r="AG6" i="4"/>
  <c r="AF6" i="4"/>
  <c r="AE6" i="4"/>
  <c r="AD6" i="4"/>
  <c r="AC6" i="4"/>
  <c r="AB6" i="4"/>
  <c r="AA6" i="4"/>
  <c r="Z6" i="4"/>
  <c r="Y6" i="4"/>
  <c r="X6" i="4"/>
  <c r="W6" i="4"/>
  <c r="V6" i="4"/>
  <c r="U6" i="4"/>
  <c r="T6" i="4"/>
  <c r="S6" i="4"/>
  <c r="R6" i="4"/>
  <c r="Q6" i="4"/>
  <c r="P6" i="4"/>
  <c r="O6" i="4"/>
  <c r="N6" i="4"/>
  <c r="M6" i="4"/>
  <c r="L6" i="4"/>
  <c r="K6" i="4"/>
  <c r="J6" i="4"/>
  <c r="I6" i="4"/>
  <c r="H6" i="4"/>
  <c r="G6" i="4"/>
  <c r="F6" i="4"/>
  <c r="E6" i="4"/>
  <c r="D6" i="4"/>
  <c r="C6" i="4"/>
  <c r="D6" i="29"/>
  <c r="G6" i="29"/>
  <c r="K6" i="29"/>
  <c r="L6" i="29"/>
  <c r="M6" i="29"/>
  <c r="P6" i="29"/>
  <c r="S6" i="29"/>
  <c r="W6" i="29"/>
  <c r="X6" i="29"/>
  <c r="Y6" i="29"/>
  <c r="AB6" i="29"/>
  <c r="AE6" i="29"/>
  <c r="V6" i="29"/>
  <c r="J6" i="29"/>
  <c r="U6" i="29"/>
  <c r="I6" i="29"/>
  <c r="T6" i="29"/>
  <c r="H6" i="29"/>
  <c r="AD6" i="29"/>
  <c r="R6" i="29"/>
  <c r="F6" i="29"/>
  <c r="AC6" i="29"/>
  <c r="Q6" i="29"/>
  <c r="E6" i="29"/>
  <c r="O6" i="29"/>
  <c r="AA6" i="29"/>
  <c r="C6" i="29"/>
  <c r="Z6" i="29"/>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304611CE-16E8-49BC-BC7D-553E3D31782F}" keepAlive="1" name="Requête - Data" description="Connexion à la requête « Data » dans le classeur." type="5" refreshedVersion="0" background="1">
    <dbPr connection="Provider=Microsoft.Mashup.OleDb.1;Data Source=$Workbook$;Location=Data;Extended Properties=&quot;&quot;" command="SELECT * FROM [Data]"/>
  </connection>
  <connection id="2" xr16:uid="{BE563F7A-7D63-4030-8918-1D58EBC11823}" keepAlive="1" name="Requête - Mois" description="Connexion à la requête « Mois » dans le classeur." type="5" refreshedVersion="0" background="1">
    <dbPr connection="Provider=Microsoft.Mashup.OleDb.1;Data Source=$Workbook$;Location=Mois;Extended Properties=&quot;&quot;" command="SELECT * FROM [Mois]"/>
  </connection>
  <connection id="3" xr16:uid="{5F52297D-F61C-486B-AFE0-A407855CABE1}" keepAlive="1" name="Requête - Mois0" description="Connexion à la requête « Mois0 » dans le classeur." type="5" refreshedVersion="0" background="1">
    <dbPr connection="Provider=Microsoft.Mashup.OleDb.1;Data Source=$Workbook$;Location=Mois0;Extended Properties=&quot;&quot;" command="SELECT * FROM [Mois0]"/>
  </connection>
  <connection id="4" xr16:uid="{83BAFCD7-5A8B-40FA-8583-C67464AC6E21}" keepAlive="1" name="Requête - Synthese" description="Connexion à la requête « Synthese » dans le classeur." type="5" refreshedVersion="7" background="1">
    <dbPr connection="Provider=Microsoft.Mashup.OleDb.1;Data Source=$Workbook$;Location=Synthese;Extended Properties=&quot;&quot;" command="SELECT * FROM [Synthese]"/>
  </connection>
  <connection id="5" xr16:uid="{78A75689-780F-4B8F-9FB8-1D365B307017}" keepAlive="1" name="Requête - T_Employés" description="Connexion à la requête « T_Employés » dans le classeur." type="5" refreshedVersion="0" background="1">
    <dbPr connection="Provider=Microsoft.Mashup.OleDb.1;Data Source=$Workbook$;Location=T_Employés;Extended Properties=&quot;&quot;" command="SELECT * FROM [T_Employés]"/>
  </connection>
  <connection id="6" xr16:uid="{D60884BA-3148-4310-BE8E-D5B7B6F4AB1D}" keepAlive="1" name="Requête - T_Types" description="Connexion à la requête « T_Types » dans le classeur." type="5" refreshedVersion="0" background="1">
    <dbPr connection="Provider=Microsoft.Mashup.OleDb.1;Data Source=$Workbook$;Location=T_Types;Extended Properties=&quot;&quot;" command="SELECT * FROM [T_Types]"/>
  </connection>
</connections>
</file>

<file path=xl/sharedStrings.xml><?xml version="1.0" encoding="utf-8"?>
<sst xmlns="http://schemas.openxmlformats.org/spreadsheetml/2006/main" count="958" uniqueCount="124">
  <si>
    <t>Calendrier des absences des employés</t>
  </si>
  <si>
    <t>Clé de motif d’absence</t>
  </si>
  <si>
    <t>Janvier</t>
  </si>
  <si>
    <t>Nom de l’employé</t>
  </si>
  <si>
    <t>C</t>
  </si>
  <si>
    <t>Dates d’absence</t>
  </si>
  <si>
    <t>1</t>
  </si>
  <si>
    <t>Congé</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</si>
  <si>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</si>
  <si>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</si>
  <si>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</si>
  <si>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</si>
  <si>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</si>
  <si>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</si>
  <si>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</si>
  <si>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</si>
  <si>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</si>
  <si>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</si>
  <si>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</si>
  <si>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</si>
  <si>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</si>
  <si>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</si>
  <si>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</si>
  <si>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</si>
  <si>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</si>
  <si>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</si>
  <si>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</si>
  <si>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</si>
  <si>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</si>
  <si>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</si>
  <si>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</si>
  <si>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</si>
  <si>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</si>
  <si>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</si>
  <si>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</si>
  <si>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</si>
  <si>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</si>
  <si>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</si>
  <si>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</si>
  <si>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</si>
  <si>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Entrez l’année :</t>
  </si>
  <si>
    <t>Février</t>
  </si>
  <si>
    <t xml:space="preserve"> </t>
  </si>
  <si>
    <t xml:space="preserve">  </t>
  </si>
  <si>
    <t>Mars</t>
  </si>
  <si>
    <t>Avril</t>
  </si>
  <si>
    <t>Mai</t>
  </si>
  <si>
    <t>Juin</t>
  </si>
  <si>
    <t>Juillet</t>
  </si>
  <si>
    <t>Août</t>
  </si>
  <si>
    <t>Septembre</t>
  </si>
  <si>
    <t>Octobre</t>
  </si>
  <si>
    <t>Novembre</t>
  </si>
  <si>
    <t>Décembre</t>
  </si>
  <si>
    <t>Noms des employés</t>
  </si>
  <si>
    <t>Rec</t>
  </si>
  <si>
    <t>Récupération</t>
  </si>
  <si>
    <t>RTT</t>
  </si>
  <si>
    <t>F</t>
  </si>
  <si>
    <t>Formation</t>
  </si>
  <si>
    <t>TT</t>
  </si>
  <si>
    <t>Télétravail</t>
  </si>
  <si>
    <t>Type d'absence</t>
  </si>
  <si>
    <t>Motif</t>
  </si>
  <si>
    <t>Solde RTT disponible au 01/02/2021</t>
  </si>
  <si>
    <t>Solde RTT disponible au 01/03/2021</t>
  </si>
  <si>
    <t>Demi RTT</t>
  </si>
  <si>
    <t>Total absence</t>
  </si>
  <si>
    <t>Enfant malade</t>
  </si>
  <si>
    <t>EM</t>
  </si>
  <si>
    <t>DEM</t>
  </si>
  <si>
    <t>DREC</t>
  </si>
  <si>
    <t>DRTT</t>
  </si>
  <si>
    <t>Demi journée EM</t>
  </si>
  <si>
    <t>Demi récup</t>
  </si>
  <si>
    <t>Solde RTT disponible au 01/04/2021</t>
  </si>
  <si>
    <t>Solde RTT disponible au 01/05/2021</t>
  </si>
  <si>
    <t>Solde RTT disponible au 01/06/2021</t>
  </si>
  <si>
    <t>Dont RTT</t>
  </si>
  <si>
    <t>Solde RTT disponible au 01/08/2021</t>
  </si>
  <si>
    <t>Solde RTT disponible au 01/01/2022</t>
  </si>
  <si>
    <t>Solde RTT disponible au 01/12/2021</t>
  </si>
  <si>
    <t>Solde RTT disponible au 01/11/2021</t>
  </si>
  <si>
    <t>Solde RTT disponible au 01/10/2021</t>
  </si>
  <si>
    <t>Solde RTT disponible au 01/09/2021</t>
  </si>
  <si>
    <t>Solde RTT disponible au 01/07/2021</t>
  </si>
  <si>
    <t>Solde cp disponible au 1er janvier 2021</t>
  </si>
  <si>
    <t>PE</t>
  </si>
  <si>
    <t>Présence exceptionnelle</t>
  </si>
  <si>
    <t>CS</t>
  </si>
  <si>
    <t>Congé spéc.</t>
  </si>
  <si>
    <t>Total</t>
  </si>
  <si>
    <t>Demi récupération</t>
  </si>
  <si>
    <t>Demi Enfant Malade</t>
  </si>
  <si>
    <t>Congé spécial</t>
  </si>
  <si>
    <t>Descriptif</t>
  </si>
  <si>
    <t>NT</t>
  </si>
  <si>
    <t>Non travaillé</t>
  </si>
  <si>
    <t>Dont MALADIE</t>
  </si>
  <si>
    <t>Commentaires</t>
  </si>
  <si>
    <t>AJ</t>
  </si>
  <si>
    <t>Absence justifiée</t>
  </si>
  <si>
    <t>Solde rtt disponible au 1er janvier 2022</t>
  </si>
  <si>
    <t>CET</t>
  </si>
  <si>
    <t>DCET</t>
  </si>
  <si>
    <t>Compte épargne temps</t>
  </si>
  <si>
    <t>Demi épargne temps</t>
  </si>
  <si>
    <t>Employés 01</t>
  </si>
  <si>
    <t>Employés 02</t>
  </si>
  <si>
    <t>Employés 03</t>
  </si>
  <si>
    <t>Employés 04</t>
  </si>
  <si>
    <t>rtt</t>
  </si>
  <si>
    <t>rec</t>
  </si>
  <si>
    <t>Total général</t>
  </si>
  <si>
    <t>Somme de Jours</t>
  </si>
  <si>
    <t>Mois</t>
  </si>
  <si>
    <t>REC</t>
  </si>
  <si>
    <t>Employé 02</t>
  </si>
  <si>
    <t>Employé 01</t>
  </si>
  <si>
    <t>Colonne3</t>
  </si>
  <si>
    <t>Colonne2</t>
  </si>
  <si>
    <t>Colonne1</t>
  </si>
  <si>
    <t>m</t>
  </si>
  <si>
    <t>Empoyé 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</si>
</sst>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164" formatCode="_-* #,##0\ &quot;€&quot;_-;\-* #,##0\ &quot;€&quot;_-;_-* &quot;-&quot;\ &quot;€&quot;_-;_-@_-"/>
    <numFmt numFmtId="165" formatCode="_-* #,##0.00\ &quot;€&quot;_-;\-* #,##0.00\ &quot;€&quot;_-;_-* &quot;-&quot;??\ &quot;€&quot;_-;_-@_-"/>
    <numFmt numFmtId="166" formatCode="_(* #,##0_);_(* \(#,##0\);_(* &quot;-&quot;_);_(@_)"/>
    <numFmt numFmtId="167" formatCode="_(* #,##0.00_);_(* \(#,##0.00\);_(* &quot;-&quot;??_);_(@_)"/>
    <numFmt numFmtId="168" formatCode="0;0;"/>
    <numFmt numFmtId="169" formatCode="0.0"/>
    <numFmt numFmtId="170" formatCode="0.0;0.0;"/>
    <numFmt numFmtId="171" formatCode="_-* #,##0\ _€_-;\-* #,##0\ _€_-;_-* &quot;-&quot;\ _€_-;_-@_-"/>
    <numFmt numFmtId="172" formatCode="[$-F800]dddd\,\ mmmm\ dd\,\ yyyy"/>
  </numFmts>
  <fonts count="2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8"/>
      <color theme="1"/>
      <name val="Calibri"/>
      <family val="2"/>
      <scheme val="minor"/>
    </font>
    <font>
      <b/>
      <sz val="18"/>
      <color rgb="FF941651"/>
      <name val="Calibri"/>
      <family val="2"/>
      <scheme val="minor"/>
    </font>
    <font>
      <b/>
      <sz val="18"/>
      <color rgb="FF941651"/>
      <name val="Calibri (Corps)_x0000_"/>
    </font>
  </fonts>
  <fills count="57">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7" tint="0.79998168889431442"/>
        <bgColor indexed="64"/>
      </patternFill>
    </fill>
    <fill>
      <patternFill patternType="solid">
        <fgColor theme="0" tint="-0.14999847407452621"/>
        <bgColor indexed="64"/>
      </patternFill>
    </fill>
    <fill>
      <patternFill patternType="solid">
        <fgColor theme="8"/>
        <bgColor indexed="64"/>
      </patternFill>
    </fill>
    <fill>
      <patternFill patternType="solid">
        <fgColor theme="8" tint="0.79998168889431442"/>
        <bgColor indexed="64"/>
      </patternFill>
    </fill>
    <fill>
      <patternFill patternType="solid">
        <fgColor rgb="FFFFC000"/>
        <bgColor indexed="64"/>
      </patternFill>
    </fill>
    <fill>
      <patternFill patternType="solid">
        <fgColor theme="8" tint="0.39997558519241921"/>
        <bgColor indexed="64"/>
      </patternFill>
    </fill>
    <fill>
      <patternFill patternType="solid">
        <fgColor rgb="FFFFFF00"/>
        <bgColor indexed="64"/>
      </patternFill>
    </fill>
    <fill>
      <patternFill patternType="solid">
        <fgColor rgb="FF92D050"/>
        <bgColor indexed="64"/>
      </patternFill>
    </fill>
    <fill>
      <patternFill patternType="solid">
        <fgColor rgb="FFFF7E79"/>
        <bgColor indexed="64"/>
      </patternFill>
    </fill>
    <fill>
      <patternFill patternType="solid">
        <fgColor rgb="FF00B0F0"/>
        <bgColor indexed="64"/>
      </patternFill>
    </fill>
    <fill>
      <patternFill patternType="solid">
        <fgColor rgb="FF941651"/>
        <bgColor indexed="64"/>
      </patternFill>
    </fill>
    <fill>
      <patternFill patternType="solid">
        <fgColor rgb="FFFF0000"/>
        <bgColor indexed="64"/>
      </patternFill>
    </fill>
    <fill>
      <patternFill patternType="solid">
        <fgColor rgb="FFD883FF"/>
        <bgColor indexed="64"/>
      </patternFill>
    </fill>
    <fill>
      <patternFill patternType="solid">
        <fgColor rgb="FF76D6FF"/>
        <bgColor indexed="64"/>
      </patternFill>
    </fill>
    <fill>
      <patternFill patternType="solid">
        <fgColor theme="6" tint="0.39994506668294322"/>
        <bgColor indexed="64"/>
      </patternFill>
    </fill>
    <fill>
      <patternFill patternType="solid">
        <fgColor rgb="FFFFB8D8"/>
        <bgColor indexed="64"/>
      </patternFill>
    </fill>
    <fill>
      <patternFill patternType="solid">
        <fgColor rgb="FF00B050"/>
        <bgColor indexed="64"/>
      </patternFill>
    </fill>
    <fill>
      <patternFill patternType="solid">
        <fgColor theme="7" tint="0.39997558519241921"/>
        <bgColor indexed="64"/>
      </patternFill>
    </fill>
    <fill>
      <patternFill patternType="solid">
        <fgColor theme="4" tint="0.59999389629810485"/>
        <bgColor indexed="64"/>
      </patternFill>
    </fill>
    <fill>
      <patternFill patternType="solid">
        <fgColor theme="9" tint="-0.249977111117893"/>
        <bgColor indexed="64"/>
      </patternFill>
    </fill>
    <fill>
      <patternFill patternType="solid">
        <fgColor theme="0" tint="-4.9989318521683403E-2"/>
        <bgColor theme="4" tint="0.79992065187536243"/>
      </patternFill>
    </fill>
    <fill>
      <patternFill patternType="solid">
        <fgColor rgb="FFFF2F92"/>
        <bgColor indexed="64"/>
      </patternFill>
    </fill>
    <fill>
      <patternFill patternType="solid">
        <fgColor rgb="FFDCE1EF"/>
        <bgColor rgb="FF000000"/>
      </patternFill>
    </fill>
    <fill>
      <patternFill patternType="solid">
        <fgColor theme="1" tint="0.499984740745262"/>
        <bgColor indexed="64"/>
      </patternFill>
    </fill>
  </fills>
  <borders count="13">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bottom style="thin">
        <color indexed="64"/>
      </bottom>
      <diagonal/>
    </border>
    <border>
      <left style="thin">
        <color theme="0"/>
      </left>
      <right/>
      <top/>
      <bottom style="thin">
        <color indexed="64"/>
      </bottom>
      <diagonal/>
    </border>
    <border>
      <left/>
      <right style="thin">
        <color theme="0"/>
      </right>
      <top/>
      <bottom style="thin">
        <color indexed="64"/>
      </bottom>
      <diagonal/>
    </border>
    <border>
      <left style="thin">
        <color theme="0"/>
      </left>
      <right style="thin">
        <color theme="0"/>
      </right>
      <top/>
      <bottom/>
      <diagonal/>
    </border>
    <border>
      <left style="thin">
        <color theme="0"/>
      </left>
      <right style="thin">
        <color theme="0"/>
      </right>
      <top/>
      <bottom style="thin">
        <color indexed="64"/>
      </bottom>
      <diagonal/>
    </border>
    <border>
      <left/>
      <right style="thin">
        <color theme="0"/>
      </right>
      <top/>
      <bottom/>
      <diagonal/>
    </border>
    <border>
      <left style="thin">
        <color theme="0"/>
      </left>
      <right/>
      <top/>
      <bottom/>
      <diagonal/>
    </border>
  </borders>
  <cellStyleXfs count="49">
    <xf numFmtId="2"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7" fontId="1" fillId="0" borderId="0" applyFont="0" applyFill="0" applyBorder="0" applyAlignment="0" applyProtection="0"/>
    <xf numFmtId="166"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91">
    <xf numFmtId="2" fontId="0" fillId="0" borderId="0" xfId="0">
      <alignment horizontal="left" vertical="center"/>
    </xf>
    <xf numFmtId="0" fontId="1" fillId="0" borderId="0" xfId="26">
      <alignment horizontal="left" vertical="center" wrapText="1" indent="2"/>
    </xf>
    <xf numFmtId="2" fontId="0" fillId="0" borderId="0" xfId="0" applyAlignment="1" applyProtection="1">
      <alignment horizontal="center" vertical="center"/>
    </xf>
    <xf numFmtId="0" fontId="1" fillId="0" borderId="0" xfId="26" applyFill="1" applyBorder="1">
      <alignment horizontal="left" vertical="center" wrapText="1" indent="2"/>
    </xf>
    <xf numFmtId="2" fontId="0" fillId="0" borderId="0" xfId="0" applyProtection="1">
      <alignment horizontal="left" vertical="center"/>
    </xf>
    <xf numFmtId="0" fontId="6" fillId="0" borderId="0" xfId="1" applyAlignment="1" applyProtection="1">
      <alignment vertical="top"/>
    </xf>
    <xf numFmtId="2" fontId="0" fillId="0" borderId="0" xfId="0" applyAlignment="1" applyProtection="1">
      <alignment horizontal="left" vertical="center" wrapText="1"/>
    </xf>
    <xf numFmtId="0" fontId="6" fillId="0" borderId="0" xfId="1">
      <alignment vertical="top"/>
    </xf>
    <xf numFmtId="0" fontId="0" fillId="0" borderId="0" xfId="26" applyFont="1">
      <alignment horizontal="left" vertical="center" wrapText="1" indent="2"/>
    </xf>
    <xf numFmtId="0" fontId="1" fillId="0" borderId="0" xfId="26" applyFill="1">
      <alignment horizontal="left" vertical="center" wrapText="1" indent="2"/>
    </xf>
    <xf numFmtId="0" fontId="0" fillId="0" borderId="0" xfId="26" applyFont="1" applyFill="1" applyBorder="1">
      <alignment horizontal="left" vertical="center" wrapText="1" indent="2"/>
    </xf>
    <xf numFmtId="0" fontId="2" fillId="33" borderId="0" xfId="4" applyFill="1" applyProtection="1">
      <alignment horizontal="right" vertical="center" indent="1"/>
    </xf>
    <xf numFmtId="0" fontId="5" fillId="34" borderId="0" xfId="3" applyFill="1" applyProtection="1">
      <alignment horizontal="center" vertical="center"/>
    </xf>
    <xf numFmtId="0" fontId="1" fillId="34" borderId="0" xfId="21" applyFill="1" applyBorder="1" applyAlignment="1" applyProtection="1">
      <alignment horizontal="left" vertical="center" indent="1"/>
    </xf>
    <xf numFmtId="2" fontId="0" fillId="35" borderId="0" xfId="0" applyFont="1" applyFill="1" applyBorder="1" applyAlignment="1" applyProtection="1">
      <alignment horizontal="center" vertical="center"/>
    </xf>
    <xf numFmtId="0" fontId="5" fillId="36" borderId="0" xfId="3" applyFill="1" applyProtection="1">
      <alignment horizontal="center" vertical="center"/>
    </xf>
    <xf numFmtId="168" fontId="2" fillId="37" borderId="0" xfId="24" applyNumberFormat="1" applyFont="1" applyFill="1" applyAlignment="1" applyProtection="1">
      <alignment horizontal="center" vertical="center"/>
    </xf>
    <xf numFmtId="2" fontId="2" fillId="0" borderId="0" xfId="0" applyFont="1" applyFill="1" applyBorder="1" applyAlignment="1" applyProtection="1">
      <alignment horizontal="center" vertical="center"/>
    </xf>
    <xf numFmtId="168" fontId="2" fillId="38" borderId="0" xfId="24" applyNumberFormat="1" applyFont="1" applyFill="1" applyAlignment="1" applyProtection="1">
      <alignment horizontal="center" vertical="center"/>
    </xf>
    <xf numFmtId="0" fontId="2" fillId="39" borderId="0" xfId="12" applyFill="1" applyAlignment="1" applyProtection="1">
      <alignment horizontal="center" vertical="center"/>
    </xf>
    <xf numFmtId="0" fontId="2" fillId="40" borderId="0" xfId="19" applyFill="1" applyAlignment="1" applyProtection="1">
      <alignment horizontal="center" vertical="center"/>
    </xf>
    <xf numFmtId="0" fontId="18" fillId="36" borderId="0" xfId="3" applyFont="1" applyFill="1" applyProtection="1">
      <alignment horizontal="center" vertical="center"/>
    </xf>
    <xf numFmtId="0" fontId="2" fillId="41" borderId="0" xfId="23" applyFont="1" applyFill="1" applyAlignment="1" applyProtection="1">
      <alignment horizontal="center" vertical="center"/>
    </xf>
    <xf numFmtId="168" fontId="2" fillId="42" borderId="0" xfId="8" applyNumberFormat="1" applyFont="1" applyFill="1" applyAlignment="1" applyProtection="1">
      <alignment horizontal="center" vertical="center"/>
    </xf>
    <xf numFmtId="2" fontId="2" fillId="0" borderId="0" xfId="0" applyFont="1" applyAlignment="1" applyProtection="1">
      <alignment horizontal="center" vertical="center"/>
    </xf>
    <xf numFmtId="0" fontId="19" fillId="36" borderId="0" xfId="3" applyFont="1" applyFill="1" applyAlignment="1" applyProtection="1">
      <alignment vertical="center"/>
    </xf>
    <xf numFmtId="0" fontId="0" fillId="43" borderId="0" xfId="21" applyFont="1" applyFill="1" applyBorder="1" applyAlignment="1" applyProtection="1">
      <alignment horizontal="center" vertical="center"/>
    </xf>
    <xf numFmtId="0" fontId="3" fillId="43" borderId="0" xfId="21" applyFont="1" applyFill="1" applyBorder="1" applyAlignment="1" applyProtection="1">
      <alignment horizontal="center" vertical="center"/>
    </xf>
    <xf numFmtId="168" fontId="2" fillId="17" borderId="6" xfId="0" applyNumberFormat="1" applyFont="1" applyFill="1" applyBorder="1" applyAlignment="1" applyProtection="1">
      <alignment horizontal="center" vertical="center"/>
    </xf>
    <xf numFmtId="168" fontId="2" fillId="17" borderId="8" xfId="0" applyNumberFormat="1" applyFont="1" applyFill="1" applyBorder="1" applyAlignment="1" applyProtection="1">
      <alignment horizontal="center" vertical="center"/>
    </xf>
    <xf numFmtId="2" fontId="2" fillId="36" borderId="8" xfId="0" applyFont="1" applyFill="1" applyBorder="1" applyAlignment="1" applyProtection="1">
      <alignment horizontal="left" vertical="center" indent="1"/>
    </xf>
    <xf numFmtId="168" fontId="0" fillId="17" borderId="6" xfId="0" applyNumberFormat="1" applyFont="1" applyFill="1" applyBorder="1" applyAlignment="1" applyProtection="1">
      <alignment horizontal="center" vertical="center"/>
    </xf>
    <xf numFmtId="2" fontId="0" fillId="36" borderId="6" xfId="0" applyFont="1" applyFill="1" applyBorder="1" applyAlignment="1" applyProtection="1">
      <alignment horizontal="center" vertical="center"/>
    </xf>
    <xf numFmtId="169" fontId="1" fillId="0" borderId="0" xfId="25" applyNumberFormat="1" applyFill="1" applyBorder="1" applyProtection="1">
      <alignment horizontal="center" vertical="center"/>
    </xf>
    <xf numFmtId="2" fontId="3" fillId="44" borderId="0" xfId="0" applyFont="1" applyFill="1" applyAlignment="1" applyProtection="1">
      <alignment horizontal="center" vertical="center" wrapText="1"/>
    </xf>
    <xf numFmtId="170" fontId="0" fillId="36" borderId="7" xfId="0" applyNumberFormat="1" applyFont="1" applyFill="1" applyBorder="1" applyAlignment="1" applyProtection="1">
      <alignment horizontal="center" vertical="center"/>
    </xf>
    <xf numFmtId="170" fontId="0" fillId="36" borderId="6" xfId="0" applyNumberFormat="1" applyFont="1" applyFill="1" applyBorder="1" applyAlignment="1" applyProtection="1">
      <alignment horizontal="center" vertical="center"/>
    </xf>
    <xf numFmtId="170" fontId="2" fillId="17" borderId="6" xfId="0" applyNumberFormat="1" applyFont="1" applyFill="1" applyBorder="1" applyAlignment="1" applyProtection="1">
      <alignment horizontal="center" vertical="center"/>
    </xf>
    <xf numFmtId="2" fontId="2" fillId="45" borderId="0" xfId="0" applyFont="1" applyFill="1" applyProtection="1">
      <alignment horizontal="left" vertical="center"/>
    </xf>
    <xf numFmtId="2" fontId="0" fillId="44" borderId="0" xfId="0" applyFill="1" applyAlignment="1" applyProtection="1">
      <alignment horizontal="center" vertical="center" wrapText="1"/>
    </xf>
    <xf numFmtId="170" fontId="2" fillId="46" borderId="0" xfId="8" applyNumberFormat="1" applyFont="1" applyFill="1" applyAlignment="1" applyProtection="1">
      <alignment horizontal="center" vertical="center"/>
    </xf>
    <xf numFmtId="2" fontId="2" fillId="47" borderId="0" xfId="0" applyFont="1" applyFill="1" applyProtection="1">
      <alignment horizontal="left" vertical="center"/>
    </xf>
    <xf numFmtId="2" fontId="2" fillId="48" borderId="0" xfId="0" applyFont="1" applyFill="1" applyProtection="1">
      <alignment horizontal="left" vertical="center"/>
    </xf>
    <xf numFmtId="2" fontId="0" fillId="36" borderId="7" xfId="0" applyFont="1" applyFill="1" applyBorder="1" applyAlignment="1" applyProtection="1">
      <alignment horizontal="center" vertical="center"/>
    </xf>
    <xf numFmtId="0" fontId="2" fillId="34" borderId="0" xfId="21" applyFont="1" applyFill="1" applyBorder="1" applyAlignment="1" applyProtection="1">
      <alignment horizontal="left" vertical="center" indent="1"/>
    </xf>
    <xf numFmtId="2" fontId="2" fillId="47" borderId="0" xfId="0" applyFont="1" applyFill="1" applyAlignment="1" applyProtection="1">
      <alignment horizontal="center" vertical="center"/>
    </xf>
    <xf numFmtId="2" fontId="2" fillId="48" borderId="0" xfId="0" applyFont="1" applyFill="1" applyAlignment="1" applyProtection="1">
      <alignment horizontal="center" vertical="center"/>
    </xf>
    <xf numFmtId="2" fontId="2" fillId="45" borderId="0" xfId="0" applyFont="1" applyFill="1" applyAlignment="1" applyProtection="1">
      <alignment horizontal="center" vertical="center"/>
    </xf>
    <xf numFmtId="2" fontId="1" fillId="0" borderId="0" xfId="26" applyNumberFormat="1">
      <alignment horizontal="left" vertical="center" wrapText="1" indent="2"/>
    </xf>
    <xf numFmtId="2" fontId="2" fillId="49" borderId="0" xfId="0" applyFont="1" applyFill="1" applyAlignment="1" applyProtection="1">
      <alignment horizontal="center" vertical="center"/>
    </xf>
    <xf numFmtId="2" fontId="2" fillId="50" borderId="0" xfId="0" applyFont="1" applyFill="1" applyAlignment="1" applyProtection="1">
      <alignment horizontal="center" vertical="center"/>
    </xf>
    <xf numFmtId="2" fontId="0" fillId="51" borderId="0" xfId="0" applyFont="1" applyFill="1" applyBorder="1" applyAlignment="1" applyProtection="1">
      <alignment horizontal="center" vertical="center"/>
    </xf>
    <xf numFmtId="0" fontId="0" fillId="43" borderId="0" xfId="21" applyFont="1" applyFill="1" applyBorder="1" applyAlignment="1" applyProtection="1">
      <alignment horizontal="center" vertical="center" wrapText="1"/>
    </xf>
    <xf numFmtId="2" fontId="2" fillId="52" borderId="0" xfId="0" applyFont="1" applyFill="1" applyAlignment="1" applyProtection="1">
      <alignment horizontal="center" vertical="center"/>
    </xf>
    <xf numFmtId="2" fontId="0" fillId="17" borderId="0" xfId="0" applyFont="1" applyFill="1" applyBorder="1" applyAlignment="1" applyProtection="1">
      <alignment horizontal="center" vertical="center"/>
    </xf>
    <xf numFmtId="170" fontId="0" fillId="17" borderId="7" xfId="0" applyNumberFormat="1" applyFont="1" applyFill="1" applyBorder="1" applyAlignment="1" applyProtection="1">
      <alignment horizontal="center" vertical="center"/>
    </xf>
    <xf numFmtId="2" fontId="2" fillId="53" borderId="9" xfId="0" applyFont="1" applyFill="1" applyBorder="1" applyAlignment="1">
      <alignment horizontal="center" vertical="center"/>
    </xf>
    <xf numFmtId="0" fontId="16" fillId="34" borderId="0" xfId="21" applyFont="1" applyFill="1" applyBorder="1" applyAlignment="1" applyProtection="1">
      <alignment horizontal="left" vertical="center" indent="1"/>
    </xf>
    <xf numFmtId="2" fontId="0" fillId="0" borderId="6" xfId="0" applyBorder="1" applyAlignment="1" applyProtection="1">
      <alignment horizontal="center" vertical="center"/>
    </xf>
    <xf numFmtId="2" fontId="0" fillId="0" borderId="0" xfId="0" applyBorder="1" applyAlignment="1" applyProtection="1">
      <alignment horizontal="center" vertical="center"/>
    </xf>
    <xf numFmtId="0" fontId="7" fillId="0" borderId="0" xfId="27" applyAlignment="1" applyProtection="1">
      <alignment horizontal="right"/>
    </xf>
    <xf numFmtId="2" fontId="0" fillId="0" borderId="0" xfId="26" applyNumberFormat="1" applyFont="1">
      <alignment horizontal="left" vertical="center" wrapText="1" indent="2"/>
    </xf>
    <xf numFmtId="0" fontId="1" fillId="0" borderId="0" xfId="26" applyNumberFormat="1" applyFill="1" applyProtection="1">
      <alignment horizontal="left" vertical="center" wrapText="1" indent="2"/>
    </xf>
    <xf numFmtId="2" fontId="2" fillId="0" borderId="0" xfId="0" applyFont="1" applyFill="1" applyAlignment="1" applyProtection="1">
      <alignment horizontal="center" vertical="center"/>
    </xf>
    <xf numFmtId="169" fontId="1" fillId="0" borderId="0" xfId="25" applyNumberFormat="1" applyFill="1" applyProtection="1">
      <alignment horizontal="center" vertical="center"/>
    </xf>
    <xf numFmtId="169" fontId="1" fillId="0" borderId="0" xfId="25" applyNumberFormat="1" applyFill="1" applyAlignment="1" applyProtection="1">
      <alignment horizontal="center" vertical="center"/>
    </xf>
    <xf numFmtId="168" fontId="0" fillId="36" borderId="0" xfId="0" applyNumberFormat="1" applyFont="1" applyFill="1" applyAlignment="1" applyProtection="1">
      <alignment horizontal="center" vertical="center"/>
    </xf>
    <xf numFmtId="2" fontId="0" fillId="36" borderId="10" xfId="0" applyFont="1" applyFill="1" applyBorder="1" applyAlignment="1" applyProtection="1">
      <alignment horizontal="center" vertical="center"/>
    </xf>
    <xf numFmtId="169" fontId="1" fillId="0" borderId="0" xfId="25" applyNumberFormat="1" applyFill="1" applyAlignment="1" applyProtection="1">
      <alignment horizontal="center" vertical="center" wrapText="1"/>
    </xf>
    <xf numFmtId="2" fontId="2" fillId="0" borderId="11" xfId="0" applyFont="1" applyFill="1" applyBorder="1" applyAlignment="1" applyProtection="1">
      <alignment horizontal="center" vertical="center"/>
    </xf>
    <xf numFmtId="0" fontId="1" fillId="43" borderId="0" xfId="21" applyFont="1" applyFill="1" applyBorder="1" applyAlignment="1" applyProtection="1">
      <alignment horizontal="center" vertical="center"/>
    </xf>
    <xf numFmtId="0" fontId="18" fillId="55" borderId="0" xfId="0" applyNumberFormat="1" applyFont="1" applyFill="1" applyAlignment="1">
      <alignment vertical="center"/>
    </xf>
    <xf numFmtId="0" fontId="18" fillId="36" borderId="0" xfId="3" applyFont="1" applyFill="1" applyAlignment="1" applyProtection="1">
      <alignment vertical="center"/>
    </xf>
    <xf numFmtId="0" fontId="18" fillId="34" borderId="0" xfId="3" applyFont="1" applyFill="1" applyProtection="1">
      <alignment horizontal="center" vertical="center"/>
    </xf>
    <xf numFmtId="2" fontId="3" fillId="56" borderId="0" xfId="0" applyFont="1" applyFill="1" applyAlignment="1" applyProtection="1">
      <alignment horizontal="center" vertical="center"/>
    </xf>
    <xf numFmtId="2" fontId="3" fillId="44" borderId="11" xfId="0" applyFont="1" applyFill="1" applyBorder="1" applyAlignment="1" applyProtection="1">
      <alignment horizontal="center" vertical="center" wrapText="1"/>
    </xf>
    <xf numFmtId="2" fontId="2" fillId="54" borderId="0" xfId="0" applyFont="1" applyFill="1" applyAlignment="1" applyProtection="1">
      <alignment horizontal="center" vertical="center"/>
    </xf>
    <xf numFmtId="2" fontId="2" fillId="0" borderId="0" xfId="0" applyFont="1" applyAlignment="1">
      <alignment horizontal="center" vertical="center"/>
    </xf>
    <xf numFmtId="2" fontId="0" fillId="0" borderId="0" xfId="0" pivotButton="1">
      <alignment horizontal="left" vertical="center"/>
    </xf>
    <xf numFmtId="171" fontId="0" fillId="0" borderId="0" xfId="0" applyNumberFormat="1">
      <alignment horizontal="left" vertical="center"/>
    </xf>
    <xf numFmtId="2" fontId="0" fillId="33" borderId="0" xfId="0" applyFill="1" applyAlignment="1" applyProtection="1">
      <alignment horizontal="left" vertical="center"/>
    </xf>
    <xf numFmtId="2" fontId="0" fillId="33" borderId="0" xfId="0" applyFill="1" applyAlignment="1" applyProtection="1">
      <alignment horizontal="center" vertical="center"/>
    </xf>
    <xf numFmtId="0" fontId="0" fillId="33" borderId="0" xfId="21" applyFont="1" applyFill="1" applyAlignment="1" applyProtection="1">
      <alignment horizontal="left" vertical="center"/>
    </xf>
    <xf numFmtId="0" fontId="0" fillId="33" borderId="0" xfId="21" applyFont="1" applyFill="1" applyAlignment="1" applyProtection="1">
      <alignment horizontal="center" vertical="center"/>
    </xf>
    <xf numFmtId="0" fontId="20" fillId="36" borderId="0" xfId="3" applyFont="1" applyFill="1" applyProtection="1">
      <alignment horizontal="center" vertical="center"/>
    </xf>
    <xf numFmtId="0" fontId="19" fillId="36" borderId="0" xfId="3" applyFont="1" applyFill="1" applyProtection="1">
      <alignment horizontal="center" vertical="center"/>
    </xf>
    <xf numFmtId="0" fontId="1" fillId="33" borderId="0" xfId="21" applyFill="1" applyAlignment="1" applyProtection="1">
      <alignment horizontal="left" vertical="center"/>
    </xf>
    <xf numFmtId="0" fontId="0" fillId="33" borderId="11" xfId="21" applyFont="1" applyFill="1" applyBorder="1" applyAlignment="1" applyProtection="1">
      <alignment horizontal="left" vertical="center"/>
    </xf>
    <xf numFmtId="0" fontId="0" fillId="33" borderId="12" xfId="21" applyFont="1" applyFill="1" applyBorder="1" applyAlignment="1" applyProtection="1">
      <alignment horizontal="left" vertical="center"/>
    </xf>
    <xf numFmtId="2" fontId="0" fillId="0" borderId="0" xfId="0" applyAlignment="1" applyProtection="1">
      <alignment horizontal="center" vertical="center"/>
    </xf>
    <xf numFmtId="172" fontId="0" fillId="0" borderId="0" xfId="0" applyNumberFormat="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422">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172" formatCode="[$-F800]dddd\,\ mmmm\ dd\,\ yyyy"/>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numFmt numFmtId="169" formatCode="0.0"/>
      <fill>
        <patternFill patternType="none">
          <fgColor indexed="64"/>
          <bgColor indexed="65"/>
        </patternFill>
      </fill>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solid">
          <fgColor indexed="64"/>
          <bgColor theme="4" tint="0.5999938962981048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theme="4"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outline val="0"/>
        <shadow val="0"/>
        <u val="none"/>
        <vertAlign val="baseline"/>
        <sz val="11"/>
        <color rgb="FFFF0000"/>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font>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numFmt numFmtId="169"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patternFill>
      </fill>
      <alignment horizontal="center" vertical="center" textRotation="0" wrapText="0" indent="0" justifyLastLine="0" shrinkToFit="0" readingOrder="0"/>
      <protection locked="1" hidden="0"/>
    </dxf>
    <dxf>
      <font>
        <b/>
      </font>
      <numFmt numFmtId="2" formatCode="0.00"/>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ill>
        <patternFill patternType="none">
          <fgColor indexed="64"/>
          <bgColor indexed="65"/>
        </patternFill>
      </fill>
    </dxf>
    <dxf>
      <fill>
        <patternFill patternType="solid">
          <fgColor indexed="64"/>
          <bgColor theme="8" tint="0.79998168889431442"/>
        </patternFill>
      </fill>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1421"/>
      <tableStyleElement type="headerRow" dxfId="1420"/>
      <tableStyleElement type="totalRow" dxfId="1419"/>
      <tableStyleElement type="firstColumn" dxfId="1418"/>
      <tableStyleElement type="lastColumn" dxfId="1417"/>
      <tableStyleElement type="firstRowStripe" dxfId="1416"/>
      <tableStyleElement type="secondRowStripe" dxfId="1415"/>
      <tableStyleElement type="firstColumnStripe" dxfId="1414"/>
      <tableStyleElement type="secondColumnStripe" dxfId="1413"/>
      <tableStyleElement type="firstHeaderCell" dxfId="1412"/>
      <tableStyleElement type="lastHeaderCell" dxfId="1411"/>
      <tableStyleElement type="firstTotalCell" dxfId="1410"/>
      <tableStyleElement type="lastTotalCell" dxfId="1409"/>
    </tableStyle>
  </tableStyles>
  <colors>
    <mruColors>
      <color rgb="FFFF2F92"/>
      <color rgb="FF92D0BA"/>
      <color rgb="FF941651"/>
      <color rgb="FF8EFA00"/>
      <color rgb="FF5EB0F0"/>
      <color rgb="FFD883FF"/>
      <color rgb="FFFF7E79"/>
      <color rgb="FF76D6FF"/>
      <color rgb="FFFFB8D8"/>
      <color rgb="FF73FDD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pivotCacheDefinition" Target="pivotCache/pivotCacheDefinition1.xml"/><Relationship Id="rId3" Type="http://schemas.openxmlformats.org/officeDocument/2006/relationships/worksheet" Target="worksheets/sheet3.xml"/><Relationship Id="rId21" Type="http://schemas.openxmlformats.org/officeDocument/2006/relationships/connections" Target="connection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5"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microsoft.com/office/2007/relationships/slicerCache" Target="slicerCaches/slicerCach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18</xdr:col>
      <xdr:colOff>104775</xdr:colOff>
      <xdr:row>1</xdr:row>
      <xdr:rowOff>19050</xdr:rowOff>
    </xdr:from>
    <xdr:to>
      <xdr:col>20</xdr:col>
      <xdr:colOff>409575</xdr:colOff>
      <xdr:row>14</xdr:row>
      <xdr:rowOff>66675</xdr:rowOff>
    </xdr:to>
    <mc:AlternateContent xmlns:mc="http://schemas.openxmlformats.org/markup-compatibility/2006" xmlns:a14="http://schemas.microsoft.com/office/drawing/2010/main">
      <mc:Choice Requires="a14">
        <xdr:graphicFrame macro="">
          <xdr:nvGraphicFramePr>
            <xdr:cNvPr id="2" name="Motif">
              <a:extLst>
                <a:ext uri="{FF2B5EF4-FFF2-40B4-BE49-F238E27FC236}">
                  <a16:creationId xmlns:a16="http://schemas.microsoft.com/office/drawing/2014/main" id="{BAE6707B-4091-4452-BFAB-6DB8E649202B}"/>
                </a:ext>
              </a:extLst>
            </xdr:cNvPr>
            <xdr:cNvGraphicFramePr/>
          </xdr:nvGraphicFramePr>
          <xdr:xfrm>
            <a:off x="0" y="0"/>
            <a:ext cx="0" cy="0"/>
          </xdr:xfrm>
          <a:graphic>
            <a:graphicData uri="http://schemas.microsoft.com/office/drawing/2010/slicer">
              <sle:slicer xmlns:sle="http://schemas.microsoft.com/office/drawing/2010/slicer" name="Motif"/>
            </a:graphicData>
          </a:graphic>
        </xdr:graphicFrame>
      </mc:Choice>
      <mc:Fallback xmlns="">
        <xdr:sp macro="" textlink="">
          <xdr:nvSpPr>
            <xdr:cNvPr id="0" name=""/>
            <xdr:cNvSpPr>
              <a:spLocks noTextEdit="1"/>
            </xdr:cNvSpPr>
          </xdr:nvSpPr>
          <xdr:spPr>
            <a:xfrm>
              <a:off x="11582400" y="209550"/>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Charlotte/Documents_SRV/PROJETS%20MGI/2021-2022/_Absence_RTT_tes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 val="Noms des employés"/>
      <sheetName val="Type d'absence"/>
    </sheetNames>
    <sheetDataSet>
      <sheetData sheetId="0">
        <row r="2">
          <cell r="C2" t="str">
            <v>CS</v>
          </cell>
          <cell r="F2" t="str">
            <v>DRTT</v>
          </cell>
          <cell r="I2" t="str">
            <v>DREC</v>
          </cell>
          <cell r="P2" t="str">
            <v>PE</v>
          </cell>
          <cell r="V2" t="str">
            <v>DEM</v>
          </cell>
          <cell r="Z2" t="str">
            <v>NT</v>
          </cell>
        </row>
        <row r="3">
          <cell r="C3" t="str">
            <v>C</v>
          </cell>
          <cell r="F3" t="str">
            <v>RTT</v>
          </cell>
          <cell r="I3" t="str">
            <v>Rec</v>
          </cell>
          <cell r="M3" t="str">
            <v>F</v>
          </cell>
          <cell r="P3" t="str">
            <v>TT</v>
          </cell>
          <cell r="S3" t="str">
            <v>M</v>
          </cell>
          <cell r="V3" t="str">
            <v>EM</v>
          </cell>
          <cell r="Z3" t="str">
            <v>AJ</v>
          </cell>
        </row>
        <row r="5">
          <cell r="AK5">
            <v>2021</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sheetData sheetId="13"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_W10" refreshedDate="44476.675180324077" backgroundQuery="1" createdVersion="7" refreshedVersion="7" minRefreshableVersion="3" recordCount="672" xr:uid="{E51B5881-DA3E-4ECA-98F5-D7C4967821F0}">
  <cacheSource type="external" connectionId="4"/>
  <cacheFields count="4">
    <cacheField name="Mois" numFmtId="0">
      <sharedItems count="12">
        <s v="Janvier"/>
        <s v="Février"/>
        <s v="Mars"/>
        <s v="Avril"/>
        <s v="Mai"/>
        <s v="Juin"/>
        <s v="Juillet"/>
        <s v="Août"/>
        <s v="Septembre"/>
        <s v="Octobre"/>
        <s v="Novembre"/>
        <s v="Décembre"/>
      </sharedItems>
    </cacheField>
    <cacheField name="Motif" numFmtId="0">
      <sharedItems count="14">
        <s v="C"/>
        <s v="RTT"/>
        <s v="DRTT"/>
        <s v="REC"/>
        <s v="DREC"/>
        <s v="PE"/>
        <s v="TT"/>
        <s v="M"/>
        <s v="EM"/>
        <s v="DEM"/>
        <s v="CS"/>
        <s v="AJ"/>
        <s v="CET"/>
        <s v="DCET"/>
      </sharedItems>
    </cacheField>
    <cacheField name="Noms des employés" numFmtId="0">
      <sharedItems count="4">
        <s v="Employés 01"/>
        <s v="Employés 02"/>
        <s v="Employés 03"/>
        <s v="Employés 04"/>
      </sharedItems>
    </cacheField>
    <cacheField name="Jours" numFmtId="0">
      <sharedItems containsSemiMixedTypes="0" containsString="0" containsNumber="1" containsInteger="1" minValue="0" maxValue="2" count="3">
        <n v="0"/>
        <n v="2"/>
        <n v="1"/>
      </sharedItems>
    </cacheField>
  </cacheFields>
  <extLst>
    <ext xmlns:x14="http://schemas.microsoft.com/office/spreadsheetml/2009/9/main" uri="{725AE2AE-9491-48be-B2B4-4EB974FC3084}">
      <x14:pivotCacheDefinition pivotCacheId="2139935982"/>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72">
  <r>
    <x v="0"/>
    <x v="0"/>
    <x v="0"/>
    <x v="0"/>
  </r>
  <r>
    <x v="0"/>
    <x v="0"/>
    <x v="1"/>
    <x v="0"/>
  </r>
  <r>
    <x v="0"/>
    <x v="0"/>
    <x v="2"/>
    <x v="0"/>
  </r>
  <r>
    <x v="0"/>
    <x v="0"/>
    <x v="3"/>
    <x v="0"/>
  </r>
  <r>
    <x v="0"/>
    <x v="1"/>
    <x v="0"/>
    <x v="0"/>
  </r>
  <r>
    <x v="0"/>
    <x v="1"/>
    <x v="1"/>
    <x v="1"/>
  </r>
  <r>
    <x v="0"/>
    <x v="1"/>
    <x v="2"/>
    <x v="0"/>
  </r>
  <r>
    <x v="0"/>
    <x v="1"/>
    <x v="3"/>
    <x v="0"/>
  </r>
  <r>
    <x v="0"/>
    <x v="2"/>
    <x v="0"/>
    <x v="0"/>
  </r>
  <r>
    <x v="0"/>
    <x v="2"/>
    <x v="1"/>
    <x v="0"/>
  </r>
  <r>
    <x v="0"/>
    <x v="2"/>
    <x v="2"/>
    <x v="0"/>
  </r>
  <r>
    <x v="0"/>
    <x v="2"/>
    <x v="3"/>
    <x v="0"/>
  </r>
  <r>
    <x v="0"/>
    <x v="3"/>
    <x v="0"/>
    <x v="2"/>
  </r>
  <r>
    <x v="0"/>
    <x v="3"/>
    <x v="1"/>
    <x v="2"/>
  </r>
  <r>
    <x v="0"/>
    <x v="3"/>
    <x v="2"/>
    <x v="0"/>
  </r>
  <r>
    <x v="0"/>
    <x v="3"/>
    <x v="3"/>
    <x v="0"/>
  </r>
  <r>
    <x v="0"/>
    <x v="4"/>
    <x v="0"/>
    <x v="0"/>
  </r>
  <r>
    <x v="0"/>
    <x v="4"/>
    <x v="1"/>
    <x v="0"/>
  </r>
  <r>
    <x v="0"/>
    <x v="4"/>
    <x v="2"/>
    <x v="0"/>
  </r>
  <r>
    <x v="0"/>
    <x v="4"/>
    <x v="3"/>
    <x v="0"/>
  </r>
  <r>
    <x v="0"/>
    <x v="5"/>
    <x v="0"/>
    <x v="0"/>
  </r>
  <r>
    <x v="0"/>
    <x v="5"/>
    <x v="1"/>
    <x v="0"/>
  </r>
  <r>
    <x v="0"/>
    <x v="5"/>
    <x v="2"/>
    <x v="0"/>
  </r>
  <r>
    <x v="0"/>
    <x v="5"/>
    <x v="3"/>
    <x v="0"/>
  </r>
  <r>
    <x v="0"/>
    <x v="6"/>
    <x v="0"/>
    <x v="0"/>
  </r>
  <r>
    <x v="0"/>
    <x v="6"/>
    <x v="1"/>
    <x v="0"/>
  </r>
  <r>
    <x v="0"/>
    <x v="6"/>
    <x v="2"/>
    <x v="0"/>
  </r>
  <r>
    <x v="0"/>
    <x v="6"/>
    <x v="3"/>
    <x v="0"/>
  </r>
  <r>
    <x v="0"/>
    <x v="7"/>
    <x v="0"/>
    <x v="0"/>
  </r>
  <r>
    <x v="0"/>
    <x v="7"/>
    <x v="1"/>
    <x v="0"/>
  </r>
  <r>
    <x v="0"/>
    <x v="7"/>
    <x v="2"/>
    <x v="0"/>
  </r>
  <r>
    <x v="0"/>
    <x v="7"/>
    <x v="3"/>
    <x v="0"/>
  </r>
  <r>
    <x v="0"/>
    <x v="8"/>
    <x v="0"/>
    <x v="0"/>
  </r>
  <r>
    <x v="0"/>
    <x v="8"/>
    <x v="1"/>
    <x v="0"/>
  </r>
  <r>
    <x v="0"/>
    <x v="8"/>
    <x v="2"/>
    <x v="0"/>
  </r>
  <r>
    <x v="0"/>
    <x v="8"/>
    <x v="3"/>
    <x v="0"/>
  </r>
  <r>
    <x v="0"/>
    <x v="9"/>
    <x v="0"/>
    <x v="0"/>
  </r>
  <r>
    <x v="0"/>
    <x v="9"/>
    <x v="1"/>
    <x v="0"/>
  </r>
  <r>
    <x v="0"/>
    <x v="9"/>
    <x v="2"/>
    <x v="0"/>
  </r>
  <r>
    <x v="0"/>
    <x v="9"/>
    <x v="3"/>
    <x v="0"/>
  </r>
  <r>
    <x v="0"/>
    <x v="10"/>
    <x v="0"/>
    <x v="0"/>
  </r>
  <r>
    <x v="0"/>
    <x v="10"/>
    <x v="1"/>
    <x v="0"/>
  </r>
  <r>
    <x v="0"/>
    <x v="10"/>
    <x v="2"/>
    <x v="0"/>
  </r>
  <r>
    <x v="0"/>
    <x v="10"/>
    <x v="3"/>
    <x v="0"/>
  </r>
  <r>
    <x v="0"/>
    <x v="11"/>
    <x v="0"/>
    <x v="0"/>
  </r>
  <r>
    <x v="0"/>
    <x v="11"/>
    <x v="1"/>
    <x v="0"/>
  </r>
  <r>
    <x v="0"/>
    <x v="11"/>
    <x v="2"/>
    <x v="0"/>
  </r>
  <r>
    <x v="0"/>
    <x v="11"/>
    <x v="3"/>
    <x v="0"/>
  </r>
  <r>
    <x v="0"/>
    <x v="12"/>
    <x v="0"/>
    <x v="0"/>
  </r>
  <r>
    <x v="0"/>
    <x v="12"/>
    <x v="1"/>
    <x v="0"/>
  </r>
  <r>
    <x v="0"/>
    <x v="12"/>
    <x v="2"/>
    <x v="0"/>
  </r>
  <r>
    <x v="0"/>
    <x v="12"/>
    <x v="3"/>
    <x v="0"/>
  </r>
  <r>
    <x v="0"/>
    <x v="13"/>
    <x v="0"/>
    <x v="0"/>
  </r>
  <r>
    <x v="0"/>
    <x v="13"/>
    <x v="1"/>
    <x v="0"/>
  </r>
  <r>
    <x v="0"/>
    <x v="13"/>
    <x v="2"/>
    <x v="0"/>
  </r>
  <r>
    <x v="0"/>
    <x v="13"/>
    <x v="3"/>
    <x v="0"/>
  </r>
  <r>
    <x v="1"/>
    <x v="0"/>
    <x v="0"/>
    <x v="0"/>
  </r>
  <r>
    <x v="1"/>
    <x v="0"/>
    <x v="1"/>
    <x v="0"/>
  </r>
  <r>
    <x v="1"/>
    <x v="0"/>
    <x v="2"/>
    <x v="0"/>
  </r>
  <r>
    <x v="1"/>
    <x v="0"/>
    <x v="3"/>
    <x v="0"/>
  </r>
  <r>
    <x v="1"/>
    <x v="1"/>
    <x v="0"/>
    <x v="0"/>
  </r>
  <r>
    <x v="1"/>
    <x v="1"/>
    <x v="1"/>
    <x v="0"/>
  </r>
  <r>
    <x v="1"/>
    <x v="1"/>
    <x v="2"/>
    <x v="0"/>
  </r>
  <r>
    <x v="1"/>
    <x v="1"/>
    <x v="3"/>
    <x v="0"/>
  </r>
  <r>
    <x v="1"/>
    <x v="2"/>
    <x v="0"/>
    <x v="0"/>
  </r>
  <r>
    <x v="1"/>
    <x v="2"/>
    <x v="1"/>
    <x v="0"/>
  </r>
  <r>
    <x v="1"/>
    <x v="2"/>
    <x v="2"/>
    <x v="0"/>
  </r>
  <r>
    <x v="1"/>
    <x v="2"/>
    <x v="3"/>
    <x v="0"/>
  </r>
  <r>
    <x v="1"/>
    <x v="3"/>
    <x v="0"/>
    <x v="0"/>
  </r>
  <r>
    <x v="1"/>
    <x v="3"/>
    <x v="1"/>
    <x v="0"/>
  </r>
  <r>
    <x v="1"/>
    <x v="3"/>
    <x v="2"/>
    <x v="0"/>
  </r>
  <r>
    <x v="1"/>
    <x v="3"/>
    <x v="3"/>
    <x v="0"/>
  </r>
  <r>
    <x v="1"/>
    <x v="4"/>
    <x v="0"/>
    <x v="0"/>
  </r>
  <r>
    <x v="1"/>
    <x v="4"/>
    <x v="1"/>
    <x v="0"/>
  </r>
  <r>
    <x v="1"/>
    <x v="4"/>
    <x v="2"/>
    <x v="0"/>
  </r>
  <r>
    <x v="1"/>
    <x v="4"/>
    <x v="3"/>
    <x v="0"/>
  </r>
  <r>
    <x v="1"/>
    <x v="5"/>
    <x v="0"/>
    <x v="0"/>
  </r>
  <r>
    <x v="1"/>
    <x v="5"/>
    <x v="1"/>
    <x v="0"/>
  </r>
  <r>
    <x v="1"/>
    <x v="5"/>
    <x v="2"/>
    <x v="0"/>
  </r>
  <r>
    <x v="1"/>
    <x v="5"/>
    <x v="3"/>
    <x v="0"/>
  </r>
  <r>
    <x v="1"/>
    <x v="6"/>
    <x v="0"/>
    <x v="0"/>
  </r>
  <r>
    <x v="1"/>
    <x v="6"/>
    <x v="1"/>
    <x v="0"/>
  </r>
  <r>
    <x v="1"/>
    <x v="6"/>
    <x v="2"/>
    <x v="0"/>
  </r>
  <r>
    <x v="1"/>
    <x v="6"/>
    <x v="3"/>
    <x v="0"/>
  </r>
  <r>
    <x v="1"/>
    <x v="7"/>
    <x v="0"/>
    <x v="0"/>
  </r>
  <r>
    <x v="1"/>
    <x v="7"/>
    <x v="1"/>
    <x v="0"/>
  </r>
  <r>
    <x v="1"/>
    <x v="7"/>
    <x v="2"/>
    <x v="0"/>
  </r>
  <r>
    <x v="1"/>
    <x v="7"/>
    <x v="3"/>
    <x v="0"/>
  </r>
  <r>
    <x v="1"/>
    <x v="8"/>
    <x v="0"/>
    <x v="0"/>
  </r>
  <r>
    <x v="1"/>
    <x v="8"/>
    <x v="1"/>
    <x v="0"/>
  </r>
  <r>
    <x v="1"/>
    <x v="8"/>
    <x v="2"/>
    <x v="0"/>
  </r>
  <r>
    <x v="1"/>
    <x v="8"/>
    <x v="3"/>
    <x v="0"/>
  </r>
  <r>
    <x v="1"/>
    <x v="9"/>
    <x v="0"/>
    <x v="0"/>
  </r>
  <r>
    <x v="1"/>
    <x v="9"/>
    <x v="1"/>
    <x v="0"/>
  </r>
  <r>
    <x v="1"/>
    <x v="9"/>
    <x v="2"/>
    <x v="0"/>
  </r>
  <r>
    <x v="1"/>
    <x v="9"/>
    <x v="3"/>
    <x v="0"/>
  </r>
  <r>
    <x v="1"/>
    <x v="10"/>
    <x v="0"/>
    <x v="0"/>
  </r>
  <r>
    <x v="1"/>
    <x v="10"/>
    <x v="1"/>
    <x v="0"/>
  </r>
  <r>
    <x v="1"/>
    <x v="10"/>
    <x v="2"/>
    <x v="0"/>
  </r>
  <r>
    <x v="1"/>
    <x v="10"/>
    <x v="3"/>
    <x v="0"/>
  </r>
  <r>
    <x v="1"/>
    <x v="11"/>
    <x v="0"/>
    <x v="0"/>
  </r>
  <r>
    <x v="1"/>
    <x v="11"/>
    <x v="1"/>
    <x v="0"/>
  </r>
  <r>
    <x v="1"/>
    <x v="11"/>
    <x v="2"/>
    <x v="0"/>
  </r>
  <r>
    <x v="1"/>
    <x v="11"/>
    <x v="3"/>
    <x v="0"/>
  </r>
  <r>
    <x v="1"/>
    <x v="12"/>
    <x v="0"/>
    <x v="0"/>
  </r>
  <r>
    <x v="1"/>
    <x v="12"/>
    <x v="1"/>
    <x v="0"/>
  </r>
  <r>
    <x v="1"/>
    <x v="12"/>
    <x v="2"/>
    <x v="0"/>
  </r>
  <r>
    <x v="1"/>
    <x v="12"/>
    <x v="3"/>
    <x v="0"/>
  </r>
  <r>
    <x v="1"/>
    <x v="13"/>
    <x v="0"/>
    <x v="0"/>
  </r>
  <r>
    <x v="1"/>
    <x v="13"/>
    <x v="1"/>
    <x v="0"/>
  </r>
  <r>
    <x v="1"/>
    <x v="13"/>
    <x v="2"/>
    <x v="0"/>
  </r>
  <r>
    <x v="1"/>
    <x v="13"/>
    <x v="3"/>
    <x v="0"/>
  </r>
  <r>
    <x v="2"/>
    <x v="0"/>
    <x v="0"/>
    <x v="0"/>
  </r>
  <r>
    <x v="2"/>
    <x v="0"/>
    <x v="1"/>
    <x v="0"/>
  </r>
  <r>
    <x v="2"/>
    <x v="0"/>
    <x v="2"/>
    <x v="0"/>
  </r>
  <r>
    <x v="2"/>
    <x v="0"/>
    <x v="3"/>
    <x v="0"/>
  </r>
  <r>
    <x v="2"/>
    <x v="1"/>
    <x v="0"/>
    <x v="0"/>
  </r>
  <r>
    <x v="2"/>
    <x v="1"/>
    <x v="1"/>
    <x v="0"/>
  </r>
  <r>
    <x v="2"/>
    <x v="1"/>
    <x v="2"/>
    <x v="0"/>
  </r>
  <r>
    <x v="2"/>
    <x v="1"/>
    <x v="3"/>
    <x v="0"/>
  </r>
  <r>
    <x v="2"/>
    <x v="2"/>
    <x v="0"/>
    <x v="0"/>
  </r>
  <r>
    <x v="2"/>
    <x v="2"/>
    <x v="1"/>
    <x v="0"/>
  </r>
  <r>
    <x v="2"/>
    <x v="2"/>
    <x v="2"/>
    <x v="0"/>
  </r>
  <r>
    <x v="2"/>
    <x v="2"/>
    <x v="3"/>
    <x v="0"/>
  </r>
  <r>
    <x v="2"/>
    <x v="3"/>
    <x v="0"/>
    <x v="0"/>
  </r>
  <r>
    <x v="2"/>
    <x v="3"/>
    <x v="1"/>
    <x v="0"/>
  </r>
  <r>
    <x v="2"/>
    <x v="3"/>
    <x v="2"/>
    <x v="0"/>
  </r>
  <r>
    <x v="2"/>
    <x v="3"/>
    <x v="3"/>
    <x v="0"/>
  </r>
  <r>
    <x v="2"/>
    <x v="4"/>
    <x v="0"/>
    <x v="0"/>
  </r>
  <r>
    <x v="2"/>
    <x v="4"/>
    <x v="1"/>
    <x v="0"/>
  </r>
  <r>
    <x v="2"/>
    <x v="4"/>
    <x v="2"/>
    <x v="0"/>
  </r>
  <r>
    <x v="2"/>
    <x v="4"/>
    <x v="3"/>
    <x v="0"/>
  </r>
  <r>
    <x v="2"/>
    <x v="5"/>
    <x v="0"/>
    <x v="0"/>
  </r>
  <r>
    <x v="2"/>
    <x v="5"/>
    <x v="1"/>
    <x v="0"/>
  </r>
  <r>
    <x v="2"/>
    <x v="5"/>
    <x v="2"/>
    <x v="0"/>
  </r>
  <r>
    <x v="2"/>
    <x v="5"/>
    <x v="3"/>
    <x v="0"/>
  </r>
  <r>
    <x v="2"/>
    <x v="6"/>
    <x v="0"/>
    <x v="0"/>
  </r>
  <r>
    <x v="2"/>
    <x v="6"/>
    <x v="1"/>
    <x v="0"/>
  </r>
  <r>
    <x v="2"/>
    <x v="6"/>
    <x v="2"/>
    <x v="0"/>
  </r>
  <r>
    <x v="2"/>
    <x v="6"/>
    <x v="3"/>
    <x v="0"/>
  </r>
  <r>
    <x v="2"/>
    <x v="7"/>
    <x v="0"/>
    <x v="0"/>
  </r>
  <r>
    <x v="2"/>
    <x v="7"/>
    <x v="1"/>
    <x v="0"/>
  </r>
  <r>
    <x v="2"/>
    <x v="7"/>
    <x v="2"/>
    <x v="0"/>
  </r>
  <r>
    <x v="2"/>
    <x v="7"/>
    <x v="3"/>
    <x v="0"/>
  </r>
  <r>
    <x v="2"/>
    <x v="8"/>
    <x v="0"/>
    <x v="0"/>
  </r>
  <r>
    <x v="2"/>
    <x v="8"/>
    <x v="1"/>
    <x v="0"/>
  </r>
  <r>
    <x v="2"/>
    <x v="8"/>
    <x v="2"/>
    <x v="0"/>
  </r>
  <r>
    <x v="2"/>
    <x v="8"/>
    <x v="3"/>
    <x v="0"/>
  </r>
  <r>
    <x v="2"/>
    <x v="9"/>
    <x v="0"/>
    <x v="0"/>
  </r>
  <r>
    <x v="2"/>
    <x v="9"/>
    <x v="1"/>
    <x v="0"/>
  </r>
  <r>
    <x v="2"/>
    <x v="9"/>
    <x v="2"/>
    <x v="0"/>
  </r>
  <r>
    <x v="2"/>
    <x v="9"/>
    <x v="3"/>
    <x v="0"/>
  </r>
  <r>
    <x v="2"/>
    <x v="10"/>
    <x v="0"/>
    <x v="0"/>
  </r>
  <r>
    <x v="2"/>
    <x v="10"/>
    <x v="1"/>
    <x v="0"/>
  </r>
  <r>
    <x v="2"/>
    <x v="10"/>
    <x v="2"/>
    <x v="0"/>
  </r>
  <r>
    <x v="2"/>
    <x v="10"/>
    <x v="3"/>
    <x v="0"/>
  </r>
  <r>
    <x v="2"/>
    <x v="11"/>
    <x v="0"/>
    <x v="0"/>
  </r>
  <r>
    <x v="2"/>
    <x v="11"/>
    <x v="1"/>
    <x v="0"/>
  </r>
  <r>
    <x v="2"/>
    <x v="11"/>
    <x v="2"/>
    <x v="0"/>
  </r>
  <r>
    <x v="2"/>
    <x v="11"/>
    <x v="3"/>
    <x v="0"/>
  </r>
  <r>
    <x v="2"/>
    <x v="12"/>
    <x v="0"/>
    <x v="0"/>
  </r>
  <r>
    <x v="2"/>
    <x v="12"/>
    <x v="1"/>
    <x v="0"/>
  </r>
  <r>
    <x v="2"/>
    <x v="12"/>
    <x v="2"/>
    <x v="0"/>
  </r>
  <r>
    <x v="2"/>
    <x v="12"/>
    <x v="3"/>
    <x v="0"/>
  </r>
  <r>
    <x v="2"/>
    <x v="13"/>
    <x v="0"/>
    <x v="0"/>
  </r>
  <r>
    <x v="2"/>
    <x v="13"/>
    <x v="1"/>
    <x v="0"/>
  </r>
  <r>
    <x v="2"/>
    <x v="13"/>
    <x v="2"/>
    <x v="0"/>
  </r>
  <r>
    <x v="2"/>
    <x v="13"/>
    <x v="3"/>
    <x v="0"/>
  </r>
  <r>
    <x v="3"/>
    <x v="0"/>
    <x v="0"/>
    <x v="0"/>
  </r>
  <r>
    <x v="3"/>
    <x v="0"/>
    <x v="1"/>
    <x v="0"/>
  </r>
  <r>
    <x v="3"/>
    <x v="0"/>
    <x v="2"/>
    <x v="0"/>
  </r>
  <r>
    <x v="3"/>
    <x v="0"/>
    <x v="3"/>
    <x v="0"/>
  </r>
  <r>
    <x v="3"/>
    <x v="1"/>
    <x v="0"/>
    <x v="0"/>
  </r>
  <r>
    <x v="3"/>
    <x v="1"/>
    <x v="1"/>
    <x v="0"/>
  </r>
  <r>
    <x v="3"/>
    <x v="1"/>
    <x v="2"/>
    <x v="0"/>
  </r>
  <r>
    <x v="3"/>
    <x v="1"/>
    <x v="3"/>
    <x v="0"/>
  </r>
  <r>
    <x v="3"/>
    <x v="2"/>
    <x v="0"/>
    <x v="0"/>
  </r>
  <r>
    <x v="3"/>
    <x v="2"/>
    <x v="1"/>
    <x v="0"/>
  </r>
  <r>
    <x v="3"/>
    <x v="2"/>
    <x v="2"/>
    <x v="0"/>
  </r>
  <r>
    <x v="3"/>
    <x v="2"/>
    <x v="3"/>
    <x v="0"/>
  </r>
  <r>
    <x v="3"/>
    <x v="3"/>
    <x v="0"/>
    <x v="0"/>
  </r>
  <r>
    <x v="3"/>
    <x v="3"/>
    <x v="1"/>
    <x v="0"/>
  </r>
  <r>
    <x v="3"/>
    <x v="3"/>
    <x v="2"/>
    <x v="0"/>
  </r>
  <r>
    <x v="3"/>
    <x v="3"/>
    <x v="3"/>
    <x v="0"/>
  </r>
  <r>
    <x v="3"/>
    <x v="4"/>
    <x v="0"/>
    <x v="0"/>
  </r>
  <r>
    <x v="3"/>
    <x v="4"/>
    <x v="1"/>
    <x v="0"/>
  </r>
  <r>
    <x v="3"/>
    <x v="4"/>
    <x v="2"/>
    <x v="0"/>
  </r>
  <r>
    <x v="3"/>
    <x v="4"/>
    <x v="3"/>
    <x v="0"/>
  </r>
  <r>
    <x v="3"/>
    <x v="5"/>
    <x v="0"/>
    <x v="0"/>
  </r>
  <r>
    <x v="3"/>
    <x v="5"/>
    <x v="1"/>
    <x v="0"/>
  </r>
  <r>
    <x v="3"/>
    <x v="5"/>
    <x v="2"/>
    <x v="0"/>
  </r>
  <r>
    <x v="3"/>
    <x v="5"/>
    <x v="3"/>
    <x v="0"/>
  </r>
  <r>
    <x v="3"/>
    <x v="6"/>
    <x v="0"/>
    <x v="0"/>
  </r>
  <r>
    <x v="3"/>
    <x v="6"/>
    <x v="1"/>
    <x v="0"/>
  </r>
  <r>
    <x v="3"/>
    <x v="6"/>
    <x v="2"/>
    <x v="0"/>
  </r>
  <r>
    <x v="3"/>
    <x v="6"/>
    <x v="3"/>
    <x v="0"/>
  </r>
  <r>
    <x v="3"/>
    <x v="7"/>
    <x v="0"/>
    <x v="0"/>
  </r>
  <r>
    <x v="3"/>
    <x v="7"/>
    <x v="1"/>
    <x v="0"/>
  </r>
  <r>
    <x v="3"/>
    <x v="7"/>
    <x v="2"/>
    <x v="0"/>
  </r>
  <r>
    <x v="3"/>
    <x v="7"/>
    <x v="3"/>
    <x v="0"/>
  </r>
  <r>
    <x v="3"/>
    <x v="8"/>
    <x v="0"/>
    <x v="0"/>
  </r>
  <r>
    <x v="3"/>
    <x v="8"/>
    <x v="1"/>
    <x v="0"/>
  </r>
  <r>
    <x v="3"/>
    <x v="8"/>
    <x v="2"/>
    <x v="0"/>
  </r>
  <r>
    <x v="3"/>
    <x v="8"/>
    <x v="3"/>
    <x v="0"/>
  </r>
  <r>
    <x v="3"/>
    <x v="9"/>
    <x v="0"/>
    <x v="0"/>
  </r>
  <r>
    <x v="3"/>
    <x v="9"/>
    <x v="1"/>
    <x v="0"/>
  </r>
  <r>
    <x v="3"/>
    <x v="9"/>
    <x v="2"/>
    <x v="0"/>
  </r>
  <r>
    <x v="3"/>
    <x v="9"/>
    <x v="3"/>
    <x v="0"/>
  </r>
  <r>
    <x v="3"/>
    <x v="10"/>
    <x v="0"/>
    <x v="0"/>
  </r>
  <r>
    <x v="3"/>
    <x v="10"/>
    <x v="1"/>
    <x v="0"/>
  </r>
  <r>
    <x v="3"/>
    <x v="10"/>
    <x v="2"/>
    <x v="0"/>
  </r>
  <r>
    <x v="3"/>
    <x v="10"/>
    <x v="3"/>
    <x v="0"/>
  </r>
  <r>
    <x v="3"/>
    <x v="11"/>
    <x v="0"/>
    <x v="0"/>
  </r>
  <r>
    <x v="3"/>
    <x v="11"/>
    <x v="1"/>
    <x v="0"/>
  </r>
  <r>
    <x v="3"/>
    <x v="11"/>
    <x v="2"/>
    <x v="0"/>
  </r>
  <r>
    <x v="3"/>
    <x v="11"/>
    <x v="3"/>
    <x v="0"/>
  </r>
  <r>
    <x v="3"/>
    <x v="12"/>
    <x v="0"/>
    <x v="0"/>
  </r>
  <r>
    <x v="3"/>
    <x v="12"/>
    <x v="1"/>
    <x v="0"/>
  </r>
  <r>
    <x v="3"/>
    <x v="12"/>
    <x v="2"/>
    <x v="0"/>
  </r>
  <r>
    <x v="3"/>
    <x v="12"/>
    <x v="3"/>
    <x v="0"/>
  </r>
  <r>
    <x v="3"/>
    <x v="13"/>
    <x v="0"/>
    <x v="0"/>
  </r>
  <r>
    <x v="3"/>
    <x v="13"/>
    <x v="1"/>
    <x v="0"/>
  </r>
  <r>
    <x v="3"/>
    <x v="13"/>
    <x v="2"/>
    <x v="0"/>
  </r>
  <r>
    <x v="3"/>
    <x v="13"/>
    <x v="3"/>
    <x v="0"/>
  </r>
  <r>
    <x v="4"/>
    <x v="0"/>
    <x v="0"/>
    <x v="0"/>
  </r>
  <r>
    <x v="4"/>
    <x v="0"/>
    <x v="1"/>
    <x v="0"/>
  </r>
  <r>
    <x v="4"/>
    <x v="0"/>
    <x v="2"/>
    <x v="0"/>
  </r>
  <r>
    <x v="4"/>
    <x v="0"/>
    <x v="3"/>
    <x v="0"/>
  </r>
  <r>
    <x v="4"/>
    <x v="1"/>
    <x v="0"/>
    <x v="0"/>
  </r>
  <r>
    <x v="4"/>
    <x v="1"/>
    <x v="1"/>
    <x v="0"/>
  </r>
  <r>
    <x v="4"/>
    <x v="1"/>
    <x v="2"/>
    <x v="0"/>
  </r>
  <r>
    <x v="4"/>
    <x v="1"/>
    <x v="3"/>
    <x v="0"/>
  </r>
  <r>
    <x v="4"/>
    <x v="2"/>
    <x v="0"/>
    <x v="0"/>
  </r>
  <r>
    <x v="4"/>
    <x v="2"/>
    <x v="1"/>
    <x v="0"/>
  </r>
  <r>
    <x v="4"/>
    <x v="2"/>
    <x v="2"/>
    <x v="0"/>
  </r>
  <r>
    <x v="4"/>
    <x v="2"/>
    <x v="3"/>
    <x v="0"/>
  </r>
  <r>
    <x v="4"/>
    <x v="3"/>
    <x v="0"/>
    <x v="0"/>
  </r>
  <r>
    <x v="4"/>
    <x v="3"/>
    <x v="1"/>
    <x v="0"/>
  </r>
  <r>
    <x v="4"/>
    <x v="3"/>
    <x v="2"/>
    <x v="0"/>
  </r>
  <r>
    <x v="4"/>
    <x v="3"/>
    <x v="3"/>
    <x v="0"/>
  </r>
  <r>
    <x v="4"/>
    <x v="4"/>
    <x v="0"/>
    <x v="0"/>
  </r>
  <r>
    <x v="4"/>
    <x v="4"/>
    <x v="1"/>
    <x v="0"/>
  </r>
  <r>
    <x v="4"/>
    <x v="4"/>
    <x v="2"/>
    <x v="0"/>
  </r>
  <r>
    <x v="4"/>
    <x v="4"/>
    <x v="3"/>
    <x v="0"/>
  </r>
  <r>
    <x v="4"/>
    <x v="5"/>
    <x v="0"/>
    <x v="0"/>
  </r>
  <r>
    <x v="4"/>
    <x v="5"/>
    <x v="1"/>
    <x v="0"/>
  </r>
  <r>
    <x v="4"/>
    <x v="5"/>
    <x v="2"/>
    <x v="0"/>
  </r>
  <r>
    <x v="4"/>
    <x v="5"/>
    <x v="3"/>
    <x v="0"/>
  </r>
  <r>
    <x v="4"/>
    <x v="6"/>
    <x v="0"/>
    <x v="0"/>
  </r>
  <r>
    <x v="4"/>
    <x v="6"/>
    <x v="1"/>
    <x v="0"/>
  </r>
  <r>
    <x v="4"/>
    <x v="6"/>
    <x v="2"/>
    <x v="0"/>
  </r>
  <r>
    <x v="4"/>
    <x v="6"/>
    <x v="3"/>
    <x v="0"/>
  </r>
  <r>
    <x v="4"/>
    <x v="7"/>
    <x v="0"/>
    <x v="0"/>
  </r>
  <r>
    <x v="4"/>
    <x v="7"/>
    <x v="1"/>
    <x v="0"/>
  </r>
  <r>
    <x v="4"/>
    <x v="7"/>
    <x v="2"/>
    <x v="0"/>
  </r>
  <r>
    <x v="4"/>
    <x v="7"/>
    <x v="3"/>
    <x v="0"/>
  </r>
  <r>
    <x v="4"/>
    <x v="8"/>
    <x v="0"/>
    <x v="0"/>
  </r>
  <r>
    <x v="4"/>
    <x v="8"/>
    <x v="1"/>
    <x v="0"/>
  </r>
  <r>
    <x v="4"/>
    <x v="8"/>
    <x v="2"/>
    <x v="0"/>
  </r>
  <r>
    <x v="4"/>
    <x v="8"/>
    <x v="3"/>
    <x v="0"/>
  </r>
  <r>
    <x v="4"/>
    <x v="9"/>
    <x v="0"/>
    <x v="0"/>
  </r>
  <r>
    <x v="4"/>
    <x v="9"/>
    <x v="1"/>
    <x v="0"/>
  </r>
  <r>
    <x v="4"/>
    <x v="9"/>
    <x v="2"/>
    <x v="0"/>
  </r>
  <r>
    <x v="4"/>
    <x v="9"/>
    <x v="3"/>
    <x v="0"/>
  </r>
  <r>
    <x v="4"/>
    <x v="10"/>
    <x v="0"/>
    <x v="0"/>
  </r>
  <r>
    <x v="4"/>
    <x v="10"/>
    <x v="1"/>
    <x v="0"/>
  </r>
  <r>
    <x v="4"/>
    <x v="10"/>
    <x v="2"/>
    <x v="0"/>
  </r>
  <r>
    <x v="4"/>
    <x v="10"/>
    <x v="3"/>
    <x v="0"/>
  </r>
  <r>
    <x v="4"/>
    <x v="11"/>
    <x v="0"/>
    <x v="0"/>
  </r>
  <r>
    <x v="4"/>
    <x v="11"/>
    <x v="1"/>
    <x v="0"/>
  </r>
  <r>
    <x v="4"/>
    <x v="11"/>
    <x v="2"/>
    <x v="0"/>
  </r>
  <r>
    <x v="4"/>
    <x v="11"/>
    <x v="3"/>
    <x v="0"/>
  </r>
  <r>
    <x v="4"/>
    <x v="12"/>
    <x v="0"/>
    <x v="0"/>
  </r>
  <r>
    <x v="4"/>
    <x v="12"/>
    <x v="1"/>
    <x v="0"/>
  </r>
  <r>
    <x v="4"/>
    <x v="12"/>
    <x v="2"/>
    <x v="0"/>
  </r>
  <r>
    <x v="4"/>
    <x v="12"/>
    <x v="3"/>
    <x v="0"/>
  </r>
  <r>
    <x v="4"/>
    <x v="13"/>
    <x v="0"/>
    <x v="0"/>
  </r>
  <r>
    <x v="4"/>
    <x v="13"/>
    <x v="1"/>
    <x v="0"/>
  </r>
  <r>
    <x v="4"/>
    <x v="13"/>
    <x v="2"/>
    <x v="0"/>
  </r>
  <r>
    <x v="4"/>
    <x v="13"/>
    <x v="3"/>
    <x v="0"/>
  </r>
  <r>
    <x v="5"/>
    <x v="0"/>
    <x v="0"/>
    <x v="0"/>
  </r>
  <r>
    <x v="5"/>
    <x v="0"/>
    <x v="1"/>
    <x v="0"/>
  </r>
  <r>
    <x v="5"/>
    <x v="0"/>
    <x v="2"/>
    <x v="0"/>
  </r>
  <r>
    <x v="5"/>
    <x v="0"/>
    <x v="3"/>
    <x v="0"/>
  </r>
  <r>
    <x v="5"/>
    <x v="1"/>
    <x v="0"/>
    <x v="0"/>
  </r>
  <r>
    <x v="5"/>
    <x v="1"/>
    <x v="1"/>
    <x v="0"/>
  </r>
  <r>
    <x v="5"/>
    <x v="1"/>
    <x v="2"/>
    <x v="0"/>
  </r>
  <r>
    <x v="5"/>
    <x v="1"/>
    <x v="3"/>
    <x v="0"/>
  </r>
  <r>
    <x v="5"/>
    <x v="2"/>
    <x v="0"/>
    <x v="0"/>
  </r>
  <r>
    <x v="5"/>
    <x v="2"/>
    <x v="1"/>
    <x v="0"/>
  </r>
  <r>
    <x v="5"/>
    <x v="2"/>
    <x v="2"/>
    <x v="0"/>
  </r>
  <r>
    <x v="5"/>
    <x v="2"/>
    <x v="3"/>
    <x v="0"/>
  </r>
  <r>
    <x v="5"/>
    <x v="3"/>
    <x v="0"/>
    <x v="0"/>
  </r>
  <r>
    <x v="5"/>
    <x v="3"/>
    <x v="1"/>
    <x v="0"/>
  </r>
  <r>
    <x v="5"/>
    <x v="3"/>
    <x v="2"/>
    <x v="0"/>
  </r>
  <r>
    <x v="5"/>
    <x v="3"/>
    <x v="3"/>
    <x v="0"/>
  </r>
  <r>
    <x v="5"/>
    <x v="4"/>
    <x v="0"/>
    <x v="0"/>
  </r>
  <r>
    <x v="5"/>
    <x v="4"/>
    <x v="1"/>
    <x v="0"/>
  </r>
  <r>
    <x v="5"/>
    <x v="4"/>
    <x v="2"/>
    <x v="0"/>
  </r>
  <r>
    <x v="5"/>
    <x v="4"/>
    <x v="3"/>
    <x v="0"/>
  </r>
  <r>
    <x v="5"/>
    <x v="5"/>
    <x v="0"/>
    <x v="0"/>
  </r>
  <r>
    <x v="5"/>
    <x v="5"/>
    <x v="1"/>
    <x v="0"/>
  </r>
  <r>
    <x v="5"/>
    <x v="5"/>
    <x v="2"/>
    <x v="0"/>
  </r>
  <r>
    <x v="5"/>
    <x v="5"/>
    <x v="3"/>
    <x v="0"/>
  </r>
  <r>
    <x v="5"/>
    <x v="6"/>
    <x v="0"/>
    <x v="0"/>
  </r>
  <r>
    <x v="5"/>
    <x v="6"/>
    <x v="1"/>
    <x v="0"/>
  </r>
  <r>
    <x v="5"/>
    <x v="6"/>
    <x v="2"/>
    <x v="0"/>
  </r>
  <r>
    <x v="5"/>
    <x v="6"/>
    <x v="3"/>
    <x v="0"/>
  </r>
  <r>
    <x v="5"/>
    <x v="7"/>
    <x v="0"/>
    <x v="0"/>
  </r>
  <r>
    <x v="5"/>
    <x v="7"/>
    <x v="1"/>
    <x v="0"/>
  </r>
  <r>
    <x v="5"/>
    <x v="7"/>
    <x v="2"/>
    <x v="0"/>
  </r>
  <r>
    <x v="5"/>
    <x v="7"/>
    <x v="3"/>
    <x v="0"/>
  </r>
  <r>
    <x v="5"/>
    <x v="8"/>
    <x v="0"/>
    <x v="0"/>
  </r>
  <r>
    <x v="5"/>
    <x v="8"/>
    <x v="1"/>
    <x v="0"/>
  </r>
  <r>
    <x v="5"/>
    <x v="8"/>
    <x v="2"/>
    <x v="0"/>
  </r>
  <r>
    <x v="5"/>
    <x v="8"/>
    <x v="3"/>
    <x v="0"/>
  </r>
  <r>
    <x v="5"/>
    <x v="9"/>
    <x v="0"/>
    <x v="0"/>
  </r>
  <r>
    <x v="5"/>
    <x v="9"/>
    <x v="1"/>
    <x v="0"/>
  </r>
  <r>
    <x v="5"/>
    <x v="9"/>
    <x v="2"/>
    <x v="0"/>
  </r>
  <r>
    <x v="5"/>
    <x v="9"/>
    <x v="3"/>
    <x v="0"/>
  </r>
  <r>
    <x v="5"/>
    <x v="10"/>
    <x v="0"/>
    <x v="0"/>
  </r>
  <r>
    <x v="5"/>
    <x v="10"/>
    <x v="1"/>
    <x v="0"/>
  </r>
  <r>
    <x v="5"/>
    <x v="10"/>
    <x v="2"/>
    <x v="0"/>
  </r>
  <r>
    <x v="5"/>
    <x v="10"/>
    <x v="3"/>
    <x v="0"/>
  </r>
  <r>
    <x v="5"/>
    <x v="11"/>
    <x v="0"/>
    <x v="0"/>
  </r>
  <r>
    <x v="5"/>
    <x v="11"/>
    <x v="1"/>
    <x v="0"/>
  </r>
  <r>
    <x v="5"/>
    <x v="11"/>
    <x v="2"/>
    <x v="0"/>
  </r>
  <r>
    <x v="5"/>
    <x v="11"/>
    <x v="3"/>
    <x v="0"/>
  </r>
  <r>
    <x v="5"/>
    <x v="12"/>
    <x v="0"/>
    <x v="0"/>
  </r>
  <r>
    <x v="5"/>
    <x v="12"/>
    <x v="1"/>
    <x v="0"/>
  </r>
  <r>
    <x v="5"/>
    <x v="12"/>
    <x v="2"/>
    <x v="0"/>
  </r>
  <r>
    <x v="5"/>
    <x v="12"/>
    <x v="3"/>
    <x v="0"/>
  </r>
  <r>
    <x v="5"/>
    <x v="13"/>
    <x v="0"/>
    <x v="0"/>
  </r>
  <r>
    <x v="5"/>
    <x v="13"/>
    <x v="1"/>
    <x v="0"/>
  </r>
  <r>
    <x v="5"/>
    <x v="13"/>
    <x v="2"/>
    <x v="0"/>
  </r>
  <r>
    <x v="5"/>
    <x v="13"/>
    <x v="3"/>
    <x v="0"/>
  </r>
  <r>
    <x v="6"/>
    <x v="0"/>
    <x v="0"/>
    <x v="0"/>
  </r>
  <r>
    <x v="6"/>
    <x v="0"/>
    <x v="1"/>
    <x v="0"/>
  </r>
  <r>
    <x v="6"/>
    <x v="0"/>
    <x v="2"/>
    <x v="0"/>
  </r>
  <r>
    <x v="6"/>
    <x v="0"/>
    <x v="3"/>
    <x v="0"/>
  </r>
  <r>
    <x v="6"/>
    <x v="1"/>
    <x v="0"/>
    <x v="0"/>
  </r>
  <r>
    <x v="6"/>
    <x v="1"/>
    <x v="1"/>
    <x v="0"/>
  </r>
  <r>
    <x v="6"/>
    <x v="1"/>
    <x v="2"/>
    <x v="0"/>
  </r>
  <r>
    <x v="6"/>
    <x v="1"/>
    <x v="3"/>
    <x v="0"/>
  </r>
  <r>
    <x v="6"/>
    <x v="2"/>
    <x v="0"/>
    <x v="0"/>
  </r>
  <r>
    <x v="6"/>
    <x v="2"/>
    <x v="1"/>
    <x v="0"/>
  </r>
  <r>
    <x v="6"/>
    <x v="2"/>
    <x v="2"/>
    <x v="0"/>
  </r>
  <r>
    <x v="6"/>
    <x v="2"/>
    <x v="3"/>
    <x v="0"/>
  </r>
  <r>
    <x v="6"/>
    <x v="3"/>
    <x v="0"/>
    <x v="0"/>
  </r>
  <r>
    <x v="6"/>
    <x v="3"/>
    <x v="1"/>
    <x v="0"/>
  </r>
  <r>
    <x v="6"/>
    <x v="3"/>
    <x v="2"/>
    <x v="0"/>
  </r>
  <r>
    <x v="6"/>
    <x v="3"/>
    <x v="3"/>
    <x v="0"/>
  </r>
  <r>
    <x v="6"/>
    <x v="4"/>
    <x v="0"/>
    <x v="0"/>
  </r>
  <r>
    <x v="6"/>
    <x v="4"/>
    <x v="1"/>
    <x v="0"/>
  </r>
  <r>
    <x v="6"/>
    <x v="4"/>
    <x v="2"/>
    <x v="0"/>
  </r>
  <r>
    <x v="6"/>
    <x v="4"/>
    <x v="3"/>
    <x v="0"/>
  </r>
  <r>
    <x v="6"/>
    <x v="5"/>
    <x v="0"/>
    <x v="0"/>
  </r>
  <r>
    <x v="6"/>
    <x v="5"/>
    <x v="1"/>
    <x v="0"/>
  </r>
  <r>
    <x v="6"/>
    <x v="5"/>
    <x v="2"/>
    <x v="0"/>
  </r>
  <r>
    <x v="6"/>
    <x v="5"/>
    <x v="3"/>
    <x v="0"/>
  </r>
  <r>
    <x v="6"/>
    <x v="6"/>
    <x v="0"/>
    <x v="0"/>
  </r>
  <r>
    <x v="6"/>
    <x v="6"/>
    <x v="1"/>
    <x v="0"/>
  </r>
  <r>
    <x v="6"/>
    <x v="6"/>
    <x v="2"/>
    <x v="0"/>
  </r>
  <r>
    <x v="6"/>
    <x v="6"/>
    <x v="3"/>
    <x v="0"/>
  </r>
  <r>
    <x v="6"/>
    <x v="7"/>
    <x v="0"/>
    <x v="0"/>
  </r>
  <r>
    <x v="6"/>
    <x v="7"/>
    <x v="1"/>
    <x v="0"/>
  </r>
  <r>
    <x v="6"/>
    <x v="7"/>
    <x v="2"/>
    <x v="0"/>
  </r>
  <r>
    <x v="6"/>
    <x v="7"/>
    <x v="3"/>
    <x v="0"/>
  </r>
  <r>
    <x v="6"/>
    <x v="8"/>
    <x v="0"/>
    <x v="0"/>
  </r>
  <r>
    <x v="6"/>
    <x v="8"/>
    <x v="1"/>
    <x v="0"/>
  </r>
  <r>
    <x v="6"/>
    <x v="8"/>
    <x v="2"/>
    <x v="0"/>
  </r>
  <r>
    <x v="6"/>
    <x v="8"/>
    <x v="3"/>
    <x v="0"/>
  </r>
  <r>
    <x v="6"/>
    <x v="9"/>
    <x v="0"/>
    <x v="0"/>
  </r>
  <r>
    <x v="6"/>
    <x v="9"/>
    <x v="1"/>
    <x v="0"/>
  </r>
  <r>
    <x v="6"/>
    <x v="9"/>
    <x v="2"/>
    <x v="0"/>
  </r>
  <r>
    <x v="6"/>
    <x v="9"/>
    <x v="3"/>
    <x v="0"/>
  </r>
  <r>
    <x v="6"/>
    <x v="10"/>
    <x v="0"/>
    <x v="0"/>
  </r>
  <r>
    <x v="6"/>
    <x v="10"/>
    <x v="1"/>
    <x v="0"/>
  </r>
  <r>
    <x v="6"/>
    <x v="10"/>
    <x v="2"/>
    <x v="0"/>
  </r>
  <r>
    <x v="6"/>
    <x v="10"/>
    <x v="3"/>
    <x v="0"/>
  </r>
  <r>
    <x v="6"/>
    <x v="11"/>
    <x v="0"/>
    <x v="0"/>
  </r>
  <r>
    <x v="6"/>
    <x v="11"/>
    <x v="1"/>
    <x v="0"/>
  </r>
  <r>
    <x v="6"/>
    <x v="11"/>
    <x v="2"/>
    <x v="0"/>
  </r>
  <r>
    <x v="6"/>
    <x v="11"/>
    <x v="3"/>
    <x v="0"/>
  </r>
  <r>
    <x v="6"/>
    <x v="12"/>
    <x v="0"/>
    <x v="0"/>
  </r>
  <r>
    <x v="6"/>
    <x v="12"/>
    <x v="1"/>
    <x v="0"/>
  </r>
  <r>
    <x v="6"/>
    <x v="12"/>
    <x v="2"/>
    <x v="0"/>
  </r>
  <r>
    <x v="6"/>
    <x v="12"/>
    <x v="3"/>
    <x v="0"/>
  </r>
  <r>
    <x v="6"/>
    <x v="13"/>
    <x v="0"/>
    <x v="0"/>
  </r>
  <r>
    <x v="6"/>
    <x v="13"/>
    <x v="1"/>
    <x v="0"/>
  </r>
  <r>
    <x v="6"/>
    <x v="13"/>
    <x v="2"/>
    <x v="0"/>
  </r>
  <r>
    <x v="6"/>
    <x v="13"/>
    <x v="3"/>
    <x v="0"/>
  </r>
  <r>
    <x v="7"/>
    <x v="0"/>
    <x v="0"/>
    <x v="0"/>
  </r>
  <r>
    <x v="7"/>
    <x v="0"/>
    <x v="1"/>
    <x v="0"/>
  </r>
  <r>
    <x v="7"/>
    <x v="0"/>
    <x v="2"/>
    <x v="0"/>
  </r>
  <r>
    <x v="7"/>
    <x v="0"/>
    <x v="3"/>
    <x v="0"/>
  </r>
  <r>
    <x v="7"/>
    <x v="1"/>
    <x v="0"/>
    <x v="0"/>
  </r>
  <r>
    <x v="7"/>
    <x v="1"/>
    <x v="1"/>
    <x v="0"/>
  </r>
  <r>
    <x v="7"/>
    <x v="1"/>
    <x v="2"/>
    <x v="0"/>
  </r>
  <r>
    <x v="7"/>
    <x v="1"/>
    <x v="3"/>
    <x v="0"/>
  </r>
  <r>
    <x v="7"/>
    <x v="2"/>
    <x v="0"/>
    <x v="0"/>
  </r>
  <r>
    <x v="7"/>
    <x v="2"/>
    <x v="1"/>
    <x v="0"/>
  </r>
  <r>
    <x v="7"/>
    <x v="2"/>
    <x v="2"/>
    <x v="0"/>
  </r>
  <r>
    <x v="7"/>
    <x v="2"/>
    <x v="3"/>
    <x v="0"/>
  </r>
  <r>
    <x v="7"/>
    <x v="3"/>
    <x v="0"/>
    <x v="0"/>
  </r>
  <r>
    <x v="7"/>
    <x v="3"/>
    <x v="1"/>
    <x v="0"/>
  </r>
  <r>
    <x v="7"/>
    <x v="3"/>
    <x v="2"/>
    <x v="0"/>
  </r>
  <r>
    <x v="7"/>
    <x v="3"/>
    <x v="3"/>
    <x v="0"/>
  </r>
  <r>
    <x v="7"/>
    <x v="4"/>
    <x v="0"/>
    <x v="0"/>
  </r>
  <r>
    <x v="7"/>
    <x v="4"/>
    <x v="1"/>
    <x v="0"/>
  </r>
  <r>
    <x v="7"/>
    <x v="4"/>
    <x v="2"/>
    <x v="0"/>
  </r>
  <r>
    <x v="7"/>
    <x v="4"/>
    <x v="3"/>
    <x v="0"/>
  </r>
  <r>
    <x v="7"/>
    <x v="5"/>
    <x v="0"/>
    <x v="0"/>
  </r>
  <r>
    <x v="7"/>
    <x v="5"/>
    <x v="1"/>
    <x v="0"/>
  </r>
  <r>
    <x v="7"/>
    <x v="5"/>
    <x v="2"/>
    <x v="0"/>
  </r>
  <r>
    <x v="7"/>
    <x v="5"/>
    <x v="3"/>
    <x v="0"/>
  </r>
  <r>
    <x v="7"/>
    <x v="6"/>
    <x v="0"/>
    <x v="0"/>
  </r>
  <r>
    <x v="7"/>
    <x v="6"/>
    <x v="1"/>
    <x v="0"/>
  </r>
  <r>
    <x v="7"/>
    <x v="6"/>
    <x v="2"/>
    <x v="0"/>
  </r>
  <r>
    <x v="7"/>
    <x v="6"/>
    <x v="3"/>
    <x v="0"/>
  </r>
  <r>
    <x v="7"/>
    <x v="7"/>
    <x v="0"/>
    <x v="0"/>
  </r>
  <r>
    <x v="7"/>
    <x v="7"/>
    <x v="1"/>
    <x v="0"/>
  </r>
  <r>
    <x v="7"/>
    <x v="7"/>
    <x v="2"/>
    <x v="0"/>
  </r>
  <r>
    <x v="7"/>
    <x v="7"/>
    <x v="3"/>
    <x v="0"/>
  </r>
  <r>
    <x v="7"/>
    <x v="8"/>
    <x v="0"/>
    <x v="0"/>
  </r>
  <r>
    <x v="7"/>
    <x v="8"/>
    <x v="1"/>
    <x v="0"/>
  </r>
  <r>
    <x v="7"/>
    <x v="8"/>
    <x v="2"/>
    <x v="0"/>
  </r>
  <r>
    <x v="7"/>
    <x v="8"/>
    <x v="3"/>
    <x v="0"/>
  </r>
  <r>
    <x v="7"/>
    <x v="9"/>
    <x v="0"/>
    <x v="0"/>
  </r>
  <r>
    <x v="7"/>
    <x v="9"/>
    <x v="1"/>
    <x v="0"/>
  </r>
  <r>
    <x v="7"/>
    <x v="9"/>
    <x v="2"/>
    <x v="0"/>
  </r>
  <r>
    <x v="7"/>
    <x v="9"/>
    <x v="3"/>
    <x v="0"/>
  </r>
  <r>
    <x v="7"/>
    <x v="10"/>
    <x v="0"/>
    <x v="0"/>
  </r>
  <r>
    <x v="7"/>
    <x v="10"/>
    <x v="1"/>
    <x v="0"/>
  </r>
  <r>
    <x v="7"/>
    <x v="10"/>
    <x v="2"/>
    <x v="0"/>
  </r>
  <r>
    <x v="7"/>
    <x v="10"/>
    <x v="3"/>
    <x v="0"/>
  </r>
  <r>
    <x v="7"/>
    <x v="11"/>
    <x v="0"/>
    <x v="0"/>
  </r>
  <r>
    <x v="7"/>
    <x v="11"/>
    <x v="1"/>
    <x v="0"/>
  </r>
  <r>
    <x v="7"/>
    <x v="11"/>
    <x v="2"/>
    <x v="0"/>
  </r>
  <r>
    <x v="7"/>
    <x v="11"/>
    <x v="3"/>
    <x v="0"/>
  </r>
  <r>
    <x v="7"/>
    <x v="12"/>
    <x v="0"/>
    <x v="0"/>
  </r>
  <r>
    <x v="7"/>
    <x v="12"/>
    <x v="1"/>
    <x v="0"/>
  </r>
  <r>
    <x v="7"/>
    <x v="12"/>
    <x v="2"/>
    <x v="0"/>
  </r>
  <r>
    <x v="7"/>
    <x v="12"/>
    <x v="3"/>
    <x v="0"/>
  </r>
  <r>
    <x v="7"/>
    <x v="13"/>
    <x v="0"/>
    <x v="0"/>
  </r>
  <r>
    <x v="7"/>
    <x v="13"/>
    <x v="1"/>
    <x v="0"/>
  </r>
  <r>
    <x v="7"/>
    <x v="13"/>
    <x v="2"/>
    <x v="0"/>
  </r>
  <r>
    <x v="7"/>
    <x v="13"/>
    <x v="3"/>
    <x v="0"/>
  </r>
  <r>
    <x v="8"/>
    <x v="0"/>
    <x v="0"/>
    <x v="0"/>
  </r>
  <r>
    <x v="8"/>
    <x v="0"/>
    <x v="1"/>
    <x v="0"/>
  </r>
  <r>
    <x v="8"/>
    <x v="0"/>
    <x v="2"/>
    <x v="0"/>
  </r>
  <r>
    <x v="8"/>
    <x v="0"/>
    <x v="3"/>
    <x v="0"/>
  </r>
  <r>
    <x v="8"/>
    <x v="1"/>
    <x v="0"/>
    <x v="0"/>
  </r>
  <r>
    <x v="8"/>
    <x v="1"/>
    <x v="1"/>
    <x v="0"/>
  </r>
  <r>
    <x v="8"/>
    <x v="1"/>
    <x v="2"/>
    <x v="0"/>
  </r>
  <r>
    <x v="8"/>
    <x v="1"/>
    <x v="3"/>
    <x v="0"/>
  </r>
  <r>
    <x v="8"/>
    <x v="2"/>
    <x v="0"/>
    <x v="0"/>
  </r>
  <r>
    <x v="8"/>
    <x v="2"/>
    <x v="1"/>
    <x v="0"/>
  </r>
  <r>
    <x v="8"/>
    <x v="2"/>
    <x v="2"/>
    <x v="0"/>
  </r>
  <r>
    <x v="8"/>
    <x v="2"/>
    <x v="3"/>
    <x v="0"/>
  </r>
  <r>
    <x v="8"/>
    <x v="3"/>
    <x v="0"/>
    <x v="0"/>
  </r>
  <r>
    <x v="8"/>
    <x v="3"/>
    <x v="1"/>
    <x v="0"/>
  </r>
  <r>
    <x v="8"/>
    <x v="3"/>
    <x v="2"/>
    <x v="0"/>
  </r>
  <r>
    <x v="8"/>
    <x v="3"/>
    <x v="3"/>
    <x v="0"/>
  </r>
  <r>
    <x v="8"/>
    <x v="4"/>
    <x v="0"/>
    <x v="0"/>
  </r>
  <r>
    <x v="8"/>
    <x v="4"/>
    <x v="1"/>
    <x v="0"/>
  </r>
  <r>
    <x v="8"/>
    <x v="4"/>
    <x v="2"/>
    <x v="0"/>
  </r>
  <r>
    <x v="8"/>
    <x v="4"/>
    <x v="3"/>
    <x v="0"/>
  </r>
  <r>
    <x v="8"/>
    <x v="5"/>
    <x v="0"/>
    <x v="0"/>
  </r>
  <r>
    <x v="8"/>
    <x v="5"/>
    <x v="1"/>
    <x v="0"/>
  </r>
  <r>
    <x v="8"/>
    <x v="5"/>
    <x v="2"/>
    <x v="0"/>
  </r>
  <r>
    <x v="8"/>
    <x v="5"/>
    <x v="3"/>
    <x v="0"/>
  </r>
  <r>
    <x v="8"/>
    <x v="6"/>
    <x v="0"/>
    <x v="0"/>
  </r>
  <r>
    <x v="8"/>
    <x v="6"/>
    <x v="1"/>
    <x v="0"/>
  </r>
  <r>
    <x v="8"/>
    <x v="6"/>
    <x v="2"/>
    <x v="0"/>
  </r>
  <r>
    <x v="8"/>
    <x v="6"/>
    <x v="3"/>
    <x v="0"/>
  </r>
  <r>
    <x v="8"/>
    <x v="7"/>
    <x v="0"/>
    <x v="0"/>
  </r>
  <r>
    <x v="8"/>
    <x v="7"/>
    <x v="1"/>
    <x v="0"/>
  </r>
  <r>
    <x v="8"/>
    <x v="7"/>
    <x v="2"/>
    <x v="0"/>
  </r>
  <r>
    <x v="8"/>
    <x v="7"/>
    <x v="3"/>
    <x v="0"/>
  </r>
  <r>
    <x v="8"/>
    <x v="8"/>
    <x v="0"/>
    <x v="0"/>
  </r>
  <r>
    <x v="8"/>
    <x v="8"/>
    <x v="1"/>
    <x v="0"/>
  </r>
  <r>
    <x v="8"/>
    <x v="8"/>
    <x v="2"/>
    <x v="0"/>
  </r>
  <r>
    <x v="8"/>
    <x v="8"/>
    <x v="3"/>
    <x v="0"/>
  </r>
  <r>
    <x v="8"/>
    <x v="9"/>
    <x v="0"/>
    <x v="0"/>
  </r>
  <r>
    <x v="8"/>
    <x v="9"/>
    <x v="1"/>
    <x v="0"/>
  </r>
  <r>
    <x v="8"/>
    <x v="9"/>
    <x v="2"/>
    <x v="0"/>
  </r>
  <r>
    <x v="8"/>
    <x v="9"/>
    <x v="3"/>
    <x v="0"/>
  </r>
  <r>
    <x v="8"/>
    <x v="10"/>
    <x v="0"/>
    <x v="0"/>
  </r>
  <r>
    <x v="8"/>
    <x v="10"/>
    <x v="1"/>
    <x v="0"/>
  </r>
  <r>
    <x v="8"/>
    <x v="10"/>
    <x v="2"/>
    <x v="0"/>
  </r>
  <r>
    <x v="8"/>
    <x v="10"/>
    <x v="3"/>
    <x v="0"/>
  </r>
  <r>
    <x v="8"/>
    <x v="11"/>
    <x v="0"/>
    <x v="0"/>
  </r>
  <r>
    <x v="8"/>
    <x v="11"/>
    <x v="1"/>
    <x v="0"/>
  </r>
  <r>
    <x v="8"/>
    <x v="11"/>
    <x v="2"/>
    <x v="0"/>
  </r>
  <r>
    <x v="8"/>
    <x v="11"/>
    <x v="3"/>
    <x v="0"/>
  </r>
  <r>
    <x v="8"/>
    <x v="12"/>
    <x v="0"/>
    <x v="0"/>
  </r>
  <r>
    <x v="8"/>
    <x v="12"/>
    <x v="1"/>
    <x v="0"/>
  </r>
  <r>
    <x v="8"/>
    <x v="12"/>
    <x v="2"/>
    <x v="0"/>
  </r>
  <r>
    <x v="8"/>
    <x v="12"/>
    <x v="3"/>
    <x v="0"/>
  </r>
  <r>
    <x v="8"/>
    <x v="13"/>
    <x v="0"/>
    <x v="0"/>
  </r>
  <r>
    <x v="8"/>
    <x v="13"/>
    <x v="1"/>
    <x v="0"/>
  </r>
  <r>
    <x v="8"/>
    <x v="13"/>
    <x v="2"/>
    <x v="0"/>
  </r>
  <r>
    <x v="8"/>
    <x v="13"/>
    <x v="3"/>
    <x v="0"/>
  </r>
  <r>
    <x v="9"/>
    <x v="0"/>
    <x v="0"/>
    <x v="0"/>
  </r>
  <r>
    <x v="9"/>
    <x v="0"/>
    <x v="1"/>
    <x v="0"/>
  </r>
  <r>
    <x v="9"/>
    <x v="0"/>
    <x v="2"/>
    <x v="0"/>
  </r>
  <r>
    <x v="9"/>
    <x v="0"/>
    <x v="3"/>
    <x v="0"/>
  </r>
  <r>
    <x v="9"/>
    <x v="1"/>
    <x v="0"/>
    <x v="0"/>
  </r>
  <r>
    <x v="9"/>
    <x v="1"/>
    <x v="1"/>
    <x v="0"/>
  </r>
  <r>
    <x v="9"/>
    <x v="1"/>
    <x v="2"/>
    <x v="0"/>
  </r>
  <r>
    <x v="9"/>
    <x v="1"/>
    <x v="3"/>
    <x v="0"/>
  </r>
  <r>
    <x v="9"/>
    <x v="2"/>
    <x v="0"/>
    <x v="0"/>
  </r>
  <r>
    <x v="9"/>
    <x v="2"/>
    <x v="1"/>
    <x v="0"/>
  </r>
  <r>
    <x v="9"/>
    <x v="2"/>
    <x v="2"/>
    <x v="0"/>
  </r>
  <r>
    <x v="9"/>
    <x v="2"/>
    <x v="3"/>
    <x v="0"/>
  </r>
  <r>
    <x v="9"/>
    <x v="3"/>
    <x v="0"/>
    <x v="0"/>
  </r>
  <r>
    <x v="9"/>
    <x v="3"/>
    <x v="1"/>
    <x v="0"/>
  </r>
  <r>
    <x v="9"/>
    <x v="3"/>
    <x v="2"/>
    <x v="0"/>
  </r>
  <r>
    <x v="9"/>
    <x v="3"/>
    <x v="3"/>
    <x v="0"/>
  </r>
  <r>
    <x v="9"/>
    <x v="4"/>
    <x v="0"/>
    <x v="0"/>
  </r>
  <r>
    <x v="9"/>
    <x v="4"/>
    <x v="1"/>
    <x v="0"/>
  </r>
  <r>
    <x v="9"/>
    <x v="4"/>
    <x v="2"/>
    <x v="0"/>
  </r>
  <r>
    <x v="9"/>
    <x v="4"/>
    <x v="3"/>
    <x v="0"/>
  </r>
  <r>
    <x v="9"/>
    <x v="5"/>
    <x v="0"/>
    <x v="0"/>
  </r>
  <r>
    <x v="9"/>
    <x v="5"/>
    <x v="1"/>
    <x v="0"/>
  </r>
  <r>
    <x v="9"/>
    <x v="5"/>
    <x v="2"/>
    <x v="0"/>
  </r>
  <r>
    <x v="9"/>
    <x v="5"/>
    <x v="3"/>
    <x v="0"/>
  </r>
  <r>
    <x v="9"/>
    <x v="6"/>
    <x v="0"/>
    <x v="0"/>
  </r>
  <r>
    <x v="9"/>
    <x v="6"/>
    <x v="1"/>
    <x v="0"/>
  </r>
  <r>
    <x v="9"/>
    <x v="6"/>
    <x v="2"/>
    <x v="0"/>
  </r>
  <r>
    <x v="9"/>
    <x v="6"/>
    <x v="3"/>
    <x v="0"/>
  </r>
  <r>
    <x v="9"/>
    <x v="7"/>
    <x v="0"/>
    <x v="0"/>
  </r>
  <r>
    <x v="9"/>
    <x v="7"/>
    <x v="1"/>
    <x v="0"/>
  </r>
  <r>
    <x v="9"/>
    <x v="7"/>
    <x v="2"/>
    <x v="0"/>
  </r>
  <r>
    <x v="9"/>
    <x v="7"/>
    <x v="3"/>
    <x v="0"/>
  </r>
  <r>
    <x v="9"/>
    <x v="8"/>
    <x v="0"/>
    <x v="0"/>
  </r>
  <r>
    <x v="9"/>
    <x v="8"/>
    <x v="1"/>
    <x v="0"/>
  </r>
  <r>
    <x v="9"/>
    <x v="8"/>
    <x v="2"/>
    <x v="0"/>
  </r>
  <r>
    <x v="9"/>
    <x v="8"/>
    <x v="3"/>
    <x v="0"/>
  </r>
  <r>
    <x v="9"/>
    <x v="9"/>
    <x v="0"/>
    <x v="0"/>
  </r>
  <r>
    <x v="9"/>
    <x v="9"/>
    <x v="1"/>
    <x v="0"/>
  </r>
  <r>
    <x v="9"/>
    <x v="9"/>
    <x v="2"/>
    <x v="0"/>
  </r>
  <r>
    <x v="9"/>
    <x v="9"/>
    <x v="3"/>
    <x v="0"/>
  </r>
  <r>
    <x v="9"/>
    <x v="10"/>
    <x v="0"/>
    <x v="0"/>
  </r>
  <r>
    <x v="9"/>
    <x v="10"/>
    <x v="1"/>
    <x v="0"/>
  </r>
  <r>
    <x v="9"/>
    <x v="10"/>
    <x v="2"/>
    <x v="0"/>
  </r>
  <r>
    <x v="9"/>
    <x v="10"/>
    <x v="3"/>
    <x v="0"/>
  </r>
  <r>
    <x v="9"/>
    <x v="11"/>
    <x v="0"/>
    <x v="0"/>
  </r>
  <r>
    <x v="9"/>
    <x v="11"/>
    <x v="1"/>
    <x v="0"/>
  </r>
  <r>
    <x v="9"/>
    <x v="11"/>
    <x v="2"/>
    <x v="0"/>
  </r>
  <r>
    <x v="9"/>
    <x v="11"/>
    <x v="3"/>
    <x v="0"/>
  </r>
  <r>
    <x v="9"/>
    <x v="12"/>
    <x v="0"/>
    <x v="0"/>
  </r>
  <r>
    <x v="9"/>
    <x v="12"/>
    <x v="1"/>
    <x v="0"/>
  </r>
  <r>
    <x v="9"/>
    <x v="12"/>
    <x v="2"/>
    <x v="0"/>
  </r>
  <r>
    <x v="9"/>
    <x v="12"/>
    <x v="3"/>
    <x v="0"/>
  </r>
  <r>
    <x v="9"/>
    <x v="13"/>
    <x v="0"/>
    <x v="0"/>
  </r>
  <r>
    <x v="9"/>
    <x v="13"/>
    <x v="1"/>
    <x v="0"/>
  </r>
  <r>
    <x v="9"/>
    <x v="13"/>
    <x v="2"/>
    <x v="0"/>
  </r>
  <r>
    <x v="9"/>
    <x v="13"/>
    <x v="3"/>
    <x v="0"/>
  </r>
  <r>
    <x v="10"/>
    <x v="0"/>
    <x v="0"/>
    <x v="0"/>
  </r>
  <r>
    <x v="10"/>
    <x v="0"/>
    <x v="1"/>
    <x v="0"/>
  </r>
  <r>
    <x v="10"/>
    <x v="0"/>
    <x v="2"/>
    <x v="0"/>
  </r>
  <r>
    <x v="10"/>
    <x v="0"/>
    <x v="3"/>
    <x v="0"/>
  </r>
  <r>
    <x v="10"/>
    <x v="1"/>
    <x v="0"/>
    <x v="0"/>
  </r>
  <r>
    <x v="10"/>
    <x v="1"/>
    <x v="1"/>
    <x v="0"/>
  </r>
  <r>
    <x v="10"/>
    <x v="1"/>
    <x v="2"/>
    <x v="0"/>
  </r>
  <r>
    <x v="10"/>
    <x v="1"/>
    <x v="3"/>
    <x v="0"/>
  </r>
  <r>
    <x v="10"/>
    <x v="2"/>
    <x v="0"/>
    <x v="0"/>
  </r>
  <r>
    <x v="10"/>
    <x v="2"/>
    <x v="1"/>
    <x v="0"/>
  </r>
  <r>
    <x v="10"/>
    <x v="2"/>
    <x v="2"/>
    <x v="0"/>
  </r>
  <r>
    <x v="10"/>
    <x v="2"/>
    <x v="3"/>
    <x v="0"/>
  </r>
  <r>
    <x v="10"/>
    <x v="3"/>
    <x v="0"/>
    <x v="0"/>
  </r>
  <r>
    <x v="10"/>
    <x v="3"/>
    <x v="1"/>
    <x v="0"/>
  </r>
  <r>
    <x v="10"/>
    <x v="3"/>
    <x v="2"/>
    <x v="0"/>
  </r>
  <r>
    <x v="10"/>
    <x v="3"/>
    <x v="3"/>
    <x v="0"/>
  </r>
  <r>
    <x v="10"/>
    <x v="4"/>
    <x v="0"/>
    <x v="0"/>
  </r>
  <r>
    <x v="10"/>
    <x v="4"/>
    <x v="1"/>
    <x v="0"/>
  </r>
  <r>
    <x v="10"/>
    <x v="4"/>
    <x v="2"/>
    <x v="0"/>
  </r>
  <r>
    <x v="10"/>
    <x v="4"/>
    <x v="3"/>
    <x v="0"/>
  </r>
  <r>
    <x v="10"/>
    <x v="5"/>
    <x v="0"/>
    <x v="0"/>
  </r>
  <r>
    <x v="10"/>
    <x v="5"/>
    <x v="1"/>
    <x v="0"/>
  </r>
  <r>
    <x v="10"/>
    <x v="5"/>
    <x v="2"/>
    <x v="0"/>
  </r>
  <r>
    <x v="10"/>
    <x v="5"/>
    <x v="3"/>
    <x v="0"/>
  </r>
  <r>
    <x v="10"/>
    <x v="6"/>
    <x v="0"/>
    <x v="0"/>
  </r>
  <r>
    <x v="10"/>
    <x v="6"/>
    <x v="1"/>
    <x v="0"/>
  </r>
  <r>
    <x v="10"/>
    <x v="6"/>
    <x v="2"/>
    <x v="0"/>
  </r>
  <r>
    <x v="10"/>
    <x v="6"/>
    <x v="3"/>
    <x v="0"/>
  </r>
  <r>
    <x v="10"/>
    <x v="7"/>
    <x v="0"/>
    <x v="0"/>
  </r>
  <r>
    <x v="10"/>
    <x v="7"/>
    <x v="1"/>
    <x v="0"/>
  </r>
  <r>
    <x v="10"/>
    <x v="7"/>
    <x v="2"/>
    <x v="0"/>
  </r>
  <r>
    <x v="10"/>
    <x v="7"/>
    <x v="3"/>
    <x v="0"/>
  </r>
  <r>
    <x v="10"/>
    <x v="8"/>
    <x v="0"/>
    <x v="0"/>
  </r>
  <r>
    <x v="10"/>
    <x v="8"/>
    <x v="1"/>
    <x v="0"/>
  </r>
  <r>
    <x v="10"/>
    <x v="8"/>
    <x v="2"/>
    <x v="0"/>
  </r>
  <r>
    <x v="10"/>
    <x v="8"/>
    <x v="3"/>
    <x v="0"/>
  </r>
  <r>
    <x v="10"/>
    <x v="9"/>
    <x v="0"/>
    <x v="0"/>
  </r>
  <r>
    <x v="10"/>
    <x v="9"/>
    <x v="1"/>
    <x v="0"/>
  </r>
  <r>
    <x v="10"/>
    <x v="9"/>
    <x v="2"/>
    <x v="0"/>
  </r>
  <r>
    <x v="10"/>
    <x v="9"/>
    <x v="3"/>
    <x v="0"/>
  </r>
  <r>
    <x v="10"/>
    <x v="10"/>
    <x v="0"/>
    <x v="0"/>
  </r>
  <r>
    <x v="10"/>
    <x v="10"/>
    <x v="1"/>
    <x v="0"/>
  </r>
  <r>
    <x v="10"/>
    <x v="10"/>
    <x v="2"/>
    <x v="0"/>
  </r>
  <r>
    <x v="10"/>
    <x v="10"/>
    <x v="3"/>
    <x v="0"/>
  </r>
  <r>
    <x v="10"/>
    <x v="11"/>
    <x v="0"/>
    <x v="0"/>
  </r>
  <r>
    <x v="10"/>
    <x v="11"/>
    <x v="1"/>
    <x v="0"/>
  </r>
  <r>
    <x v="10"/>
    <x v="11"/>
    <x v="2"/>
    <x v="0"/>
  </r>
  <r>
    <x v="10"/>
    <x v="11"/>
    <x v="3"/>
    <x v="0"/>
  </r>
  <r>
    <x v="10"/>
    <x v="12"/>
    <x v="0"/>
    <x v="0"/>
  </r>
  <r>
    <x v="10"/>
    <x v="12"/>
    <x v="1"/>
    <x v="0"/>
  </r>
  <r>
    <x v="10"/>
    <x v="12"/>
    <x v="2"/>
    <x v="0"/>
  </r>
  <r>
    <x v="10"/>
    <x v="12"/>
    <x v="3"/>
    <x v="0"/>
  </r>
  <r>
    <x v="10"/>
    <x v="13"/>
    <x v="0"/>
    <x v="0"/>
  </r>
  <r>
    <x v="10"/>
    <x v="13"/>
    <x v="1"/>
    <x v="0"/>
  </r>
  <r>
    <x v="10"/>
    <x v="13"/>
    <x v="2"/>
    <x v="0"/>
  </r>
  <r>
    <x v="10"/>
    <x v="13"/>
    <x v="3"/>
    <x v="0"/>
  </r>
  <r>
    <x v="11"/>
    <x v="0"/>
    <x v="0"/>
    <x v="0"/>
  </r>
  <r>
    <x v="11"/>
    <x v="0"/>
    <x v="1"/>
    <x v="0"/>
  </r>
  <r>
    <x v="11"/>
    <x v="0"/>
    <x v="2"/>
    <x v="0"/>
  </r>
  <r>
    <x v="11"/>
    <x v="0"/>
    <x v="3"/>
    <x v="0"/>
  </r>
  <r>
    <x v="11"/>
    <x v="1"/>
    <x v="0"/>
    <x v="0"/>
  </r>
  <r>
    <x v="11"/>
    <x v="1"/>
    <x v="1"/>
    <x v="0"/>
  </r>
  <r>
    <x v="11"/>
    <x v="1"/>
    <x v="2"/>
    <x v="0"/>
  </r>
  <r>
    <x v="11"/>
    <x v="1"/>
    <x v="3"/>
    <x v="0"/>
  </r>
  <r>
    <x v="11"/>
    <x v="2"/>
    <x v="0"/>
    <x v="0"/>
  </r>
  <r>
    <x v="11"/>
    <x v="2"/>
    <x v="1"/>
    <x v="0"/>
  </r>
  <r>
    <x v="11"/>
    <x v="2"/>
    <x v="2"/>
    <x v="0"/>
  </r>
  <r>
    <x v="11"/>
    <x v="2"/>
    <x v="3"/>
    <x v="0"/>
  </r>
  <r>
    <x v="11"/>
    <x v="3"/>
    <x v="0"/>
    <x v="0"/>
  </r>
  <r>
    <x v="11"/>
    <x v="3"/>
    <x v="1"/>
    <x v="0"/>
  </r>
  <r>
    <x v="11"/>
    <x v="3"/>
    <x v="2"/>
    <x v="0"/>
  </r>
  <r>
    <x v="11"/>
    <x v="3"/>
    <x v="3"/>
    <x v="0"/>
  </r>
  <r>
    <x v="11"/>
    <x v="4"/>
    <x v="0"/>
    <x v="0"/>
  </r>
  <r>
    <x v="11"/>
    <x v="4"/>
    <x v="1"/>
    <x v="0"/>
  </r>
  <r>
    <x v="11"/>
    <x v="4"/>
    <x v="2"/>
    <x v="0"/>
  </r>
  <r>
    <x v="11"/>
    <x v="4"/>
    <x v="3"/>
    <x v="0"/>
  </r>
  <r>
    <x v="11"/>
    <x v="5"/>
    <x v="0"/>
    <x v="0"/>
  </r>
  <r>
    <x v="11"/>
    <x v="5"/>
    <x v="1"/>
    <x v="0"/>
  </r>
  <r>
    <x v="11"/>
    <x v="5"/>
    <x v="2"/>
    <x v="0"/>
  </r>
  <r>
    <x v="11"/>
    <x v="5"/>
    <x v="3"/>
    <x v="0"/>
  </r>
  <r>
    <x v="11"/>
    <x v="6"/>
    <x v="0"/>
    <x v="0"/>
  </r>
  <r>
    <x v="11"/>
    <x v="6"/>
    <x v="1"/>
    <x v="0"/>
  </r>
  <r>
    <x v="11"/>
    <x v="6"/>
    <x v="2"/>
    <x v="0"/>
  </r>
  <r>
    <x v="11"/>
    <x v="6"/>
    <x v="3"/>
    <x v="0"/>
  </r>
  <r>
    <x v="11"/>
    <x v="7"/>
    <x v="0"/>
    <x v="0"/>
  </r>
  <r>
    <x v="11"/>
    <x v="7"/>
    <x v="1"/>
    <x v="0"/>
  </r>
  <r>
    <x v="11"/>
    <x v="7"/>
    <x v="2"/>
    <x v="0"/>
  </r>
  <r>
    <x v="11"/>
    <x v="7"/>
    <x v="3"/>
    <x v="0"/>
  </r>
  <r>
    <x v="11"/>
    <x v="8"/>
    <x v="0"/>
    <x v="0"/>
  </r>
  <r>
    <x v="11"/>
    <x v="8"/>
    <x v="1"/>
    <x v="0"/>
  </r>
  <r>
    <x v="11"/>
    <x v="8"/>
    <x v="2"/>
    <x v="0"/>
  </r>
  <r>
    <x v="11"/>
    <x v="8"/>
    <x v="3"/>
    <x v="0"/>
  </r>
  <r>
    <x v="11"/>
    <x v="9"/>
    <x v="0"/>
    <x v="0"/>
  </r>
  <r>
    <x v="11"/>
    <x v="9"/>
    <x v="1"/>
    <x v="0"/>
  </r>
  <r>
    <x v="11"/>
    <x v="9"/>
    <x v="2"/>
    <x v="0"/>
  </r>
  <r>
    <x v="11"/>
    <x v="9"/>
    <x v="3"/>
    <x v="0"/>
  </r>
  <r>
    <x v="11"/>
    <x v="10"/>
    <x v="0"/>
    <x v="0"/>
  </r>
  <r>
    <x v="11"/>
    <x v="10"/>
    <x v="1"/>
    <x v="0"/>
  </r>
  <r>
    <x v="11"/>
    <x v="10"/>
    <x v="2"/>
    <x v="0"/>
  </r>
  <r>
    <x v="11"/>
    <x v="10"/>
    <x v="3"/>
    <x v="0"/>
  </r>
  <r>
    <x v="11"/>
    <x v="11"/>
    <x v="0"/>
    <x v="0"/>
  </r>
  <r>
    <x v="11"/>
    <x v="11"/>
    <x v="1"/>
    <x v="0"/>
  </r>
  <r>
    <x v="11"/>
    <x v="11"/>
    <x v="2"/>
    <x v="0"/>
  </r>
  <r>
    <x v="11"/>
    <x v="11"/>
    <x v="3"/>
    <x v="0"/>
  </r>
  <r>
    <x v="11"/>
    <x v="12"/>
    <x v="0"/>
    <x v="0"/>
  </r>
  <r>
    <x v="11"/>
    <x v="12"/>
    <x v="1"/>
    <x v="0"/>
  </r>
  <r>
    <x v="11"/>
    <x v="12"/>
    <x v="2"/>
    <x v="0"/>
  </r>
  <r>
    <x v="11"/>
    <x v="12"/>
    <x v="3"/>
    <x v="0"/>
  </r>
  <r>
    <x v="11"/>
    <x v="13"/>
    <x v="0"/>
    <x v="0"/>
  </r>
  <r>
    <x v="11"/>
    <x v="13"/>
    <x v="1"/>
    <x v="0"/>
  </r>
  <r>
    <x v="11"/>
    <x v="13"/>
    <x v="2"/>
    <x v="0"/>
  </r>
  <r>
    <x v="11"/>
    <x v="13"/>
    <x v="3"/>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8108D763-0756-4ECC-A3FD-69C59A39F61A}" name="Tableau croisé dynamique2" cacheId="1" applyNumberFormats="0" applyBorderFormats="0" applyFontFormats="0" applyPatternFormats="0" applyAlignmentFormats="0" applyWidthHeightFormats="1" dataCaption="Valeurs" updatedVersion="6" minRefreshableVersion="3" visualTotals="0" useAutoFormatting="1" itemPrintTitles="1" createdVersion="7" indent="0" compact="0" outline="1" outlineData="1" compactData="0">
  <location ref="A1:Q55" firstHeaderRow="1" firstDataRow="2" firstDataCol="2"/>
  <pivotFields count="4">
    <pivotField axis="axisRow" compact="0" showAll="0">
      <items count="13">
        <item x="0"/>
        <item x="1"/>
        <item x="2"/>
        <item x="3"/>
        <item x="4"/>
        <item x="5"/>
        <item x="6"/>
        <item x="7"/>
        <item x="8"/>
        <item x="9"/>
        <item x="10"/>
        <item x="11"/>
        <item t="default"/>
      </items>
    </pivotField>
    <pivotField axis="axisCol" compact="0" showAll="0">
      <items count="15">
        <item x="0"/>
        <item x="1"/>
        <item x="2"/>
        <item x="3"/>
        <item x="4"/>
        <item x="5"/>
        <item x="6"/>
        <item x="7"/>
        <item x="8"/>
        <item x="9"/>
        <item x="10"/>
        <item x="11"/>
        <item x="12"/>
        <item x="13"/>
        <item t="default"/>
      </items>
    </pivotField>
    <pivotField axis="axisRow" compact="0" showAll="0">
      <items count="5">
        <item x="0"/>
        <item x="1"/>
        <item x="2"/>
        <item x="3"/>
        <item t="default"/>
      </items>
    </pivotField>
    <pivotField dataField="1" compact="0" showAll="0"/>
  </pivotFields>
  <rowFields count="2">
    <field x="2"/>
    <field x="0"/>
  </rowFields>
  <rowItems count="53">
    <i>
      <x/>
    </i>
    <i r="1">
      <x/>
    </i>
    <i r="1">
      <x v="1"/>
    </i>
    <i r="1">
      <x v="2"/>
    </i>
    <i r="1">
      <x v="3"/>
    </i>
    <i r="1">
      <x v="4"/>
    </i>
    <i r="1">
      <x v="5"/>
    </i>
    <i r="1">
      <x v="6"/>
    </i>
    <i r="1">
      <x v="7"/>
    </i>
    <i r="1">
      <x v="8"/>
    </i>
    <i r="1">
      <x v="9"/>
    </i>
    <i r="1">
      <x v="10"/>
    </i>
    <i r="1">
      <x v="11"/>
    </i>
    <i>
      <x v="1"/>
    </i>
    <i r="1">
      <x/>
    </i>
    <i r="1">
      <x v="1"/>
    </i>
    <i r="1">
      <x v="2"/>
    </i>
    <i r="1">
      <x v="3"/>
    </i>
    <i r="1">
      <x v="4"/>
    </i>
    <i r="1">
      <x v="5"/>
    </i>
    <i r="1">
      <x v="6"/>
    </i>
    <i r="1">
      <x v="7"/>
    </i>
    <i r="1">
      <x v="8"/>
    </i>
    <i r="1">
      <x v="9"/>
    </i>
    <i r="1">
      <x v="10"/>
    </i>
    <i r="1">
      <x v="11"/>
    </i>
    <i>
      <x v="2"/>
    </i>
    <i r="1">
      <x/>
    </i>
    <i r="1">
      <x v="1"/>
    </i>
    <i r="1">
      <x v="2"/>
    </i>
    <i r="1">
      <x v="3"/>
    </i>
    <i r="1">
      <x v="4"/>
    </i>
    <i r="1">
      <x v="5"/>
    </i>
    <i r="1">
      <x v="6"/>
    </i>
    <i r="1">
      <x v="7"/>
    </i>
    <i r="1">
      <x v="8"/>
    </i>
    <i r="1">
      <x v="9"/>
    </i>
    <i r="1">
      <x v="10"/>
    </i>
    <i r="1">
      <x v="11"/>
    </i>
    <i>
      <x v="3"/>
    </i>
    <i r="1">
      <x/>
    </i>
    <i r="1">
      <x v="1"/>
    </i>
    <i r="1">
      <x v="2"/>
    </i>
    <i r="1">
      <x v="3"/>
    </i>
    <i r="1">
      <x v="4"/>
    </i>
    <i r="1">
      <x v="5"/>
    </i>
    <i r="1">
      <x v="6"/>
    </i>
    <i r="1">
      <x v="7"/>
    </i>
    <i r="1">
      <x v="8"/>
    </i>
    <i r="1">
      <x v="9"/>
    </i>
    <i r="1">
      <x v="10"/>
    </i>
    <i r="1">
      <x v="11"/>
    </i>
    <i t="grand">
      <x/>
    </i>
  </rowItems>
  <colFields count="1">
    <field x="1"/>
  </colFields>
  <colItems count="15">
    <i>
      <x/>
    </i>
    <i>
      <x v="1"/>
    </i>
    <i>
      <x v="2"/>
    </i>
    <i>
      <x v="3"/>
    </i>
    <i>
      <x v="4"/>
    </i>
    <i>
      <x v="5"/>
    </i>
    <i>
      <x v="6"/>
    </i>
    <i>
      <x v="7"/>
    </i>
    <i>
      <x v="8"/>
    </i>
    <i>
      <x v="9"/>
    </i>
    <i>
      <x v="10"/>
    </i>
    <i>
      <x v="11"/>
    </i>
    <i>
      <x v="12"/>
    </i>
    <i>
      <x v="13"/>
    </i>
    <i t="grand">
      <x/>
    </i>
  </colItems>
  <dataFields count="1">
    <dataField name="Somme de Jours" fld="3" baseField="2" baseItem="0" numFmtId="171"/>
  </dataFields>
  <pivotTableStyleInfo name="PivotStyleMedium9" showRowHeaders="1" showColHeaders="1" showRowStripes="1" showColStripes="1"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Motif" xr10:uid="{D2C80243-B178-4D77-ABB0-47106B245EC3}" sourceName="Motif">
  <pivotTables>
    <pivotTable tabId="40" name="Tableau croisé dynamique2"/>
  </pivotTables>
  <data>
    <tabular pivotCacheId="2139935982">
      <items count="14">
        <i x="11" s="1"/>
        <i x="0" s="1"/>
        <i x="12" s="1"/>
        <i x="10" s="1"/>
        <i x="13" s="1"/>
        <i x="9" s="1"/>
        <i x="4" s="1"/>
        <i x="2" s="1"/>
        <i x="8" s="1"/>
        <i x="7" s="1"/>
        <i x="5" s="1"/>
        <i x="3" s="1"/>
        <i x="1" s="1"/>
        <i x="6"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tif" xr10:uid="{E5888200-A2DB-46FC-A963-40FFB93908BE}" cache="Segment_Motif" caption="Motif"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7:AK19" totalsRowCount="1" headerRowDxfId="1408" dataDxfId="1407" totalsRowDxfId="1406">
  <autoFilter ref="B7:AK18"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autoFilter>
  <tableColumns count="36">
    <tableColumn id="1" xr3:uid="{00000000-0010-0000-0000-000001000000}" name="Nom de l’employé" totalsRowFunction="custom" dataDxfId="1405" totalsRowDxfId="35" dataCellStyle="Employé">
      <totalsRowFormula>NomMois&amp;" Total"</totalsRowFormula>
    </tableColumn>
    <tableColumn id="2" xr3:uid="{00000000-0010-0000-0000-000002000000}" name="1" totalsRowFunction="custom" dataDxfId="1404" totalsRowDxfId="34">
      <totalsRowFormula>(COUNTIF(C8:C18,"C")+(COUNTIF(C8:C18,"CS")+COUNTIF(C8:C18,"RTT")+(COUNTIF(C8:C18,"DRTT")/2)+COUNTIF(C8:C18,"M")+COUNTIF(C8:C18,"Rec")+(COUNTIF(C8:C18,"Drec")/2)+COUNTIF(C8:C18,"F")+(COUNTIF(C8:C18,"EM")+(COUNTIF(C8:C18,"DEM")/2))))</totalsRowFormula>
    </tableColumn>
    <tableColumn id="3" xr3:uid="{00000000-0010-0000-0000-000003000000}" name="2" totalsRowFunction="custom" dataDxfId="1403" totalsRowDxfId="33">
      <totalsRowFormula>(COUNTIF(D8:D18,"C")+(COUNTIF(D8:D18,"CS")+COUNTIF(D8:D18,"RTT")+(COUNTIF(D8:D18,"DRTT")/2)+COUNTIF(D8:D18,"M")+COUNTIF(D8:D18,"Rec")+(COUNTIF(D8:D18,"Drec")/2)+COUNTIF(D8:D18,"F")+(COUNTIF(D8:D18,"EM")+(COUNTIF(D8:D18,"DEM")/2))))</totalsRowFormula>
    </tableColumn>
    <tableColumn id="4" xr3:uid="{00000000-0010-0000-0000-000004000000}" name="3" totalsRowFunction="custom" dataDxfId="1402" totalsRowDxfId="32">
      <totalsRowFormula>(COUNTIF(E8:E18,"C")+(COUNTIF(E8:E18,"CS")+COUNTIF(E8:E18,"RTT")+(COUNTIF(E8:E18,"DRTT")/2)+COUNTIF(E8:E18,"M")+COUNTIF(E8:E18,"Rec")+(COUNTIF(E8:E18,"Drec")/2)+COUNTIF(E8:E18,"F")+(COUNTIF(E8:E18,"EM")+(COUNTIF(E8:E18,"DEM")/2))))</totalsRowFormula>
    </tableColumn>
    <tableColumn id="5" xr3:uid="{00000000-0010-0000-0000-000005000000}" name="4" totalsRowFunction="custom" dataDxfId="1401" totalsRowDxfId="31">
      <totalsRowFormula>(COUNTIF(F8:F18,"C")+(COUNTIF(F8:F18,"CS")+COUNTIF(F8:F18,"RTT")+(COUNTIF(F8:F18,"DRTT")/2)+COUNTIF(F8:F18,"M")+COUNTIF(F8:F18,"Rec")+(COUNTIF(F8:F18,"Drec")/2)+COUNTIF(F8:F18,"F")+(COUNTIF(F8:F18,"EM")+(COUNTIF(F8:F18,"DEM")/2))))</totalsRowFormula>
    </tableColumn>
    <tableColumn id="6" xr3:uid="{00000000-0010-0000-0000-000006000000}" name="5" totalsRowFunction="custom" dataDxfId="1400" totalsRowDxfId="30">
      <totalsRowFormula>(COUNTIF(G8:G18,"C")+(COUNTIF(G8:G18,"CS")+COUNTIF(G8:G18,"RTT")+(COUNTIF(G8:G18,"DRTT")/2)+COUNTIF(G8:G18,"M")+COUNTIF(G8:G18,"Rec")+(COUNTIF(G8:G18,"Drec")/2)+COUNTIF(G8:G18,"F")+(COUNTIF(G8:G18,"EM")+(COUNTIF(G8:G18,"DEM")/2))))</totalsRowFormula>
    </tableColumn>
    <tableColumn id="7" xr3:uid="{00000000-0010-0000-0000-000007000000}" name="6" totalsRowFunction="custom" dataDxfId="1399" totalsRowDxfId="29">
      <totalsRowFormula>(COUNTIF(H8:H18,"C")+(COUNTIF(H8:H18,"CS")+COUNTIF(H8:H18,"RTT")+(COUNTIF(H8:H18,"DRTT")/2)+COUNTIF(H8:H18,"M")+COUNTIF(H8:H18,"Rec")+(COUNTIF(H8:H18,"Drec")/2)+COUNTIF(H8:H18,"F")+(COUNTIF(H8:H18,"EM")+(COUNTIF(H8:H18,"DEM")/2))))</totalsRowFormula>
    </tableColumn>
    <tableColumn id="8" xr3:uid="{00000000-0010-0000-0000-000008000000}" name="7" totalsRowFunction="custom" dataDxfId="1398" totalsRowDxfId="28">
      <totalsRowFormula>(COUNTIF(I8:I18,"C")+(COUNTIF(I8:I18,"CS")+COUNTIF(I8:I18,"RTT")+(COUNTIF(I8:I18,"DRTT")/2)+COUNTIF(I8:I18,"M")+COUNTIF(I8:I18,"Rec")+(COUNTIF(I8:I18,"Drec")/2)+COUNTIF(I8:I18,"F")+(COUNTIF(I8:I18,"EM")+(COUNTIF(I8:I18,"DEM")/2))))</totalsRowFormula>
    </tableColumn>
    <tableColumn id="9" xr3:uid="{00000000-0010-0000-0000-000009000000}" name="8" totalsRowFunction="custom" dataDxfId="1397" totalsRowDxfId="27">
      <totalsRowFormula>(COUNTIF(J8:J18,"C")+(COUNTIF(J8:J18,"CS")+COUNTIF(J8:J18,"RTT")+(COUNTIF(J8:J18,"DRTT")/2)+COUNTIF(J8:J18,"M")+COUNTIF(J8:J18,"Rec")+(COUNTIF(J8:J18,"Drec")/2)+COUNTIF(J8:J18,"F")+(COUNTIF(J8:J18,"EM")+(COUNTIF(J8:J18,"DEM")/2))))</totalsRowFormula>
    </tableColumn>
    <tableColumn id="10" xr3:uid="{00000000-0010-0000-0000-00000A000000}" name="9" totalsRowFunction="custom" dataDxfId="1396" totalsRowDxfId="26">
      <totalsRowFormula>(COUNTIF(K8:K18,"C")+(COUNTIF(K8:K18,"CS")+COUNTIF(K8:K18,"RTT")+(COUNTIF(K8:K18,"DRTT")/2)+COUNTIF(K8:K18,"M")+COUNTIF(K8:K18,"Rec")+(COUNTIF(K8:K18,"Drec")/2)+COUNTIF(K8:K18,"F")+(COUNTIF(K8:K18,"EM")+(COUNTIF(K8:K18,"DEM")/2))))</totalsRowFormula>
    </tableColumn>
    <tableColumn id="11" xr3:uid="{00000000-0010-0000-0000-00000B000000}" name="10" totalsRowFunction="custom" dataDxfId="1395" totalsRowDxfId="25">
      <totalsRowFormula>(COUNTIF(L8:L18,"C")+(COUNTIF(L8:L18,"CS")+COUNTIF(L8:L18,"RTT")+(COUNTIF(L8:L18,"DRTT")/2)+COUNTIF(L8:L18,"M")+COUNTIF(L8:L18,"Rec")+(COUNTIF(L8:L18,"Drec")/2)+COUNTIF(L8:L18,"F")+(COUNTIF(L8:L18,"EM")+(COUNTIF(L8:L18,"DEM")/2))))</totalsRowFormula>
    </tableColumn>
    <tableColumn id="12" xr3:uid="{00000000-0010-0000-0000-00000C000000}" name="11" totalsRowFunction="custom" dataDxfId="1394" totalsRowDxfId="24">
      <totalsRowFormula>(COUNTIF(M8:M18,"C")+(COUNTIF(M8:M18,"CS")+COUNTIF(M8:M18,"RTT")+(COUNTIF(M8:M18,"DRTT")/2)+COUNTIF(M8:M18,"M")+COUNTIF(M8:M18,"Rec")+(COUNTIF(M8:M18,"Drec")/2)+COUNTIF(M8:M18,"F")+(COUNTIF(M8:M18,"EM")+(COUNTIF(M8:M18,"DEM")/2))))</totalsRowFormula>
    </tableColumn>
    <tableColumn id="13" xr3:uid="{00000000-0010-0000-0000-00000D000000}" name="12" totalsRowFunction="custom" dataDxfId="1393" totalsRowDxfId="23">
      <totalsRowFormula>(COUNTIF(N8:N18,"C")+(COUNTIF(N8:N18,"CS")+COUNTIF(N8:N18,"RTT")+(COUNTIF(N8:N18,"DRTT")/2)+COUNTIF(N8:N18,"M")+COUNTIF(N8:N18,"Rec")+(COUNTIF(N8:N18,"Drec")/2)+COUNTIF(N8:N18,"F")+(COUNTIF(N8:N18,"EM")+(COUNTIF(N8:N18,"DEM")/2))))</totalsRowFormula>
    </tableColumn>
    <tableColumn id="14" xr3:uid="{00000000-0010-0000-0000-00000E000000}" name="13" totalsRowFunction="custom" dataDxfId="1392" totalsRowDxfId="22">
      <totalsRowFormula>(COUNTIF(O8:O18,"C")+(COUNTIF(O8:O18,"CS")+COUNTIF(O8:O18,"RTT")+(COUNTIF(O8:O18,"DRTT")/2)+COUNTIF(O8:O18,"M")+COUNTIF(O8:O18,"Rec")+(COUNTIF(O8:O18,"Drec")/2)+COUNTIF(O8:O18,"F")+(COUNTIF(O8:O18,"EM")+(COUNTIF(O8:O18,"DEM")/2))))</totalsRowFormula>
    </tableColumn>
    <tableColumn id="15" xr3:uid="{00000000-0010-0000-0000-00000F000000}" name="14" totalsRowFunction="custom" dataDxfId="1391" totalsRowDxfId="21">
      <totalsRowFormula>(COUNTIF(P8:P18,"C")+(COUNTIF(P8:P18,"CS")+COUNTIF(P8:P18,"RTT")+(COUNTIF(P8:P18,"DRTT")/2)+COUNTIF(P8:P18,"M")+COUNTIF(P8:P18,"Rec")+(COUNTIF(P8:P18,"Drec")/2)+COUNTIF(P8:P18,"F")+(COUNTIF(P8:P18,"EM")+(COUNTIF(P8:P18,"DEM")/2))))</totalsRowFormula>
    </tableColumn>
    <tableColumn id="16" xr3:uid="{00000000-0010-0000-0000-000010000000}" name="15" totalsRowFunction="custom" dataDxfId="1390" totalsRowDxfId="20">
      <totalsRowFormula>(COUNTIF(Q8:Q18,"C")+(COUNTIF(Q8:Q18,"CS")+COUNTIF(Q8:Q18,"RTT")+(COUNTIF(Q8:Q18,"DRTT")/2)+COUNTIF(Q8:Q18,"M")+COUNTIF(Q8:Q18,"Rec")+(COUNTIF(Q8:Q18,"Drec")/2)+COUNTIF(Q8:Q18,"F")+(COUNTIF(Q8:Q18,"EM")+(COUNTIF(Q8:Q18,"DEM")/2))))</totalsRowFormula>
    </tableColumn>
    <tableColumn id="17" xr3:uid="{00000000-0010-0000-0000-000011000000}" name="16" totalsRowFunction="custom" dataDxfId="1389" totalsRowDxfId="19">
      <totalsRowFormula>(COUNTIF(R8:R18,"C")+(COUNTIF(R8:R18,"CS")+COUNTIF(R8:R18,"RTT")+(COUNTIF(R8:R18,"DRTT")/2)+COUNTIF(R8:R18,"M")+COUNTIF(R8:R18,"Rec")+(COUNTIF(R8:R18,"Drec")/2)+COUNTIF(R8:R18,"F")+(COUNTIF(R8:R18,"EM")+(COUNTIF(R8:R18,"DEM")/2))))</totalsRowFormula>
    </tableColumn>
    <tableColumn id="18" xr3:uid="{00000000-0010-0000-0000-000012000000}" name="17" totalsRowFunction="custom" dataDxfId="1388" totalsRowDxfId="18">
      <totalsRowFormula>(COUNTIF(S8:S18,"C")+(COUNTIF(S8:S18,"CS")+COUNTIF(S8:S18,"RTT")+(COUNTIF(S8:S18,"DRTT")/2)+COUNTIF(S8:S18,"M")+COUNTIF(S8:S18,"Rec")+(COUNTIF(S8:S18,"Drec")/2)+COUNTIF(S8:S18,"F")+(COUNTIF(S8:S18,"EM")+(COUNTIF(S8:S18,"DEM")/2))))</totalsRowFormula>
    </tableColumn>
    <tableColumn id="19" xr3:uid="{00000000-0010-0000-0000-000013000000}" name="18" totalsRowFunction="custom" dataDxfId="1387" totalsRowDxfId="17">
      <totalsRowFormula>(COUNTIF(T8:T18,"C")+(COUNTIF(T8:T18,"CS")+COUNTIF(T8:T18,"RTT")+(COUNTIF(T8:T18,"DRTT")/2)+COUNTIF(T8:T18,"M")+COUNTIF(T8:T18,"Rec")+(COUNTIF(T8:T18,"Drec")/2)+COUNTIF(T8:T18,"F")+(COUNTIF(T8:T18,"EM")+(COUNTIF(T8:T18,"DEM")/2))))</totalsRowFormula>
    </tableColumn>
    <tableColumn id="20" xr3:uid="{00000000-0010-0000-0000-000014000000}" name="19" totalsRowFunction="custom" dataDxfId="1386" totalsRowDxfId="16">
      <totalsRowFormula>(COUNTIF(U8:U18,"C")+(COUNTIF(U8:U18,"CS")+COUNTIF(U8:U18,"RTT")+(COUNTIF(U8:U18,"DRTT")/2)+COUNTIF(U8:U18,"M")+COUNTIF(U8:U18,"Rec")+(COUNTIF(U8:U18,"Drec")/2)+COUNTIF(U8:U18,"F")+(COUNTIF(U8:U18,"EM")+(COUNTIF(U8:U18,"DEM")/2))))</totalsRowFormula>
    </tableColumn>
    <tableColumn id="21" xr3:uid="{00000000-0010-0000-0000-000015000000}" name="20" totalsRowFunction="custom" dataDxfId="1385" totalsRowDxfId="15">
      <totalsRowFormula>(COUNTIF(V8:V18,"C")+(COUNTIF(V8:V18,"CS")+COUNTIF(V8:V18,"RTT")+(COUNTIF(V8:V18,"DRTT")/2)+COUNTIF(V8:V18,"M")+COUNTIF(V8:V18,"Rec")+(COUNTIF(V8:V18,"Drec")/2)+COUNTIF(V8:V18,"F")+(COUNTIF(V8:V18,"EM")+(COUNTIF(V8:V18,"DEM")/2))))</totalsRowFormula>
    </tableColumn>
    <tableColumn id="22" xr3:uid="{00000000-0010-0000-0000-000016000000}" name="21" totalsRowFunction="custom" dataDxfId="1384" totalsRowDxfId="14">
      <totalsRowFormula>(COUNTIF(W8:W18,"C")+(COUNTIF(W8:W18,"CS")+COUNTIF(W8:W18,"RTT")+(COUNTIF(W8:W18,"DRTT")/2)+COUNTIF(W8:W18,"M")+COUNTIF(W8:W18,"Rec")+(COUNTIF(W8:W18,"Drec")/2)+COUNTIF(W8:W18,"F")+(COUNTIF(W8:W18,"EM")+(COUNTIF(W8:W18,"DEM")/2))))</totalsRowFormula>
    </tableColumn>
    <tableColumn id="23" xr3:uid="{00000000-0010-0000-0000-000017000000}" name="22" totalsRowFunction="custom" dataDxfId="1383" totalsRowDxfId="13">
      <totalsRowFormula>(COUNTIF(X8:X18,"C")+(COUNTIF(X8:X18,"CS")+COUNTIF(X8:X18,"RTT")+(COUNTIF(X8:X18,"DRTT")/2)+COUNTIF(X8:X18,"M")+COUNTIF(X8:X18,"Rec")+(COUNTIF(X8:X18,"Drec")/2)+COUNTIF(X8:X18,"F")+(COUNTIF(X8:X18,"EM")+(COUNTIF(X8:X18,"DEM")/2))))</totalsRowFormula>
    </tableColumn>
    <tableColumn id="24" xr3:uid="{00000000-0010-0000-0000-000018000000}" name="23" totalsRowFunction="custom" dataDxfId="1382" totalsRowDxfId="12">
      <totalsRowFormula>(COUNTIF(Y8:Y18,"C")+(COUNTIF(Y8:Y18,"CS")+COUNTIF(Y8:Y18,"RTT")+(COUNTIF(Y8:Y18,"DRTT")/2)+COUNTIF(Y8:Y18,"M")+COUNTIF(Y8:Y18,"Rec")+(COUNTIF(Y8:Y18,"Drec")/2)+COUNTIF(Y8:Y18,"F")+(COUNTIF(Y8:Y18,"EM")+(COUNTIF(Y8:Y18,"DEM")/2))))</totalsRowFormula>
    </tableColumn>
    <tableColumn id="25" xr3:uid="{00000000-0010-0000-0000-000019000000}" name="24" totalsRowFunction="custom" dataDxfId="1381" totalsRowDxfId="11">
      <totalsRowFormula>(COUNTIF(Z8:Z18,"C")+(COUNTIF(Z8:Z18,"CS")+COUNTIF(Z8:Z18,"RTT")+(COUNTIF(Z8:Z18,"DRTT")/2)+COUNTIF(Z8:Z18,"M")+COUNTIF(Z8:Z18,"Rec")+(COUNTIF(Z8:Z18,"Drec")/2)+COUNTIF(Z8:Z18,"F")+(COUNTIF(Z8:Z18,"EM")+(COUNTIF(Z8:Z18,"DEM")/2))))</totalsRowFormula>
    </tableColumn>
    <tableColumn id="26" xr3:uid="{00000000-0010-0000-0000-00001A000000}" name="25" totalsRowFunction="custom" dataDxfId="1380" totalsRowDxfId="10">
      <totalsRowFormula>(COUNTIF(AA8:AA18,"C")+(COUNTIF(AA8:AA18,"CS")+COUNTIF(AA8:AA18,"RTT")+(COUNTIF(AA8:AA18,"DRTT")/2)+COUNTIF(AA8:AA18,"M")+COUNTIF(AA8:AA18,"Rec")+(COUNTIF(AA8:AA18,"Drec")/2)+COUNTIF(AA8:AA18,"F")+(COUNTIF(AA8:AA18,"EM")+(COUNTIF(AA8:AA18,"DEM")/2))))</totalsRowFormula>
    </tableColumn>
    <tableColumn id="27" xr3:uid="{00000000-0010-0000-0000-00001B000000}" name="26" totalsRowFunction="custom" dataDxfId="1379" totalsRowDxfId="9">
      <totalsRowFormula>(COUNTIF(AB8:AB18,"C")+(COUNTIF(AB8:AB18,"CS")+COUNTIF(AB8:AB18,"RTT")+(COUNTIF(AB8:AB18,"DRTT")/2)+COUNTIF(AB8:AB18,"M")+COUNTIF(AB8:AB18,"Rec")+(COUNTIF(AB8:AB18,"Drec")/2)+COUNTIF(AB8:AB18,"F")+(COUNTIF(AB8:AB18,"EM")+(COUNTIF(AB8:AB18,"DEM")/2))))</totalsRowFormula>
    </tableColumn>
    <tableColumn id="28" xr3:uid="{00000000-0010-0000-0000-00001C000000}" name="27" totalsRowFunction="custom" dataDxfId="1378" totalsRowDxfId="8">
      <totalsRowFormula>(COUNTIF(AC8:AC18,"C")+(COUNTIF(AC8:AC18,"CS")+COUNTIF(AC8:AC18,"RTT")+(COUNTIF(AC8:AC18,"DRTT")/2)+COUNTIF(AC8:AC18,"M")+COUNTIF(AC8:AC18,"Rec")+(COUNTIF(AC8:AC18,"Drec")/2)+COUNTIF(AC8:AC18,"F")+(COUNTIF(AC8:AC18,"EM")+(COUNTIF(AC8:AC18,"DEM")/2))))</totalsRowFormula>
    </tableColumn>
    <tableColumn id="29" xr3:uid="{00000000-0010-0000-0000-00001D000000}" name="28" totalsRowFunction="custom" dataDxfId="1377" totalsRowDxfId="7">
      <totalsRowFormula>(COUNTIF(AD8:AD18,"C")+(COUNTIF(AD8:AD18,"CS")+COUNTIF(AD8:AD18,"RTT")+(COUNTIF(AD8:AD18,"DRTT")/2)+COUNTIF(AD8:AD18,"M")+COUNTIF(AD8:AD18,"Rec")+(COUNTIF(AD8:AD18,"Drec")/2)+COUNTIF(AD8:AD18,"F")+(COUNTIF(AD8:AD18,"EM")+(COUNTIF(AD8:AD18,"DEM")/2))))</totalsRowFormula>
    </tableColumn>
    <tableColumn id="30" xr3:uid="{00000000-0010-0000-0000-00001E000000}" name="29" totalsRowFunction="custom" dataDxfId="1376" totalsRowDxfId="6">
      <totalsRowFormula>(COUNTIF(AE8:AE18,"C")+(COUNTIF(AE8:AE18,"CS")+COUNTIF(AE8:AE18,"RTT")+(COUNTIF(AE8:AE18,"DRTT")/2)+COUNTIF(AE8:AE18,"M")+COUNTIF(AE8:AE18,"Rec")+(COUNTIF(AE8:AE18,"Drec")/2)+COUNTIF(AE8:AE18,"F")+(COUNTIF(AE8:AE18,"EM")+(COUNTIF(AE8:AE18,"DEM")/2))))</totalsRowFormula>
    </tableColumn>
    <tableColumn id="31" xr3:uid="{00000000-0010-0000-0000-00001F000000}" name="30" totalsRowFunction="custom" dataDxfId="1375" totalsRowDxfId="5">
      <totalsRowFormula>(COUNTIF(AF8:AF18,"C")+(COUNTIF(AF8:AF18,"CS")+COUNTIF(AF8:AF18,"RTT")+(COUNTIF(AF8:AF18,"DRTT")/2)+COUNTIF(AF8:AF18,"M")+COUNTIF(AF8:AF18,"Rec")+(COUNTIF(AF8:AF18,"Drec")/2)+COUNTIF(AF8:AF18,"F")+(COUNTIF(AF8:AF18,"EM")+(COUNTIF(AF8:AF18,"DEM")/2))))</totalsRowFormula>
    </tableColumn>
    <tableColumn id="32" xr3:uid="{00000000-0010-0000-0000-000020000000}" name="31" totalsRowFunction="custom" dataDxfId="1374" totalsRowDxfId="4">
      <totalsRowFormula>(COUNTIF(AG8:AG18,"C")+(COUNTIF(AG8:AG18,"CS")+COUNTIF(AG8:AG18,"RTT")+(COUNTIF(AG8:AG18,"DRTT")/2)+COUNTIF(AG8:AG18,"M")+COUNTIF(AG8:AG18,"Rec")+(COUNTIF(AG8:AG18,"Drec")/2)+COUNTIF(AG8:AG18,"F")+(COUNTIF(AG8:AG18,"EM")+(COUNTIF(AG8:AG18,"DEM")/2))))</totalsRowFormula>
    </tableColumn>
    <tableColumn id="33" xr3:uid="{00000000-0010-0000-0000-000021000000}" name="Total absence" totalsRowFunction="sum" dataDxfId="1373" totalsRowDxfId="3" dataCellStyle="Total">
      <calculatedColumnFormula>(COUNTIF(C8:AG8,"C")+(COUNTIF(C8:AG8,"EM")+COUNTIF(C8:AG8,"RTT")+COUNTIF(C8:AG8,"M")+COUNTIF(C8:AG8,"Rec")+COUNTIF(C8:AG8,"F")+COUNTIF(C8:AG8,"TT"-1)+COUNTIF(C8:AG8,"CS")+COUNTIF(C8:AG8,"PE"-1)+COUNTIF(C8:AG8,"DRTT")/2)+COUNTIF(C8:AG8,"DREC")/2)+COUNTIF(C8:AG8,"DEM")/2</calculatedColumnFormula>
    </tableColumn>
    <tableColumn id="35" xr3:uid="{1501D1C5-CF1C-FB4A-AAB7-8ED3609F1E87}" name="Dont RTT" totalsRowFunction="sum" dataDxfId="1372" totalsRowDxfId="2" dataCellStyle="Total">
      <calculatedColumnFormula>COUNTIF(C8:AG8,"RTT")</calculatedColumnFormula>
    </tableColumn>
    <tableColumn id="36" xr3:uid="{880671E3-A277-B844-82F5-51EBB132B155}" name="Dont MALADIE" totalsRowFunction="sum" dataDxfId="1371" totalsRowDxfId="1" dataCellStyle="Total"/>
    <tableColumn id="34" xr3:uid="{31B1AA76-8025-7A41-A5B7-C57B67FCBD74}" name="Solde RTT disponible au 01/02/2021" dataDxfId="1370" totalsRowDxfId="0">
      <calculatedColumnFormula>2-Janvier[[#This Row],[Dont RTT]]</calculatedColumnFormula>
    </tableColumn>
  </tableColumns>
  <tableStyleInfo name="Tableau des absences des employés" showFirstColumn="1" showLastColumn="0" showRowStripes="1" showColumnStripes="1"/>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EA4EEAD-DADF-3B46-ABE3-BFDA1D52EA63}" name="Février" displayName="Février" ref="B7:AK19" totalsRowCount="1" headerRowDxfId="1369" totalsRowDxfId="1368">
  <tableColumns count="36">
    <tableColumn id="1" xr3:uid="{CFB5A5A9-A7F3-CB42-A954-310B79E54FDF}" name="Nom de l’employé" totalsRowFunction="custom" dataDxfId="1367" totalsRowDxfId="1366" dataCellStyle="Employé">
      <totalsRowFormula>NomMois&amp;" Total"</totalsRowFormula>
    </tableColumn>
    <tableColumn id="2" xr3:uid="{A31BB429-AC95-224A-ACF6-B5B43B4D2112}" name="1" totalsRowFunction="custom" dataDxfId="1365" totalsRowDxfId="1364">
      <totalsRowFormula>(COUNTIF(C8:C18,"C")+(COUNTIF(C8:C18,"CS")+COUNTIF(C8:C18,"RTT")+(COUNTIF(C8:C18,"DRTT")/2)+COUNTIF(C8:C18,"M")+COUNTIF(C8:C18,"Rec")+(COUNTIF(C8:C18,"Drec")/2)+COUNTIF(C8:C18,"F")+(COUNTIF(C8:C18,"EM")+(COUNTIF(C8:C18,"DEM")/2))))</totalsRowFormula>
    </tableColumn>
    <tableColumn id="3" xr3:uid="{68866173-CECF-3E46-A567-BCB1D3FBAD37}" name="2" totalsRowFunction="custom" dataDxfId="1363" totalsRowDxfId="1362">
      <totalsRowFormula>(COUNTIF(D8:D18,"C")+(COUNTIF(D8:D18,"CS")+COUNTIF(D8:D18,"RTT")+(COUNTIF(D8:D18,"DRTT")/2)+COUNTIF(D8:D18,"M")+COUNTIF(D8:D18,"Rec")+(COUNTIF(D8:D18,"Drec")/2)+COUNTIF(D8:D18,"F")+(COUNTIF(D8:D18,"EM")+(COUNTIF(D8:D18,"DEM")/2))))</totalsRowFormula>
    </tableColumn>
    <tableColumn id="4" xr3:uid="{36C362AF-A9A4-4B41-A287-F5DE8C57553A}" name="3" totalsRowFunction="custom" dataDxfId="1361" totalsRowDxfId="1360">
      <totalsRowFormula>(COUNTIF(E8:E18,"C")+(COUNTIF(E8:E18,"CS")+COUNTIF(E8:E18,"RTT")+(COUNTIF(E8:E18,"DRTT")/2)+COUNTIF(E8:E18,"M")+COUNTIF(E8:E18,"Rec")+(COUNTIF(E8:E18,"Drec")/2)+COUNTIF(E8:E18,"F")+(COUNTIF(E8:E18,"EM")+(COUNTIF(E8:E18,"DEM")/2))))</totalsRowFormula>
    </tableColumn>
    <tableColumn id="5" xr3:uid="{757BF8F4-EF68-1240-B3A5-ACC1C4C83D1E}" name="4" totalsRowFunction="custom" dataDxfId="1359" totalsRowDxfId="1358">
      <totalsRowFormula>(COUNTIF(F8:F18,"C")+(COUNTIF(F8:F18,"CS")+COUNTIF(F8:F18,"RTT")+(COUNTIF(F8:F18,"DRTT")/2)+COUNTIF(F8:F18,"M")+COUNTIF(F8:F18,"Rec")+(COUNTIF(F8:F18,"Drec")/2)+COUNTIF(F8:F18,"F")+(COUNTIF(F8:F18,"EM")+(COUNTIF(F8:F18,"DEM")/2))))</totalsRowFormula>
    </tableColumn>
    <tableColumn id="6" xr3:uid="{7D1F361D-94D4-8844-875F-31C2C6116182}" name="5" totalsRowFunction="custom" dataDxfId="1357" totalsRowDxfId="1356">
      <totalsRowFormula>(COUNTIF(G8:G18,"C")+(COUNTIF(G8:G18,"CS")+COUNTIF(G8:G18,"RTT")+(COUNTIF(G8:G18,"DRTT")/2)+COUNTIF(G8:G18,"M")+COUNTIF(G8:G18,"Rec")+(COUNTIF(G8:G18,"Drec")/2)+COUNTIF(G8:G18,"F")+(COUNTIF(G8:G18,"EM")+(COUNTIF(G8:G18,"DEM")/2))))</totalsRowFormula>
    </tableColumn>
    <tableColumn id="7" xr3:uid="{30189CE6-95EF-924A-A0CB-9EF4138040C5}" name="6" totalsRowFunction="custom" dataDxfId="1355" totalsRowDxfId="1354">
      <totalsRowFormula>(COUNTIF(H8:H18,"C")+(COUNTIF(H8:H18,"CS")+COUNTIF(H8:H18,"RTT")+(COUNTIF(H8:H18,"DRTT")/2)+COUNTIF(H8:H18,"M")+COUNTIF(H8:H18,"Rec")+(COUNTIF(H8:H18,"Drec")/2)+COUNTIF(H8:H18,"F")+(COUNTIF(H8:H18,"EM")+(COUNTIF(H8:H18,"DEM")/2))))</totalsRowFormula>
    </tableColumn>
    <tableColumn id="8" xr3:uid="{5A7C92BF-D50B-3C4F-85CD-FD139253FA9C}" name="7" totalsRowFunction="custom" dataDxfId="1353" totalsRowDxfId="1352">
      <totalsRowFormula>(COUNTIF(I8:I18,"C")+(COUNTIF(I8:I18,"CS")+COUNTIF(I8:I18,"RTT")+(COUNTIF(I8:I18,"DRTT")/2)+COUNTIF(I8:I18,"M")+COUNTIF(I8:I18,"Rec")+(COUNTIF(I8:I18,"Drec")/2)+COUNTIF(I8:I18,"F")+(COUNTIF(I8:I18,"EM")+(COUNTIF(I8:I18,"DEM")/2))))</totalsRowFormula>
    </tableColumn>
    <tableColumn id="9" xr3:uid="{BA0FBFF2-4A37-C54A-98CE-4869CDCA8DFC}" name="8" totalsRowFunction="custom" dataDxfId="1351" totalsRowDxfId="1350">
      <totalsRowFormula>(COUNTIF(J8:J18,"C")+(COUNTIF(J8:J18,"CS")+COUNTIF(J8:J18,"RTT")+(COUNTIF(J8:J18,"DRTT")/2)+COUNTIF(J8:J18,"M")+COUNTIF(J8:J18,"Rec")+(COUNTIF(J8:J18,"Drec")/2)+COUNTIF(J8:J18,"F")+(COUNTIF(J8:J18,"EM")+(COUNTIF(J8:J18,"DEM")/2))))</totalsRowFormula>
    </tableColumn>
    <tableColumn id="10" xr3:uid="{C725040C-A0C3-2142-BFF0-7B4D3432D8B6}" name="9" totalsRowFunction="custom" dataDxfId="1349" totalsRowDxfId="1348">
      <totalsRowFormula>(COUNTIF(K8:K18,"C")+(COUNTIF(K8:K18,"CS")+COUNTIF(K8:K18,"RTT")+(COUNTIF(K8:K18,"DRTT")/2)+COUNTIF(K8:K18,"M")+COUNTIF(K8:K18,"Rec")+(COUNTIF(K8:K18,"Drec")/2)+COUNTIF(K8:K18,"F")+(COUNTIF(K8:K18,"EM")+(COUNTIF(K8:K18,"DEM")/2))))</totalsRowFormula>
    </tableColumn>
    <tableColumn id="11" xr3:uid="{F7F0DC8C-7360-014D-AE5D-49A059B40C63}" name="10" totalsRowFunction="custom" dataDxfId="1347" totalsRowDxfId="1346">
      <totalsRowFormula>(COUNTIF(L8:L18,"C")+(COUNTIF(L8:L18,"CS")+COUNTIF(L8:L18,"RTT")+(COUNTIF(L8:L18,"DRTT")/2)+COUNTIF(L8:L18,"M")+COUNTIF(L8:L18,"Rec")+(COUNTIF(L8:L18,"Drec")/2)+COUNTIF(L8:L18,"F")+(COUNTIF(L8:L18,"EM")+(COUNTIF(L8:L18,"DEM")/2))))</totalsRowFormula>
    </tableColumn>
    <tableColumn id="12" xr3:uid="{2485F7DB-CA2C-0446-8471-8EA7B7945A99}" name="11" totalsRowFunction="custom" dataDxfId="1345" totalsRowDxfId="1344">
      <totalsRowFormula>(COUNTIF(M8:M18,"C")+(COUNTIF(M8:M18,"CS")+COUNTIF(M8:M18,"RTT")+(COUNTIF(M8:M18,"DRTT")/2)+COUNTIF(M8:M18,"M")+COUNTIF(M8:M18,"Rec")+(COUNTIF(M8:M18,"Drec")/2)+COUNTIF(M8:M18,"F")+(COUNTIF(M8:M18,"EM")+(COUNTIF(M8:M18,"DEM")/2))))</totalsRowFormula>
    </tableColumn>
    <tableColumn id="13" xr3:uid="{65074964-D5AD-0445-9F6A-C49DD7375813}" name="12" totalsRowFunction="custom" dataDxfId="1343" totalsRowDxfId="1342">
      <totalsRowFormula>(COUNTIF(N8:N18,"C")+(COUNTIF(N8:N18,"CS")+COUNTIF(N8:N18,"RTT")+(COUNTIF(N8:N18,"DRTT")/2)+COUNTIF(N8:N18,"M")+COUNTIF(N8:N18,"Rec")+(COUNTIF(N8:N18,"Drec")/2)+COUNTIF(N8:N18,"F")+(COUNTIF(N8:N18,"EM")+(COUNTIF(N8:N18,"DEM")/2))))</totalsRowFormula>
    </tableColumn>
    <tableColumn id="14" xr3:uid="{EBD50154-E7EB-354E-AD7E-899400007FC7}" name="13" totalsRowFunction="custom" dataDxfId="1341" totalsRowDxfId="1340">
      <totalsRowFormula>(COUNTIF(O8:O18,"C")+(COUNTIF(O8:O18,"CS")+COUNTIF(O8:O18,"RTT")+(COUNTIF(O8:O18,"DRTT")/2)+COUNTIF(O8:O18,"M")+COUNTIF(O8:O18,"Rec")+(COUNTIF(O8:O18,"Drec")/2)+COUNTIF(O8:O18,"F")+(COUNTIF(O8:O18,"EM")+(COUNTIF(O8:O18,"DEM")/2))))</totalsRowFormula>
    </tableColumn>
    <tableColumn id="15" xr3:uid="{100F3A07-880C-C34F-A20D-414977CB29D9}" name="14" totalsRowFunction="custom" dataDxfId="1339" totalsRowDxfId="1338">
      <totalsRowFormula>(COUNTIF(P8:P18,"C")+(COUNTIF(P8:P18,"CS")+COUNTIF(P8:P18,"RTT")+(COUNTIF(P8:P18,"DRTT")/2)+COUNTIF(P8:P18,"M")+COUNTIF(P8:P18,"Rec")+(COUNTIF(P8:P18,"Drec")/2)+COUNTIF(P8:P18,"F")+(COUNTIF(P8:P18,"EM")+(COUNTIF(P8:P18,"DEM")/2))))</totalsRowFormula>
    </tableColumn>
    <tableColumn id="16" xr3:uid="{ADBA2D14-1C3C-7645-9ADF-872C84CA7EF8}" name="15" totalsRowFunction="custom" dataDxfId="1337" totalsRowDxfId="1336">
      <totalsRowFormula>(COUNTIF(Q8:Q18,"C")+(COUNTIF(Q8:Q18,"CS")+COUNTIF(Q8:Q18,"RTT")+(COUNTIF(Q8:Q18,"DRTT")/2)+COUNTIF(Q8:Q18,"M")+COUNTIF(Q8:Q18,"Rec")+(COUNTIF(Q8:Q18,"Drec")/2)+COUNTIF(Q8:Q18,"F")+(COUNTIF(Q8:Q18,"EM")+(COUNTIF(Q8:Q18,"DEM")/2))))</totalsRowFormula>
    </tableColumn>
    <tableColumn id="17" xr3:uid="{4BFC2E26-E6F2-2D40-A09F-F06CD93FD71E}" name="16" totalsRowFunction="custom" dataDxfId="1335" totalsRowDxfId="1334">
      <totalsRowFormula>(COUNTIF(R8:R18,"C")+(COUNTIF(R8:R18,"CS")+COUNTIF(R8:R18,"RTT")+(COUNTIF(R8:R18,"DRTT")/2)+COUNTIF(R8:R18,"M")+COUNTIF(R8:R18,"Rec")+(COUNTIF(R8:R18,"Drec")/2)+COUNTIF(R8:R18,"F")+(COUNTIF(R8:R18,"EM")+(COUNTIF(R8:R18,"DEM")/2))))</totalsRowFormula>
    </tableColumn>
    <tableColumn id="18" xr3:uid="{99DA6BC2-A27D-9A4F-BBAC-CAB7283E9FAC}" name="17" totalsRowFunction="custom" dataDxfId="1333" totalsRowDxfId="1332">
      <totalsRowFormula>(COUNTIF(S8:S18,"C")+(COUNTIF(S8:S18,"CS")+COUNTIF(S8:S18,"RTT")+(COUNTIF(S8:S18,"DRTT")/2)+COUNTIF(S8:S18,"M")+COUNTIF(S8:S18,"Rec")+(COUNTIF(S8:S18,"Drec")/2)+COUNTIF(S8:S18,"F")+(COUNTIF(S8:S18,"EM")+(COUNTIF(S8:S18,"DEM")/2))))</totalsRowFormula>
    </tableColumn>
    <tableColumn id="19" xr3:uid="{E14C7C31-2226-C942-9EDA-BA21E60A2937}" name="18" totalsRowFunction="custom" dataDxfId="1331" totalsRowDxfId="1330">
      <totalsRowFormula>(COUNTIF(T8:T18,"C")+(COUNTIF(T8:T18,"CS")+COUNTIF(T8:T18,"RTT")+(COUNTIF(T8:T18,"DRTT")/2)+COUNTIF(T8:T18,"M")+COUNTIF(T8:T18,"Rec")+(COUNTIF(T8:T18,"Drec")/2)+COUNTIF(T8:T18,"F")+(COUNTIF(T8:T18,"EM")+(COUNTIF(T8:T18,"DEM")/2))))</totalsRowFormula>
    </tableColumn>
    <tableColumn id="20" xr3:uid="{E5770883-C5AC-6046-A488-985722FD5C5F}" name="19" totalsRowFunction="custom" dataDxfId="1329" totalsRowDxfId="1328">
      <totalsRowFormula>(COUNTIF(U8:U18,"C")+(COUNTIF(U8:U18,"CS")+COUNTIF(U8:U18,"RTT")+(COUNTIF(U8:U18,"DRTT")/2)+COUNTIF(U8:U18,"M")+COUNTIF(U8:U18,"Rec")+(COUNTIF(U8:U18,"Drec")/2)+COUNTIF(U8:U18,"F")+(COUNTIF(U8:U18,"EM")+(COUNTIF(U8:U18,"DEM")/2))))</totalsRowFormula>
    </tableColumn>
    <tableColumn id="21" xr3:uid="{D20747AD-87D3-BC43-9498-DDBD80A03149}" name="20" totalsRowFunction="custom" dataDxfId="1327" totalsRowDxfId="1326">
      <totalsRowFormula>(COUNTIF(V8:V18,"C")+(COUNTIF(V8:V18,"CS")+COUNTIF(V8:V18,"RTT")+(COUNTIF(V8:V18,"DRTT")/2)+COUNTIF(V8:V18,"M")+COUNTIF(V8:V18,"Rec")+(COUNTIF(V8:V18,"Drec")/2)+COUNTIF(V8:V18,"F")+(COUNTIF(V8:V18,"EM")+(COUNTIF(V8:V18,"DEM")/2))))</totalsRowFormula>
    </tableColumn>
    <tableColumn id="22" xr3:uid="{C1DDBB26-1BA2-3A43-B3B2-CE22C712DB94}" name="21" totalsRowFunction="custom" dataDxfId="1325" totalsRowDxfId="1324">
      <totalsRowFormula>(COUNTIF(W8:W18,"C")+(COUNTIF(W8:W18,"CS")+COUNTIF(W8:W18,"RTT")+(COUNTIF(W8:W18,"DRTT")/2)+COUNTIF(W8:W18,"M")+COUNTIF(W8:W18,"Rec")+(COUNTIF(W8:W18,"Drec")/2)+COUNTIF(W8:W18,"F")+(COUNTIF(W8:W18,"EM")+(COUNTIF(W8:W18,"DEM")/2))))</totalsRowFormula>
    </tableColumn>
    <tableColumn id="23" xr3:uid="{D81E68AC-8FEA-924E-B445-62F81BDAE31B}" name="22" totalsRowFunction="custom" dataDxfId="1323" totalsRowDxfId="1322">
      <totalsRowFormula>(COUNTIF(X8:X18,"C")+(COUNTIF(X8:X18,"CS")+COUNTIF(X8:X18,"RTT")+(COUNTIF(X8:X18,"DRTT")/2)+COUNTIF(X8:X18,"M")+COUNTIF(X8:X18,"Rec")+(COUNTIF(X8:X18,"Drec")/2)+COUNTIF(X8:X18,"F")+(COUNTIF(X8:X18,"EM")+(COUNTIF(X8:X18,"DEM")/2))))</totalsRowFormula>
    </tableColumn>
    <tableColumn id="24" xr3:uid="{DEF2C5B8-1C82-A94E-BAA2-D79BDD01EA58}" name="23" totalsRowFunction="custom" dataDxfId="1321" totalsRowDxfId="1320">
      <totalsRowFormula>(COUNTIF(Y8:Y18,"C")+(COUNTIF(Y8:Y18,"CS")+COUNTIF(Y8:Y18,"RTT")+(COUNTIF(Y8:Y18,"DRTT")/2)+COUNTIF(Y8:Y18,"M")+COUNTIF(Y8:Y18,"Rec")+(COUNTIF(Y8:Y18,"Drec")/2)+COUNTIF(Y8:Y18,"F")+(COUNTIF(Y8:Y18,"EM")+(COUNTIF(Y8:Y18,"DEM")/2))))</totalsRowFormula>
    </tableColumn>
    <tableColumn id="25" xr3:uid="{AB62CC5B-7B99-8649-8A2D-27BD42F57362}" name="24" totalsRowFunction="custom" dataDxfId="1319" totalsRowDxfId="1318">
      <totalsRowFormula>(COUNTIF(Z8:Z18,"C")+(COUNTIF(Z8:Z18,"CS")+COUNTIF(Z8:Z18,"RTT")+(COUNTIF(Z8:Z18,"DRTT")/2)+COUNTIF(Z8:Z18,"M")+COUNTIF(Z8:Z18,"Rec")+(COUNTIF(Z8:Z18,"Drec")/2)+COUNTIF(Z8:Z18,"F")+(COUNTIF(Z8:Z18,"EM")+(COUNTIF(Z8:Z18,"DEM")/2))))</totalsRowFormula>
    </tableColumn>
    <tableColumn id="26" xr3:uid="{0E0C8B94-8FAB-A94C-9D21-AE65CF468A26}" name="25" totalsRowFunction="custom" dataDxfId="1317" totalsRowDxfId="1316">
      <totalsRowFormula>(COUNTIF(AA8:AA18,"C")+(COUNTIF(AA8:AA18,"CS")+COUNTIF(AA8:AA18,"RTT")+(COUNTIF(AA8:AA18,"DRTT")/2)+COUNTIF(AA8:AA18,"M")+COUNTIF(AA8:AA18,"Rec")+(COUNTIF(AA8:AA18,"Drec")/2)+COUNTIF(AA8:AA18,"F")+(COUNTIF(AA8:AA18,"EM")+(COUNTIF(AA8:AA18,"DEM")/2))))</totalsRowFormula>
    </tableColumn>
    <tableColumn id="27" xr3:uid="{01DA8280-84CE-664B-91C7-291698605C32}" name="26" totalsRowFunction="custom" dataDxfId="1315" totalsRowDxfId="1314">
      <totalsRowFormula>(COUNTIF(AB8:AB18,"C")+(COUNTIF(AB8:AB18,"CS")+COUNTIF(AB8:AB18,"RTT")+(COUNTIF(AB8:AB18,"DRTT")/2)+COUNTIF(AB8:AB18,"M")+COUNTIF(AB8:AB18,"Rec")+(COUNTIF(AB8:AB18,"Drec")/2)+COUNTIF(AB8:AB18,"F")+(COUNTIF(AB8:AB18,"EM")+(COUNTIF(AB8:AB18,"DEM")/2))))</totalsRowFormula>
    </tableColumn>
    <tableColumn id="28" xr3:uid="{B26BD0B2-581A-344E-81CB-1CDEF539E8AE}" name="27" totalsRowFunction="custom" dataDxfId="1313" totalsRowDxfId="1312">
      <totalsRowFormula>(COUNTIF(AC8:AC18,"C")+(COUNTIF(AC8:AC18,"CS")+COUNTIF(AC8:AC18,"RTT")+(COUNTIF(AC8:AC18,"DRTT")/2)+COUNTIF(AC8:AC18,"M")+COUNTIF(AC8:AC18,"Rec")+(COUNTIF(AC8:AC18,"Drec")/2)+COUNTIF(AC8:AC18,"F")+(COUNTIF(AC8:AC18,"EM")+(COUNTIF(AC8:AC18,"DEM")/2))))</totalsRowFormula>
    </tableColumn>
    <tableColumn id="29" xr3:uid="{C63552BC-2E66-5B4F-93A7-51376C48828E}" name="28" totalsRowFunction="custom" dataDxfId="1311" totalsRowDxfId="1310">
      <totalsRowFormula>(COUNTIF(AD8:AD18,"C")+(COUNTIF(AD8:AD18,"CS")+COUNTIF(AD8:AD18,"RTT")+(COUNTIF(AD8:AD18,"DRTT")/2)+COUNTIF(AD8:AD18,"M")+COUNTIF(AD8:AD18,"Rec")+(COUNTIF(AD8:AD18,"Drec")/2)+COUNTIF(AD8:AD18,"F")+(COUNTIF(AD8:AD18,"EM")+(COUNTIF(AD8:AD18,"DEM")/2))))</totalsRowFormula>
    </tableColumn>
    <tableColumn id="30" xr3:uid="{28E20B4B-4204-2E4D-B38F-369329F4542B}" name="29" totalsRowFunction="custom" dataDxfId="1309" totalsRowDxfId="1308">
      <totalsRowFormula>(COUNTIF(AE8:AE18,"C")+(COUNTIF(AE8:AE18,"CS")+COUNTIF(AE8:AE18,"RTT")+(COUNTIF(AE8:AE18,"DRTT")/2)+COUNTIF(AE8:AE18,"M")+COUNTIF(AE8:AE18,"Rec")+(COUNTIF(AE8:AE18,"Drec")/2)+COUNTIF(AE8:AE18,"F")+(COUNTIF(AE8:AE18,"EM")+(COUNTIF(AE8:AE18,"DEM")/2))))</totalsRowFormula>
    </tableColumn>
    <tableColumn id="31" xr3:uid="{9F61DF43-5D91-CE42-B3ED-616F9D9777C1}" name=" " totalsRowFunction="custom" dataDxfId="1307" totalsRowDxfId="1306">
      <totalsRowFormula>(COUNTIF(AF8:AF18,"C")+(COUNTIF(AF8:AF18,"CS")+COUNTIF(AF8:AF18,"RTT")+(COUNTIF(AF8:AF18,"DRTT")/2)+COUNTIF(AF8:AF18,"M")+COUNTIF(AF8:AF18,"Rec")+(COUNTIF(AF8:AF18,"Drec")/2)+COUNTIF(AF8:AF18,"F")+(COUNTIF(AF8:AF18,"EM")+(COUNTIF(AF8:AF18,"DEM")/2))))</totalsRowFormula>
    </tableColumn>
    <tableColumn id="32" xr3:uid="{8CCCDFCE-D257-0F49-82A3-8EEC36A3AB91}" name="  " totalsRowFunction="custom" dataDxfId="1305" totalsRowDxfId="1304">
      <totalsRowFormula>(COUNTIF(AG8:AG18,"C")+(COUNTIF(AG8:AG18,"CS")+COUNTIF(AG8:AG18,"RTT")+(COUNTIF(AG8:AG18,"DRTT")/2)+COUNTIF(AG8:AG18,"M")+COUNTIF(AG8:AG18,"Rec")+(COUNTIF(AG8:AG18,"Drec")/2)+COUNTIF(AG8:AG18,"F")+(COUNTIF(AG8:AG18,"EM")+(COUNTIF(AG8:AG18,"DEM")/2))))</totalsRowFormula>
    </tableColumn>
    <tableColumn id="33" xr3:uid="{0A2561EF-3A5E-2149-A2CE-09CD44FE012F}" name="Total" totalsRowFunction="sum" dataDxfId="1303" totalsRowDxfId="1302" dataCellStyle="Total">
      <calculatedColumnFormula>(COUNTIF(C8:AG8,"C")+(COUNTIF(C8:AG8,"EM")+COUNTIF(C8:AG8,"RTT")+COUNTIF(C8:AG8,"M")+COUNTIF(C8:AG8,"Rec")+COUNTIF(C8:AG8,"F")+COUNTIF(C8:AG8,"TT"-1)+COUNTIF(C8:AG8,"CS")+COUNTIF(C8:AG8,"PE"-1)+COUNTIF(C8:AG8,"DRTT")/2)+COUNTIF(C8:AG8,"DREC")/2)+COUNTIF(C8:AG8,"DEM")/2</calculatedColumnFormula>
    </tableColumn>
    <tableColumn id="34" xr3:uid="{A729B12A-A5B0-C749-8971-9FB4D659B71D}" name="Dont RTT" totalsRowFunction="sum" dataDxfId="1301" totalsRowDxfId="1300" dataCellStyle="Total">
      <calculatedColumnFormula>COUNTIF(C8:AG8,"RTT")+COUNTIF(C8:AG8,"DRTT")/2</calculatedColumnFormula>
    </tableColumn>
    <tableColumn id="36" xr3:uid="{350D18E8-0987-DD4C-AE5A-B5E68007CEEF}" name="Dont MALADIE" totalsRowFunction="sum" dataDxfId="1299" totalsRowDxfId="1298" dataCellStyle="Total">
      <calculatedColumnFormula>COUNTIF(C8:AG8,"M")</calculatedColumnFormula>
    </tableColumn>
    <tableColumn id="35" xr3:uid="{D778077B-3BAD-7042-9688-4A7BA9CC87E4}" name="Solde RTT disponible au 01/03/2021" dataDxfId="1297" totalsRowDxfId="129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8F8CA628-1BA2-6C46-BD41-CAAC7FE622D3}" name="Mars" displayName="Mars" ref="B7:AK19" totalsRowCount="1" headerRowDxfId="1295" totalsRowDxfId="1294">
  <tableColumns count="36">
    <tableColumn id="1" xr3:uid="{152738C2-0613-1F42-A616-2A5CE1CFE81F}" name="Nom de l’employé" totalsRowFunction="custom" dataDxfId="1293" totalsRowDxfId="1292" dataCellStyle="Employé">
      <totalsRowFormula>NomMois&amp;" Total"</totalsRowFormula>
    </tableColumn>
    <tableColumn id="2" xr3:uid="{F880DC0A-239D-2B44-A162-B226BEA4765D}" name="1" totalsRowFunction="custom" dataDxfId="1291" totalsRowDxfId="1290">
      <totalsRowFormula>(COUNTIF(C8:C18,"C")+(COUNTIF(C8:C18,"CS")+COUNTIF(C8:C18,"RTT")+(COUNTIF(C8:C18,"DRTT")/2)+COUNTIF(C8:C18,"M")+COUNTIF(C8:C18,"Rec")+(COUNTIF(C8:C18,"Drec")/2)+COUNTIF(C8:C18,"F")+(COUNTIF(C8:C18,"EM")+(COUNTIF(C8:C18,"DEM")/2))))</totalsRowFormula>
    </tableColumn>
    <tableColumn id="3" xr3:uid="{7A8B6238-6C88-A24A-9540-F7948EEEF66F}" name="2" totalsRowFunction="custom" dataDxfId="1289" totalsRowDxfId="1288">
      <totalsRowFormula>(COUNTIF(D8:D18,"C")+(COUNTIF(D8:D18,"CS")+COUNTIF(D8:D18,"RTT")+(COUNTIF(D8:D18,"DRTT")/2)+COUNTIF(D8:D18,"M")+COUNTIF(D8:D18,"Rec")+(COUNTIF(D8:D18,"Drec")/2)+COUNTIF(D8:D18,"F")+(COUNTIF(D8:D18,"EM")+(COUNTIF(D8:D18,"DEM")/2))))</totalsRowFormula>
    </tableColumn>
    <tableColumn id="4" xr3:uid="{F930C49E-FA82-D04D-8C94-9CAC47146F26}" name="3" totalsRowFunction="custom" dataDxfId="1287" totalsRowDxfId="1286">
      <totalsRowFormula>(COUNTIF(E8:E18,"C")+(COUNTIF(E8:E18,"CS")+COUNTIF(E8:E18,"RTT")+(COUNTIF(E8:E18,"DRTT")/2)+COUNTIF(E8:E18,"M")+COUNTIF(E8:E18,"Rec")+(COUNTIF(E8:E18,"Drec")/2)+COUNTIF(E8:E18,"F")+(COUNTIF(E8:E18,"EM")+(COUNTIF(E8:E18,"DEM")/2))))</totalsRowFormula>
    </tableColumn>
    <tableColumn id="5" xr3:uid="{C21BD32D-030C-8D4B-92F3-7293D4D8D872}" name="4" totalsRowFunction="custom" dataDxfId="1285" totalsRowDxfId="1284">
      <totalsRowFormula>(COUNTIF(F8:F18,"C")+(COUNTIF(F8:F18,"CS")+COUNTIF(F8:F18,"RTT")+(COUNTIF(F8:F18,"DRTT")/2)+COUNTIF(F8:F18,"M")+COUNTIF(F8:F18,"Rec")+(COUNTIF(F8:F18,"Drec")/2)+COUNTIF(F8:F18,"F")+(COUNTIF(F8:F18,"EM")+(COUNTIF(F8:F18,"DEM")/2))))</totalsRowFormula>
    </tableColumn>
    <tableColumn id="6" xr3:uid="{64C7AF61-DD7D-2544-959B-5BCCC0AB6695}" name="5" totalsRowFunction="custom" dataDxfId="1283" totalsRowDxfId="1282">
      <totalsRowFormula>(COUNTIF(G8:G18,"C")+(COUNTIF(G8:G18,"CS")+COUNTIF(G8:G18,"RTT")+(COUNTIF(G8:G18,"DRTT")/2)+COUNTIF(G8:G18,"M")+COUNTIF(G8:G18,"Rec")+(COUNTIF(G8:G18,"Drec")/2)+COUNTIF(G8:G18,"F")+(COUNTIF(G8:G18,"EM")+(COUNTIF(G8:G18,"DEM")/2))))</totalsRowFormula>
    </tableColumn>
    <tableColumn id="7" xr3:uid="{74115991-FED9-3640-B435-D23AAD8FBBB2}" name="6" totalsRowFunction="custom" dataDxfId="1281" totalsRowDxfId="1280">
      <totalsRowFormula>(COUNTIF(H8:H18,"C")+(COUNTIF(H8:H18,"CS")+COUNTIF(H8:H18,"RTT")+(COUNTIF(H8:H18,"DRTT")/2)+COUNTIF(H8:H18,"M")+COUNTIF(H8:H18,"Rec")+(COUNTIF(H8:H18,"Drec")/2)+COUNTIF(H8:H18,"F")+(COUNTIF(H8:H18,"EM")+(COUNTIF(H8:H18,"DEM")/2))))</totalsRowFormula>
    </tableColumn>
    <tableColumn id="8" xr3:uid="{306A828D-5B5D-674D-8C5F-A54277FDF231}" name="7" totalsRowFunction="custom" dataDxfId="1279" totalsRowDxfId="1278">
      <totalsRowFormula>(COUNTIF(I8:I18,"C")+(COUNTIF(I8:I18,"CS")+COUNTIF(I8:I18,"RTT")+(COUNTIF(I8:I18,"DRTT")/2)+COUNTIF(I8:I18,"M")+COUNTIF(I8:I18,"Rec")+(COUNTIF(I8:I18,"Drec")/2)+COUNTIF(I8:I18,"F")+(COUNTIF(I8:I18,"EM")+(COUNTIF(I8:I18,"DEM")/2))))</totalsRowFormula>
    </tableColumn>
    <tableColumn id="9" xr3:uid="{8C3470D2-ACC1-084C-ADE4-02E4331090FE}" name="8" totalsRowFunction="custom" dataDxfId="1277" totalsRowDxfId="1276">
      <totalsRowFormula>(COUNTIF(J8:J18,"C")+(COUNTIF(J8:J18,"CS")+COUNTIF(J8:J18,"RTT")+(COUNTIF(J8:J18,"DRTT")/2)+COUNTIF(J8:J18,"M")+COUNTIF(J8:J18,"Rec")+(COUNTIF(J8:J18,"Drec")/2)+COUNTIF(J8:J18,"F")+(COUNTIF(J8:J18,"EM")+(COUNTIF(J8:J18,"DEM")/2))))</totalsRowFormula>
    </tableColumn>
    <tableColumn id="10" xr3:uid="{30848532-7DC0-9341-B433-36282FF68F81}" name="9" totalsRowFunction="custom" dataDxfId="1275" totalsRowDxfId="1274">
      <totalsRowFormula>(COUNTIF(K8:K18,"C")+(COUNTIF(K8:K18,"CS")+COUNTIF(K8:K18,"RTT")+(COUNTIF(K8:K18,"DRTT")/2)+COUNTIF(K8:K18,"M")+COUNTIF(K8:K18,"Rec")+(COUNTIF(K8:K18,"Drec")/2)+COUNTIF(K8:K18,"F")+(COUNTIF(K8:K18,"EM")+(COUNTIF(K8:K18,"DEM")/2))))</totalsRowFormula>
    </tableColumn>
    <tableColumn id="11" xr3:uid="{AC33F068-C677-3641-A266-A4BFD500A0E1}" name="10" totalsRowFunction="custom" dataDxfId="1273" totalsRowDxfId="1272">
      <totalsRowFormula>(COUNTIF(L8:L18,"C")+(COUNTIF(L8:L18,"CS")+COUNTIF(L8:L18,"RTT")+(COUNTIF(L8:L18,"DRTT")/2)+COUNTIF(L8:L18,"M")+COUNTIF(L8:L18,"Rec")+(COUNTIF(L8:L18,"Drec")/2)+COUNTIF(L8:L18,"F")+(COUNTIF(L8:L18,"EM")+(COUNTIF(L8:L18,"DEM")/2))))</totalsRowFormula>
    </tableColumn>
    <tableColumn id="12" xr3:uid="{2AD3400A-4DC0-6644-A533-DA79F29F6975}" name="11" totalsRowFunction="custom" dataDxfId="1271" totalsRowDxfId="1270">
      <totalsRowFormula>(COUNTIF(M8:M18,"C")+(COUNTIF(M8:M18,"CS")+COUNTIF(M8:M18,"RTT")+(COUNTIF(M8:M18,"DRTT")/2)+COUNTIF(M8:M18,"M")+COUNTIF(M8:M18,"Rec")+(COUNTIF(M8:M18,"Drec")/2)+COUNTIF(M8:M18,"F")+(COUNTIF(M8:M18,"EM")+(COUNTIF(M8:M18,"DEM")/2))))</totalsRowFormula>
    </tableColumn>
    <tableColumn id="13" xr3:uid="{81C677E6-C11E-FD44-8347-C941E8F52281}" name="12" totalsRowFunction="custom" dataDxfId="1269" totalsRowDxfId="1268">
      <totalsRowFormula>(COUNTIF(N8:N18,"C")+(COUNTIF(N8:N18,"CS")+COUNTIF(N8:N18,"RTT")+(COUNTIF(N8:N18,"DRTT")/2)+COUNTIF(N8:N18,"M")+COUNTIF(N8:N18,"Rec")+(COUNTIF(N8:N18,"Drec")/2)+COUNTIF(N8:N18,"F")+(COUNTIF(N8:N18,"EM")+(COUNTIF(N8:N18,"DEM")/2))))</totalsRowFormula>
    </tableColumn>
    <tableColumn id="14" xr3:uid="{E0A37303-B211-984E-A545-2109245E415C}" name="13" totalsRowFunction="custom" dataDxfId="1267" totalsRowDxfId="1266">
      <totalsRowFormula>(COUNTIF(O8:O18,"C")+(COUNTIF(O8:O18,"CS")+COUNTIF(O8:O18,"RTT")+(COUNTIF(O8:O18,"DRTT")/2)+COUNTIF(O8:O18,"M")+COUNTIF(O8:O18,"Rec")+(COUNTIF(O8:O18,"Drec")/2)+COUNTIF(O8:O18,"F")+(COUNTIF(O8:O18,"EM")+(COUNTIF(O8:O18,"DEM")/2))))</totalsRowFormula>
    </tableColumn>
    <tableColumn id="15" xr3:uid="{C6560E5C-C565-5848-AD6A-6E21E7D5FFF0}" name="14" totalsRowFunction="custom" dataDxfId="1265" totalsRowDxfId="1264">
      <totalsRowFormula>(COUNTIF(P8:P18,"C")+(COUNTIF(P8:P18,"CS")+COUNTIF(P8:P18,"RTT")+(COUNTIF(P8:P18,"DRTT")/2)+COUNTIF(P8:P18,"M")+COUNTIF(P8:P18,"Rec")+(COUNTIF(P8:P18,"Drec")/2)+COUNTIF(P8:P18,"F")+(COUNTIF(P8:P18,"EM")+(COUNTIF(P8:P18,"DEM")/2))))</totalsRowFormula>
    </tableColumn>
    <tableColumn id="16" xr3:uid="{F7B0B56A-5C6F-EC4D-BBF4-14B2E95B2923}" name="15" totalsRowFunction="custom" dataDxfId="1263" totalsRowDxfId="1262">
      <totalsRowFormula>(COUNTIF(Q8:Q18,"C")+(COUNTIF(Q8:Q18,"CS")+COUNTIF(Q8:Q18,"RTT")+(COUNTIF(Q8:Q18,"DRTT")/2)+COUNTIF(Q8:Q18,"M")+COUNTIF(Q8:Q18,"Rec")+(COUNTIF(Q8:Q18,"Drec")/2)+COUNTIF(Q8:Q18,"F")+(COUNTIF(Q8:Q18,"EM")+(COUNTIF(Q8:Q18,"DEM")/2))))</totalsRowFormula>
    </tableColumn>
    <tableColumn id="17" xr3:uid="{613EC742-A8F2-7649-AD15-BA1A42159DCF}" name="16" totalsRowFunction="custom" dataDxfId="1261" totalsRowDxfId="1260">
      <totalsRowFormula>(COUNTIF(R8:R18,"C")+(COUNTIF(R8:R18,"CS")+COUNTIF(R8:R18,"RTT")+(COUNTIF(R8:R18,"DRTT")/2)+COUNTIF(R8:R18,"M")+COUNTIF(R8:R18,"Rec")+(COUNTIF(R8:R18,"Drec")/2)+COUNTIF(R8:R18,"F")+(COUNTIF(R8:R18,"EM")+(COUNTIF(R8:R18,"DEM")/2))))</totalsRowFormula>
    </tableColumn>
    <tableColumn id="18" xr3:uid="{F2DC6F13-7712-B243-9545-C0AEF7BFEF1D}" name="17" totalsRowFunction="custom" dataDxfId="1259" totalsRowDxfId="1258">
      <totalsRowFormula>(COUNTIF(S8:S18,"C")+(COUNTIF(S8:S18,"CS")+COUNTIF(S8:S18,"RTT")+(COUNTIF(S8:S18,"DRTT")/2)+COUNTIF(S8:S18,"M")+COUNTIF(S8:S18,"Rec")+(COUNTIF(S8:S18,"Drec")/2)+COUNTIF(S8:S18,"F")+(COUNTIF(S8:S18,"EM")+(COUNTIF(S8:S18,"DEM")/2))))</totalsRowFormula>
    </tableColumn>
    <tableColumn id="19" xr3:uid="{911E6ABB-BE1D-F445-B8E4-BBD2B4687ABF}" name="18" totalsRowFunction="custom" dataDxfId="1257" totalsRowDxfId="1256">
      <totalsRowFormula>(COUNTIF(T8:T18,"C")+(COUNTIF(T8:T18,"CS")+COUNTIF(T8:T18,"RTT")+(COUNTIF(T8:T18,"DRTT")/2)+COUNTIF(T8:T18,"M")+COUNTIF(T8:T18,"Rec")+(COUNTIF(T8:T18,"Drec")/2)+COUNTIF(T8:T18,"F")+(COUNTIF(T8:T18,"EM")+(COUNTIF(T8:T18,"DEM")/2))))</totalsRowFormula>
    </tableColumn>
    <tableColumn id="20" xr3:uid="{D8EA91E9-4331-9D49-9EA1-57DFA941D83C}" name="19" totalsRowFunction="custom" dataDxfId="1255" totalsRowDxfId="1254">
      <totalsRowFormula>(COUNTIF(U8:U18,"C")+(COUNTIF(U8:U18,"CS")+COUNTIF(U8:U18,"RTT")+(COUNTIF(U8:U18,"DRTT")/2)+COUNTIF(U8:U18,"M")+COUNTIF(U8:U18,"Rec")+(COUNTIF(U8:U18,"Drec")/2)+COUNTIF(U8:U18,"F")+(COUNTIF(U8:U18,"EM")+(COUNTIF(U8:U18,"DEM")/2))))</totalsRowFormula>
    </tableColumn>
    <tableColumn id="21" xr3:uid="{C0A35A2F-2079-5141-A45F-984968467D41}" name="20" totalsRowFunction="custom" dataDxfId="1253" totalsRowDxfId="1252">
      <totalsRowFormula>(COUNTIF(V8:V18,"C")+(COUNTIF(V8:V18,"CS")+COUNTIF(V8:V18,"RTT")+(COUNTIF(V8:V18,"DRTT")/2)+COUNTIF(V8:V18,"M")+COUNTIF(V8:V18,"Rec")+(COUNTIF(V8:V18,"Drec")/2)+COUNTIF(V8:V18,"F")+(COUNTIF(V8:V18,"EM")+(COUNTIF(V8:V18,"DEM")/2))))</totalsRowFormula>
    </tableColumn>
    <tableColumn id="22" xr3:uid="{73299A0E-3D14-EE42-95B1-F8B3297B5C8F}" name="21" totalsRowFunction="custom" dataDxfId="1251" totalsRowDxfId="1250">
      <totalsRowFormula>(COUNTIF(W8:W18,"C")+(COUNTIF(W8:W18,"CS")+COUNTIF(W8:W18,"RTT")+(COUNTIF(W8:W18,"DRTT")/2)+COUNTIF(W8:W18,"M")+COUNTIF(W8:W18,"Rec")+(COUNTIF(W8:W18,"Drec")/2)+COUNTIF(W8:W18,"F")+(COUNTIF(W8:W18,"EM")+(COUNTIF(W8:W18,"DEM")/2))))</totalsRowFormula>
    </tableColumn>
    <tableColumn id="23" xr3:uid="{C1710E7F-4353-0845-8712-A23B17DFCD54}" name="22" totalsRowFunction="custom" dataDxfId="1249" totalsRowDxfId="1248">
      <totalsRowFormula>(COUNTIF(X8:X18,"C")+(COUNTIF(X8:X18,"CS")+COUNTIF(X8:X18,"RTT")+(COUNTIF(X8:X18,"DRTT")/2)+COUNTIF(X8:X18,"M")+COUNTIF(X8:X18,"Rec")+(COUNTIF(X8:X18,"Drec")/2)+COUNTIF(X8:X18,"F")+(COUNTIF(X8:X18,"EM")+(COUNTIF(X8:X18,"DEM")/2))))</totalsRowFormula>
    </tableColumn>
    <tableColumn id="24" xr3:uid="{904831CC-2C3E-B54E-991F-CB395B2FBC70}" name="23" totalsRowFunction="custom" dataDxfId="1247" totalsRowDxfId="1246">
      <totalsRowFormula>(COUNTIF(Y8:Y18,"C")+(COUNTIF(Y8:Y18,"CS")+COUNTIF(Y8:Y18,"RTT")+(COUNTIF(Y8:Y18,"DRTT")/2)+COUNTIF(Y8:Y18,"M")+COUNTIF(Y8:Y18,"Rec")+(COUNTIF(Y8:Y18,"Drec")/2)+COUNTIF(Y8:Y18,"F")+(COUNTIF(Y8:Y18,"EM")+(COUNTIF(Y8:Y18,"DEM")/2))))</totalsRowFormula>
    </tableColumn>
    <tableColumn id="25" xr3:uid="{BD919E81-550C-C24A-81D7-342F078C81ED}" name="24" totalsRowFunction="custom" dataDxfId="1245" totalsRowDxfId="1244">
      <totalsRowFormula>(COUNTIF(Z8:Z18,"C")+(COUNTIF(Z8:Z18,"CS")+COUNTIF(Z8:Z18,"RTT")+(COUNTIF(Z8:Z18,"DRTT")/2)+COUNTIF(Z8:Z18,"M")+COUNTIF(Z8:Z18,"Rec")+(COUNTIF(Z8:Z18,"Drec")/2)+COUNTIF(Z8:Z18,"F")+(COUNTIF(Z8:Z18,"EM")+(COUNTIF(Z8:Z18,"DEM")/2))))</totalsRowFormula>
    </tableColumn>
    <tableColumn id="26" xr3:uid="{DB7A1B1C-229C-484D-9A59-2E92CC51B8BA}" name="25" totalsRowFunction="custom" dataDxfId="1243" totalsRowDxfId="1242">
      <totalsRowFormula>(COUNTIF(AA8:AA18,"C")+(COUNTIF(AA8:AA18,"CS")+COUNTIF(AA8:AA18,"RTT")+(COUNTIF(AA8:AA18,"DRTT")/2)+COUNTIF(AA8:AA18,"M")+COUNTIF(AA8:AA18,"Rec")+(COUNTIF(AA8:AA18,"Drec")/2)+COUNTIF(AA8:AA18,"F")+(COUNTIF(AA8:AA18,"EM")+(COUNTIF(AA8:AA18,"DEM")/2))))</totalsRowFormula>
    </tableColumn>
    <tableColumn id="27" xr3:uid="{0743D737-F2B8-4543-BC07-9ADF8E6357B9}" name="26" totalsRowFunction="custom" dataDxfId="1241" totalsRowDxfId="1240">
      <totalsRowFormula>(COUNTIF(AB8:AB18,"C")+(COUNTIF(AB8:AB18,"CS")+COUNTIF(AB8:AB18,"RTT")+(COUNTIF(AB8:AB18,"DRTT")/2)+COUNTIF(AB8:AB18,"M")+COUNTIF(AB8:AB18,"Rec")+(COUNTIF(AB8:AB18,"Drec")/2)+COUNTIF(AB8:AB18,"F")+(COUNTIF(AB8:AB18,"EM")+(COUNTIF(AB8:AB18,"DEM")/2))))</totalsRowFormula>
    </tableColumn>
    <tableColumn id="28" xr3:uid="{EC541492-B8F2-5D44-ACA2-597A40F4B12F}" name="27" totalsRowFunction="custom" dataDxfId="1239" totalsRowDxfId="1238">
      <totalsRowFormula>(COUNTIF(AC8:AC18,"C")+(COUNTIF(AC8:AC18,"CS")+COUNTIF(AC8:AC18,"RTT")+(COUNTIF(AC8:AC18,"DRTT")/2)+COUNTIF(AC8:AC18,"M")+COUNTIF(AC8:AC18,"Rec")+(COUNTIF(AC8:AC18,"Drec")/2)+COUNTIF(AC8:AC18,"F")+(COUNTIF(AC8:AC18,"EM")+(COUNTIF(AC8:AC18,"DEM")/2))))</totalsRowFormula>
    </tableColumn>
    <tableColumn id="29" xr3:uid="{0D0034C5-B703-3745-A105-9B84109CAD31}" name="28" totalsRowFunction="custom" dataDxfId="1237" totalsRowDxfId="1236">
      <totalsRowFormula>(COUNTIF(AD8:AD18,"C")+(COUNTIF(AD8:AD18,"CS")+COUNTIF(AD8:AD18,"RTT")+(COUNTIF(AD8:AD18,"DRTT")/2)+COUNTIF(AD8:AD18,"M")+COUNTIF(AD8:AD18,"Rec")+(COUNTIF(AD8:AD18,"Drec")/2)+COUNTIF(AD8:AD18,"F")+(COUNTIF(AD8:AD18,"EM")+(COUNTIF(AD8:AD18,"DEM")/2))))</totalsRowFormula>
    </tableColumn>
    <tableColumn id="30" xr3:uid="{1371F79D-E8C7-9144-9277-8247163598E1}" name="29" totalsRowFunction="custom" dataDxfId="1235" totalsRowDxfId="1234">
      <totalsRowFormula>(COUNTIF(AE8:AE18,"C")+(COUNTIF(AE8:AE18,"CS")+COUNTIF(AE8:AE18,"RTT")+(COUNTIF(AE8:AE18,"DRTT")/2)+COUNTIF(AE8:AE18,"M")+COUNTIF(AE8:AE18,"Rec")+(COUNTIF(AE8:AE18,"Drec")/2)+COUNTIF(AE8:AE18,"F")+(COUNTIF(AE8:AE18,"EM")+(COUNTIF(AE8:AE18,"DEM")/2))))</totalsRowFormula>
    </tableColumn>
    <tableColumn id="31" xr3:uid="{62E18731-AA4A-2248-B45A-F8B14BF1813F}" name="30" totalsRowFunction="custom" dataDxfId="1233" totalsRowDxfId="1232">
      <totalsRowFormula>(COUNTIF(AF8:AF18,"C")+(COUNTIF(AF8:AF18,"CS")+COUNTIF(AF8:AF18,"RTT")+(COUNTIF(AF8:AF18,"DRTT")/2)+COUNTIF(AF8:AF18,"M")+COUNTIF(AF8:AF18,"Rec")+(COUNTIF(AF8:AF18,"Drec")/2)+COUNTIF(AF8:AF18,"F")+(COUNTIF(AF8:AF18,"EM")+(COUNTIF(AF8:AF18,"DEM")/2))))</totalsRowFormula>
    </tableColumn>
    <tableColumn id="32" xr3:uid="{B0502221-B291-9946-950C-BB5683CF3F8C}" name="31" totalsRowFunction="custom" dataDxfId="1231" totalsRowDxfId="1230">
      <totalsRowFormula>(COUNTIF(AG8:AG18,"C")+(COUNTIF(AG8:AG18,"CS")+COUNTIF(AG8:AG18,"RTT")+(COUNTIF(AG8:AG18,"DRTT")/2)+COUNTIF(AG8:AG18,"M")+COUNTIF(AG8:AG18,"Rec")+(COUNTIF(AG8:AG18,"Drec")/2)+COUNTIF(AG8:AG18,"F")+(COUNTIF(AG8:AG18,"EM")+(COUNTIF(AG8:AG18,"DEM")/2))))</totalsRowFormula>
    </tableColumn>
    <tableColumn id="33" xr3:uid="{F1356D2A-4421-A649-AB5A-AEC5648B4C72}" name="Total absence" totalsRowFunction="sum" dataDxfId="1229" totalsRowDxfId="1228" dataCellStyle="Total">
      <calculatedColumnFormula>(COUNTIF(C8:AG8,"C")+(COUNTIF(C8:AG8,"EM")+COUNTIF(C8:AG8,"RTT")+COUNTIF(C8:AG8,"M")+COUNTIF(C8:AG8,"Rec")+COUNTIF(C8:AG8,"F")+COUNTIF(C8:AG8,"TT")+COUNTIF(C8:AG8,"CS")+COUNTIF(C8:AG8,"PE"-1)+COUNTIF(C8:AG8,"DRTT")/2)+COUNTIF(C8:AG8,"DREC")/2)+COUNTIF(C8:AG8,"DEM")/2</calculatedColumnFormula>
    </tableColumn>
    <tableColumn id="34" xr3:uid="{09DB58C6-4A9C-1D47-A960-6774690F9D8C}" name="Dont RTT" totalsRowFunction="sum" dataDxfId="1227" totalsRowDxfId="1226" dataCellStyle="Total">
      <calculatedColumnFormula>COUNTIF(C8:AG8,"RTT")+COUNTIF(C8:AG8,"DRTT")/2</calculatedColumnFormula>
    </tableColumn>
    <tableColumn id="36" xr3:uid="{C2AB5EC8-7C2C-1544-83BA-75CEF824FB34}" name="Dont MALADIE" totalsRowFunction="sum" dataDxfId="1225" totalsRowDxfId="1224" dataCellStyle="Total">
      <calculatedColumnFormula>COUNTIF(C8:AG8,"MALADIE")</calculatedColumnFormula>
    </tableColumn>
    <tableColumn id="35" xr3:uid="{7AD89CCB-9B42-444F-A20D-5BCDC6F9B1A6}" name="Solde RTT disponible au 01/04/2021" dataDxfId="1223" totalsRowDxfId="1222"/>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891EDC7F-6D47-824D-8AE4-FBEAE1F5AA92}" name="Avril" displayName="Avril" ref="B7:AK19" totalsRowCount="1" headerRowDxfId="1221" totalsRowDxfId="1220">
  <tableColumns count="36">
    <tableColumn id="1" xr3:uid="{9CA65CA1-BECD-5444-8228-E0E01D9777D9}" name="Nom de l’employé" totalsRowFunction="custom" dataDxfId="1219" totalsRowDxfId="1218" dataCellStyle="Employé">
      <totalsRowFormula>NomMois&amp;" Total"</totalsRowFormula>
    </tableColumn>
    <tableColumn id="2" xr3:uid="{45B4EF7A-41AA-6744-A981-2B3534F8792C}" name="1" totalsRowFunction="custom" dataDxfId="1217" totalsRowDxfId="1216">
      <totalsRowFormula>(COUNTIF(C8:C18,"C")+(COUNTIF(C8:C18,"CS")+COUNTIF(C8:C18,"RTT")+(COUNTIF(C8:C18,"DRTT")/2)+COUNTIF(C8:C18,"M")+COUNTIF(C8:C18,"Rec")+(COUNTIF(C8:C18,"Drec")/2)+COUNTIF(C8:C18,"F")+(COUNTIF(C8:C18,"EM")+(COUNTIF(C8:C18,"DEM")/2))))</totalsRowFormula>
    </tableColumn>
    <tableColumn id="3" xr3:uid="{D0435F98-4EFC-EC4B-9716-45DC6233879F}" name="2" totalsRowFunction="custom" dataDxfId="1215" totalsRowDxfId="1214">
      <totalsRowFormula>(COUNTIF(D8:D18,"C")+(COUNTIF(D8:D18,"CS")+COUNTIF(D8:D18,"RTT")+(COUNTIF(D8:D18,"DRTT")/2)+COUNTIF(D8:D18,"M")+COUNTIF(D8:D18,"Rec")+(COUNTIF(D8:D18,"Drec")/2)+COUNTIF(D8:D18,"F")+(COUNTIF(D8:D18,"EM")+(COUNTIF(D8:D18,"DEM")/2))))</totalsRowFormula>
    </tableColumn>
    <tableColumn id="4" xr3:uid="{00A68C54-BFC9-804D-B234-0D5EDC91708B}" name="3" totalsRowFunction="custom" dataDxfId="1213" totalsRowDxfId="1212">
      <totalsRowFormula>(COUNTIF(E8:E18,"C")+(COUNTIF(E8:E18,"CS")+COUNTIF(E8:E18,"RTT")+(COUNTIF(E8:E18,"DRTT")/2)+COUNTIF(E8:E18,"M")+COUNTIF(E8:E18,"Rec")+(COUNTIF(E8:E18,"Drec")/2)+COUNTIF(E8:E18,"F")+(COUNTIF(E8:E18,"EM")+(COUNTIF(E8:E18,"DEM")/2))))</totalsRowFormula>
    </tableColumn>
    <tableColumn id="5" xr3:uid="{61EDFD00-5F02-2248-8E90-5029F5E3B294}" name="4" totalsRowFunction="custom" dataDxfId="1211" totalsRowDxfId="1210">
      <totalsRowFormula>(COUNTIF(F8:F18,"C")+(COUNTIF(F8:F18,"CS")+COUNTIF(F8:F18,"RTT")+(COUNTIF(F8:F18,"DRTT")/2)+COUNTIF(F8:F18,"M")+COUNTIF(F8:F18,"Rec")+(COUNTIF(F8:F18,"Drec")/2)+COUNTIF(F8:F18,"F")+(COUNTIF(F8:F18,"EM")+(COUNTIF(F8:F18,"DEM")/2))))</totalsRowFormula>
    </tableColumn>
    <tableColumn id="6" xr3:uid="{E4EBF784-45C3-464E-9F32-CBD35D392B36}" name="5" totalsRowFunction="custom" dataDxfId="1209" totalsRowDxfId="1208">
      <totalsRowFormula>(COUNTIF(G8:G18,"C")+(COUNTIF(G8:G18,"CS")+COUNTIF(G8:G18,"RTT")+(COUNTIF(G8:G18,"DRTT")/2)+COUNTIF(G8:G18,"M")+COUNTIF(G8:G18,"Rec")+(COUNTIF(G8:G18,"Drec")/2)+COUNTIF(G8:G18,"F")+(COUNTIF(G8:G18,"EM")+(COUNTIF(G8:G18,"DEM")/2))))</totalsRowFormula>
    </tableColumn>
    <tableColumn id="7" xr3:uid="{1E8170AB-5333-544A-86B3-9694D143303E}" name="6" totalsRowFunction="custom" dataDxfId="1207" totalsRowDxfId="1206">
      <totalsRowFormula>(COUNTIF(H8:H18,"C")+(COUNTIF(H8:H18,"CS")+COUNTIF(H8:H18,"RTT")+(COUNTIF(H8:H18,"DRTT")/2)+COUNTIF(H8:H18,"M")+COUNTIF(H8:H18,"Rec")+(COUNTIF(H8:H18,"Drec")/2)+COUNTIF(H8:H18,"F")+(COUNTIF(H8:H18,"EM")+(COUNTIF(H8:H18,"DEM")/2))))</totalsRowFormula>
    </tableColumn>
    <tableColumn id="8" xr3:uid="{B2F3828B-BEFF-3949-8C60-F5AEC718C668}" name="7" totalsRowFunction="custom" dataDxfId="1205" totalsRowDxfId="1204">
      <totalsRowFormula>(COUNTIF(I8:I18,"C")+(COUNTIF(I8:I18,"CS")+COUNTIF(I8:I18,"RTT")+(COUNTIF(I8:I18,"DRTT")/2)+COUNTIF(I8:I18,"M")+COUNTIF(I8:I18,"Rec")+(COUNTIF(I8:I18,"Drec")/2)+COUNTIF(I8:I18,"F")+(COUNTIF(I8:I18,"EM")+(COUNTIF(I8:I18,"DEM")/2))))</totalsRowFormula>
    </tableColumn>
    <tableColumn id="9" xr3:uid="{4CD828FC-1328-FA41-B111-5C9DFE0128D3}" name="8" totalsRowFunction="custom" dataDxfId="1203" totalsRowDxfId="1202">
      <totalsRowFormula>(COUNTIF(J8:J18,"C")+(COUNTIF(J8:J18,"CS")+COUNTIF(J8:J18,"RTT")+(COUNTIF(J8:J18,"DRTT")/2)+COUNTIF(J8:J18,"M")+COUNTIF(J8:J18,"Rec")+(COUNTIF(J8:J18,"Drec")/2)+COUNTIF(J8:J18,"F")+(COUNTIF(J8:J18,"EM")+(COUNTIF(J8:J18,"DEM")/2))))</totalsRowFormula>
    </tableColumn>
    <tableColumn id="10" xr3:uid="{8F64A164-E1E9-4C42-839F-CA4395610AD7}" name="9" totalsRowFunction="custom" dataDxfId="1201" totalsRowDxfId="1200">
      <totalsRowFormula>(COUNTIF(K8:K18,"C")+(COUNTIF(K8:K18,"CS")+COUNTIF(K8:K18,"RTT")+(COUNTIF(K8:K18,"DRTT")/2)+COUNTIF(K8:K18,"M")+COUNTIF(K8:K18,"Rec")+(COUNTIF(K8:K18,"Drec")/2)+COUNTIF(K8:K18,"F")+(COUNTIF(K8:K18,"EM")+(COUNTIF(K8:K18,"DEM")/2))))</totalsRowFormula>
    </tableColumn>
    <tableColumn id="11" xr3:uid="{1C43D3AF-7290-B34B-93D5-BB7BEA995EF7}" name="10" totalsRowFunction="custom" dataDxfId="1199" totalsRowDxfId="1198">
      <totalsRowFormula>(COUNTIF(L8:L18,"C")+(COUNTIF(L8:L18,"CS")+COUNTIF(L8:L18,"RTT")+(COUNTIF(L8:L18,"DRTT")/2)+COUNTIF(L8:L18,"M")+COUNTIF(L8:L18,"Rec")+(COUNTIF(L8:L18,"Drec")/2)+COUNTIF(L8:L18,"F")+(COUNTIF(L8:L18,"EM")+(COUNTIF(L8:L18,"DEM")/2))))</totalsRowFormula>
    </tableColumn>
    <tableColumn id="12" xr3:uid="{7B138B67-DE92-064A-A105-D6B4110BB6C7}" name="11" totalsRowFunction="custom" dataDxfId="1197" totalsRowDxfId="1196">
      <totalsRowFormula>(COUNTIF(M8:M18,"C")+(COUNTIF(M8:M18,"CS")+COUNTIF(M8:M18,"RTT")+(COUNTIF(M8:M18,"DRTT")/2)+COUNTIF(M8:M18,"M")+COUNTIF(M8:M18,"Rec")+(COUNTIF(M8:M18,"Drec")/2)+COUNTIF(M8:M18,"F")+(COUNTIF(M8:M18,"EM")+(COUNTIF(M8:M18,"DEM")/2))))</totalsRowFormula>
    </tableColumn>
    <tableColumn id="13" xr3:uid="{062A2994-87E4-B640-9F90-B165D7E5ED69}" name="12" totalsRowFunction="custom" dataDxfId="1195" totalsRowDxfId="1194">
      <totalsRowFormula>(COUNTIF(N8:N18,"C")+(COUNTIF(N8:N18,"CS")+COUNTIF(N8:N18,"RTT")+(COUNTIF(N8:N18,"DRTT")/2)+COUNTIF(N8:N18,"M")+COUNTIF(N8:N18,"Rec")+(COUNTIF(N8:N18,"Drec")/2)+COUNTIF(N8:N18,"F")+(COUNTIF(N8:N18,"EM")+(COUNTIF(N8:N18,"DEM")/2))))</totalsRowFormula>
    </tableColumn>
    <tableColumn id="14" xr3:uid="{C71ACA55-B20B-DF49-A57F-D8BB73239F6F}" name="13" totalsRowFunction="custom" dataDxfId="1193" totalsRowDxfId="1192">
      <totalsRowFormula>(COUNTIF(O8:O18,"C")+(COUNTIF(O8:O18,"CS")+COUNTIF(O8:O18,"RTT")+(COUNTIF(O8:O18,"DRTT")/2)+COUNTIF(O8:O18,"M")+COUNTIF(O8:O18,"Rec")+(COUNTIF(O8:O18,"Drec")/2)+COUNTIF(O8:O18,"F")+(COUNTIF(O8:O18,"EM")+(COUNTIF(O8:O18,"DEM")/2))))</totalsRowFormula>
    </tableColumn>
    <tableColumn id="15" xr3:uid="{A10371EC-CAC8-B34A-B382-CDCD9FC4FE13}" name="14" totalsRowFunction="custom" dataDxfId="1191" totalsRowDxfId="1190">
      <totalsRowFormula>(COUNTIF(P8:P18,"C")+(COUNTIF(P8:P18,"CS")+COUNTIF(P8:P18,"RTT")+(COUNTIF(P8:P18,"DRTT")/2)+COUNTIF(P8:P18,"M")+COUNTIF(P8:P18,"Rec")+(COUNTIF(P8:P18,"Drec")/2)+COUNTIF(P8:P18,"F")+(COUNTIF(P8:P18,"EM")+(COUNTIF(P8:P18,"DEM")/2))))</totalsRowFormula>
    </tableColumn>
    <tableColumn id="16" xr3:uid="{A0ABF739-0A2C-684D-8695-B63CD14B0F07}" name="15" totalsRowFunction="custom" dataDxfId="1189" totalsRowDxfId="1188">
      <totalsRowFormula>(COUNTIF(Q8:Q18,"C")+(COUNTIF(Q8:Q18,"CS")+COUNTIF(Q8:Q18,"RTT")+(COUNTIF(Q8:Q18,"DRTT")/2)+COUNTIF(Q8:Q18,"M")+COUNTIF(Q8:Q18,"Rec")+(COUNTIF(Q8:Q18,"Drec")/2)+COUNTIF(Q8:Q18,"F")+(COUNTIF(Q8:Q18,"EM")+(COUNTIF(Q8:Q18,"DEM")/2))))</totalsRowFormula>
    </tableColumn>
    <tableColumn id="17" xr3:uid="{A1384DF6-0FF8-3648-B143-A2C65B333630}" name="16" totalsRowFunction="custom" dataDxfId="1187" totalsRowDxfId="1186">
      <totalsRowFormula>(COUNTIF(R8:R18,"C")+(COUNTIF(R8:R18,"CS")+COUNTIF(R8:R18,"RTT")+(COUNTIF(R8:R18,"DRTT")/2)+COUNTIF(R8:R18,"M")+COUNTIF(R8:R18,"Rec")+(COUNTIF(R8:R18,"Drec")/2)+COUNTIF(R8:R18,"F")+(COUNTIF(R8:R18,"EM")+(COUNTIF(R8:R18,"DEM")/2))))</totalsRowFormula>
    </tableColumn>
    <tableColumn id="18" xr3:uid="{A47C6C61-E74F-EE44-BA89-254F42E9D634}" name="17" totalsRowFunction="custom" dataDxfId="1185" totalsRowDxfId="1184">
      <totalsRowFormula>(COUNTIF(S8:S18,"C")+(COUNTIF(S8:S18,"CS")+COUNTIF(S8:S18,"RTT")+(COUNTIF(S8:S18,"DRTT")/2)+COUNTIF(S8:S18,"M")+COUNTIF(S8:S18,"Rec")+(COUNTIF(S8:S18,"Drec")/2)+COUNTIF(S8:S18,"F")+(COUNTIF(S8:S18,"EM")+(COUNTIF(S8:S18,"DEM")/2))))</totalsRowFormula>
    </tableColumn>
    <tableColumn id="19" xr3:uid="{8F21111F-59DE-E140-8CED-D0036C69FCE5}" name="18" totalsRowFunction="custom" dataDxfId="1183" totalsRowDxfId="1182">
      <totalsRowFormula>(COUNTIF(T8:T18,"C")+(COUNTIF(T8:T18,"CS")+COUNTIF(T8:T18,"RTT")+(COUNTIF(T8:T18,"DRTT")/2)+COUNTIF(T8:T18,"M")+COUNTIF(T8:T18,"Rec")+(COUNTIF(T8:T18,"Drec")/2)+COUNTIF(T8:T18,"F")+(COUNTIF(T8:T18,"EM")+(COUNTIF(T8:T18,"DEM")/2))))</totalsRowFormula>
    </tableColumn>
    <tableColumn id="20" xr3:uid="{4DBF88FC-E75F-5C4B-9692-E1D9BA5E8D99}" name="19" totalsRowFunction="custom" dataDxfId="1181" totalsRowDxfId="1180">
      <totalsRowFormula>(COUNTIF(U8:U18,"C")+(COUNTIF(U8:U18,"CS")+COUNTIF(U8:U18,"RTT")+(COUNTIF(U8:U18,"DRTT")/2)+COUNTIF(U8:U18,"M")+COUNTIF(U8:U18,"Rec")+(COUNTIF(U8:U18,"Drec")/2)+COUNTIF(U8:U18,"F")+(COUNTIF(U8:U18,"EM")+(COUNTIF(U8:U18,"DEM")/2))))</totalsRowFormula>
    </tableColumn>
    <tableColumn id="21" xr3:uid="{C2DE251A-4A56-6244-8E9B-ACFF06895D03}" name="20" totalsRowFunction="custom" dataDxfId="1179" totalsRowDxfId="1178">
      <totalsRowFormula>(COUNTIF(V8:V18,"C")+(COUNTIF(V8:V18,"CS")+COUNTIF(V8:V18,"RTT")+(COUNTIF(V8:V18,"DRTT")/2)+COUNTIF(V8:V18,"M")+COUNTIF(V8:V18,"Rec")+(COUNTIF(V8:V18,"Drec")/2)+COUNTIF(V8:V18,"F")+(COUNTIF(V8:V18,"EM")+(COUNTIF(V8:V18,"DEM")/2))))</totalsRowFormula>
    </tableColumn>
    <tableColumn id="22" xr3:uid="{5B95F092-DDEF-6748-AB12-A4EADDCBC7A0}" name="21" totalsRowFunction="custom" dataDxfId="1177" totalsRowDxfId="1176">
      <totalsRowFormula>(COUNTIF(W8:W18,"C")+(COUNTIF(W8:W18,"CS")+COUNTIF(W8:W18,"RTT")+(COUNTIF(W8:W18,"DRTT")/2)+COUNTIF(W8:W18,"M")+COUNTIF(W8:W18,"Rec")+(COUNTIF(W8:W18,"Drec")/2)+COUNTIF(W8:W18,"F")+(COUNTIF(W8:W18,"EM")+(COUNTIF(W8:W18,"DEM")/2))))</totalsRowFormula>
    </tableColumn>
    <tableColumn id="23" xr3:uid="{B781CF50-B69D-1542-8FAF-187B840D9A7A}" name="22" totalsRowFunction="custom" dataDxfId="1175" totalsRowDxfId="1174">
      <totalsRowFormula>(COUNTIF(X8:X18,"C")+(COUNTIF(X8:X18,"CS")+COUNTIF(X8:X18,"RTT")+(COUNTIF(X8:X18,"DRTT")/2)+COUNTIF(X8:X18,"M")+COUNTIF(X8:X18,"Rec")+(COUNTIF(X8:X18,"Drec")/2)+COUNTIF(X8:X18,"F")+(COUNTIF(X8:X18,"EM")+(COUNTIF(X8:X18,"DEM")/2))))</totalsRowFormula>
    </tableColumn>
    <tableColumn id="24" xr3:uid="{51CCF0E7-5573-3A46-98C7-5F5B542D05C5}" name="23" totalsRowFunction="custom" dataDxfId="1173" totalsRowDxfId="1172">
      <totalsRowFormula>(COUNTIF(Y8:Y18,"C")+(COUNTIF(Y8:Y18,"CS")+COUNTIF(Y8:Y18,"RTT")+(COUNTIF(Y8:Y18,"DRTT")/2)+COUNTIF(Y8:Y18,"M")+COUNTIF(Y8:Y18,"Rec")+(COUNTIF(Y8:Y18,"Drec")/2)+COUNTIF(Y8:Y18,"F")+(COUNTIF(Y8:Y18,"EM")+(COUNTIF(Y8:Y18,"DEM")/2))))</totalsRowFormula>
    </tableColumn>
    <tableColumn id="25" xr3:uid="{5D850AC2-FCE5-CB4D-873E-E3ED130F5D97}" name="24" totalsRowFunction="custom" dataDxfId="1171" totalsRowDxfId="1170">
      <totalsRowFormula>(COUNTIF(Z8:Z18,"C")+(COUNTIF(Z8:Z18,"CS")+COUNTIF(Z8:Z18,"RTT")+(COUNTIF(Z8:Z18,"DRTT")/2)+COUNTIF(Z8:Z18,"M")+COUNTIF(Z8:Z18,"Rec")+(COUNTIF(Z8:Z18,"Drec")/2)+COUNTIF(Z8:Z18,"F")+(COUNTIF(Z8:Z18,"EM")+(COUNTIF(Z8:Z18,"DEM")/2))))</totalsRowFormula>
    </tableColumn>
    <tableColumn id="26" xr3:uid="{9DAC898E-4971-454A-975A-38A8F354B6FE}" name="25" totalsRowFunction="custom" dataDxfId="1169" totalsRowDxfId="1168">
      <totalsRowFormula>(COUNTIF(AA8:AA18,"C")+(COUNTIF(AA8:AA18,"CS")+COUNTIF(AA8:AA18,"RTT")+(COUNTIF(AA8:AA18,"DRTT")/2)+COUNTIF(AA8:AA18,"M")+COUNTIF(AA8:AA18,"Rec")+(COUNTIF(AA8:AA18,"Drec")/2)+COUNTIF(AA8:AA18,"F")+(COUNTIF(AA8:AA18,"EM")+(COUNTIF(AA8:AA18,"DEM")/2))))</totalsRowFormula>
    </tableColumn>
    <tableColumn id="27" xr3:uid="{467C37D0-2B24-4648-BC1C-C126A5FB0C5F}" name="26" totalsRowFunction="custom" dataDxfId="1167" totalsRowDxfId="1166">
      <totalsRowFormula>(COUNTIF(AB8:AB18,"C")+(COUNTIF(AB8:AB18,"CS")+COUNTIF(AB8:AB18,"RTT")+(COUNTIF(AB8:AB18,"DRTT")/2)+COUNTIF(AB8:AB18,"M")+COUNTIF(AB8:AB18,"Rec")+(COUNTIF(AB8:AB18,"Drec")/2)+COUNTIF(AB8:AB18,"F")+(COUNTIF(AB8:AB18,"EM")+(COUNTIF(AB8:AB18,"DEM")/2))))</totalsRowFormula>
    </tableColumn>
    <tableColumn id="28" xr3:uid="{8B6D06CB-EA41-1A41-825C-2219DBDC3726}" name="27" totalsRowFunction="custom" dataDxfId="1165" totalsRowDxfId="1164">
      <totalsRowFormula>(COUNTIF(AC8:AC18,"C")+(COUNTIF(AC8:AC18,"CS")+COUNTIF(AC8:AC18,"RTT")+(COUNTIF(AC8:AC18,"DRTT")/2)+COUNTIF(AC8:AC18,"M")+COUNTIF(AC8:AC18,"Rec")+(COUNTIF(AC8:AC18,"Drec")/2)+COUNTIF(AC8:AC18,"F")+(COUNTIF(AC8:AC18,"EM")+(COUNTIF(AC8:AC18,"DEM")/2))))</totalsRowFormula>
    </tableColumn>
    <tableColumn id="29" xr3:uid="{C64CE4BC-77EA-DC4F-AD2A-AC6102E5B036}" name="28" totalsRowFunction="custom" dataDxfId="1163" totalsRowDxfId="1162">
      <totalsRowFormula>(COUNTIF(AD8:AD18,"C")+(COUNTIF(AD8:AD18,"CS")+COUNTIF(AD8:AD18,"RTT")+(COUNTIF(AD8:AD18,"DRTT")/2)+COUNTIF(AD8:AD18,"M")+COUNTIF(AD8:AD18,"Rec")+(COUNTIF(AD8:AD18,"Drec")/2)+COUNTIF(AD8:AD18,"F")+(COUNTIF(AD8:AD18,"EM")+(COUNTIF(AD8:AD18,"DEM")/2))))</totalsRowFormula>
    </tableColumn>
    <tableColumn id="30" xr3:uid="{0630DB41-1ABF-0848-807C-4B56F3E10783}" name="29" totalsRowFunction="custom" dataDxfId="1161" totalsRowDxfId="1160">
      <totalsRowFormula>(COUNTIF(AE8:AE18,"C")+(COUNTIF(AE8:AE18,"CS")+COUNTIF(AE8:AE18,"RTT")+(COUNTIF(AE8:AE18,"DRTT")/2)+COUNTIF(AE8:AE18,"M")+COUNTIF(AE8:AE18,"Rec")+(COUNTIF(AE8:AE18,"Drec")/2)+COUNTIF(AE8:AE18,"F")+(COUNTIF(AE8:AE18,"EM")+(COUNTIF(AE8:AE18,"DEM")/2))))</totalsRowFormula>
    </tableColumn>
    <tableColumn id="31" xr3:uid="{C60BB255-641D-E547-900C-B98B4ABC9A06}" name="30" totalsRowFunction="custom" dataDxfId="1159" totalsRowDxfId="1158">
      <totalsRowFormula>(COUNTIF(AF8:AF18,"C")+(COUNTIF(AF8:AF18,"CS")+COUNTIF(AF8:AF18,"RTT")+(COUNTIF(AF8:AF18,"DRTT")/2)+COUNTIF(AF8:AF18,"M")+COUNTIF(AF8:AF18,"Rec")+(COUNTIF(AF8:AF18,"Drec")/2)+COUNTIF(AF8:AF18,"F")+(COUNTIF(AF8:AF18,"EM")+(COUNTIF(AF8:AF18,"DEM")/2))))</totalsRowFormula>
    </tableColumn>
    <tableColumn id="32" xr3:uid="{238CF7AA-387C-8C46-AFB0-BB0CB7BDCF2C}" name=" " totalsRowFunction="custom" dataDxfId="1157" totalsRowDxfId="1156">
      <totalsRowFormula>(COUNTIF(AG8:AG18,"C")+(COUNTIF(AG8:AG18,"CS")+COUNTIF(AG8:AG18,"RTT")+(COUNTIF(AG8:AG18,"DRTT")/2)+COUNTIF(AG8:AG18,"M")+COUNTIF(AG8:AG18,"Rec")+(COUNTIF(AG8:AG18,"Drec")/2)+COUNTIF(AG8:AG18,"F")+(COUNTIF(AG8:AG18,"EM")+(COUNTIF(AG8:AG18,"DEM")/2))))</totalsRowFormula>
    </tableColumn>
    <tableColumn id="33" xr3:uid="{E58BA157-E637-E14F-8A96-31B248DE3B49}" name="Total absence" totalsRowFunction="sum" dataDxfId="1155" totalsRowDxfId="1154" dataCellStyle="Total">
      <calculatedColumnFormula>(COUNTIF(C8:AG8,"C")+(COUNTIF(C8:AG8,"EM")+COUNTIF(C8:AG8,"RTT")+COUNTIF(C8:AG8,"M")+COUNTIF(C8:AG8,"Rec")+COUNTIF(C8:AG8,"F")+COUNTIF(C8:AG8,"TT"-1)+COUNTIF(C8:AG8,"CS")+COUNTIF(C8:AG8,"PE"-1)+COUNTIF(C8:AG8,"DRTT")/2)+COUNTIF(C8:AG8,"DREC")/2)+COUNTIF(C8:AG8,"DEM")/2</calculatedColumnFormula>
    </tableColumn>
    <tableColumn id="34" xr3:uid="{2B60855F-8D20-4140-889B-3C10C29F4571}" name="Dont RTT" totalsRowFunction="sum" dataDxfId="1153" totalsRowDxfId="1152" dataCellStyle="Total">
      <calculatedColumnFormula>COUNTIF(C8:AG8,"RTT")+COUNTIF(C8:AG8,"DRTT")/2</calculatedColumnFormula>
    </tableColumn>
    <tableColumn id="36" xr3:uid="{D0B81199-B486-0A45-9E65-C110A05DA69E}" name="Dont MALADIE" totalsRowFunction="sum" dataDxfId="1151" totalsRowDxfId="1150" dataCellStyle="Total"/>
    <tableColumn id="35" xr3:uid="{CC72EE0F-3B4D-D947-BCD7-36D0EF43EBE8}" name="Solde RTT disponible au 01/05/2021" dataDxfId="1149" totalsRowDxfId="1148">
      <calculatedColumnFormula>Février!AK8-Mars[[#This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D501CCB3-9FBA-9046-AD29-A9D5CF20D6D0}" name="Mai" displayName="Mai" ref="B7:AK19" totalsRowCount="1" headerRowDxfId="1147" totalsRowDxfId="1146">
  <tableColumns count="36">
    <tableColumn id="1" xr3:uid="{A487B09C-1203-7242-85FD-7D5F1D19EB7A}" name="Nom de l’employé" totalsRowFunction="custom" dataDxfId="1145" totalsRowDxfId="1144" dataCellStyle="Employé">
      <totalsRowFormula>NomMois&amp;" Total"</totalsRowFormula>
    </tableColumn>
    <tableColumn id="2" xr3:uid="{BDFAA776-6AF9-0E4E-AA3B-2894D425BFBA}" name="1" totalsRowFunction="custom" dataDxfId="1143" totalsRowDxfId="1142">
      <totalsRowFormula>(COUNTIF(C8:C18,"C")+(COUNTIF(C8:C18,"CS")+COUNTIF(C8:C18,"RTT")+(COUNTIF(C8:C18,"DRTT")/2)+COUNTIF(C8:C18,"M")+COUNTIF(C8:C18,"Rec")+(COUNTIF(C8:C18,"Drec")/2)+COUNTIF(C8:C18,"F")+(COUNTIF(C8:C18,"EM")+(COUNTIF(C8:C18,"DEM")/2))))</totalsRowFormula>
    </tableColumn>
    <tableColumn id="3" xr3:uid="{B3EA5EFD-A7BE-BB4B-9538-AB7F2F59CCB9}" name="2" totalsRowFunction="custom" dataDxfId="1141" totalsRowDxfId="1140">
      <totalsRowFormula>(COUNTIF(D8:D18,"C")+(COUNTIF(D8:D18,"CS")+COUNTIF(D8:D18,"RTT")+(COUNTIF(D8:D18,"DRTT")/2)+COUNTIF(D8:D18,"M")+COUNTIF(D8:D18,"Rec")+(COUNTIF(D8:D18,"Drec")/2)+COUNTIF(D8:D18,"F")+(COUNTIF(D8:D18,"EM")+(COUNTIF(D8:D18,"DEM")/2))))</totalsRowFormula>
    </tableColumn>
    <tableColumn id="4" xr3:uid="{746017AA-418A-2647-A9CA-8AC8272791B0}" name="3" totalsRowFunction="custom" dataDxfId="1139" totalsRowDxfId="1138">
      <totalsRowFormula>(COUNTIF(E8:E18,"C")+(COUNTIF(E8:E18,"CS")+COUNTIF(E8:E18,"RTT")+(COUNTIF(E8:E18,"DRTT")/2)+COUNTIF(E8:E18,"M")+COUNTIF(E8:E18,"Rec")+(COUNTIF(E8:E18,"Drec")/2)+COUNTIF(E8:E18,"F")+(COUNTIF(E8:E18,"EM")+(COUNTIF(E8:E18,"DEM")/2))))</totalsRowFormula>
    </tableColumn>
    <tableColumn id="5" xr3:uid="{3738A34A-F40F-FA46-93F2-A8E13304B84E}" name="4" totalsRowFunction="custom" dataDxfId="1137" totalsRowDxfId="1136">
      <totalsRowFormula>(COUNTIF(F8:F18,"C")+(COUNTIF(F8:F18,"CS")+COUNTIF(F8:F18,"RTT")+(COUNTIF(F8:F18,"DRTT")/2)+COUNTIF(F8:F18,"M")+COUNTIF(F8:F18,"Rec")+(COUNTIF(F8:F18,"Drec")/2)+COUNTIF(F8:F18,"F")+(COUNTIF(F8:F18,"EM")+(COUNTIF(F8:F18,"DEM")/2))))</totalsRowFormula>
    </tableColumn>
    <tableColumn id="6" xr3:uid="{1C9245C3-FBC7-6344-8F34-E608A7E0AC48}" name="5" totalsRowFunction="custom" dataDxfId="1135" totalsRowDxfId="1134">
      <totalsRowFormula>(COUNTIF(G8:G18,"C")+(COUNTIF(G8:G18,"CS")+COUNTIF(G8:G18,"RTT")+(COUNTIF(G8:G18,"DRTT")/2)+COUNTIF(G8:G18,"M")+COUNTIF(G8:G18,"Rec")+(COUNTIF(G8:G18,"Drec")/2)+COUNTIF(G8:G18,"F")+(COUNTIF(G8:G18,"EM")+(COUNTIF(G8:G18,"DEM")/2))))</totalsRowFormula>
    </tableColumn>
    <tableColumn id="7" xr3:uid="{6D4B2E9E-64C4-0942-B7DA-2DFCEF050944}" name="6" totalsRowFunction="custom" dataDxfId="1133" totalsRowDxfId="1132">
      <totalsRowFormula>(COUNTIF(H8:H18,"C")+(COUNTIF(H8:H18,"CS")+COUNTIF(H8:H18,"RTT")+(COUNTIF(H8:H18,"DRTT")/2)+COUNTIF(H8:H18,"M")+COUNTIF(H8:H18,"Rec")+(COUNTIF(H8:H18,"Drec")/2)+COUNTIF(H8:H18,"F")+(COUNTIF(H8:H18,"EM")+(COUNTIF(H8:H18,"DEM")/2))))</totalsRowFormula>
    </tableColumn>
    <tableColumn id="8" xr3:uid="{6ABBDFBA-DBC8-2D41-B0F4-A52D76B4643E}" name="7" totalsRowFunction="custom" dataDxfId="1131" totalsRowDxfId="1130">
      <totalsRowFormula>(COUNTIF(I8:I18,"C")+(COUNTIF(I8:I18,"CS")+COUNTIF(I8:I18,"RTT")+(COUNTIF(I8:I18,"DRTT")/2)+COUNTIF(I8:I18,"M")+COUNTIF(I8:I18,"Rec")+(COUNTIF(I8:I18,"Drec")/2)+COUNTIF(I8:I18,"F")+(COUNTIF(I8:I18,"EM")+(COUNTIF(I8:I18,"DEM")/2))))</totalsRowFormula>
    </tableColumn>
    <tableColumn id="9" xr3:uid="{45CFC1ED-5D6C-C048-B5D3-6F234C016FA6}" name="8" totalsRowFunction="custom" dataDxfId="1129" totalsRowDxfId="1128">
      <totalsRowFormula>(COUNTIF(J8:J18,"C")+(COUNTIF(J8:J18,"CS")+COUNTIF(J8:J18,"RTT")+(COUNTIF(J8:J18,"DRTT")/2)+COUNTIF(J8:J18,"M")+COUNTIF(J8:J18,"Rec")+(COUNTIF(J8:J18,"Drec")/2)+COUNTIF(J8:J18,"F")+(COUNTIF(J8:J18,"EM")+(COUNTIF(J8:J18,"DEM")/2))))</totalsRowFormula>
    </tableColumn>
    <tableColumn id="10" xr3:uid="{7219529E-EA76-F043-A920-9881BFB3D365}" name="9" totalsRowFunction="custom" dataDxfId="1127" totalsRowDxfId="1126">
      <totalsRowFormula>(COUNTIF(K8:K18,"C")+(COUNTIF(K8:K18,"CS")+COUNTIF(K8:K18,"RTT")+(COUNTIF(K8:K18,"DRTT")/2)+COUNTIF(K8:K18,"M")+COUNTIF(K8:K18,"Rec")+(COUNTIF(K8:K18,"Drec")/2)+COUNTIF(K8:K18,"F")+(COUNTIF(K8:K18,"EM")+(COUNTIF(K8:K18,"DEM")/2))))</totalsRowFormula>
    </tableColumn>
    <tableColumn id="11" xr3:uid="{C5BB23E7-1DF6-CB4F-87A1-40616FDB2BE6}" name="10" totalsRowFunction="custom" dataDxfId="1125" totalsRowDxfId="1124">
      <totalsRowFormula>(COUNTIF(L8:L18,"C")+(COUNTIF(L8:L18,"CS")+COUNTIF(L8:L18,"RTT")+(COUNTIF(L8:L18,"DRTT")/2)+COUNTIF(L8:L18,"M")+COUNTIF(L8:L18,"Rec")+(COUNTIF(L8:L18,"Drec")/2)+COUNTIF(L8:L18,"F")+(COUNTIF(L8:L18,"EM")+(COUNTIF(L8:L18,"DEM")/2))))</totalsRowFormula>
    </tableColumn>
    <tableColumn id="12" xr3:uid="{8AD664E6-1A00-844A-B05D-3DD8AB509CF5}" name="11" totalsRowFunction="custom" dataDxfId="1123" totalsRowDxfId="1122">
      <totalsRowFormula>(COUNTIF(M8:M18,"C")+(COUNTIF(M8:M18,"CS")+COUNTIF(M8:M18,"RTT")+(COUNTIF(M8:M18,"DRTT")/2)+COUNTIF(M8:M18,"M")+COUNTIF(M8:M18,"Rec")+(COUNTIF(M8:M18,"Drec")/2)+COUNTIF(M8:M18,"F")+(COUNTIF(M8:M18,"EM")+(COUNTIF(M8:M18,"DEM")/2))))</totalsRowFormula>
    </tableColumn>
    <tableColumn id="13" xr3:uid="{A023D3D9-5743-A44F-9BE8-FED8654462F2}" name="12" totalsRowFunction="custom" dataDxfId="1121" totalsRowDxfId="1120">
      <totalsRowFormula>(COUNTIF(N8:N18,"C")+(COUNTIF(N8:N18,"CS")+COUNTIF(N8:N18,"RTT")+(COUNTIF(N8:N18,"DRTT")/2)+COUNTIF(N8:N18,"M")+COUNTIF(N8:N18,"Rec")+(COUNTIF(N8:N18,"Drec")/2)+COUNTIF(N8:N18,"F")+(COUNTIF(N8:N18,"EM")+(COUNTIF(N8:N18,"DEM")/2))))</totalsRowFormula>
    </tableColumn>
    <tableColumn id="14" xr3:uid="{F95752B8-9696-074B-90E1-6AB7BE30B961}" name="13" totalsRowFunction="custom" dataDxfId="1119" totalsRowDxfId="1118">
      <totalsRowFormula>(COUNTIF(O8:O18,"C")+(COUNTIF(O8:O18,"CS")+COUNTIF(O8:O18,"RTT")+(COUNTIF(O8:O18,"DRTT")/2)+COUNTIF(O8:O18,"M")+COUNTIF(O8:O18,"Rec")+(COUNTIF(O8:O18,"Drec")/2)+COUNTIF(O8:O18,"F")+(COUNTIF(O8:O18,"EM")+(COUNTIF(O8:O18,"DEM")/2))))</totalsRowFormula>
    </tableColumn>
    <tableColumn id="15" xr3:uid="{B955CE80-8072-7149-BDF3-E67C3EDBCD4E}" name="14" totalsRowFunction="custom" dataDxfId="1117" totalsRowDxfId="1116">
      <totalsRowFormula>(COUNTIF(P8:P18,"C")+(COUNTIF(P8:P18,"CS")+COUNTIF(P8:P18,"RTT")+(COUNTIF(P8:P18,"DRTT")/2)+COUNTIF(P8:P18,"M")+COUNTIF(P8:P18,"Rec")+(COUNTIF(P8:P18,"Drec")/2)+COUNTIF(P8:P18,"F")+(COUNTIF(P8:P18,"EM")+(COUNTIF(P8:P18,"DEM")/2))))</totalsRowFormula>
    </tableColumn>
    <tableColumn id="16" xr3:uid="{900FAE64-04E7-D946-9C6F-51A525B18143}" name="15" totalsRowFunction="custom" dataDxfId="1115" totalsRowDxfId="1114">
      <totalsRowFormula>(COUNTIF(Q8:Q18,"C")+(COUNTIF(Q8:Q18,"CS")+COUNTIF(Q8:Q18,"RTT")+(COUNTIF(Q8:Q18,"DRTT")/2)+COUNTIF(Q8:Q18,"M")+COUNTIF(Q8:Q18,"Rec")+(COUNTIF(Q8:Q18,"Drec")/2)+COUNTIF(Q8:Q18,"F")+(COUNTIF(Q8:Q18,"EM")+(COUNTIF(Q8:Q18,"DEM")/2))))</totalsRowFormula>
    </tableColumn>
    <tableColumn id="17" xr3:uid="{AFE1B3DE-9EE3-194C-83CF-059F51A17559}" name="16" totalsRowFunction="custom" dataDxfId="1113" totalsRowDxfId="1112">
      <totalsRowFormula>(COUNTIF(R8:R18,"C")+(COUNTIF(R8:R18,"CS")+COUNTIF(R8:R18,"RTT")+(COUNTIF(R8:R18,"DRTT")/2)+COUNTIF(R8:R18,"M")+COUNTIF(R8:R18,"Rec")+(COUNTIF(R8:R18,"Drec")/2)+COUNTIF(R8:R18,"F")+(COUNTIF(R8:R18,"EM")+(COUNTIF(R8:R18,"DEM")/2))))</totalsRowFormula>
    </tableColumn>
    <tableColumn id="18" xr3:uid="{BEDB06EB-0F53-C84A-95D1-4EAA23A4B2A9}" name="17" totalsRowFunction="custom" dataDxfId="1111" totalsRowDxfId="1110">
      <totalsRowFormula>(COUNTIF(S8:S18,"C")+(COUNTIF(S8:S18,"CS")+COUNTIF(S8:S18,"RTT")+(COUNTIF(S8:S18,"DRTT")/2)+COUNTIF(S8:S18,"M")+COUNTIF(S8:S18,"Rec")+(COUNTIF(S8:S18,"Drec")/2)+COUNTIF(S8:S18,"F")+(COUNTIF(S8:S18,"EM")+(COUNTIF(S8:S18,"DEM")/2))))</totalsRowFormula>
    </tableColumn>
    <tableColumn id="19" xr3:uid="{F770A182-72F1-D043-A3BD-9DF445C04318}" name="18" totalsRowFunction="custom" dataDxfId="1109" totalsRowDxfId="1108">
      <totalsRowFormula>(COUNTIF(T8:T18,"C")+(COUNTIF(T8:T18,"CS")+COUNTIF(T8:T18,"RTT")+(COUNTIF(T8:T18,"DRTT")/2)+COUNTIF(T8:T18,"M")+COUNTIF(T8:T18,"Rec")+(COUNTIF(T8:T18,"Drec")/2)+COUNTIF(T8:T18,"F")+(COUNTIF(T8:T18,"EM")+(COUNTIF(T8:T18,"DEM")/2))))</totalsRowFormula>
    </tableColumn>
    <tableColumn id="20" xr3:uid="{6B8F1CCC-BAB1-9041-AF46-742F96A29E60}" name="19" totalsRowFunction="custom" dataDxfId="1107" totalsRowDxfId="1106">
      <totalsRowFormula>(COUNTIF(U8:U18,"C")+(COUNTIF(U8:U18,"CS")+COUNTIF(U8:U18,"RTT")+(COUNTIF(U8:U18,"DRTT")/2)+COUNTIF(U8:U18,"M")+COUNTIF(U8:U18,"Rec")+(COUNTIF(U8:U18,"Drec")/2)+COUNTIF(U8:U18,"F")+(COUNTIF(U8:U18,"EM")+(COUNTIF(U8:U18,"DEM")/2))))</totalsRowFormula>
    </tableColumn>
    <tableColumn id="21" xr3:uid="{86791F1B-82AA-BF46-B500-83B6FB1058FA}" name="20" totalsRowFunction="custom" dataDxfId="1105" totalsRowDxfId="1104">
      <totalsRowFormula>(COUNTIF(V8:V18,"C")+(COUNTIF(V8:V18,"CS")+COUNTIF(V8:V18,"RTT")+(COUNTIF(V8:V18,"DRTT")/2)+COUNTIF(V8:V18,"M")+COUNTIF(V8:V18,"Rec")+(COUNTIF(V8:V18,"Drec")/2)+COUNTIF(V8:V18,"F")+(COUNTIF(V8:V18,"EM")+(COUNTIF(V8:V18,"DEM")/2))))</totalsRowFormula>
    </tableColumn>
    <tableColumn id="22" xr3:uid="{4CA2FFE3-B164-474E-A9D9-072F4DD269E4}" name="21" totalsRowFunction="custom" dataDxfId="1103" totalsRowDxfId="1102">
      <totalsRowFormula>(COUNTIF(W8:W18,"C")+(COUNTIF(W8:W18,"CS")+COUNTIF(W8:W18,"RTT")+(COUNTIF(W8:W18,"DRTT")/2)+COUNTIF(W8:W18,"M")+COUNTIF(W8:W18,"Rec")+(COUNTIF(W8:W18,"Drec")/2)+COUNTIF(W8:W18,"F")+(COUNTIF(W8:W18,"EM")+(COUNTIF(W8:W18,"DEM")/2))))</totalsRowFormula>
    </tableColumn>
    <tableColumn id="23" xr3:uid="{0AC8C250-B63F-BE4A-A15E-3217E6B76580}" name="22" totalsRowFunction="custom" dataDxfId="1101" totalsRowDxfId="1100">
      <totalsRowFormula>(COUNTIF(X8:X18,"C")+(COUNTIF(X8:X18,"CS")+COUNTIF(X8:X18,"RTT")+(COUNTIF(X8:X18,"DRTT")/2)+COUNTIF(X8:X18,"M")+COUNTIF(X8:X18,"Rec")+(COUNTIF(X8:X18,"Drec")/2)+COUNTIF(X8:X18,"F")+(COUNTIF(X8:X18,"EM")+(COUNTIF(X8:X18,"DEM")/2))))</totalsRowFormula>
    </tableColumn>
    <tableColumn id="24" xr3:uid="{1D0C59A6-1FC2-9741-B3CA-B28C7B130C59}" name="23" totalsRowFunction="custom" dataDxfId="1099" totalsRowDxfId="1098">
      <totalsRowFormula>(COUNTIF(Y8:Y18,"C")+(COUNTIF(Y8:Y18,"CS")+COUNTIF(Y8:Y18,"RTT")+(COUNTIF(Y8:Y18,"DRTT")/2)+COUNTIF(Y8:Y18,"M")+COUNTIF(Y8:Y18,"Rec")+(COUNTIF(Y8:Y18,"Drec")/2)+COUNTIF(Y8:Y18,"F")+(COUNTIF(Y8:Y18,"EM")+(COUNTIF(Y8:Y18,"DEM")/2))))</totalsRowFormula>
    </tableColumn>
    <tableColumn id="25" xr3:uid="{09399692-8EB1-E448-8E19-471DA2633D2D}" name="24" totalsRowFunction="custom" dataDxfId="1097" totalsRowDxfId="1096">
      <totalsRowFormula>(COUNTIF(Z8:Z18,"C")+(COUNTIF(Z8:Z18,"CS")+COUNTIF(Z8:Z18,"RTT")+(COUNTIF(Z8:Z18,"DRTT")/2)+COUNTIF(Z8:Z18,"M")+COUNTIF(Z8:Z18,"Rec")+(COUNTIF(Z8:Z18,"Drec")/2)+COUNTIF(Z8:Z18,"F")+(COUNTIF(Z8:Z18,"EM")+(COUNTIF(Z8:Z18,"DEM")/2))))</totalsRowFormula>
    </tableColumn>
    <tableColumn id="26" xr3:uid="{89C2AA7A-D694-B34C-9419-F3D8CAA7F107}" name="25" totalsRowFunction="custom" dataDxfId="1095" totalsRowDxfId="1094">
      <totalsRowFormula>(COUNTIF(AA8:AA18,"C")+(COUNTIF(AA8:AA18,"CS")+COUNTIF(AA8:AA18,"RTT")+(COUNTIF(AA8:AA18,"DRTT")/2)+COUNTIF(AA8:AA18,"M")+COUNTIF(AA8:AA18,"Rec")+(COUNTIF(AA8:AA18,"Drec")/2)+COUNTIF(AA8:AA18,"F")+(COUNTIF(AA8:AA18,"EM")+(COUNTIF(AA8:AA18,"DEM")/2))))</totalsRowFormula>
    </tableColumn>
    <tableColumn id="27" xr3:uid="{94D8CA31-E8CA-8A44-A6E7-0BF6DA99F370}" name="26" totalsRowFunction="custom" dataDxfId="1093" totalsRowDxfId="1092">
      <totalsRowFormula>(COUNTIF(AB8:AB18,"C")+(COUNTIF(AB8:AB18,"CS")+COUNTIF(AB8:AB18,"RTT")+(COUNTIF(AB8:AB18,"DRTT")/2)+COUNTIF(AB8:AB18,"M")+COUNTIF(AB8:AB18,"Rec")+(COUNTIF(AB8:AB18,"Drec")/2)+COUNTIF(AB8:AB18,"F")+(COUNTIF(AB8:AB18,"EM")+(COUNTIF(AB8:AB18,"DEM")/2))))</totalsRowFormula>
    </tableColumn>
    <tableColumn id="28" xr3:uid="{AF81227E-151B-5C4B-98E3-BE9836F801AF}" name="27" totalsRowFunction="custom" dataDxfId="1091" totalsRowDxfId="1090">
      <totalsRowFormula>(COUNTIF(AC8:AC18,"C")+(COUNTIF(AC8:AC18,"CS")+COUNTIF(AC8:AC18,"RTT")+(COUNTIF(AC8:AC18,"DRTT")/2)+COUNTIF(AC8:AC18,"M")+COUNTIF(AC8:AC18,"Rec")+(COUNTIF(AC8:AC18,"Drec")/2)+COUNTIF(AC8:AC18,"F")+(COUNTIF(AC8:AC18,"EM")+(COUNTIF(AC8:AC18,"DEM")/2))))</totalsRowFormula>
    </tableColumn>
    <tableColumn id="29" xr3:uid="{776D0630-3718-8645-AA48-F3FBB3ABABF2}" name="28" totalsRowFunction="custom" dataDxfId="1089" totalsRowDxfId="1088">
      <totalsRowFormula>(COUNTIF(AD8:AD18,"C")+(COUNTIF(AD8:AD18,"CS")+COUNTIF(AD8:AD18,"RTT")+(COUNTIF(AD8:AD18,"DRTT")/2)+COUNTIF(AD8:AD18,"M")+COUNTIF(AD8:AD18,"Rec")+(COUNTIF(AD8:AD18,"Drec")/2)+COUNTIF(AD8:AD18,"F")+(COUNTIF(AD8:AD18,"EM")+(COUNTIF(AD8:AD18,"DEM")/2))))</totalsRowFormula>
    </tableColumn>
    <tableColumn id="30" xr3:uid="{5E85958A-4214-DE49-8F73-1B66B00AD72B}" name="29" totalsRowFunction="custom" dataDxfId="1087" totalsRowDxfId="1086">
      <totalsRowFormula>(COUNTIF(AE8:AE18,"C")+(COUNTIF(AE8:AE18,"CS")+COUNTIF(AE8:AE18,"RTT")+(COUNTIF(AE8:AE18,"DRTT")/2)+COUNTIF(AE8:AE18,"M")+COUNTIF(AE8:AE18,"Rec")+(COUNTIF(AE8:AE18,"Drec")/2)+COUNTIF(AE8:AE18,"F")+(COUNTIF(AE8:AE18,"EM")+(COUNTIF(AE8:AE18,"DEM")/2))))</totalsRowFormula>
    </tableColumn>
    <tableColumn id="31" xr3:uid="{CFF4172B-CC9B-B24F-9B40-E24DACBFDF28}" name="30" totalsRowFunction="custom" dataDxfId="1085" totalsRowDxfId="1084">
      <totalsRowFormula>(COUNTIF(AF8:AF18,"C")+(COUNTIF(AF8:AF18,"CS")+COUNTIF(AF8:AF18,"RTT")+(COUNTIF(AF8:AF18,"DRTT")/2)+COUNTIF(AF8:AF18,"M")+COUNTIF(AF8:AF18,"Rec")+(COUNTIF(AF8:AF18,"Drec")/2)+COUNTIF(AF8:AF18,"F")+(COUNTIF(AF8:AF18,"EM")+(COUNTIF(AF8:AF18,"DEM")/2))))</totalsRowFormula>
    </tableColumn>
    <tableColumn id="32" xr3:uid="{BF7D3C48-C3A0-CE4B-8F3F-174D113528B1}" name="31" totalsRowFunction="custom" dataDxfId="1083" totalsRowDxfId="1082">
      <totalsRowFormula>(COUNTIF(AG8:AG18,"C")+(COUNTIF(AG8:AG18,"CS")+COUNTIF(AG8:AG18,"RTT")+(COUNTIF(AG8:AG18,"DRTT")/2)+COUNTIF(AG8:AG18,"M")+COUNTIF(AG8:AG18,"Rec")+(COUNTIF(AG8:AG18,"Drec")/2)+COUNTIF(AG8:AG18,"F")+(COUNTIF(AG8:AG18,"EM")+(COUNTIF(AG8:AG18,"DEM")/2))))</totalsRowFormula>
    </tableColumn>
    <tableColumn id="33" xr3:uid="{065B31B4-0E12-F04F-8FD3-192CC575535B}" name="Total absence" totalsRowFunction="sum" dataDxfId="1081" totalsRowDxfId="1080" dataCellStyle="Total">
      <calculatedColumnFormula>(COUNTIF(C8:AG8,"C")+(COUNTIF(C8:AG8,"EM")+COUNTIF(C8:AG8,"RTT")+COUNTIF(C8:AG8,"M")+COUNTIF(C8:AG8,"Rec")+COUNTIF(C8:AG8,"F")+COUNTIF(C8:AG8,"TT"-1)+COUNTIF(C8:AG8,"CS")+COUNTIF(C8:AG8,"PE"-1)+COUNTIF(C8:AG8,"DRTT")/2)+COUNTIF(C8:AG8,"DREC")/2)+COUNTIF(C8:AG8,"DEM")/2</calculatedColumnFormula>
    </tableColumn>
    <tableColumn id="34" xr3:uid="{51AA5CBA-36BB-C94F-B469-D74A6BE0D334}" name="Dont RTT" totalsRowFunction="sum" dataDxfId="1079" totalsRowDxfId="1078" dataCellStyle="Total">
      <calculatedColumnFormula>COUNTIF(C8:AG8,"RTT")+COUNTIF(C8:AG8,"DRTT")/2</calculatedColumnFormula>
    </tableColumn>
    <tableColumn id="36" xr3:uid="{75558809-1126-3140-A9D4-7D2C56F650E4}" name="Dont MALADIE" totalsRowFunction="sum" dataDxfId="1077" totalsRowDxfId="1076" dataCellStyle="Total"/>
    <tableColumn id="35" xr3:uid="{6352C8C6-B4CA-1746-8524-0D306825629A}" name="Solde RTT disponible au 01/06/2021" dataDxfId="1075" totalsRowDxfId="1074">
      <calculatedColumnFormula>Mars!AK8-Mars[[#This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97E7F423-26CE-364E-937D-BB6A7B76F269}" name="Juin" displayName="Juin" ref="B7:AK19" totalsRowCount="1" headerRowDxfId="1073" totalsRowDxfId="1072">
  <tableColumns count="36">
    <tableColumn id="1" xr3:uid="{BBE1B690-2F32-9142-9CF5-992A824D6D4D}" name="Nom de l’employé" totalsRowFunction="custom" dataDxfId="1071" totalsRowDxfId="1070" dataCellStyle="Employé">
      <totalsRowFormula>NomMois&amp;" Total"</totalsRowFormula>
    </tableColumn>
    <tableColumn id="2" xr3:uid="{414109F0-E0A9-E84A-BC48-0B86230F6F91}" name="1" totalsRowFunction="custom" dataDxfId="1069" totalsRowDxfId="1068">
      <totalsRowFormula>(COUNTIF(C8:C18,"C")+(COUNTIF(C8:C18,"CS")+COUNTIF(C8:C18,"RTT")+(COUNTIF(C8:C18,"DRTT")/2)+COUNTIF(C8:C18,"M")+COUNTIF(C8:C18,"Rec")+(COUNTIF(C8:C18,"Drec")/2)+COUNTIF(C8:C18,"F")+(COUNTIF(C8:C18,"EM")+(COUNTIF(C8:C18,"DEM")/2))))</totalsRowFormula>
    </tableColumn>
    <tableColumn id="3" xr3:uid="{0EBD3E6F-0B8A-A64A-B3B6-16691675766E}" name="2" totalsRowFunction="custom" dataDxfId="1067" totalsRowDxfId="1066">
      <totalsRowFormula>(COUNTIF(D8:D18,"C")+(COUNTIF(D8:D18,"CS")+COUNTIF(D8:D18,"RTT")+(COUNTIF(D8:D18,"DRTT")/2)+COUNTIF(D8:D18,"M")+COUNTIF(D8:D18,"Rec")+(COUNTIF(D8:D18,"Drec")/2)+COUNTIF(D8:D18,"F")+(COUNTIF(D8:D18,"EM")+(COUNTIF(D8:D18,"DEM")/2))))</totalsRowFormula>
    </tableColumn>
    <tableColumn id="4" xr3:uid="{D798D532-8D54-8C43-B71C-1F1E80F517FE}" name="3" totalsRowFunction="custom" dataDxfId="1065" totalsRowDxfId="1064">
      <totalsRowFormula>(COUNTIF(E8:E18,"C")+(COUNTIF(E8:E18,"CS")+COUNTIF(E8:E18,"RTT")+(COUNTIF(E8:E18,"DRTT")/2)+COUNTIF(E8:E18,"M")+COUNTIF(E8:E18,"Rec")+(COUNTIF(E8:E18,"Drec")/2)+COUNTIF(E8:E18,"F")+(COUNTIF(E8:E18,"EM")+(COUNTIF(E8:E18,"DEM")/2))))</totalsRowFormula>
    </tableColumn>
    <tableColumn id="5" xr3:uid="{3F0AA438-DF6E-7340-BEFA-CE4A05127ABE}" name="4" totalsRowFunction="custom" dataDxfId="1063" totalsRowDxfId="1062">
      <totalsRowFormula>(COUNTIF(F8:F18,"C")+(COUNTIF(F8:F18,"CS")+COUNTIF(F8:F18,"RTT")+(COUNTIF(F8:F18,"DRTT")/2)+COUNTIF(F8:F18,"M")+COUNTIF(F8:F18,"Rec")+(COUNTIF(F8:F18,"Drec")/2)+COUNTIF(F8:F18,"F")+(COUNTIF(F8:F18,"EM")+(COUNTIF(F8:F18,"DEM")/2))))</totalsRowFormula>
    </tableColumn>
    <tableColumn id="6" xr3:uid="{162B6CE1-94F2-6D43-B633-2D8021BED9B3}" name="5" totalsRowFunction="custom" dataDxfId="1061" totalsRowDxfId="1060">
      <totalsRowFormula>(COUNTIF(G8:G18,"C")+(COUNTIF(G8:G18,"CS")+COUNTIF(G8:G18,"RTT")+(COUNTIF(G8:G18,"DRTT")/2)+COUNTIF(G8:G18,"M")+COUNTIF(G8:G18,"Rec")+(COUNTIF(G8:G18,"Drec")/2)+COUNTIF(G8:G18,"F")+(COUNTIF(G8:G18,"EM")+(COUNTIF(G8:G18,"DEM")/2))))</totalsRowFormula>
    </tableColumn>
    <tableColumn id="7" xr3:uid="{81757E57-653B-DD4B-BE16-94EC69B5B8A3}" name="6" totalsRowFunction="custom" dataDxfId="1059" totalsRowDxfId="1058">
      <totalsRowFormula>(COUNTIF(H8:H18,"C")+(COUNTIF(H8:H18,"CS")+COUNTIF(H8:H18,"RTT")+(COUNTIF(H8:H18,"DRTT")/2)+COUNTIF(H8:H18,"M")+COUNTIF(H8:H18,"Rec")+(COUNTIF(H8:H18,"Drec")/2)+COUNTIF(H8:H18,"F")+(COUNTIF(H8:H18,"EM")+(COUNTIF(H8:H18,"DEM")/2))))</totalsRowFormula>
    </tableColumn>
    <tableColumn id="8" xr3:uid="{557BE4AC-8552-F141-AA35-5239C06C962F}" name="7" totalsRowFunction="custom" dataDxfId="1057" totalsRowDxfId="1056">
      <totalsRowFormula>(COUNTIF(I8:I18,"C")+(COUNTIF(I8:I18,"CS")+COUNTIF(I8:I18,"RTT")+(COUNTIF(I8:I18,"DRTT")/2)+COUNTIF(I8:I18,"M")+COUNTIF(I8:I18,"Rec")+(COUNTIF(I8:I18,"Drec")/2)+COUNTIF(I8:I18,"F")+(COUNTIF(I8:I18,"EM")+(COUNTIF(I8:I18,"DEM")/2))))</totalsRowFormula>
    </tableColumn>
    <tableColumn id="9" xr3:uid="{FDDB64D8-6BC5-BC47-A811-3D55EE78DF41}" name="8" totalsRowFunction="custom" dataDxfId="1055" totalsRowDxfId="1054">
      <totalsRowFormula>(COUNTIF(J8:J18,"C")+(COUNTIF(J8:J18,"CS")+COUNTIF(J8:J18,"RTT")+(COUNTIF(J8:J18,"DRTT")/2)+COUNTIF(J8:J18,"M")+COUNTIF(J8:J18,"Rec")+(COUNTIF(J8:J18,"Drec")/2)+COUNTIF(J8:J18,"F")+(COUNTIF(J8:J18,"EM")+(COUNTIF(J8:J18,"DEM")/2))))</totalsRowFormula>
    </tableColumn>
    <tableColumn id="10" xr3:uid="{FBE78315-2BB0-B54E-81FA-7370CF9F8C08}" name="9" totalsRowFunction="custom" dataDxfId="1053" totalsRowDxfId="1052">
      <totalsRowFormula>(COUNTIF(K8:K18,"C")+(COUNTIF(K8:K18,"CS")+COUNTIF(K8:K18,"RTT")+(COUNTIF(K8:K18,"DRTT")/2)+COUNTIF(K8:K18,"M")+COUNTIF(K8:K18,"Rec")+(COUNTIF(K8:K18,"Drec")/2)+COUNTIF(K8:K18,"F")+(COUNTIF(K8:K18,"EM")+(COUNTIF(K8:K18,"DEM")/2))))</totalsRowFormula>
    </tableColumn>
    <tableColumn id="11" xr3:uid="{B1B0E122-58E0-6547-AC57-CDEABBE85135}" name="10" totalsRowFunction="custom" dataDxfId="1051" totalsRowDxfId="1050">
      <totalsRowFormula>(COUNTIF(L8:L18,"C")+(COUNTIF(L8:L18,"CS")+COUNTIF(L8:L18,"RTT")+(COUNTIF(L8:L18,"DRTT")/2)+COUNTIF(L8:L18,"M")+COUNTIF(L8:L18,"Rec")+(COUNTIF(L8:L18,"Drec")/2)+COUNTIF(L8:L18,"F")+(COUNTIF(L8:L18,"EM")+(COUNTIF(L8:L18,"DEM")/2))))</totalsRowFormula>
    </tableColumn>
    <tableColumn id="12" xr3:uid="{0165C23A-E1C9-EA43-B96C-C313D099B9D1}" name="11" totalsRowFunction="custom" dataDxfId="1049" totalsRowDxfId="1048">
      <totalsRowFormula>(COUNTIF(M8:M18,"C")+(COUNTIF(M8:M18,"CS")+COUNTIF(M8:M18,"RTT")+(COUNTIF(M8:M18,"DRTT")/2)+COUNTIF(M8:M18,"M")+COUNTIF(M8:M18,"Rec")+(COUNTIF(M8:M18,"Drec")/2)+COUNTIF(M8:M18,"F")+(COUNTIF(M8:M18,"EM")+(COUNTIF(M8:M18,"DEM")/2))))</totalsRowFormula>
    </tableColumn>
    <tableColumn id="13" xr3:uid="{7D301F2F-B1A5-4949-8303-5B7372637AAB}" name="12" totalsRowFunction="custom" dataDxfId="1047" totalsRowDxfId="1046">
      <totalsRowFormula>(COUNTIF(N8:N18,"C")+(COUNTIF(N8:N18,"CS")+COUNTIF(N8:N18,"RTT")+(COUNTIF(N8:N18,"DRTT")/2)+COUNTIF(N8:N18,"M")+COUNTIF(N8:N18,"Rec")+(COUNTIF(N8:N18,"Drec")/2)+COUNTIF(N8:N18,"F")+(COUNTIF(N8:N18,"EM")+(COUNTIF(N8:N18,"DEM")/2))))</totalsRowFormula>
    </tableColumn>
    <tableColumn id="14" xr3:uid="{0AE47255-DFFE-784A-B309-9ABF09D05810}" name="13" totalsRowFunction="custom" dataDxfId="1045" totalsRowDxfId="1044">
      <totalsRowFormula>(COUNTIF(O8:O18,"C")+(COUNTIF(O8:O18,"CS")+COUNTIF(O8:O18,"RTT")+(COUNTIF(O8:O18,"DRTT")/2)+COUNTIF(O8:O18,"M")+COUNTIF(O8:O18,"Rec")+(COUNTIF(O8:O18,"Drec")/2)+COUNTIF(O8:O18,"F")+(COUNTIF(O8:O18,"EM")+(COUNTIF(O8:O18,"DEM")/2))))</totalsRowFormula>
    </tableColumn>
    <tableColumn id="15" xr3:uid="{94100DEF-F3AC-CB4F-A102-9CF434979205}" name="14" totalsRowFunction="custom" dataDxfId="1043" totalsRowDxfId="1042">
      <totalsRowFormula>(COUNTIF(P8:P18,"C")+(COUNTIF(P8:P18,"CS")+COUNTIF(P8:P18,"RTT")+(COUNTIF(P8:P18,"DRTT")/2)+COUNTIF(P8:P18,"M")+COUNTIF(P8:P18,"Rec")+(COUNTIF(P8:P18,"Drec")/2)+COUNTIF(P8:P18,"F")+(COUNTIF(P8:P18,"EM")+(COUNTIF(P8:P18,"DEM")/2))))</totalsRowFormula>
    </tableColumn>
    <tableColumn id="16" xr3:uid="{3C303AFF-A8C7-FB42-BEA3-0F9D01F38977}" name="15" totalsRowFunction="custom" dataDxfId="1041" totalsRowDxfId="1040">
      <totalsRowFormula>(COUNTIF(Q8:Q18,"C")+(COUNTIF(Q8:Q18,"CS")+COUNTIF(Q8:Q18,"RTT")+(COUNTIF(Q8:Q18,"DRTT")/2)+COUNTIF(Q8:Q18,"M")+COUNTIF(Q8:Q18,"Rec")+(COUNTIF(Q8:Q18,"Drec")/2)+COUNTIF(Q8:Q18,"F")+(COUNTIF(Q8:Q18,"EM")+(COUNTIF(Q8:Q18,"DEM")/2))))</totalsRowFormula>
    </tableColumn>
    <tableColumn id="17" xr3:uid="{1126E297-4358-BC49-A193-803EAABA8EBB}" name="16" totalsRowFunction="custom" dataDxfId="1039" totalsRowDxfId="1038">
      <totalsRowFormula>(COUNTIF(R8:R18,"C")+(COUNTIF(R8:R18,"CS")+COUNTIF(R8:R18,"RTT")+(COUNTIF(R8:R18,"DRTT")/2)+COUNTIF(R8:R18,"M")+COUNTIF(R8:R18,"Rec")+(COUNTIF(R8:R18,"Drec")/2)+COUNTIF(R8:R18,"F")+(COUNTIF(R8:R18,"EM")+(COUNTIF(R8:R18,"DEM")/2))))</totalsRowFormula>
    </tableColumn>
    <tableColumn id="18" xr3:uid="{80134871-3B7C-2D4F-A5A2-2D222D1814FB}" name="17" totalsRowFunction="custom" dataDxfId="1037" totalsRowDxfId="1036">
      <totalsRowFormula>(COUNTIF(S8:S18,"C")+(COUNTIF(S8:S18,"CS")+COUNTIF(S8:S18,"RTT")+(COUNTIF(S8:S18,"DRTT")/2)+COUNTIF(S8:S18,"M")+COUNTIF(S8:S18,"Rec")+(COUNTIF(S8:S18,"Drec")/2)+COUNTIF(S8:S18,"F")+(COUNTIF(S8:S18,"EM")+(COUNTIF(S8:S18,"DEM")/2))))</totalsRowFormula>
    </tableColumn>
    <tableColumn id="19" xr3:uid="{F1E27FE2-F52F-E141-859B-961E7AE0E388}" name="18" totalsRowFunction="custom" dataDxfId="1035" totalsRowDxfId="1034">
      <totalsRowFormula>(COUNTIF(T8:T18,"C")+(COUNTIF(T8:T18,"CS")+COUNTIF(T8:T18,"RTT")+(COUNTIF(T8:T18,"DRTT")/2)+COUNTIF(T8:T18,"M")+COUNTIF(T8:T18,"Rec")+(COUNTIF(T8:T18,"Drec")/2)+COUNTIF(T8:T18,"F")+(COUNTIF(T8:T18,"EM")+(COUNTIF(T8:T18,"DEM")/2))))</totalsRowFormula>
    </tableColumn>
    <tableColumn id="20" xr3:uid="{6CFAD673-5522-2549-878F-14353B3DFF0F}" name="19" totalsRowFunction="custom" dataDxfId="1033" totalsRowDxfId="1032">
      <totalsRowFormula>(COUNTIF(U8:U18,"C")+(COUNTIF(U8:U18,"CS")+COUNTIF(U8:U18,"RTT")+(COUNTIF(U8:U18,"DRTT")/2)+COUNTIF(U8:U18,"M")+COUNTIF(U8:U18,"Rec")+(COUNTIF(U8:U18,"Drec")/2)+COUNTIF(U8:U18,"F")+(COUNTIF(U8:U18,"EM")+(COUNTIF(U8:U18,"DEM")/2))))</totalsRowFormula>
    </tableColumn>
    <tableColumn id="21" xr3:uid="{DD9CD347-1500-CF45-8A3A-E7E18F036750}" name="20" totalsRowFunction="custom" dataDxfId="1031" totalsRowDxfId="1030">
      <totalsRowFormula>(COUNTIF(V8:V18,"C")+(COUNTIF(V8:V18,"CS")+COUNTIF(V8:V18,"RTT")+(COUNTIF(V8:V18,"DRTT")/2)+COUNTIF(V8:V18,"M")+COUNTIF(V8:V18,"Rec")+(COUNTIF(V8:V18,"Drec")/2)+COUNTIF(V8:V18,"F")+(COUNTIF(V8:V18,"EM")+(COUNTIF(V8:V18,"DEM")/2))))</totalsRowFormula>
    </tableColumn>
    <tableColumn id="22" xr3:uid="{780CCB78-2CB2-464D-86B7-65957E8C1092}" name="21" totalsRowFunction="custom" dataDxfId="1029" totalsRowDxfId="1028">
      <totalsRowFormula>(COUNTIF(W8:W18,"C")+(COUNTIF(W8:W18,"CS")+COUNTIF(W8:W18,"RTT")+(COUNTIF(W8:W18,"DRTT")/2)+COUNTIF(W8:W18,"M")+COUNTIF(W8:W18,"Rec")+(COUNTIF(W8:W18,"Drec")/2)+COUNTIF(W8:W18,"F")+(COUNTIF(W8:W18,"EM")+(COUNTIF(W8:W18,"DEM")/2))))</totalsRowFormula>
    </tableColumn>
    <tableColumn id="23" xr3:uid="{89FFD094-885E-DD40-8BA6-8AEB298B9490}" name="22" totalsRowFunction="custom" dataDxfId="1027" totalsRowDxfId="1026">
      <totalsRowFormula>(COUNTIF(X8:X18,"C")+(COUNTIF(X8:X18,"CS")+COUNTIF(X8:X18,"RTT")+(COUNTIF(X8:X18,"DRTT")/2)+COUNTIF(X8:X18,"M")+COUNTIF(X8:X18,"Rec")+(COUNTIF(X8:X18,"Drec")/2)+COUNTIF(X8:X18,"F")+(COUNTIF(X8:X18,"EM")+(COUNTIF(X8:X18,"DEM")/2))))</totalsRowFormula>
    </tableColumn>
    <tableColumn id="24" xr3:uid="{1D873E68-DE4F-BF45-BAE1-B2C81A51C721}" name="23" totalsRowFunction="custom" dataDxfId="1025" totalsRowDxfId="1024">
      <totalsRowFormula>(COUNTIF(Y8:Y18,"C")+(COUNTIF(Y8:Y18,"CS")+COUNTIF(Y8:Y18,"RTT")+(COUNTIF(Y8:Y18,"DRTT")/2)+COUNTIF(Y8:Y18,"M")+COUNTIF(Y8:Y18,"Rec")+(COUNTIF(Y8:Y18,"Drec")/2)+COUNTIF(Y8:Y18,"F")+(COUNTIF(Y8:Y18,"EM")+(COUNTIF(Y8:Y18,"DEM")/2))))</totalsRowFormula>
    </tableColumn>
    <tableColumn id="25" xr3:uid="{82ADA974-B713-5A4D-9778-4C19B5D24A22}" name="24" totalsRowFunction="custom" dataDxfId="1023" totalsRowDxfId="1022">
      <totalsRowFormula>(COUNTIF(Z8:Z18,"C")+(COUNTIF(Z8:Z18,"CS")+COUNTIF(Z8:Z18,"RTT")+(COUNTIF(Z8:Z18,"DRTT")/2)+COUNTIF(Z8:Z18,"M")+COUNTIF(Z8:Z18,"Rec")+(COUNTIF(Z8:Z18,"Drec")/2)+COUNTIF(Z8:Z18,"F")+(COUNTIF(Z8:Z18,"EM")+(COUNTIF(Z8:Z18,"DEM")/2))))</totalsRowFormula>
    </tableColumn>
    <tableColumn id="26" xr3:uid="{7DB125C3-D664-EA47-AD6E-FFDC7A4F51C5}" name="25" totalsRowFunction="custom" dataDxfId="1021" totalsRowDxfId="1020">
      <totalsRowFormula>(COUNTIF(AA8:AA18,"C")+(COUNTIF(AA8:AA18,"CS")+COUNTIF(AA8:AA18,"RTT")+(COUNTIF(AA8:AA18,"DRTT")/2)+COUNTIF(AA8:AA18,"M")+COUNTIF(AA8:AA18,"Rec")+(COUNTIF(AA8:AA18,"Drec")/2)+COUNTIF(AA8:AA18,"F")+(COUNTIF(AA8:AA18,"EM")+(COUNTIF(AA8:AA18,"DEM")/2))))</totalsRowFormula>
    </tableColumn>
    <tableColumn id="27" xr3:uid="{10AF2B54-21C5-CE4D-B7DD-7BD9E48E08A6}" name="26" totalsRowFunction="custom" dataDxfId="1019" totalsRowDxfId="1018">
      <totalsRowFormula>(COUNTIF(AB8:AB18,"C")+(COUNTIF(AB8:AB18,"CS")+COUNTIF(AB8:AB18,"RTT")+(COUNTIF(AB8:AB18,"DRTT")/2)+COUNTIF(AB8:AB18,"M")+COUNTIF(AB8:AB18,"Rec")+(COUNTIF(AB8:AB18,"Drec")/2)+COUNTIF(AB8:AB18,"F")+(COUNTIF(AB8:AB18,"EM")+(COUNTIF(AB8:AB18,"DEM")/2))))</totalsRowFormula>
    </tableColumn>
    <tableColumn id="28" xr3:uid="{4E22D9BB-0E5A-7045-AC5D-327DE1FA1B97}" name="27" totalsRowFunction="custom" dataDxfId="1017" totalsRowDxfId="1016">
      <totalsRowFormula>(COUNTIF(AC8:AC18,"C")+(COUNTIF(AC8:AC18,"CS")+COUNTIF(AC8:AC18,"RTT")+(COUNTIF(AC8:AC18,"DRTT")/2)+COUNTIF(AC8:AC18,"M")+COUNTIF(AC8:AC18,"Rec")+(COUNTIF(AC8:AC18,"Drec")/2)+COUNTIF(AC8:AC18,"F")+(COUNTIF(AC8:AC18,"EM")+(COUNTIF(AC8:AC18,"DEM")/2))))</totalsRowFormula>
    </tableColumn>
    <tableColumn id="29" xr3:uid="{F89645D3-214F-AF41-8B9D-A1A7D81720D2}" name="28" totalsRowFunction="custom" dataDxfId="1015" totalsRowDxfId="1014">
      <totalsRowFormula>(COUNTIF(AD8:AD18,"C")+(COUNTIF(AD8:AD18,"CS")+COUNTIF(AD8:AD18,"RTT")+(COUNTIF(AD8:AD18,"DRTT")/2)+COUNTIF(AD8:AD18,"M")+COUNTIF(AD8:AD18,"Rec")+(COUNTIF(AD8:AD18,"Drec")/2)+COUNTIF(AD8:AD18,"F")+(COUNTIF(AD8:AD18,"EM")+(COUNTIF(AD8:AD18,"DEM")/2))))</totalsRowFormula>
    </tableColumn>
    <tableColumn id="30" xr3:uid="{EB8E00CC-F321-CA44-94FB-5469D8A897E4}" name="29" totalsRowFunction="custom" dataDxfId="1013" totalsRowDxfId="1012">
      <totalsRowFormula>(COUNTIF(AE8:AE18,"C")+(COUNTIF(AE8:AE18,"CS")+COUNTIF(AE8:AE18,"RTT")+(COUNTIF(AE8:AE18,"DRTT")/2)+COUNTIF(AE8:AE18,"M")+COUNTIF(AE8:AE18,"Rec")+(COUNTIF(AE8:AE18,"Drec")/2)+COUNTIF(AE8:AE18,"F")+(COUNTIF(AE8:AE18,"EM")+(COUNTIF(AE8:AE18,"DEM")/2))))</totalsRowFormula>
    </tableColumn>
    <tableColumn id="31" xr3:uid="{CCA8757F-A1D3-9841-9C4D-9282042D6C32}" name="30" totalsRowFunction="custom" dataDxfId="1011" totalsRowDxfId="1010">
      <totalsRowFormula>(COUNTIF(AF8:AF18,"C")+(COUNTIF(AF8:AF18,"CS")+COUNTIF(AF8:AF18,"RTT")+(COUNTIF(AF8:AF18,"DRTT")/2)+COUNTIF(AF8:AF18,"M")+COUNTIF(AF8:AF18,"Rec")+(COUNTIF(AF8:AF18,"Drec")/2)+COUNTIF(AF8:AF18,"F")+(COUNTIF(AF8:AF18,"EM")+(COUNTIF(AF8:AF18,"DEM")/2))))</totalsRowFormula>
    </tableColumn>
    <tableColumn id="32" xr3:uid="{434280A0-1E91-FD40-9437-ABB70B5D9925}" name=" " totalsRowFunction="custom" dataDxfId="1009" totalsRowDxfId="1008">
      <totalsRowFormula>(COUNTIF(AG8:AG18,"C")+(COUNTIF(AG8:AG18,"CS")+COUNTIF(AG8:AG18,"RTT")+(COUNTIF(AG8:AG18,"DRTT")/2)+COUNTIF(AG8:AG18,"M")+COUNTIF(AG8:AG18,"Rec")+(COUNTIF(AG8:AG18,"Drec")/2)+COUNTIF(AG8:AG18,"F")+(COUNTIF(AG8:AG18,"EM")+(COUNTIF(AG8:AG18,"DEM")/2))))</totalsRowFormula>
    </tableColumn>
    <tableColumn id="33" xr3:uid="{0285AA83-3103-5643-AFC9-ACBC20804575}" name="Total absence" totalsRowFunction="sum" dataDxfId="1007" totalsRowDxfId="1006" dataCellStyle="Total">
      <calculatedColumnFormula>(COUNTIF(C8:AG8,"C")+(COUNTIF(C8:AG8,"EM")+COUNTIF(C8:AG8,"RTT")+COUNTIF(C8:AG8,"M")+COUNTIF(C8:AG8,"Rec")+COUNTIF(C8:AG8,"F")+COUNTIF(C8:AG8,"TT"-1)+COUNTIF(C8:AG8,"CS")+COUNTIF(C8:AG8,"PE"-1)+COUNTIF(C8:AG8,"DRTT")/2)+COUNTIF(C8:AG8,"DREC")/2)+COUNTIF(C8:AG8,"DEM")/2</calculatedColumnFormula>
    </tableColumn>
    <tableColumn id="34" xr3:uid="{655CB3F2-0102-B648-A1C0-FF41D04DD3C7}" name="Dont RTT" totalsRowFunction="sum" dataDxfId="1005" totalsRowDxfId="1004" dataCellStyle="Total">
      <calculatedColumnFormula>COUNTIF(C8:AG8,"RTT")+COUNTIF(C8:AG8,"DRTT")/2</calculatedColumnFormula>
    </tableColumn>
    <tableColumn id="36" xr3:uid="{FDBF039B-457B-2047-A272-8A3AAD603983}" name="Dont MALADIE" totalsRowFunction="sum" dataDxfId="1003" totalsRowDxfId="1002" dataCellStyle="Total"/>
    <tableColumn id="35" xr3:uid="{66BD0BB5-F47B-8F4B-A5F5-86B37E082B9F}" name="Solde RTT disponible au 01/07/2021" dataDxfId="1001" totalsRowDxfId="1000"/>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3CD86791-45B2-C340-8B0A-40B1A423C979}" name="Juillet" displayName="Juillet" ref="B7:AK19" totalsRowCount="1" headerRowDxfId="999" totalsRowDxfId="998">
  <tableColumns count="36">
    <tableColumn id="1" xr3:uid="{99E487D3-76D9-6F43-8E9D-BBAF2A48B3AF}" name="Nom de l’employé" totalsRowFunction="custom" dataDxfId="997" totalsRowDxfId="996" dataCellStyle="Employé">
      <totalsRowFormula>NomMois&amp;" Total"</totalsRowFormula>
    </tableColumn>
    <tableColumn id="2" xr3:uid="{ABC0623B-97F5-7144-B18E-69EA2258EA91}" name="1" totalsRowFunction="custom" dataDxfId="995" totalsRowDxfId="994">
      <totalsRowFormula>(COUNTIF(C8:C18,"C")+(COUNTIF(C8:C18,"CS")+COUNTIF(C8:C18,"RTT")+(COUNTIF(C8:C18,"DRTT")/2)+COUNTIF(C8:C18,"M")+COUNTIF(C8:C18,"Rec")+(COUNTIF(C8:C18,"Drec")/2)+COUNTIF(C8:C18,"F")+(COUNTIF(C8:C18,"EM")+(COUNTIF(C8:C18,"DEM")/2))))</totalsRowFormula>
    </tableColumn>
    <tableColumn id="3" xr3:uid="{3A43B68B-1522-7240-88B3-F05922C932E2}" name="2" totalsRowFunction="custom" dataDxfId="993" totalsRowDxfId="992">
      <totalsRowFormula>(COUNTIF(D8:D18,"C")+(COUNTIF(D8:D18,"CS")+COUNTIF(D8:D18,"RTT")+(COUNTIF(D8:D18,"DRTT")/2)+COUNTIF(D8:D18,"M")+COUNTIF(D8:D18,"Rec")+(COUNTIF(D8:D18,"Drec")/2)+COUNTIF(D8:D18,"F")+(COUNTIF(D8:D18,"EM")+(COUNTIF(D8:D18,"DEM")/2))))</totalsRowFormula>
    </tableColumn>
    <tableColumn id="4" xr3:uid="{44B723B4-42CC-C24B-8D06-346227F27CA1}" name="3" totalsRowFunction="custom" dataDxfId="991" totalsRowDxfId="990">
      <totalsRowFormula>(COUNTIF(E8:E18,"C")+(COUNTIF(E8:E18,"CS")+COUNTIF(E8:E18,"RTT")+(COUNTIF(E8:E18,"DRTT")/2)+COUNTIF(E8:E18,"M")+COUNTIF(E8:E18,"Rec")+(COUNTIF(E8:E18,"Drec")/2)+COUNTIF(E8:E18,"F")+(COUNTIF(E8:E18,"EM")+(COUNTIF(E8:E18,"DEM")/2))))</totalsRowFormula>
    </tableColumn>
    <tableColumn id="5" xr3:uid="{7179ED0E-4DFD-0B47-8DAB-B5B0C0F4B1D2}" name="4" totalsRowFunction="custom" dataDxfId="989" totalsRowDxfId="988">
      <totalsRowFormula>(COUNTIF(F8:F18,"C")+(COUNTIF(F8:F18,"CS")+COUNTIF(F8:F18,"RTT")+(COUNTIF(F8:F18,"DRTT")/2)+COUNTIF(F8:F18,"M")+COUNTIF(F8:F18,"Rec")+(COUNTIF(F8:F18,"Drec")/2)+COUNTIF(F8:F18,"F")+(COUNTIF(F8:F18,"EM")+(COUNTIF(F8:F18,"DEM")/2))))</totalsRowFormula>
    </tableColumn>
    <tableColumn id="6" xr3:uid="{75464038-29B1-0F4D-8583-C44DF2028F6A}" name="5" totalsRowFunction="custom" dataDxfId="987" totalsRowDxfId="986">
      <totalsRowFormula>(COUNTIF(G8:G18,"C")+(COUNTIF(G8:G18,"CS")+COUNTIF(G8:G18,"RTT")+(COUNTIF(G8:G18,"DRTT")/2)+COUNTIF(G8:G18,"M")+COUNTIF(G8:G18,"Rec")+(COUNTIF(G8:G18,"Drec")/2)+COUNTIF(G8:G18,"F")+(COUNTIF(G8:G18,"EM")+(COUNTIF(G8:G18,"DEM")/2))))</totalsRowFormula>
    </tableColumn>
    <tableColumn id="7" xr3:uid="{816FAEA7-AC01-4E4B-97FD-5BE50D147701}" name="6" totalsRowFunction="custom" dataDxfId="985" totalsRowDxfId="984">
      <totalsRowFormula>(COUNTIF(H8:H18,"C")+(COUNTIF(H8:H18,"CS")+COUNTIF(H8:H18,"RTT")+(COUNTIF(H8:H18,"DRTT")/2)+COUNTIF(H8:H18,"M")+COUNTIF(H8:H18,"Rec")+(COUNTIF(H8:H18,"Drec")/2)+COUNTIF(H8:H18,"F")+(COUNTIF(H8:H18,"EM")+(COUNTIF(H8:H18,"DEM")/2))))</totalsRowFormula>
    </tableColumn>
    <tableColumn id="8" xr3:uid="{96749761-FC94-8E4E-ABBC-93620975F4FB}" name="7" totalsRowFunction="custom" dataDxfId="983" totalsRowDxfId="982">
      <totalsRowFormula>(COUNTIF(I8:I18,"C")+(COUNTIF(I8:I18,"CS")+COUNTIF(I8:I18,"RTT")+(COUNTIF(I8:I18,"DRTT")/2)+COUNTIF(I8:I18,"M")+COUNTIF(I8:I18,"Rec")+(COUNTIF(I8:I18,"Drec")/2)+COUNTIF(I8:I18,"F")+(COUNTIF(I8:I18,"EM")+(COUNTIF(I8:I18,"DEM")/2))))</totalsRowFormula>
    </tableColumn>
    <tableColumn id="9" xr3:uid="{9A1316D5-FA3E-5D42-8555-53BD2AE1BD9A}" name="8" totalsRowFunction="custom" dataDxfId="981" totalsRowDxfId="980">
      <totalsRowFormula>(COUNTIF(J8:J18,"C")+(COUNTIF(J8:J18,"CS")+COUNTIF(J8:J18,"RTT")+(COUNTIF(J8:J18,"DRTT")/2)+COUNTIF(J8:J18,"M")+COUNTIF(J8:J18,"Rec")+(COUNTIF(J8:J18,"Drec")/2)+COUNTIF(J8:J18,"F")+(COUNTIF(J8:J18,"EM")+(COUNTIF(J8:J18,"DEM")/2))))</totalsRowFormula>
    </tableColumn>
    <tableColumn id="10" xr3:uid="{7FBBE8B5-F866-4F46-A842-D05D00B080BB}" name="9" totalsRowFunction="custom" dataDxfId="979" totalsRowDxfId="978">
      <totalsRowFormula>(COUNTIF(K8:K18,"C")+(COUNTIF(K8:K18,"CS")+COUNTIF(K8:K18,"RTT")+(COUNTIF(K8:K18,"DRTT")/2)+COUNTIF(K8:K18,"M")+COUNTIF(K8:K18,"Rec")+(COUNTIF(K8:K18,"Drec")/2)+COUNTIF(K8:K18,"F")+(COUNTIF(K8:K18,"EM")+(COUNTIF(K8:K18,"DEM")/2))))</totalsRowFormula>
    </tableColumn>
    <tableColumn id="11" xr3:uid="{C1714D56-12B4-8A46-B19F-156EAACA2886}" name="10" totalsRowFunction="custom" dataDxfId="977" totalsRowDxfId="976">
      <totalsRowFormula>(COUNTIF(L8:L18,"C")+(COUNTIF(L8:L18,"CS")+COUNTIF(L8:L18,"RTT")+(COUNTIF(L8:L18,"DRTT")/2)+COUNTIF(L8:L18,"M")+COUNTIF(L8:L18,"Rec")+(COUNTIF(L8:L18,"Drec")/2)+COUNTIF(L8:L18,"F")+(COUNTIF(L8:L18,"EM")+(COUNTIF(L8:L18,"DEM")/2))))</totalsRowFormula>
    </tableColumn>
    <tableColumn id="12" xr3:uid="{AC1E1FD1-6E8E-4149-A68D-5A8E4DA6245F}" name="11" totalsRowFunction="custom" dataDxfId="975" totalsRowDxfId="974">
      <totalsRowFormula>(COUNTIF(M8:M18,"C")+(COUNTIF(M8:M18,"CS")+COUNTIF(M8:M18,"RTT")+(COUNTIF(M8:M18,"DRTT")/2)+COUNTIF(M8:M18,"M")+COUNTIF(M8:M18,"Rec")+(COUNTIF(M8:M18,"Drec")/2)+COUNTIF(M8:M18,"F")+(COUNTIF(M8:M18,"EM")+(COUNTIF(M8:M18,"DEM")/2))))</totalsRowFormula>
    </tableColumn>
    <tableColumn id="13" xr3:uid="{A31B320B-1BD0-7642-A778-95EB148B9EE8}" name="12" totalsRowFunction="custom" dataDxfId="973" totalsRowDxfId="972">
      <totalsRowFormula>(COUNTIF(N8:N18,"C")+(COUNTIF(N8:N18,"CS")+COUNTIF(N8:N18,"RTT")+(COUNTIF(N8:N18,"DRTT")/2)+COUNTIF(N8:N18,"M")+COUNTIF(N8:N18,"Rec")+(COUNTIF(N8:N18,"Drec")/2)+COUNTIF(N8:N18,"F")+(COUNTIF(N8:N18,"EM")+(COUNTIF(N8:N18,"DEM")/2))))</totalsRowFormula>
    </tableColumn>
    <tableColumn id="14" xr3:uid="{FD959D4D-1043-D644-B0CF-E6006D54676D}" name="13" totalsRowFunction="custom" dataDxfId="971" totalsRowDxfId="970">
      <totalsRowFormula>(COUNTIF(O8:O18,"C")+(COUNTIF(O8:O18,"CS")+COUNTIF(O8:O18,"RTT")+(COUNTIF(O8:O18,"DRTT")/2)+COUNTIF(O8:O18,"M")+COUNTIF(O8:O18,"Rec")+(COUNTIF(O8:O18,"Drec")/2)+COUNTIF(O8:O18,"F")+(COUNTIF(O8:O18,"EM")+(COUNTIF(O8:O18,"DEM")/2))))</totalsRowFormula>
    </tableColumn>
    <tableColumn id="15" xr3:uid="{21F53E45-7961-354A-8B01-3223F1AFC9C5}" name="14" totalsRowFunction="custom" dataDxfId="969" totalsRowDxfId="968">
      <totalsRowFormula>(COUNTIF(P8:P18,"C")+(COUNTIF(P8:P18,"CS")+COUNTIF(P8:P18,"RTT")+(COUNTIF(P8:P18,"DRTT")/2)+COUNTIF(P8:P18,"M")+COUNTIF(P8:P18,"Rec")+(COUNTIF(P8:P18,"Drec")/2)+COUNTIF(P8:P18,"F")+(COUNTIF(P8:P18,"EM")+(COUNTIF(P8:P18,"DEM")/2))))</totalsRowFormula>
    </tableColumn>
    <tableColumn id="16" xr3:uid="{DC85D97E-9CBE-6D48-8FA4-E9F4058E06CA}" name="15" totalsRowFunction="custom" dataDxfId="967" totalsRowDxfId="966">
      <totalsRowFormula>(COUNTIF(Q8:Q18,"C")+(COUNTIF(Q8:Q18,"CS")+COUNTIF(Q8:Q18,"RTT")+(COUNTIF(Q8:Q18,"DRTT")/2)+COUNTIF(Q8:Q18,"M")+COUNTIF(Q8:Q18,"Rec")+(COUNTIF(Q8:Q18,"Drec")/2)+COUNTIF(Q8:Q18,"F")+(COUNTIF(Q8:Q18,"EM")+(COUNTIF(Q8:Q18,"DEM")/2))))</totalsRowFormula>
    </tableColumn>
    <tableColumn id="17" xr3:uid="{C5195567-D349-7B4E-A734-924B3D576119}" name="16" totalsRowFunction="custom" dataDxfId="965" totalsRowDxfId="964">
      <totalsRowFormula>(COUNTIF(R8:R18,"C")+(COUNTIF(R8:R18,"CS")+COUNTIF(R8:R18,"RTT")+(COUNTIF(R8:R18,"DRTT")/2)+COUNTIF(R8:R18,"M")+COUNTIF(R8:R18,"Rec")+(COUNTIF(R8:R18,"Drec")/2)+COUNTIF(R8:R18,"F")+(COUNTIF(R8:R18,"EM")+(COUNTIF(R8:R18,"DEM")/2))))</totalsRowFormula>
    </tableColumn>
    <tableColumn id="18" xr3:uid="{59E210ED-A76E-FB4E-9D66-C549BC1610DC}" name="17" totalsRowFunction="custom" dataDxfId="963" totalsRowDxfId="962">
      <totalsRowFormula>(COUNTIF(S8:S18,"C")+(COUNTIF(S8:S18,"CS")+COUNTIF(S8:S18,"RTT")+(COUNTIF(S8:S18,"DRTT")/2)+COUNTIF(S8:S18,"M")+COUNTIF(S8:S18,"Rec")+(COUNTIF(S8:S18,"Drec")/2)+COUNTIF(S8:S18,"F")+(COUNTIF(S8:S18,"EM")+(COUNTIF(S8:S18,"DEM")/2))))</totalsRowFormula>
    </tableColumn>
    <tableColumn id="19" xr3:uid="{F65F9CE0-0AAC-4446-A87D-5C5D4116AB4C}" name="18" totalsRowFunction="custom" dataDxfId="961" totalsRowDxfId="960">
      <totalsRowFormula>(COUNTIF(T8:T18,"C")+(COUNTIF(T8:T18,"CS")+COUNTIF(T8:T18,"RTT")+(COUNTIF(T8:T18,"DRTT")/2)+COUNTIF(T8:T18,"M")+COUNTIF(T8:T18,"Rec")+(COUNTIF(T8:T18,"Drec")/2)+COUNTIF(T8:T18,"F")+(COUNTIF(T8:T18,"EM")+(COUNTIF(T8:T18,"DEM")/2))))</totalsRowFormula>
    </tableColumn>
    <tableColumn id="20" xr3:uid="{6F78AEAE-8997-7E49-807B-561422B9D64E}" name="19" totalsRowFunction="custom" dataDxfId="959" totalsRowDxfId="958">
      <totalsRowFormula>(COUNTIF(U8:U18,"C")+(COUNTIF(U8:U18,"CS")+COUNTIF(U8:U18,"RTT")+(COUNTIF(U8:U18,"DRTT")/2)+COUNTIF(U8:U18,"M")+COUNTIF(U8:U18,"Rec")+(COUNTIF(U8:U18,"Drec")/2)+COUNTIF(U8:U18,"F")+(COUNTIF(U8:U18,"EM")+(COUNTIF(U8:U18,"DEM")/2))))</totalsRowFormula>
    </tableColumn>
    <tableColumn id="21" xr3:uid="{BB0BFA1E-FEF5-394E-B402-1BD5683F4766}" name="20" totalsRowFunction="custom" dataDxfId="957" totalsRowDxfId="956">
      <totalsRowFormula>(COUNTIF(V8:V18,"C")+(COUNTIF(V8:V18,"CS")+COUNTIF(V8:V18,"RTT")+(COUNTIF(V8:V18,"DRTT")/2)+COUNTIF(V8:V18,"M")+COUNTIF(V8:V18,"Rec")+(COUNTIF(V8:V18,"Drec")/2)+COUNTIF(V8:V18,"F")+(COUNTIF(V8:V18,"EM")+(COUNTIF(V8:V18,"DEM")/2))))</totalsRowFormula>
    </tableColumn>
    <tableColumn id="22" xr3:uid="{8B359BDA-2D06-1448-87BB-930CA5A22614}" name="21" totalsRowFunction="custom" dataDxfId="955" totalsRowDxfId="954">
      <totalsRowFormula>(COUNTIF(W8:W18,"C")+(COUNTIF(W8:W18,"CS")+COUNTIF(W8:W18,"RTT")+(COUNTIF(W8:W18,"DRTT")/2)+COUNTIF(W8:W18,"M")+COUNTIF(W8:W18,"Rec")+(COUNTIF(W8:W18,"Drec")/2)+COUNTIF(W8:W18,"F")+(COUNTIF(W8:W18,"EM")+(COUNTIF(W8:W18,"DEM")/2))))</totalsRowFormula>
    </tableColumn>
    <tableColumn id="23" xr3:uid="{C0C68C8E-EE1A-974D-9A71-6621F950A8B3}" name="22" totalsRowFunction="custom" dataDxfId="953" totalsRowDxfId="952">
      <totalsRowFormula>(COUNTIF(X8:X18,"C")+(COUNTIF(X8:X18,"CS")+COUNTIF(X8:X18,"RTT")+(COUNTIF(X8:X18,"DRTT")/2)+COUNTIF(X8:X18,"M")+COUNTIF(X8:X18,"Rec")+(COUNTIF(X8:X18,"Drec")/2)+COUNTIF(X8:X18,"F")+(COUNTIF(X8:X18,"EM")+(COUNTIF(X8:X18,"DEM")/2))))</totalsRowFormula>
    </tableColumn>
    <tableColumn id="24" xr3:uid="{433D5AD2-BE40-374A-83E2-4987C85C39A4}" name="23" totalsRowFunction="custom" dataDxfId="951" totalsRowDxfId="950">
      <totalsRowFormula>(COUNTIF(Y8:Y18,"C")+(COUNTIF(Y8:Y18,"CS")+COUNTIF(Y8:Y18,"RTT")+(COUNTIF(Y8:Y18,"DRTT")/2)+COUNTIF(Y8:Y18,"M")+COUNTIF(Y8:Y18,"Rec")+(COUNTIF(Y8:Y18,"Drec")/2)+COUNTIF(Y8:Y18,"F")+(COUNTIF(Y8:Y18,"EM")+(COUNTIF(Y8:Y18,"DEM")/2))))</totalsRowFormula>
    </tableColumn>
    <tableColumn id="25" xr3:uid="{037C9488-982F-4C4A-9093-963AC8654089}" name="24" totalsRowFunction="custom" dataDxfId="949" totalsRowDxfId="948">
      <totalsRowFormula>(COUNTIF(Z8:Z18,"C")+(COUNTIF(Z8:Z18,"CS")+COUNTIF(Z8:Z18,"RTT")+(COUNTIF(Z8:Z18,"DRTT")/2)+COUNTIF(Z8:Z18,"M")+COUNTIF(Z8:Z18,"Rec")+(COUNTIF(Z8:Z18,"Drec")/2)+COUNTIF(Z8:Z18,"F")+(COUNTIF(Z8:Z18,"EM")+(COUNTIF(Z8:Z18,"DEM")/2))))</totalsRowFormula>
    </tableColumn>
    <tableColumn id="26" xr3:uid="{93CE990F-E2AA-DC47-A97A-06F53450E1F8}" name="25" totalsRowFunction="custom" dataDxfId="947" totalsRowDxfId="946">
      <totalsRowFormula>(COUNTIF(AA8:AA18,"C")+(COUNTIF(AA8:AA18,"CS")+COUNTIF(AA8:AA18,"RTT")+(COUNTIF(AA8:AA18,"DRTT")/2)+COUNTIF(AA8:AA18,"M")+COUNTIF(AA8:AA18,"Rec")+(COUNTIF(AA8:AA18,"Drec")/2)+COUNTIF(AA8:AA18,"F")+(COUNTIF(AA8:AA18,"EM")+(COUNTIF(AA8:AA18,"DEM")/2))))</totalsRowFormula>
    </tableColumn>
    <tableColumn id="27" xr3:uid="{5EBAFA2F-96F0-9543-904F-55B93A252A78}" name="26" totalsRowFunction="custom" dataDxfId="945" totalsRowDxfId="944">
      <totalsRowFormula>(COUNTIF(AB8:AB18,"C")+(COUNTIF(AB8:AB18,"CS")+COUNTIF(AB8:AB18,"RTT")+(COUNTIF(AB8:AB18,"DRTT")/2)+COUNTIF(AB8:AB18,"M")+COUNTIF(AB8:AB18,"Rec")+(COUNTIF(AB8:AB18,"Drec")/2)+COUNTIF(AB8:AB18,"F")+(COUNTIF(AB8:AB18,"EM")+(COUNTIF(AB8:AB18,"DEM")/2))))</totalsRowFormula>
    </tableColumn>
    <tableColumn id="28" xr3:uid="{C1C646B6-35BC-D44E-B5A6-CAD61E0F794D}" name="27" totalsRowFunction="custom" dataDxfId="943" totalsRowDxfId="942">
      <totalsRowFormula>(COUNTIF(AC8:AC18,"C")+(COUNTIF(AC8:AC18,"CS")+COUNTIF(AC8:AC18,"RTT")+(COUNTIF(AC8:AC18,"DRTT")/2)+COUNTIF(AC8:AC18,"M")+COUNTIF(AC8:AC18,"Rec")+(COUNTIF(AC8:AC18,"Drec")/2)+COUNTIF(AC8:AC18,"F")+(COUNTIF(AC8:AC18,"EM")+(COUNTIF(AC8:AC18,"DEM")/2))))</totalsRowFormula>
    </tableColumn>
    <tableColumn id="29" xr3:uid="{8A60CC26-ABDA-0741-8319-1AAE6FAD19A6}" name="28" totalsRowFunction="custom" dataDxfId="941" totalsRowDxfId="940">
      <totalsRowFormula>(COUNTIF(AD8:AD18,"C")+(COUNTIF(AD8:AD18,"CS")+COUNTIF(AD8:AD18,"RTT")+(COUNTIF(AD8:AD18,"DRTT")/2)+COUNTIF(AD8:AD18,"M")+COUNTIF(AD8:AD18,"Rec")+(COUNTIF(AD8:AD18,"Drec")/2)+COUNTIF(AD8:AD18,"F")+(COUNTIF(AD8:AD18,"EM")+(COUNTIF(AD8:AD18,"DEM")/2))))</totalsRowFormula>
    </tableColumn>
    <tableColumn id="30" xr3:uid="{62B7F060-18C6-FD4B-BB38-7AA4B47103A3}" name="29" totalsRowFunction="custom" dataDxfId="939" totalsRowDxfId="938">
      <totalsRowFormula>(COUNTIF(AE8:AE18,"C")+(COUNTIF(AE8:AE18,"CS")+COUNTIF(AE8:AE18,"RTT")+(COUNTIF(AE8:AE18,"DRTT")/2)+COUNTIF(AE8:AE18,"M")+COUNTIF(AE8:AE18,"Rec")+(COUNTIF(AE8:AE18,"Drec")/2)+COUNTIF(AE8:AE18,"F")+(COUNTIF(AE8:AE18,"EM")+(COUNTIF(AE8:AE18,"DEM")/2))))</totalsRowFormula>
    </tableColumn>
    <tableColumn id="31" xr3:uid="{C69A5674-745B-DC4D-82F5-0314C9ADEB6C}" name="30" totalsRowFunction="custom" dataDxfId="937" totalsRowDxfId="936">
      <totalsRowFormula>(COUNTIF(AF8:AF18,"C")+(COUNTIF(AF8:AF18,"CS")+COUNTIF(AF8:AF18,"RTT")+(COUNTIF(AF8:AF18,"DRTT")/2)+COUNTIF(AF8:AF18,"M")+COUNTIF(AF8:AF18,"Rec")+(COUNTIF(AF8:AF18,"Drec")/2)+COUNTIF(AF8:AF18,"F")+(COUNTIF(AF8:AF18,"EM")+(COUNTIF(AF8:AF18,"DEM")/2))))</totalsRowFormula>
    </tableColumn>
    <tableColumn id="32" xr3:uid="{F0C101E5-AC98-7D4C-AD5C-B00E679CB14A}" name="31" totalsRowFunction="custom" dataDxfId="935" totalsRowDxfId="934">
      <totalsRowFormula>(COUNTIF(AG8:AG18,"C")+(COUNTIF(AG8:AG18,"CS")+COUNTIF(AG8:AG18,"RTT")+(COUNTIF(AG8:AG18,"DRTT")/2)+COUNTIF(AG8:AG18,"M")+COUNTIF(AG8:AG18,"Rec")+(COUNTIF(AG8:AG18,"Drec")/2)+COUNTIF(AG8:AG18,"F")+(COUNTIF(AG8:AG18,"EM")+(COUNTIF(AG8:AG18,"DEM")/2))))</totalsRowFormula>
    </tableColumn>
    <tableColumn id="33" xr3:uid="{907E066C-2C1A-2C41-A4E3-B0F0B0EFA38A}" name="Total absence" totalsRowFunction="sum" dataDxfId="933" totalsRowDxfId="932" dataCellStyle="Total">
      <calculatedColumnFormula>(COUNTIF(C8:AG8,"C")+(COUNTIF(C8:AG8,"EM")+COUNTIF(C8:AG8,"RTT")+COUNTIF(C8:AG8,"M")+COUNTIF(C8:AG8,"Rec")+COUNTIF(C8:AG8,"F")+COUNTIF(C8:AG8,"TT"-1)+COUNTIF(C8:AG8,"CS")+COUNTIF(C8:AG8,"PE"-1)+COUNTIF(C8:AG8,"DRTT")/2)+COUNTIF(C8:AG8,"DREC")/2)+COUNTIF(C8:AG8,"DEM")/2</calculatedColumnFormula>
    </tableColumn>
    <tableColumn id="34" xr3:uid="{EC350DA7-ECF0-2746-95E5-5A862A0F0BC1}" name="Dont RTT" totalsRowFunction="sum" dataDxfId="931" totalsRowDxfId="930" dataCellStyle="Total">
      <calculatedColumnFormula>COUNTIF(C8:AG8,"RTT")+COUNTIF(C8:AG8,"DRTT")/2</calculatedColumnFormula>
    </tableColumn>
    <tableColumn id="36" xr3:uid="{06DA45EC-9356-1F45-B959-C77D7217B85E}" name="Dont MALADIE" totalsRowFunction="sum" dataDxfId="929" totalsRowDxfId="928" dataCellStyle="Total"/>
    <tableColumn id="35" xr3:uid="{9583C070-246A-C244-9977-BDA2451B179A}" name="Solde RTT disponible au 01/08/2021" dataDxfId="927" totalsRowDxfId="926">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5F9683A5-D878-8E47-A7AF-B85155773763}" name="Août" displayName="Août" ref="B7:AK19" totalsRowCount="1" headerRowDxfId="925" totalsRowDxfId="924">
  <tableColumns count="36">
    <tableColumn id="1" xr3:uid="{94173B31-3C6A-1F48-9FF3-90A0B378BD7A}" name="Nom de l’employé" totalsRowFunction="custom" dataDxfId="923" totalsRowDxfId="582" dataCellStyle="Employé">
      <totalsRowFormula>NomMois&amp;" Total"</totalsRowFormula>
    </tableColumn>
    <tableColumn id="2" xr3:uid="{B46EEB0B-D880-924D-97E0-79AD0AB6BF37}" name="1" totalsRowFunction="custom" dataDxfId="922" totalsRowDxfId="581">
      <totalsRowFormula>(COUNTIF(C8:C18,"C")+(COUNTIF(C8:C18,"CS")+COUNTIF(C8:C18,"RTT")+(COUNTIF(C8:C18,"DRTT")/2)+COUNTIF(C8:C18,"M")+COUNTIF(C8:C18,"Rec")+(COUNTIF(C8:C18,"Drec")/2)+COUNTIF(C8:C18,"F")+(COUNTIF(C8:C18,"EM")+(COUNTIF(C8:C18,"DEM")/2))))</totalsRowFormula>
    </tableColumn>
    <tableColumn id="3" xr3:uid="{72AFEFF5-4751-7343-8E25-FA10DE33F59F}" name="2" totalsRowFunction="custom" dataDxfId="921" totalsRowDxfId="580">
      <totalsRowFormula>(COUNTIF(D8:D18,"C")+(COUNTIF(D8:D18,"CS")+COUNTIF(D8:D18,"RTT")+(COUNTIF(D8:D18,"DRTT")/2)+COUNTIF(D8:D18,"M")+COUNTIF(D8:D18,"Rec")+(COUNTIF(D8:D18,"Drec")/2)+COUNTIF(D8:D18,"F")+(COUNTIF(D8:D18,"EM")+(COUNTIF(D8:D18,"DEM")/2))))</totalsRowFormula>
    </tableColumn>
    <tableColumn id="4" xr3:uid="{0C1447F5-7033-E04C-A884-E46BF67B8971}" name="3" totalsRowFunction="custom" dataDxfId="920" totalsRowDxfId="579">
      <totalsRowFormula>(COUNTIF(E8:E18,"C")+(COUNTIF(E8:E18,"CS")+COUNTIF(E8:E18,"RTT")+(COUNTIF(E8:E18,"DRTT")/2)+COUNTIF(E8:E18,"M")+COUNTIF(E8:E18,"Rec")+(COUNTIF(E8:E18,"Drec")/2)+COUNTIF(E8:E18,"F")+(COUNTIF(E8:E18,"EM")+(COUNTIF(E8:E18,"DEM")/2))))</totalsRowFormula>
    </tableColumn>
    <tableColumn id="5" xr3:uid="{B61905F8-8BCE-7B47-88CD-703D9316115C}" name="4" totalsRowFunction="custom" dataDxfId="919" totalsRowDxfId="578">
      <totalsRowFormula>(COUNTIF(F8:F18,"C")+(COUNTIF(F8:F18,"CS")+COUNTIF(F8:F18,"RTT")+(COUNTIF(F8:F18,"DRTT")/2)+COUNTIF(F8:F18,"M")+COUNTIF(F8:F18,"Rec")+(COUNTIF(F8:F18,"Drec")/2)+COUNTIF(F8:F18,"F")+(COUNTIF(F8:F18,"EM")+(COUNTIF(F8:F18,"DEM")/2))))</totalsRowFormula>
    </tableColumn>
    <tableColumn id="6" xr3:uid="{AB1CBD73-2E6B-114D-A93C-BEC1F8B56E8B}" name="5" totalsRowFunction="custom" dataDxfId="918" totalsRowDxfId="577">
      <totalsRowFormula>(COUNTIF(G8:G18,"C")+(COUNTIF(G8:G18,"CS")+COUNTIF(G8:G18,"RTT")+(COUNTIF(G8:G18,"DRTT")/2)+COUNTIF(G8:G18,"M")+COUNTIF(G8:G18,"Rec")+(COUNTIF(G8:G18,"Drec")/2)+COUNTIF(G8:G18,"F")+(COUNTIF(G8:G18,"EM")+(COUNTIF(G8:G18,"DEM")/2))))</totalsRowFormula>
    </tableColumn>
    <tableColumn id="7" xr3:uid="{B37E50AC-2B43-1940-BC31-47F10D6CB490}" name="6" totalsRowFunction="custom" dataDxfId="917" totalsRowDxfId="576">
      <totalsRowFormula>(COUNTIF(H8:H18,"C")+(COUNTIF(H8:H18,"CS")+COUNTIF(H8:H18,"RTT")+(COUNTIF(H8:H18,"DRTT")/2)+COUNTIF(H8:H18,"M")+COUNTIF(H8:H18,"Rec")+(COUNTIF(H8:H18,"Drec")/2)+COUNTIF(H8:H18,"F")+(COUNTIF(H8:H18,"EM")+(COUNTIF(H8:H18,"DEM")/2))))</totalsRowFormula>
    </tableColumn>
    <tableColumn id="8" xr3:uid="{54A73956-0365-F44B-8751-84A5F7665D03}" name="7" totalsRowFunction="custom" dataDxfId="916" totalsRowDxfId="575">
      <totalsRowFormula>(COUNTIF(I8:I18,"C")+(COUNTIF(I8:I18,"CS")+COUNTIF(I8:I18,"RTT")+(COUNTIF(I8:I18,"DRTT")/2)+COUNTIF(I8:I18,"M")+COUNTIF(I8:I18,"Rec")+(COUNTIF(I8:I18,"Drec")/2)+COUNTIF(I8:I18,"F")+(COUNTIF(I8:I18,"EM")+(COUNTIF(I8:I18,"DEM")/2))))</totalsRowFormula>
    </tableColumn>
    <tableColumn id="9" xr3:uid="{AE50FC7A-A89D-C747-BCD2-DE9A879FDCBC}" name="8" totalsRowFunction="custom" dataDxfId="915" totalsRowDxfId="574">
      <totalsRowFormula>(COUNTIF(J8:J18,"C")+(COUNTIF(J8:J18,"CS")+COUNTIF(J8:J18,"RTT")+(COUNTIF(J8:J18,"DRTT")/2)+COUNTIF(J8:J18,"M")+COUNTIF(J8:J18,"Rec")+(COUNTIF(J8:J18,"Drec")/2)+COUNTIF(J8:J18,"F")+(COUNTIF(J8:J18,"EM")+(COUNTIF(J8:J18,"DEM")/2))))</totalsRowFormula>
    </tableColumn>
    <tableColumn id="10" xr3:uid="{BF548718-74F0-C341-8C67-38B090F1E314}" name="9" totalsRowFunction="custom" dataDxfId="914" totalsRowDxfId="573">
      <totalsRowFormula>(COUNTIF(K8:K18,"C")+(COUNTIF(K8:K18,"CS")+COUNTIF(K8:K18,"RTT")+(COUNTIF(K8:K18,"DRTT")/2)+COUNTIF(K8:K18,"M")+COUNTIF(K8:K18,"Rec")+(COUNTIF(K8:K18,"Drec")/2)+COUNTIF(K8:K18,"F")+(COUNTIF(K8:K18,"EM")+(COUNTIF(K8:K18,"DEM")/2))))</totalsRowFormula>
    </tableColumn>
    <tableColumn id="11" xr3:uid="{28588C17-15E8-1443-81FC-5960A97A752A}" name="10" totalsRowFunction="custom" dataDxfId="913" totalsRowDxfId="572">
      <totalsRowFormula>(COUNTIF(L8:L18,"C")+(COUNTIF(L8:L18,"CS")+COUNTIF(L8:L18,"RTT")+(COUNTIF(L8:L18,"DRTT")/2)+COUNTIF(L8:L18,"M")+COUNTIF(L8:L18,"Rec")+(COUNTIF(L8:L18,"Drec")/2)+COUNTIF(L8:L18,"F")+(COUNTIF(L8:L18,"EM")+(COUNTIF(L8:L18,"DEM")/2))))</totalsRowFormula>
    </tableColumn>
    <tableColumn id="12" xr3:uid="{2CFF160B-A614-D349-83ED-19C80967F061}" name="11" totalsRowFunction="custom" dataDxfId="912" totalsRowDxfId="571">
      <totalsRowFormula>(COUNTIF(M8:M18,"C")+(COUNTIF(M8:M18,"CS")+COUNTIF(M8:M18,"RTT")+(COUNTIF(M8:M18,"DRTT")/2)+COUNTIF(M8:M18,"M")+COUNTIF(M8:M18,"Rec")+(COUNTIF(M8:M18,"Drec")/2)+COUNTIF(M8:M18,"F")+(COUNTIF(M8:M18,"EM")+(COUNTIF(M8:M18,"DEM")/2))))</totalsRowFormula>
    </tableColumn>
    <tableColumn id="13" xr3:uid="{B43A039A-9DA8-C542-A242-BFFE5CB45EAB}" name="12" totalsRowFunction="custom" dataDxfId="911" totalsRowDxfId="570">
      <totalsRowFormula>(COUNTIF(N8:N18,"C")+(COUNTIF(N8:N18,"CS")+COUNTIF(N8:N18,"RTT")+(COUNTIF(N8:N18,"DRTT")/2)+COUNTIF(N8:N18,"M")+COUNTIF(N8:N18,"Rec")+(COUNTIF(N8:N18,"Drec")/2)+COUNTIF(N8:N18,"F")+(COUNTIF(N8:N18,"EM")+(COUNTIF(N8:N18,"DEM")/2))))</totalsRowFormula>
    </tableColumn>
    <tableColumn id="14" xr3:uid="{5D7E0C25-6691-9A4E-99C2-A056F1DF21E0}" name="13" totalsRowFunction="custom" dataDxfId="910" totalsRowDxfId="569">
      <totalsRowFormula>(COUNTIF(O8:O18,"C")+(COUNTIF(O8:O18,"CS")+COUNTIF(O8:O18,"RTT")+(COUNTIF(O8:O18,"DRTT")/2)+COUNTIF(O8:O18,"M")+COUNTIF(O8:O18,"Rec")+(COUNTIF(O8:O18,"Drec")/2)+COUNTIF(O8:O18,"F")+(COUNTIF(O8:O18,"EM")+(COUNTIF(O8:O18,"DEM")/2))))</totalsRowFormula>
    </tableColumn>
    <tableColumn id="15" xr3:uid="{5A9B19C7-BB09-1049-AACC-C7856BDE6B8B}" name="14" totalsRowFunction="custom" dataDxfId="909" totalsRowDxfId="568">
      <totalsRowFormula>(COUNTIF(P8:P18,"C")+(COUNTIF(P8:P18,"CS")+COUNTIF(P8:P18,"RTT")+(COUNTIF(P8:P18,"DRTT")/2)+COUNTIF(P8:P18,"M")+COUNTIF(P8:P18,"Rec")+(COUNTIF(P8:P18,"Drec")/2)+COUNTIF(P8:P18,"F")+(COUNTIF(P8:P18,"EM")+(COUNTIF(P8:P18,"DEM")/2))))</totalsRowFormula>
    </tableColumn>
    <tableColumn id="16" xr3:uid="{690A3254-62AB-6F49-9F50-C101D7CE988D}" name="15" totalsRowFunction="custom" dataDxfId="908" totalsRowDxfId="567">
      <totalsRowFormula>(COUNTIF(Q8:Q18,"C")+(COUNTIF(Q8:Q18,"CS")+COUNTIF(Q8:Q18,"RTT")+(COUNTIF(Q8:Q18,"DRTT")/2)+COUNTIF(Q8:Q18,"M")+COUNTIF(Q8:Q18,"Rec")+(COUNTIF(Q8:Q18,"Drec")/2)+COUNTIF(Q8:Q18,"F")+(COUNTIF(Q8:Q18,"EM")+(COUNTIF(Q8:Q18,"DEM")/2))))</totalsRowFormula>
    </tableColumn>
    <tableColumn id="17" xr3:uid="{343178AD-C113-6243-A711-E3A0CD7A64A4}" name="16" totalsRowFunction="custom" dataDxfId="907" totalsRowDxfId="566">
      <totalsRowFormula>(COUNTIF(R8:R18,"C")+(COUNTIF(R8:R18,"CS")+COUNTIF(R8:R18,"RTT")+(COUNTIF(R8:R18,"DRTT")/2)+COUNTIF(R8:R18,"M")+COUNTIF(R8:R18,"Rec")+(COUNTIF(R8:R18,"Drec")/2)+COUNTIF(R8:R18,"F")+(COUNTIF(R8:R18,"EM")+(COUNTIF(R8:R18,"DEM")/2))))</totalsRowFormula>
    </tableColumn>
    <tableColumn id="18" xr3:uid="{EB4D17D9-0B23-4A41-87A7-568EA0FBF566}" name="17" totalsRowFunction="custom" dataDxfId="906" totalsRowDxfId="565">
      <totalsRowFormula>(COUNTIF(S8:S18,"C")+(COUNTIF(S8:S18,"CS")+COUNTIF(S8:S18,"RTT")+(COUNTIF(S8:S18,"DRTT")/2)+COUNTIF(S8:S18,"M")+COUNTIF(S8:S18,"Rec")+(COUNTIF(S8:S18,"Drec")/2)+COUNTIF(S8:S18,"F")+(COUNTIF(S8:S18,"EM")+(COUNTIF(S8:S18,"DEM")/2))))</totalsRowFormula>
    </tableColumn>
    <tableColumn id="19" xr3:uid="{EB7A37CB-7CD0-1241-B354-7E73A43908BD}" name="18" totalsRowFunction="custom" dataDxfId="905" totalsRowDxfId="564">
      <totalsRowFormula>(COUNTIF(T8:T18,"C")+(COUNTIF(T8:T18,"CS")+COUNTIF(T8:T18,"RTT")+(COUNTIF(T8:T18,"DRTT")/2)+COUNTIF(T8:T18,"M")+COUNTIF(T8:T18,"Rec")+(COUNTIF(T8:T18,"Drec")/2)+COUNTIF(T8:T18,"F")+(COUNTIF(T8:T18,"EM")+(COUNTIF(T8:T18,"DEM")/2))))</totalsRowFormula>
    </tableColumn>
    <tableColumn id="20" xr3:uid="{331109F3-4379-E141-9FE0-8727CCA2052F}" name="19" totalsRowFunction="custom" dataDxfId="904" totalsRowDxfId="563">
      <totalsRowFormula>(COUNTIF(U8:U18,"C")+(COUNTIF(U8:U18,"CS")+COUNTIF(U8:U18,"RTT")+(COUNTIF(U8:U18,"DRTT")/2)+COUNTIF(U8:U18,"M")+COUNTIF(U8:U18,"Rec")+(COUNTIF(U8:U18,"Drec")/2)+COUNTIF(U8:U18,"F")+(COUNTIF(U8:U18,"EM")+(COUNTIF(U8:U18,"DEM")/2))))</totalsRowFormula>
    </tableColumn>
    <tableColumn id="21" xr3:uid="{1CD6BE75-122D-DD4C-B5A3-05EE4ED77230}" name="20" totalsRowFunction="custom" dataDxfId="903" totalsRowDxfId="562">
      <totalsRowFormula>(COUNTIF(V8:V18,"C")+(COUNTIF(V8:V18,"CS")+COUNTIF(V8:V18,"RTT")+(COUNTIF(V8:V18,"DRTT")/2)+COUNTIF(V8:V18,"M")+COUNTIF(V8:V18,"Rec")+(COUNTIF(V8:V18,"Drec")/2)+COUNTIF(V8:V18,"F")+(COUNTIF(V8:V18,"EM")+(COUNTIF(V8:V18,"DEM")/2))))</totalsRowFormula>
    </tableColumn>
    <tableColumn id="22" xr3:uid="{36116F5E-066F-F344-9EA7-93E1B170B94E}" name="21" totalsRowFunction="custom" dataDxfId="902" totalsRowDxfId="561">
      <totalsRowFormula>(COUNTIF(W8:W18,"C")+(COUNTIF(W8:W18,"CS")+COUNTIF(W8:W18,"RTT")+(COUNTIF(W8:W18,"DRTT")/2)+COUNTIF(W8:W18,"M")+COUNTIF(W8:W18,"Rec")+(COUNTIF(W8:W18,"Drec")/2)+COUNTIF(W8:W18,"F")+(COUNTIF(W8:W18,"EM")+(COUNTIF(W8:W18,"DEM")/2))))</totalsRowFormula>
    </tableColumn>
    <tableColumn id="23" xr3:uid="{437FD133-1507-CA44-B379-55ACBA950A6F}" name="22" totalsRowFunction="custom" dataDxfId="901" totalsRowDxfId="560">
      <totalsRowFormula>(COUNTIF(X8:X18,"C")+(COUNTIF(X8:X18,"CS")+COUNTIF(X8:X18,"RTT")+(COUNTIF(X8:X18,"DRTT")/2)+COUNTIF(X8:X18,"M")+COUNTIF(X8:X18,"Rec")+(COUNTIF(X8:X18,"Drec")/2)+COUNTIF(X8:X18,"F")+(COUNTIF(X8:X18,"EM")+(COUNTIF(X8:X18,"DEM")/2))))</totalsRowFormula>
    </tableColumn>
    <tableColumn id="24" xr3:uid="{18BBD64C-0459-1E4C-A211-916159DFBB93}" name="23" totalsRowFunction="custom" dataDxfId="900" totalsRowDxfId="559">
      <totalsRowFormula>(COUNTIF(Y8:Y18,"C")+(COUNTIF(Y8:Y18,"CS")+COUNTIF(Y8:Y18,"RTT")+(COUNTIF(Y8:Y18,"DRTT")/2)+COUNTIF(Y8:Y18,"M")+COUNTIF(Y8:Y18,"Rec")+(COUNTIF(Y8:Y18,"Drec")/2)+COUNTIF(Y8:Y18,"F")+(COUNTIF(Y8:Y18,"EM")+(COUNTIF(Y8:Y18,"DEM")/2))))</totalsRowFormula>
    </tableColumn>
    <tableColumn id="25" xr3:uid="{A0B7866F-67F0-734C-B540-B5B770A71093}" name="24" totalsRowFunction="custom" dataDxfId="899" totalsRowDxfId="558">
      <totalsRowFormula>(COUNTIF(Z8:Z18,"C")+(COUNTIF(Z8:Z18,"CS")+COUNTIF(Z8:Z18,"RTT")+(COUNTIF(Z8:Z18,"DRTT")/2)+COUNTIF(Z8:Z18,"M")+COUNTIF(Z8:Z18,"Rec")+(COUNTIF(Z8:Z18,"Drec")/2)+COUNTIF(Z8:Z18,"F")+(COUNTIF(Z8:Z18,"EM")+(COUNTIF(Z8:Z18,"DEM")/2))))</totalsRowFormula>
    </tableColumn>
    <tableColumn id="26" xr3:uid="{68B61B62-F42E-7D44-ADA9-6D89F0BD3939}" name="25" totalsRowFunction="custom" dataDxfId="898" totalsRowDxfId="557">
      <totalsRowFormula>(COUNTIF(AA8:AA18,"C")+(COUNTIF(AA8:AA18,"CS")+COUNTIF(AA8:AA18,"RTT")+(COUNTIF(AA8:AA18,"DRTT")/2)+COUNTIF(AA8:AA18,"M")+COUNTIF(AA8:AA18,"Rec")+(COUNTIF(AA8:AA18,"Drec")/2)+COUNTIF(AA8:AA18,"F")+(COUNTIF(AA8:AA18,"EM")+(COUNTIF(AA8:AA18,"DEM")/2))))</totalsRowFormula>
    </tableColumn>
    <tableColumn id="27" xr3:uid="{683D023E-5F17-794D-BA6E-C63AA06291AB}" name="26" totalsRowFunction="custom" dataDxfId="897" totalsRowDxfId="556">
      <totalsRowFormula>(COUNTIF(AB8:AB18,"C")+(COUNTIF(AB8:AB18,"CS")+COUNTIF(AB8:AB18,"RTT")+(COUNTIF(AB8:AB18,"DRTT")/2)+COUNTIF(AB8:AB18,"M")+COUNTIF(AB8:AB18,"Rec")+(COUNTIF(AB8:AB18,"Drec")/2)+COUNTIF(AB8:AB18,"F")+(COUNTIF(AB8:AB18,"EM")+(COUNTIF(AB8:AB18,"DEM")/2))))</totalsRowFormula>
    </tableColumn>
    <tableColumn id="28" xr3:uid="{04DCE457-B3EC-394B-B4B3-B8279CCBDED9}" name="27" totalsRowFunction="custom" dataDxfId="896" totalsRowDxfId="555">
      <totalsRowFormula>(COUNTIF(AC8:AC18,"C")+(COUNTIF(AC8:AC18,"CS")+COUNTIF(AC8:AC18,"RTT")+(COUNTIF(AC8:AC18,"DRTT")/2)+COUNTIF(AC8:AC18,"M")+COUNTIF(AC8:AC18,"Rec")+(COUNTIF(AC8:AC18,"Drec")/2)+COUNTIF(AC8:AC18,"F")+(COUNTIF(AC8:AC18,"EM")+(COUNTIF(AC8:AC18,"DEM")/2))))</totalsRowFormula>
    </tableColumn>
    <tableColumn id="29" xr3:uid="{13609B8F-9488-5C40-86EF-D27064536C33}" name="28" totalsRowFunction="custom" dataDxfId="895" totalsRowDxfId="554">
      <totalsRowFormula>(COUNTIF(AD8:AD18,"C")+(COUNTIF(AD8:AD18,"CS")+COUNTIF(AD8:AD18,"RTT")+(COUNTIF(AD8:AD18,"DRTT")/2)+COUNTIF(AD8:AD18,"M")+COUNTIF(AD8:AD18,"Rec")+(COUNTIF(AD8:AD18,"Drec")/2)+COUNTIF(AD8:AD18,"F")+(COUNTIF(AD8:AD18,"EM")+(COUNTIF(AD8:AD18,"DEM")/2))))</totalsRowFormula>
    </tableColumn>
    <tableColumn id="30" xr3:uid="{24F6A684-E383-0C47-A905-EB73BD9AF2F3}" name="29" totalsRowFunction="custom" dataDxfId="894" totalsRowDxfId="553">
      <totalsRowFormula>(COUNTIF(AE8:AE18,"C")+(COUNTIF(AE8:AE18,"CS")+COUNTIF(AE8:AE18,"RTT")+(COUNTIF(AE8:AE18,"DRTT")/2)+COUNTIF(AE8:AE18,"M")+COUNTIF(AE8:AE18,"Rec")+(COUNTIF(AE8:AE18,"Drec")/2)+COUNTIF(AE8:AE18,"F")+(COUNTIF(AE8:AE18,"EM")+(COUNTIF(AE8:AE18,"DEM")/2))))</totalsRowFormula>
    </tableColumn>
    <tableColumn id="31" xr3:uid="{B251F29E-0378-8140-ACC2-34B546674498}" name="30" totalsRowFunction="custom" dataDxfId="893" totalsRowDxfId="552">
      <totalsRowFormula>(COUNTIF(AF8:AF18,"C")+(COUNTIF(AF8:AF18,"CS")+COUNTIF(AF8:AF18,"RTT")+(COUNTIF(AF8:AF18,"DRTT")/2)+COUNTIF(AF8:AF18,"M")+COUNTIF(AF8:AF18,"Rec")+(COUNTIF(AF8:AF18,"Drec")/2)+COUNTIF(AF8:AF18,"F")+(COUNTIF(AF8:AF18,"EM")+(COUNTIF(AF8:AF18,"DEM")/2))))</totalsRowFormula>
    </tableColumn>
    <tableColumn id="32" xr3:uid="{DADB19A4-B151-B34D-9090-9EFAF7C04512}" name="31" totalsRowFunction="custom" dataDxfId="892" totalsRowDxfId="551">
      <totalsRowFormula>(COUNTIF(AG8:AG18,"C")+(COUNTIF(AG8:AG18,"CS")+COUNTIF(AG8:AG18,"RTT")+(COUNTIF(AG8:AG18,"DRTT")/2)+COUNTIF(AG8:AG18,"M")+COUNTIF(AG8:AG18,"Rec")+(COUNTIF(AG8:AG18,"Drec")/2)+COUNTIF(AG8:AG18,"F")+(COUNTIF(AG8:AG18,"EM")+(COUNTIF(AG8:AG18,"DEM")/2))))</totalsRowFormula>
    </tableColumn>
    <tableColumn id="33" xr3:uid="{2493AEC6-AB58-944E-9D71-87018D7009F7}" name="Total absence" totalsRowFunction="sum" dataDxfId="891" totalsRowDxfId="550" dataCellStyle="Total">
      <calculatedColumnFormula>(COUNTIF(C8:AG8,"C")+(COUNTIF(C8:AG8,"EM")+COUNTIF(C8:AG8,"RTT")+COUNTIF(C8:AG8,"M")+COUNTIF(C8:AG8,"Rec")+COUNTIF(C8:AG8,"F")+COUNTIF(C8:AG8,"TT"-1)+COUNTIF(C8:AG8,"CS")+COUNTIF(C8:AG8,"PE"-1)+COUNTIF(C8:AG8,"DRTT")/2)+COUNTIF(C8:AG8,"DREC")/2)+COUNTIF(C8:AG8,"DEM")/2</calculatedColumnFormula>
    </tableColumn>
    <tableColumn id="34" xr3:uid="{D0A1FDED-A88F-5B49-8C32-B3DF320BCB43}" name="Dont RTT" totalsRowFunction="sum" dataDxfId="890" totalsRowDxfId="549" dataCellStyle="Total">
      <calculatedColumnFormula>COUNTIF(C8:AG8,"RTT")+COUNTIF(C8:AG8,"DRTT")/2</calculatedColumnFormula>
    </tableColumn>
    <tableColumn id="36" xr3:uid="{3AAB17DB-F1A6-4E41-A078-FFB175BBF6F1}" name="Dont MALADIE" totalsRowFunction="sum" dataDxfId="889" totalsRowDxfId="548" dataCellStyle="Total"/>
    <tableColumn id="35" xr3:uid="{A33E08EC-9168-E843-9737-65B495D64CAA}" name="Solde RTT disponible au 01/09/2021" dataDxfId="888" totalsRowDxfId="547">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E64B92B8-0B33-1B49-89B6-94DE339AF266}" name="Septembre" displayName="Septembre" ref="B7:AK19" totalsRowCount="1" headerRowDxfId="887" totalsRowDxfId="886">
  <tableColumns count="36">
    <tableColumn id="1" xr3:uid="{22B2D8F5-2DF9-DA44-9679-9EEC0DEF55A8}" name="Nom de l’employé" totalsRowFunction="custom" dataDxfId="885" totalsRowDxfId="618" dataCellStyle="Employé">
      <totalsRowFormula>NomMois&amp;" Total"</totalsRowFormula>
    </tableColumn>
    <tableColumn id="2" xr3:uid="{EE4FB978-D594-3346-97A3-B8EC0247FD4A}" name="1" totalsRowFunction="custom" dataDxfId="884" totalsRowDxfId="617">
      <totalsRowFormula>(COUNTIF(C8:C18,"C")+(COUNTIF(C8:C18,"CS")+COUNTIF(C8:C18,"RTT")+(COUNTIF(C8:C18,"DRTT")/2)+COUNTIF(C8:C18,"M")+COUNTIF(C8:C18,"Rec")+(COUNTIF(C8:C18,"Drec")/2)+COUNTIF(C8:C18,"F")+(COUNTIF(C8:C18,"EM")+(COUNTIF(C8:C18,"DEM")/2))))</totalsRowFormula>
    </tableColumn>
    <tableColumn id="3" xr3:uid="{79CEE088-99E1-184D-A716-FC2F1C29868F}" name="2" totalsRowFunction="custom" dataDxfId="883" totalsRowDxfId="616">
      <totalsRowFormula>(COUNTIF(D8:D18,"C")+(COUNTIF(D8:D18,"CS")+COUNTIF(D8:D18,"RTT")+(COUNTIF(D8:D18,"DRTT")/2)+COUNTIF(D8:D18,"M")+COUNTIF(D8:D18,"Rec")+(COUNTIF(D8:D18,"Drec")/2)+COUNTIF(D8:D18,"F")+(COUNTIF(D8:D18,"EM")+(COUNTIF(D8:D18,"DEM")/2))))</totalsRowFormula>
    </tableColumn>
    <tableColumn id="4" xr3:uid="{17CC8A9E-F241-4846-BE83-567EDDC4C77C}" name="3" totalsRowFunction="custom" dataDxfId="882" totalsRowDxfId="615">
      <totalsRowFormula>(COUNTIF(E8:E18,"C")+(COUNTIF(E8:E18,"CS")+COUNTIF(E8:E18,"RTT")+(COUNTIF(E8:E18,"DRTT")/2)+COUNTIF(E8:E18,"M")+COUNTIF(E8:E18,"Rec")+(COUNTIF(E8:E18,"Drec")/2)+COUNTIF(E8:E18,"F")+(COUNTIF(E8:E18,"EM")+(COUNTIF(E8:E18,"DEM")/2))))</totalsRowFormula>
    </tableColumn>
    <tableColumn id="5" xr3:uid="{574BB39D-787B-1448-96EC-68A78CD59B23}" name="4" totalsRowFunction="custom" dataDxfId="881" totalsRowDxfId="614">
      <totalsRowFormula>(COUNTIF(F8:F18,"C")+(COUNTIF(F8:F18,"CS")+COUNTIF(F8:F18,"RTT")+(COUNTIF(F8:F18,"DRTT")/2)+COUNTIF(F8:F18,"M")+COUNTIF(F8:F18,"Rec")+(COUNTIF(F8:F18,"Drec")/2)+COUNTIF(F8:F18,"F")+(COUNTIF(F8:F18,"EM")+(COUNTIF(F8:F18,"DEM")/2))))</totalsRowFormula>
    </tableColumn>
    <tableColumn id="6" xr3:uid="{F0BB0FA7-E5E7-7245-BFAC-B78E3B5A65A8}" name="5" totalsRowFunction="custom" dataDxfId="880" totalsRowDxfId="613">
      <totalsRowFormula>(COUNTIF(G8:G18,"C")+(COUNTIF(G8:G18,"CS")+COUNTIF(G8:G18,"RTT")+(COUNTIF(G8:G18,"DRTT")/2)+COUNTIF(G8:G18,"M")+COUNTIF(G8:G18,"Rec")+(COUNTIF(G8:G18,"Drec")/2)+COUNTIF(G8:G18,"F")+(COUNTIF(G8:G18,"EM")+(COUNTIF(G8:G18,"DEM")/2))))</totalsRowFormula>
    </tableColumn>
    <tableColumn id="7" xr3:uid="{C88D11D7-3E6A-1B43-B447-C4633D6F5260}" name="6" totalsRowFunction="custom" dataDxfId="879" totalsRowDxfId="612">
      <totalsRowFormula>(COUNTIF(H8:H18,"C")+(COUNTIF(H8:H18,"CS")+COUNTIF(H8:H18,"RTT")+(COUNTIF(H8:H18,"DRTT")/2)+COUNTIF(H8:H18,"M")+COUNTIF(H8:H18,"Rec")+(COUNTIF(H8:H18,"Drec")/2)+COUNTIF(H8:H18,"F")+(COUNTIF(H8:H18,"EM")+(COUNTIF(H8:H18,"DEM")/2))))</totalsRowFormula>
    </tableColumn>
    <tableColumn id="8" xr3:uid="{48B3BFF8-1FB1-644D-A3D3-1CA627FEAFB8}" name="7" totalsRowFunction="custom" dataDxfId="878" totalsRowDxfId="611">
      <totalsRowFormula>(COUNTIF(I8:I18,"C")+(COUNTIF(I8:I18,"CS")+COUNTIF(I8:I18,"RTT")+(COUNTIF(I8:I18,"DRTT")/2)+COUNTIF(I8:I18,"M")+COUNTIF(I8:I18,"Rec")+(COUNTIF(I8:I18,"Drec")/2)+COUNTIF(I8:I18,"F")+(COUNTIF(I8:I18,"EM")+(COUNTIF(I8:I18,"DEM")/2))))</totalsRowFormula>
    </tableColumn>
    <tableColumn id="9" xr3:uid="{32D00876-731A-164F-B8E1-B464184FF060}" name="8" totalsRowFunction="custom" dataDxfId="877" totalsRowDxfId="610">
      <totalsRowFormula>(COUNTIF(J8:J18,"C")+(COUNTIF(J8:J18,"CS")+COUNTIF(J8:J18,"RTT")+(COUNTIF(J8:J18,"DRTT")/2)+COUNTIF(J8:J18,"M")+COUNTIF(J8:J18,"Rec")+(COUNTIF(J8:J18,"Drec")/2)+COUNTIF(J8:J18,"F")+(COUNTIF(J8:J18,"EM")+(COUNTIF(J8:J18,"DEM")/2))))</totalsRowFormula>
    </tableColumn>
    <tableColumn id="10" xr3:uid="{745EE7FA-5C57-584D-9562-F40AF7A0354B}" name="9" totalsRowFunction="custom" dataDxfId="876" totalsRowDxfId="609">
      <totalsRowFormula>(COUNTIF(K8:K18,"C")+(COUNTIF(K8:K18,"CS")+COUNTIF(K8:K18,"RTT")+(COUNTIF(K8:K18,"DRTT")/2)+COUNTIF(K8:K18,"M")+COUNTIF(K8:K18,"Rec")+(COUNTIF(K8:K18,"Drec")/2)+COUNTIF(K8:K18,"F")+(COUNTIF(K8:K18,"EM")+(COUNTIF(K8:K18,"DEM")/2))))</totalsRowFormula>
    </tableColumn>
    <tableColumn id="11" xr3:uid="{4C1E1A85-75E0-3141-A893-65E57F496D42}" name="10" totalsRowFunction="custom" dataDxfId="875" totalsRowDxfId="608">
      <totalsRowFormula>(COUNTIF(L8:L18,"C")+(COUNTIF(L8:L18,"CS")+COUNTIF(L8:L18,"RTT")+(COUNTIF(L8:L18,"DRTT")/2)+COUNTIF(L8:L18,"M")+COUNTIF(L8:L18,"Rec")+(COUNTIF(L8:L18,"Drec")/2)+COUNTIF(L8:L18,"F")+(COUNTIF(L8:L18,"EM")+(COUNTIF(L8:L18,"DEM")/2))))</totalsRowFormula>
    </tableColumn>
    <tableColumn id="12" xr3:uid="{C1A1B2FC-59C7-7C47-95DB-0B409BAB77F1}" name="11" totalsRowFunction="custom" dataDxfId="874" totalsRowDxfId="607">
      <totalsRowFormula>(COUNTIF(M8:M18,"C")+(COUNTIF(M8:M18,"CS")+COUNTIF(M8:M18,"RTT")+(COUNTIF(M8:M18,"DRTT")/2)+COUNTIF(M8:M18,"M")+COUNTIF(M8:M18,"Rec")+(COUNTIF(M8:M18,"Drec")/2)+COUNTIF(M8:M18,"F")+(COUNTIF(M8:M18,"EM")+(COUNTIF(M8:M18,"DEM")/2))))</totalsRowFormula>
    </tableColumn>
    <tableColumn id="13" xr3:uid="{01FFEBE7-FE90-4A42-A1C4-0C76EADD35BD}" name="12" totalsRowFunction="custom" dataDxfId="873" totalsRowDxfId="606">
      <totalsRowFormula>(COUNTIF(N8:N18,"C")+(COUNTIF(N8:N18,"CS")+COUNTIF(N8:N18,"RTT")+(COUNTIF(N8:N18,"DRTT")/2)+COUNTIF(N8:N18,"M")+COUNTIF(N8:N18,"Rec")+(COUNTIF(N8:N18,"Drec")/2)+COUNTIF(N8:N18,"F")+(COUNTIF(N8:N18,"EM")+(COUNTIF(N8:N18,"DEM")/2))))</totalsRowFormula>
    </tableColumn>
    <tableColumn id="14" xr3:uid="{E30671FC-8EAB-584F-94E4-AA49A884B7D4}" name="13" totalsRowFunction="custom" dataDxfId="872" totalsRowDxfId="605">
      <totalsRowFormula>(COUNTIF(O8:O18,"C")+(COUNTIF(O8:O18,"CS")+COUNTIF(O8:O18,"RTT")+(COUNTIF(O8:O18,"DRTT")/2)+COUNTIF(O8:O18,"M")+COUNTIF(O8:O18,"Rec")+(COUNTIF(O8:O18,"Drec")/2)+COUNTIF(O8:O18,"F")+(COUNTIF(O8:O18,"EM")+(COUNTIF(O8:O18,"DEM")/2))))</totalsRowFormula>
    </tableColumn>
    <tableColumn id="15" xr3:uid="{B943AEF9-1D14-2443-A8BF-43BC86D3CDF8}" name="14" totalsRowFunction="custom" dataDxfId="871" totalsRowDxfId="604">
      <totalsRowFormula>(COUNTIF(P8:P18,"C")+(COUNTIF(P8:P18,"CS")+COUNTIF(P8:P18,"RTT")+(COUNTIF(P8:P18,"DRTT")/2)+COUNTIF(P8:P18,"M")+COUNTIF(P8:P18,"Rec")+(COUNTIF(P8:P18,"Drec")/2)+COUNTIF(P8:P18,"F")+(COUNTIF(P8:P18,"EM")+(COUNTIF(P8:P18,"DEM")/2))))</totalsRowFormula>
    </tableColumn>
    <tableColumn id="16" xr3:uid="{E45A60C8-23BF-7D47-AF71-CB6F75A96EF7}" name="15" totalsRowFunction="custom" dataDxfId="870" totalsRowDxfId="603">
      <totalsRowFormula>(COUNTIF(Q8:Q18,"C")+(COUNTIF(Q8:Q18,"CS")+COUNTIF(Q8:Q18,"RTT")+(COUNTIF(Q8:Q18,"DRTT")/2)+COUNTIF(Q8:Q18,"M")+COUNTIF(Q8:Q18,"Rec")+(COUNTIF(Q8:Q18,"Drec")/2)+COUNTIF(Q8:Q18,"F")+(COUNTIF(Q8:Q18,"EM")+(COUNTIF(Q8:Q18,"DEM")/2))))</totalsRowFormula>
    </tableColumn>
    <tableColumn id="17" xr3:uid="{02594F17-F87B-6149-A3D7-F7E13971F07A}" name="16" totalsRowFunction="custom" dataDxfId="869" totalsRowDxfId="602">
      <totalsRowFormula>(COUNTIF(R8:R18,"C")+(COUNTIF(R8:R18,"CS")+COUNTIF(R8:R18,"RTT")+(COUNTIF(R8:R18,"DRTT")/2)+COUNTIF(R8:R18,"M")+COUNTIF(R8:R18,"Rec")+(COUNTIF(R8:R18,"Drec")/2)+COUNTIF(R8:R18,"F")+(COUNTIF(R8:R18,"EM")+(COUNTIF(R8:R18,"DEM")/2))))</totalsRowFormula>
    </tableColumn>
    <tableColumn id="18" xr3:uid="{DC0DCD7D-7040-5A4D-B68A-DDC368355B0D}" name="17" totalsRowFunction="custom" dataDxfId="868" totalsRowDxfId="601">
      <totalsRowFormula>(COUNTIF(S8:S18,"C")+(COUNTIF(S8:S18,"CS")+COUNTIF(S8:S18,"RTT")+(COUNTIF(S8:S18,"DRTT")/2)+COUNTIF(S8:S18,"M")+COUNTIF(S8:S18,"Rec")+(COUNTIF(S8:S18,"Drec")/2)+COUNTIF(S8:S18,"F")+(COUNTIF(S8:S18,"EM")+(COUNTIF(S8:S18,"DEM")/2))))</totalsRowFormula>
    </tableColumn>
    <tableColumn id="19" xr3:uid="{0CD67F39-9E66-CE4B-8FE7-C982D898D7DC}" name="18" totalsRowFunction="custom" dataDxfId="867" totalsRowDxfId="600">
      <totalsRowFormula>(COUNTIF(T8:T18,"C")+(COUNTIF(T8:T18,"CS")+COUNTIF(T8:T18,"RTT")+(COUNTIF(T8:T18,"DRTT")/2)+COUNTIF(T8:T18,"M")+COUNTIF(T8:T18,"Rec")+(COUNTIF(T8:T18,"Drec")/2)+COUNTIF(T8:T18,"F")+(COUNTIF(T8:T18,"EM")+(COUNTIF(T8:T18,"DEM")/2))))</totalsRowFormula>
    </tableColumn>
    <tableColumn id="20" xr3:uid="{E3F83270-A60E-8C4A-838E-27B6A76B3B0D}" name="19" totalsRowFunction="custom" dataDxfId="866" totalsRowDxfId="599">
      <totalsRowFormula>(COUNTIF(U8:U18,"C")+(COUNTIF(U8:U18,"CS")+COUNTIF(U8:U18,"RTT")+(COUNTIF(U8:U18,"DRTT")/2)+COUNTIF(U8:U18,"M")+COUNTIF(U8:U18,"Rec")+(COUNTIF(U8:U18,"Drec")/2)+COUNTIF(U8:U18,"F")+(COUNTIF(U8:U18,"EM")+(COUNTIF(U8:U18,"DEM")/2))))</totalsRowFormula>
    </tableColumn>
    <tableColumn id="21" xr3:uid="{F05757B9-55AA-6E4B-90E5-41E82E8BD8DF}" name="20" totalsRowFunction="custom" dataDxfId="865" totalsRowDxfId="598">
      <totalsRowFormula>(COUNTIF(V8:V18,"C")+(COUNTIF(V8:V18,"CS")+COUNTIF(V8:V18,"RTT")+(COUNTIF(V8:V18,"DRTT")/2)+COUNTIF(V8:V18,"M")+COUNTIF(V8:V18,"Rec")+(COUNTIF(V8:V18,"Drec")/2)+COUNTIF(V8:V18,"F")+(COUNTIF(V8:V18,"EM")+(COUNTIF(V8:V18,"DEM")/2))))</totalsRowFormula>
    </tableColumn>
    <tableColumn id="22" xr3:uid="{7AC199F2-AB29-124B-9176-55361C879512}" name="21" totalsRowFunction="custom" dataDxfId="864" totalsRowDxfId="597">
      <totalsRowFormula>(COUNTIF(W8:W18,"C")+(COUNTIF(W8:W18,"CS")+COUNTIF(W8:W18,"RTT")+(COUNTIF(W8:W18,"DRTT")/2)+COUNTIF(W8:W18,"M")+COUNTIF(W8:W18,"Rec")+(COUNTIF(W8:W18,"Drec")/2)+COUNTIF(W8:W18,"F")+(COUNTIF(W8:W18,"EM")+(COUNTIF(W8:W18,"DEM")/2))))</totalsRowFormula>
    </tableColumn>
    <tableColumn id="23" xr3:uid="{70050C7F-FA3B-3941-9057-6599F30CF7C6}" name="22" totalsRowFunction="custom" dataDxfId="863" totalsRowDxfId="596">
      <totalsRowFormula>(COUNTIF(X8:X18,"C")+(COUNTIF(X8:X18,"CS")+COUNTIF(X8:X18,"RTT")+(COUNTIF(X8:X18,"DRTT")/2)+COUNTIF(X8:X18,"M")+COUNTIF(X8:X18,"Rec")+(COUNTIF(X8:X18,"Drec")/2)+COUNTIF(X8:X18,"F")+(COUNTIF(X8:X18,"EM")+(COUNTIF(X8:X18,"DEM")/2))))</totalsRowFormula>
    </tableColumn>
    <tableColumn id="24" xr3:uid="{6C0D69E7-B748-3940-AC26-2262B49CB53F}" name="23" totalsRowFunction="custom" dataDxfId="862" totalsRowDxfId="595">
      <totalsRowFormula>(COUNTIF(Y8:Y18,"C")+(COUNTIF(Y8:Y18,"CS")+COUNTIF(Y8:Y18,"RTT")+(COUNTIF(Y8:Y18,"DRTT")/2)+COUNTIF(Y8:Y18,"M")+COUNTIF(Y8:Y18,"Rec")+(COUNTIF(Y8:Y18,"Drec")/2)+COUNTIF(Y8:Y18,"F")+(COUNTIF(Y8:Y18,"EM")+(COUNTIF(Y8:Y18,"DEM")/2))))</totalsRowFormula>
    </tableColumn>
    <tableColumn id="25" xr3:uid="{47178DE4-205E-6848-99DC-D8D6D260063B}" name="24" totalsRowFunction="custom" dataDxfId="861" totalsRowDxfId="594">
      <totalsRowFormula>(COUNTIF(Z8:Z18,"C")+(COUNTIF(Z8:Z18,"CS")+COUNTIF(Z8:Z18,"RTT")+(COUNTIF(Z8:Z18,"DRTT")/2)+COUNTIF(Z8:Z18,"M")+COUNTIF(Z8:Z18,"Rec")+(COUNTIF(Z8:Z18,"Drec")/2)+COUNTIF(Z8:Z18,"F")+(COUNTIF(Z8:Z18,"EM")+(COUNTIF(Z8:Z18,"DEM")/2))))</totalsRowFormula>
    </tableColumn>
    <tableColumn id="26" xr3:uid="{ABEE3A51-55B6-ED4D-A580-42970E3BAF73}" name="25" totalsRowFunction="custom" dataDxfId="860" totalsRowDxfId="593">
      <totalsRowFormula>(COUNTIF(AA8:AA18,"C")+(COUNTIF(AA8:AA18,"CS")+COUNTIF(AA8:AA18,"RTT")+(COUNTIF(AA8:AA18,"DRTT")/2)+COUNTIF(AA8:AA18,"M")+COUNTIF(AA8:AA18,"Rec")+(COUNTIF(AA8:AA18,"Drec")/2)+COUNTIF(AA8:AA18,"F")+(COUNTIF(AA8:AA18,"EM")+(COUNTIF(AA8:AA18,"DEM")/2))))</totalsRowFormula>
    </tableColumn>
    <tableColumn id="27" xr3:uid="{0E9B59C0-7C1A-B644-A617-6F1C6927D40D}" name="26" totalsRowFunction="custom" dataDxfId="859" totalsRowDxfId="592">
      <totalsRowFormula>(COUNTIF(AB8:AB18,"C")+(COUNTIF(AB8:AB18,"CS")+COUNTIF(AB8:AB18,"RTT")+(COUNTIF(AB8:AB18,"DRTT")/2)+COUNTIF(AB8:AB18,"M")+COUNTIF(AB8:AB18,"Rec")+(COUNTIF(AB8:AB18,"Drec")/2)+COUNTIF(AB8:AB18,"F")+(COUNTIF(AB8:AB18,"EM")+(COUNTIF(AB8:AB18,"DEM")/2))))</totalsRowFormula>
    </tableColumn>
    <tableColumn id="28" xr3:uid="{C1F34544-9FA8-A548-8D70-37C068A7727D}" name="27" totalsRowFunction="custom" dataDxfId="858" totalsRowDxfId="591">
      <totalsRowFormula>(COUNTIF(AC8:AC18,"C")+(COUNTIF(AC8:AC18,"CS")+COUNTIF(AC8:AC18,"RTT")+(COUNTIF(AC8:AC18,"DRTT")/2)+COUNTIF(AC8:AC18,"M")+COUNTIF(AC8:AC18,"Rec")+(COUNTIF(AC8:AC18,"Drec")/2)+COUNTIF(AC8:AC18,"F")+(COUNTIF(AC8:AC18,"EM")+(COUNTIF(AC8:AC18,"DEM")/2))))</totalsRowFormula>
    </tableColumn>
    <tableColumn id="29" xr3:uid="{C503D5AB-7BD2-7C4F-9F5A-A7EC0FFF5F33}" name="28" totalsRowFunction="custom" dataDxfId="857" totalsRowDxfId="590">
      <totalsRowFormula>(COUNTIF(AD8:AD18,"C")+(COUNTIF(AD8:AD18,"CS")+COUNTIF(AD8:AD18,"RTT")+(COUNTIF(AD8:AD18,"DRTT")/2)+COUNTIF(AD8:AD18,"M")+COUNTIF(AD8:AD18,"Rec")+(COUNTIF(AD8:AD18,"Drec")/2)+COUNTIF(AD8:AD18,"F")+(COUNTIF(AD8:AD18,"EM")+(COUNTIF(AD8:AD18,"DEM")/2))))</totalsRowFormula>
    </tableColumn>
    <tableColumn id="30" xr3:uid="{2344583A-6508-B34A-93EA-D8297DBAC2CF}" name="29" totalsRowFunction="custom" dataDxfId="856" totalsRowDxfId="589">
      <totalsRowFormula>(COUNTIF(AE8:AE18,"C")+(COUNTIF(AE8:AE18,"CS")+COUNTIF(AE8:AE18,"RTT")+(COUNTIF(AE8:AE18,"DRTT")/2)+COUNTIF(AE8:AE18,"M")+COUNTIF(AE8:AE18,"Rec")+(COUNTIF(AE8:AE18,"Drec")/2)+COUNTIF(AE8:AE18,"F")+(COUNTIF(AE8:AE18,"EM")+(COUNTIF(AE8:AE18,"DEM")/2))))</totalsRowFormula>
    </tableColumn>
    <tableColumn id="31" xr3:uid="{117AABA8-B2F3-8944-B14F-90BDDFCBDAAB}" name="30" totalsRowFunction="custom" dataDxfId="855" totalsRowDxfId="588">
      <totalsRowFormula>(COUNTIF(AF8:AF18,"C")+(COUNTIF(AF8:AF18,"CS")+COUNTIF(AF8:AF18,"RTT")+(COUNTIF(AF8:AF18,"DRTT")/2)+COUNTIF(AF8:AF18,"M")+COUNTIF(AF8:AF18,"Rec")+(COUNTIF(AF8:AF18,"Drec")/2)+COUNTIF(AF8:AF18,"F")+(COUNTIF(AF8:AF18,"EM")+(COUNTIF(AF8:AF18,"DEM")/2))))</totalsRowFormula>
    </tableColumn>
    <tableColumn id="32" xr3:uid="{08945F42-1D9D-C04A-B173-E2CE3AEA076A}" name=" " totalsRowFunction="custom" dataDxfId="854" totalsRowDxfId="587">
      <totalsRowFormula>(COUNTIF(AG8:AG18,"C")+(COUNTIF(AG8:AG18,"CS")+COUNTIF(AG8:AG18,"RTT")+(COUNTIF(AG8:AG18,"DRTT")/2)+COUNTIF(AG8:AG18,"M")+COUNTIF(AG8:AG18,"Rec")+(COUNTIF(AG8:AG18,"Drec")/2)+COUNTIF(AG8:AG18,"F")+(COUNTIF(AG8:AG18,"EM")+(COUNTIF(AG8:AG18,"DEM")/2))))</totalsRowFormula>
    </tableColumn>
    <tableColumn id="33" xr3:uid="{FE04F8E9-173D-5648-85A5-08693049DF01}" name="Total absence" totalsRowFunction="sum" dataDxfId="853" totalsRowDxfId="586" dataCellStyle="Total">
      <calculatedColumnFormula>(COUNTIF(C8:AG8,"C")+(COUNTIF(C8:AG8,"EM")+COUNTIF(C8:AG8,"RTT")+COUNTIF(C8:AG8,"M")+COUNTIF(C8:AG8,"Rec")+COUNTIF(C8:AG8,"F")+COUNTIF(C8:AG8,"TT"-1)+COUNTIF(C8:AG8,"CS")+COUNTIF(C8:AG8,"PE"-1)+COUNTIF(C8:AG8,"DRTT")/2)+COUNTIF(C8:AG8,"DREC")/2)+COUNTIF(C8:AG8,"DEM")/2</calculatedColumnFormula>
    </tableColumn>
    <tableColumn id="34" xr3:uid="{B9F531FB-6FE8-6646-9F1B-B02696110A7A}" name="Dont RTT" totalsRowFunction="sum" dataDxfId="852" totalsRowDxfId="585" dataCellStyle="Total">
      <calculatedColumnFormula>COUNTIF(C8:AG8,"RTT")+COUNTIF(C8:AG8,"DRTT")/2</calculatedColumnFormula>
    </tableColumn>
    <tableColumn id="36" xr3:uid="{0D861406-9109-1849-A021-6EF68ABA6224}" name="Dont MALADIE" totalsRowFunction="sum" dataDxfId="851" totalsRowDxfId="584" dataCellStyle="Total"/>
    <tableColumn id="35" xr3:uid="{A5B17A38-0BBA-CD4F-94BB-FD946E6459B3}" name="Solde RTT disponible au 01/10/2021" dataDxfId="850" totalsRowDxfId="583">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908E6C99-FF2D-AF46-AE2A-ACE21EEAAD8F}" name="Octobre" displayName="Octobre" ref="B7:AL22" totalsRowCount="1" headerRowDxfId="849" dataDxfId="848" totalsRowDxfId="847" dataCellStyle="Total">
  <tableColumns count="37">
    <tableColumn id="1" xr3:uid="{5E9E2766-68E1-9F49-A242-EE61B97953EA}" name="Nom de l’employé" totalsRowFunction="custom" dataDxfId="846" totalsRowDxfId="655" dataCellStyle="Employé">
      <totalsRowFormula>NomMois&amp;" Total"</totalsRowFormula>
    </tableColumn>
    <tableColumn id="2" xr3:uid="{B903B4F2-7F26-614B-BDF3-7988963BB623}" name="1" totalsRowFunction="custom" dataDxfId="845" totalsRowDxfId="654">
      <totalsRowFormula>(COUNTIF(C8:C21,"C")+(COUNTIF(C8:C21,"CS")+COUNTIF(C8:C21,"RTT")+(COUNTIF(C8:C21,"DRTT")/2)+COUNTIF(C8:C21,"M")+COUNTIF(C8:C21,"Rec")+(COUNTIF(C8:C21,"Drec")/2)+COUNTIF(C8:C21,"F")+(COUNTIF(C8:C21,"EM")+(COUNTIF(C8:C21,"DEM")/2))))</totalsRowFormula>
    </tableColumn>
    <tableColumn id="3" xr3:uid="{B0BD2EF0-B284-FB41-A56D-B5228C0979C2}" name="2" totalsRowFunction="custom" dataDxfId="844" totalsRowDxfId="653">
      <totalsRowFormula>(COUNTIF(D8:D21,"C")+(COUNTIF(D8:D21,"CS")+COUNTIF(D8:D21,"RTT")+(COUNTIF(D8:D21,"DRTT")/2)+COUNTIF(D8:D21,"M")+COUNTIF(D8:D21,"Rec")+(COUNTIF(D8:D21,"Drec")/2)+COUNTIF(D8:D21,"F")+(COUNTIF(D8:D21,"EM")+(COUNTIF(D8:D21,"DEM")/2))))</totalsRowFormula>
    </tableColumn>
    <tableColumn id="4" xr3:uid="{458D3B4B-8295-A04A-8269-5CCB5BD6F850}" name="3" totalsRowFunction="custom" dataDxfId="843" totalsRowDxfId="652">
      <totalsRowFormula>(COUNTIF(E8:E21,"C")+(COUNTIF(E8:E21,"CS")+COUNTIF(E8:E21,"RTT")+(COUNTIF(E8:E21,"DRTT")/2)+COUNTIF(E8:E21,"M")+COUNTIF(E8:E21,"Rec")+(COUNTIF(E8:E21,"Drec")/2)+COUNTIF(E8:E21,"F")+(COUNTIF(E8:E21,"EM")+(COUNTIF(E8:E21,"DEM")/2))))</totalsRowFormula>
    </tableColumn>
    <tableColumn id="5" xr3:uid="{75EFCC2A-A240-FE43-AAA8-46D93A840740}" name="4" totalsRowFunction="custom" dataDxfId="842" totalsRowDxfId="651">
      <totalsRowFormula>(COUNTIF(F8:F21,"C")+(COUNTIF(F8:F21,"CS")+COUNTIF(F8:F21,"RTT")+(COUNTIF(F8:F21,"DRTT")/2)+COUNTIF(F8:F21,"M")+COUNTIF(F8:F21,"Rec")+(COUNTIF(F8:F21,"Drec")/2)+COUNTIF(F8:F21,"F")+(COUNTIF(F8:F21,"EM")+(COUNTIF(F8:F21,"DEM")/2))))</totalsRowFormula>
    </tableColumn>
    <tableColumn id="6" xr3:uid="{55721E4D-8D68-5D45-B2A5-FB9DB342F9B1}" name="5" totalsRowFunction="custom" dataDxfId="841" totalsRowDxfId="650">
      <totalsRowFormula>(COUNTIF(G8:G21,"C")+(COUNTIF(G8:G21,"CS")+COUNTIF(G8:G21,"RTT")+(COUNTIF(G8:G21,"DRTT")/2)+COUNTIF(G8:G21,"M")+COUNTIF(G8:G21,"Rec")+(COUNTIF(G8:G21,"Drec")/2)+COUNTIF(G8:G21,"F")+(COUNTIF(G8:G21,"EM")+(COUNTIF(G8:G21,"DEM")/2))))</totalsRowFormula>
    </tableColumn>
    <tableColumn id="7" xr3:uid="{B77B5437-C116-D245-854D-8C0600F332EF}" name="6" totalsRowFunction="custom" dataDxfId="840" totalsRowDxfId="649">
      <totalsRowFormula>(COUNTIF(H8:H21,"C")+(COUNTIF(H8:H21,"CS")+COUNTIF(H8:H21,"RTT")+(COUNTIF(H8:H21,"DRTT")/2)+COUNTIF(H8:H21,"M")+COUNTIF(H8:H21,"Rec")+(COUNTIF(H8:H21,"Drec")/2)+COUNTIF(H8:H21,"F")+(COUNTIF(H8:H21,"EM")+(COUNTIF(H8:H21,"DEM")/2))))</totalsRowFormula>
    </tableColumn>
    <tableColumn id="8" xr3:uid="{468D1049-156B-C341-90D8-5768AB016798}" name="7" totalsRowFunction="custom" dataDxfId="839" totalsRowDxfId="648">
      <totalsRowFormula>(COUNTIF(I8:I21,"C")+(COUNTIF(I8:I21,"CS")+COUNTIF(I8:I21,"RTT")+(COUNTIF(I8:I21,"DRTT")/2)+COUNTIF(I8:I21,"M")+COUNTIF(I8:I21,"Rec")+(COUNTIF(I8:I21,"Drec")/2)+COUNTIF(I8:I21,"F")+(COUNTIF(I8:I21,"EM")+(COUNTIF(I8:I21,"DEM")/2))))</totalsRowFormula>
    </tableColumn>
    <tableColumn id="9" xr3:uid="{F423DCA3-59F1-0945-9EC9-40E72B1A919D}" name="8" totalsRowFunction="custom" dataDxfId="838" totalsRowDxfId="647">
      <totalsRowFormula>(COUNTIF(J8:J21,"C")+(COUNTIF(J8:J21,"CS")+COUNTIF(J8:J21,"RTT")+(COUNTIF(J8:J21,"DRTT")/2)+COUNTIF(J8:J21,"M")+COUNTIF(J8:J21,"Rec")+(COUNTIF(J8:J21,"Drec")/2)+COUNTIF(J8:J21,"F")+(COUNTIF(J8:J21,"EM")+(COUNTIF(J8:J21,"DEM")/2))))</totalsRowFormula>
    </tableColumn>
    <tableColumn id="10" xr3:uid="{0AF5A35B-5E2C-8949-A869-76FEAB045897}" name="9" totalsRowFunction="custom" dataDxfId="837" totalsRowDxfId="646">
      <totalsRowFormula>(COUNTIF(K8:K21,"C")+(COUNTIF(K8:K21,"CS")+COUNTIF(K8:K21,"RTT")+(COUNTIF(K8:K21,"DRTT")/2)+COUNTIF(K8:K21,"M")+COUNTIF(K8:K21,"Rec")+(COUNTIF(K8:K21,"Drec")/2)+COUNTIF(K8:K21,"F")+(COUNTIF(K8:K21,"EM")+(COUNTIF(K8:K21,"DEM")/2))))</totalsRowFormula>
    </tableColumn>
    <tableColumn id="11" xr3:uid="{79150F77-02AC-B644-9895-06DF3AE0393B}" name="10" totalsRowFunction="custom" dataDxfId="836" totalsRowDxfId="645">
      <totalsRowFormula>(COUNTIF(L8:L21,"C")+(COUNTIF(L8:L21,"CS")+COUNTIF(L8:L21,"RTT")+(COUNTIF(L8:L21,"DRTT")/2)+COUNTIF(L8:L21,"M")+COUNTIF(L8:L21,"Rec")+(COUNTIF(L8:L21,"Drec")/2)+COUNTIF(L8:L21,"F")+(COUNTIF(L8:L21,"EM")+(COUNTIF(L8:L21,"DEM")/2))))</totalsRowFormula>
    </tableColumn>
    <tableColumn id="12" xr3:uid="{5AF31E44-6EB7-6B4A-91CE-37020EA2ECD4}" name="11" totalsRowFunction="custom" dataDxfId="835" totalsRowDxfId="644">
      <totalsRowFormula>(COUNTIF(M8:M21,"C")+(COUNTIF(M8:M21,"CS")+COUNTIF(M8:M21,"RTT")+(COUNTIF(M8:M21,"DRTT")/2)+COUNTIF(M8:M21,"M")+COUNTIF(M8:M21,"Rec")+(COUNTIF(M8:M21,"Drec")/2)+COUNTIF(M8:M21,"F")+(COUNTIF(M8:M21,"EM")+(COUNTIF(M8:M21,"DEM")/2))))</totalsRowFormula>
    </tableColumn>
    <tableColumn id="13" xr3:uid="{713EC086-7F31-6F4A-8152-CA6E566E6899}" name="12" totalsRowFunction="custom" dataDxfId="834" totalsRowDxfId="643">
      <totalsRowFormula>(COUNTIF(N8:N21,"C")+(COUNTIF(N8:N21,"CS")+COUNTIF(N8:N21,"RTT")+(COUNTIF(N8:N21,"DRTT")/2)+COUNTIF(N8:N21,"M")+COUNTIF(N8:N21,"Rec")+(COUNTIF(N8:N21,"Drec")/2)+COUNTIF(N8:N21,"F")+(COUNTIF(N8:N21,"EM")+(COUNTIF(N8:N21,"DEM")/2))))</totalsRowFormula>
    </tableColumn>
    <tableColumn id="14" xr3:uid="{0F061BA7-78C1-BB41-8F1F-794CF92C61D0}" name="13" totalsRowFunction="custom" dataDxfId="833" totalsRowDxfId="642">
      <totalsRowFormula>(COUNTIF(O8:O21,"C")+(COUNTIF(O8:O21,"CS")+COUNTIF(O8:O21,"RTT")+(COUNTIF(O8:O21,"DRTT")/2)+COUNTIF(O8:O21,"M")+COUNTIF(O8:O21,"Rec")+(COUNTIF(O8:O21,"Drec")/2)+COUNTIF(O8:O21,"F")+(COUNTIF(O8:O21,"EM")+(COUNTIF(O8:O21,"DEM")/2))))</totalsRowFormula>
    </tableColumn>
    <tableColumn id="15" xr3:uid="{01B0419B-690E-5C4F-9B9B-F763703F6CF3}" name="14" totalsRowFunction="custom" dataDxfId="832" totalsRowDxfId="641">
      <totalsRowFormula>(COUNTIF(P8:P21,"C")+(COUNTIF(P8:P21,"CS")+COUNTIF(P8:P21,"RTT")+(COUNTIF(P8:P21,"DRTT")/2)+COUNTIF(P8:P21,"M")+COUNTIF(P8:P21,"Rec")+(COUNTIF(P8:P21,"Drec")/2)+COUNTIF(P8:P21,"F")+(COUNTIF(P8:P21,"EM")+(COUNTIF(P8:P21,"DEM")/2))))</totalsRowFormula>
    </tableColumn>
    <tableColumn id="16" xr3:uid="{7FAFBDE6-1311-A543-959D-8ED6B0BEDFBF}" name="15" totalsRowFunction="custom" dataDxfId="831" totalsRowDxfId="640">
      <totalsRowFormula>(COUNTIF(Q8:Q21,"C")+(COUNTIF(Q8:Q21,"CS")+COUNTIF(Q8:Q21,"RTT")+(COUNTIF(Q8:Q21,"DRTT")/2)+COUNTIF(Q8:Q21,"M")+COUNTIF(Q8:Q21,"Rec")+(COUNTIF(Q8:Q21,"Drec")/2)+COUNTIF(Q8:Q21,"F")+(COUNTIF(Q8:Q21,"EM")+(COUNTIF(Q8:Q21,"DEM")/2))))</totalsRowFormula>
    </tableColumn>
    <tableColumn id="17" xr3:uid="{B23E18A9-6979-1941-924A-0BB911A8FEE2}" name="16" totalsRowFunction="custom" dataDxfId="830" totalsRowDxfId="639">
      <totalsRowFormula>(COUNTIF(R8:R21,"C")+(COUNTIF(R8:R21,"CS")+COUNTIF(R8:R21,"RTT")+(COUNTIF(R8:R21,"DRTT")/2)+COUNTIF(R8:R21,"M")+COUNTIF(R8:R21,"Rec")+(COUNTIF(R8:R21,"Drec")/2)+COUNTIF(R8:R21,"F")+(COUNTIF(R8:R21,"EM")+(COUNTIF(R8:R21,"DEM")/2))))</totalsRowFormula>
    </tableColumn>
    <tableColumn id="18" xr3:uid="{E2857EF3-F764-4A4F-BFCC-A91E2E673CC8}" name="17" totalsRowFunction="custom" dataDxfId="829" totalsRowDxfId="638">
      <totalsRowFormula>(COUNTIF(S8:S21,"C")+(COUNTIF(S8:S21,"CS")+COUNTIF(S8:S21,"RTT")+(COUNTIF(S8:S21,"DRTT")/2)+COUNTIF(S8:S21,"M")+COUNTIF(S8:S21,"Rec")+(COUNTIF(S8:S21,"Drec")/2)+COUNTIF(S8:S21,"F")+(COUNTIF(S8:S21,"EM")+(COUNTIF(S8:S21,"DEM")/2))))</totalsRowFormula>
    </tableColumn>
    <tableColumn id="19" xr3:uid="{A18D6C71-2EF4-8742-9F38-B65FF91E0240}" name="18" totalsRowFunction="custom" dataDxfId="828" totalsRowDxfId="637">
      <totalsRowFormula>(COUNTIF(T8:T21,"C")+(COUNTIF(T8:T21,"CS")+COUNTIF(T8:T21,"RTT")+(COUNTIF(T8:T21,"DRTT")/2)+COUNTIF(T8:T21,"M")+COUNTIF(T8:T21,"Rec")+(COUNTIF(T8:T21,"Drec")/2)+COUNTIF(T8:T21,"F")+(COUNTIF(T8:T21,"EM")+(COUNTIF(T8:T21,"DEM")/2))))</totalsRowFormula>
    </tableColumn>
    <tableColumn id="20" xr3:uid="{2D547765-69B2-B546-99FE-0A47ABB306D9}" name="19" totalsRowFunction="custom" dataDxfId="827" totalsRowDxfId="636">
      <totalsRowFormula>(COUNTIF(U8:U21,"C")+(COUNTIF(U8:U21,"CS")+COUNTIF(U8:U21,"RTT")+(COUNTIF(U8:U21,"DRTT")/2)+COUNTIF(U8:U21,"M")+COUNTIF(U8:U21,"Rec")+(COUNTIF(U8:U21,"Drec")/2)+COUNTIF(U8:U21,"F")+(COUNTIF(U8:U21,"EM")+(COUNTIF(U8:U21,"DEM")/2))))</totalsRowFormula>
    </tableColumn>
    <tableColumn id="21" xr3:uid="{9C332ECD-094E-6142-85BB-DFC4C7BED71A}" name="20" totalsRowFunction="custom" dataDxfId="826" totalsRowDxfId="635">
      <totalsRowFormula>(COUNTIF(V8:V21,"C")+(COUNTIF(V8:V21,"CS")+COUNTIF(V8:V21,"RTT")+(COUNTIF(V8:V21,"DRTT")/2)+COUNTIF(V8:V21,"M")+COUNTIF(V8:V21,"Rec")+(COUNTIF(V8:V21,"Drec")/2)+COUNTIF(V8:V21,"F")+(COUNTIF(V8:V21,"EM")+(COUNTIF(V8:V21,"DEM")/2))))</totalsRowFormula>
    </tableColumn>
    <tableColumn id="22" xr3:uid="{D51A1738-1748-F245-A686-2A5B9C8AD798}" name="21" totalsRowFunction="custom" dataDxfId="825" totalsRowDxfId="634">
      <totalsRowFormula>(COUNTIF(W8:W21,"C")+(COUNTIF(W8:W21,"CS")+COUNTIF(W8:W21,"RTT")+(COUNTIF(W8:W21,"DRTT")/2)+COUNTIF(W8:W21,"M")+COUNTIF(W8:W21,"Rec")+(COUNTIF(W8:W21,"Drec")/2)+COUNTIF(W8:W21,"F")+(COUNTIF(W8:W21,"EM")+(COUNTIF(W8:W21,"DEM")/2))))</totalsRowFormula>
    </tableColumn>
    <tableColumn id="23" xr3:uid="{85850D77-6B6B-E24F-B248-17BDD9FC01E0}" name="22" totalsRowFunction="custom" dataDxfId="824" totalsRowDxfId="633">
      <totalsRowFormula>(COUNTIF(X8:X21,"C")+(COUNTIF(X8:X21,"CS")+COUNTIF(X8:X21,"RTT")+(COUNTIF(X8:X21,"DRTT")/2)+COUNTIF(X8:X21,"M")+COUNTIF(X8:X21,"Rec")+(COUNTIF(X8:X21,"Drec")/2)+COUNTIF(X8:X21,"F")+(COUNTIF(X8:X21,"EM")+(COUNTIF(X8:X21,"DEM")/2))))</totalsRowFormula>
    </tableColumn>
    <tableColumn id="24" xr3:uid="{253969AE-2A5C-7642-959B-64B1878D30EE}" name="23" totalsRowFunction="custom" dataDxfId="823" totalsRowDxfId="632">
      <totalsRowFormula>(COUNTIF(Y8:Y21,"C")+(COUNTIF(Y8:Y21,"CS")+COUNTIF(Y8:Y21,"RTT")+(COUNTIF(Y8:Y21,"DRTT")/2)+COUNTIF(Y8:Y21,"M")+COUNTIF(Y8:Y21,"Rec")+(COUNTIF(Y8:Y21,"Drec")/2)+COUNTIF(Y8:Y21,"F")+(COUNTIF(Y8:Y21,"EM")+(COUNTIF(Y8:Y21,"DEM")/2))))</totalsRowFormula>
    </tableColumn>
    <tableColumn id="25" xr3:uid="{9035E3A0-67E3-7745-BA31-89837246E589}" name="24" totalsRowFunction="custom" dataDxfId="822" totalsRowDxfId="631">
      <totalsRowFormula>(COUNTIF(Z8:Z21,"C")+(COUNTIF(Z8:Z21,"CS")+COUNTIF(Z8:Z21,"RTT")+(COUNTIF(Z8:Z21,"DRTT")/2)+COUNTIF(Z8:Z21,"M")+COUNTIF(Z8:Z21,"Rec")+(COUNTIF(Z8:Z21,"Drec")/2)+COUNTIF(Z8:Z21,"F")+(COUNTIF(Z8:Z21,"EM")+(COUNTIF(Z8:Z21,"DEM")/2))))</totalsRowFormula>
    </tableColumn>
    <tableColumn id="26" xr3:uid="{86C57BA3-1467-5647-9006-F48A9B60F5DA}" name="25" totalsRowFunction="custom" dataDxfId="821" totalsRowDxfId="630">
      <totalsRowFormula>(COUNTIF(AA8:AA21,"C")+(COUNTIF(AA8:AA21,"CS")+COUNTIF(AA8:AA21,"RTT")+(COUNTIF(AA8:AA21,"DRTT")/2)+COUNTIF(AA8:AA21,"M")+COUNTIF(AA8:AA21,"Rec")+(COUNTIF(AA8:AA21,"Drec")/2)+COUNTIF(AA8:AA21,"F")+(COUNTIF(AA8:AA21,"EM")+(COUNTIF(AA8:AA21,"DEM")/2))))</totalsRowFormula>
    </tableColumn>
    <tableColumn id="27" xr3:uid="{5ED74122-915E-B14E-8851-20997BF19E3F}" name="26" totalsRowFunction="custom" dataDxfId="820" totalsRowDxfId="629">
      <totalsRowFormula>(COUNTIF(AB8:AB21,"C")+(COUNTIF(AB8:AB21,"CS")+COUNTIF(AB8:AB21,"RTT")+(COUNTIF(AB8:AB21,"DRTT")/2)+COUNTIF(AB8:AB21,"M")+COUNTIF(AB8:AB21,"Rec")+(COUNTIF(AB8:AB21,"Drec")/2)+COUNTIF(AB8:AB21,"F")+(COUNTIF(AB8:AB21,"EM")+(COUNTIF(AB8:AB21,"DEM")/2))))</totalsRowFormula>
    </tableColumn>
    <tableColumn id="28" xr3:uid="{C96FF169-EB3D-334E-8E50-A3A207183E77}" name="27" totalsRowFunction="custom" dataDxfId="819" totalsRowDxfId="628">
      <totalsRowFormula>(COUNTIF(AC8:AC21,"C")+(COUNTIF(AC8:AC21,"CS")+COUNTIF(AC8:AC21,"RTT")+(COUNTIF(AC8:AC21,"DRTT")/2)+COUNTIF(AC8:AC21,"M")+COUNTIF(AC8:AC21,"Rec")+(COUNTIF(AC8:AC21,"Drec")/2)+COUNTIF(AC8:AC21,"F")+(COUNTIF(AC8:AC21,"EM")+(COUNTIF(AC8:AC21,"DEM")/2))))</totalsRowFormula>
    </tableColumn>
    <tableColumn id="29" xr3:uid="{DF27EE4C-04BE-4548-B871-12F441B706B7}" name="28" totalsRowFunction="custom" dataDxfId="818" totalsRowDxfId="627">
      <totalsRowFormula>(COUNTIF(AD8:AD21,"C")+(COUNTIF(AD8:AD21,"CS")+COUNTIF(AD8:AD21,"RTT")+(COUNTIF(AD8:AD21,"DRTT")/2)+COUNTIF(AD8:AD21,"M")+COUNTIF(AD8:AD21,"Rec")+(COUNTIF(AD8:AD21,"Drec")/2)+COUNTIF(AD8:AD21,"F")+(COUNTIF(AD8:AD21,"EM")+(COUNTIF(AD8:AD21,"DEM")/2))))</totalsRowFormula>
    </tableColumn>
    <tableColumn id="30" xr3:uid="{419421EA-4206-F446-AFA7-3E3831AAD962}" name="29" totalsRowFunction="custom" dataDxfId="817" totalsRowDxfId="626">
      <totalsRowFormula>(COUNTIF(AE8:AE21,"C")+(COUNTIF(AE8:AE21,"CS")+COUNTIF(AE8:AE21,"RTT")+(COUNTIF(AE8:AE21,"DRTT")/2)+COUNTIF(AE8:AE21,"M")+COUNTIF(AE8:AE21,"Rec")+(COUNTIF(AE8:AE21,"Drec")/2)+COUNTIF(AE8:AE21,"F")+(COUNTIF(AE8:AE21,"EM")+(COUNTIF(AE8:AE21,"DEM")/2))))</totalsRowFormula>
    </tableColumn>
    <tableColumn id="31" xr3:uid="{BC68C66D-CC14-E741-AA68-1084E12A1572}" name="30" totalsRowFunction="custom" dataDxfId="816" totalsRowDxfId="625">
      <totalsRowFormula>(COUNTIF(AF8:AF21,"C")+(COUNTIF(AF8:AF21,"CS")+COUNTIF(AF8:AF21,"RTT")+(COUNTIF(AF8:AF21,"DRTT")/2)+COUNTIF(AF8:AF21,"M")+COUNTIF(AF8:AF21,"Rec")+(COUNTIF(AF8:AF21,"Drec")/2)+COUNTIF(AF8:AF21,"F")+(COUNTIF(AF8:AF21,"EM")+(COUNTIF(AF8:AF21,"DEM")/2))))</totalsRowFormula>
    </tableColumn>
    <tableColumn id="32" xr3:uid="{FA6EA7DF-2522-D042-8FA1-E14926ADC358}" name="31" totalsRowFunction="custom" dataDxfId="815" totalsRowDxfId="624">
      <totalsRowFormula>(COUNTIF(AG8:AG21,"C")+(COUNTIF(AG8:AG21,"CS")+COUNTIF(AG8:AG21,"RTT")+(COUNTIF(AG8:AG21,"DRTT")/2)+COUNTIF(AG8:AG21,"M")+COUNTIF(AG8:AG21,"Rec")+(COUNTIF(AG8:AG21,"Drec")/2)+COUNTIF(AG8:AG21,"F")+(COUNTIF(AG8:AG21,"EM")+(COUNTIF(AG8:AG21,"DEM")/2))))</totalsRowFormula>
    </tableColumn>
    <tableColumn id="33" xr3:uid="{4DC122E4-5CF9-F846-B26B-880D0A3CE6A5}" name="Total absence" totalsRowFunction="sum" dataDxfId="814" totalsRowDxfId="623" dataCellStyle="Total">
      <calculatedColumnFormula>(COUNTIF(C8:AG8,"C")+(COUNTIF(C8:AG8,"EM")+COUNTIF(C8:AG8,"RTT")+COUNTIF(C8:AG8,"M")+COUNTIF(C8:AG8,"Rec")+COUNTIF(C8:AG8,"F")+COUNTIF(C8:AG8,"TT"-1)+COUNTIF(C8:AG8,"CS")+COUNTIF(C8:AG8,"PE"-1)+COUNTIF(C8:AG8,"DRTT")/2)+COUNTIF(C8:AG8,"DREC")/2)+COUNTIF(C8:AG8,"DEM")/2</calculatedColumnFormula>
    </tableColumn>
    <tableColumn id="34" xr3:uid="{283E8AE8-4A34-E742-AD40-E33370680750}" name="Dont RTT" totalsRowFunction="sum" dataDxfId="813" totalsRowDxfId="622" dataCellStyle="Total">
      <calculatedColumnFormula>COUNTIF(C8:AG8,"RTT")+COUNTIF(C8:AG8,"DRTT")/2</calculatedColumnFormula>
    </tableColumn>
    <tableColumn id="36" xr3:uid="{7124FA95-F5D9-DE4A-AFCC-FF68B22650BF}" name="Dont MALADIE" totalsRowFunction="sum" dataDxfId="812" totalsRowDxfId="621" dataCellStyle="Total"/>
    <tableColumn id="35" xr3:uid="{F9DA2C02-EF91-414D-9FDD-64982F1DBB5A}" name="Solde RTT disponible au 01/11/2021" totalsRowDxfId="620">
      <calculatedColumnFormula>Mars!AK8-Mai[[#This Row],[Dont RTT]]+2</calculatedColumnFormula>
    </tableColumn>
    <tableColumn id="37" xr3:uid="{9A53B619-1D3D-0945-AFC7-52D0C25D7B14}" name="Commentaires" totalsRowDxfId="619"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535FEEC-350F-E448-910B-ED2859B14273}" name="Novembre" displayName="Novembre" ref="B7:AL22" totalsRowCount="1" headerRowDxfId="811" totalsRowDxfId="810">
  <tableColumns count="37">
    <tableColumn id="1" xr3:uid="{47AE9E53-8A5C-FC49-9C2D-F6A48E665610}" name="Nom de l’employé" totalsRowFunction="custom" dataDxfId="809" totalsRowDxfId="692" dataCellStyle="Employé">
      <totalsRowFormula>NomMois&amp;" Total"</totalsRowFormula>
    </tableColumn>
    <tableColumn id="2" xr3:uid="{BC4818C5-9E0B-9041-90F1-A79BBC54701C}" name="1" totalsRowFunction="custom" dataDxfId="808" totalsRowDxfId="691">
      <totalsRowFormula>(COUNTIF(C8:C21,"C")+(COUNTIF(C8:C21,"CS")+COUNTIF(C8:C21,"RTT")+(COUNTIF(C8:C21,"DRTT")/2)+COUNTIF(C8:C21,"M")+COUNTIF(C8:C21,"Rec")+(COUNTIF(C8:C21,"Drec")/2)+COUNTIF(C8:C21,"F")+(COUNTIF(C8:C21,"EM")+(COUNTIF(C8:C21,"DEM")/2))))</totalsRowFormula>
    </tableColumn>
    <tableColumn id="3" xr3:uid="{196B6891-A74C-B748-AC2F-5665914717F0}" name="2" totalsRowFunction="custom" dataDxfId="807" totalsRowDxfId="690">
      <totalsRowFormula>(COUNTIF(D8:D21,"C")+(COUNTIF(D8:D21,"CS")+COUNTIF(D8:D21,"RTT")+(COUNTIF(D8:D21,"DRTT")/2)+COUNTIF(D8:D21,"M")+COUNTIF(D8:D21,"Rec")+(COUNTIF(D8:D21,"Drec")/2)+COUNTIF(D8:D21,"F")+(COUNTIF(D8:D21,"EM")+(COUNTIF(D8:D21,"DEM")/2))))</totalsRowFormula>
    </tableColumn>
    <tableColumn id="4" xr3:uid="{30986085-4A0F-ED47-A9E8-5DBC18D13D17}" name="3" totalsRowFunction="custom" dataDxfId="806" totalsRowDxfId="689">
      <totalsRowFormula>(COUNTIF(E8:E21,"C")+(COUNTIF(E8:E21,"CS")+COUNTIF(E8:E21,"RTT")+(COUNTIF(E8:E21,"DRTT")/2)+COUNTIF(E8:E21,"M")+COUNTIF(E8:E21,"Rec")+(COUNTIF(E8:E21,"Drec")/2)+COUNTIF(E8:E21,"F")+(COUNTIF(E8:E21,"EM")+(COUNTIF(E8:E21,"DEM")/2))))</totalsRowFormula>
    </tableColumn>
    <tableColumn id="5" xr3:uid="{DDCCD7DC-6FBF-FE4D-9924-D699B8867F34}" name="4" totalsRowFunction="custom" dataDxfId="805" totalsRowDxfId="688">
      <totalsRowFormula>(COUNTIF(F8:F21,"C")+(COUNTIF(F8:F21,"CS")+COUNTIF(F8:F21,"RTT")+(COUNTIF(F8:F21,"DRTT")/2)+COUNTIF(F8:F21,"M")+COUNTIF(F8:F21,"Rec")+(COUNTIF(F8:F21,"Drec")/2)+COUNTIF(F8:F21,"F")+(COUNTIF(F8:F21,"EM")+(COUNTIF(F8:F21,"DEM")/2))))</totalsRowFormula>
    </tableColumn>
    <tableColumn id="6" xr3:uid="{B749F70D-DF46-A746-9D76-453F1DFAE559}" name="5" totalsRowFunction="custom" dataDxfId="804" totalsRowDxfId="687">
      <totalsRowFormula>(COUNTIF(G8:G21,"C")+(COUNTIF(G8:G21,"CS")+COUNTIF(G8:G21,"RTT")+(COUNTIF(G8:G21,"DRTT")/2)+COUNTIF(G8:G21,"M")+COUNTIF(G8:G21,"Rec")+(COUNTIF(G8:G21,"Drec")/2)+COUNTIF(G8:G21,"F")+(COUNTIF(G8:G21,"EM")+(COUNTIF(G8:G21,"DEM")/2))))</totalsRowFormula>
    </tableColumn>
    <tableColumn id="7" xr3:uid="{58EAD834-831A-7148-BFD3-2343544116E0}" name="6" totalsRowFunction="custom" dataDxfId="803" totalsRowDxfId="686">
      <totalsRowFormula>(COUNTIF(H8:H21,"C")+(COUNTIF(H8:H21,"CS")+COUNTIF(H8:H21,"RTT")+(COUNTIF(H8:H21,"DRTT")/2)+COUNTIF(H8:H21,"M")+COUNTIF(H8:H21,"Rec")+(COUNTIF(H8:H21,"Drec")/2)+COUNTIF(H8:H21,"F")+(COUNTIF(H8:H21,"EM")+(COUNTIF(H8:H21,"DEM")/2))))</totalsRowFormula>
    </tableColumn>
    <tableColumn id="8" xr3:uid="{FE4626BA-515D-2747-A601-FD4E54776A48}" name="7" totalsRowFunction="custom" dataDxfId="802" totalsRowDxfId="685">
      <totalsRowFormula>(COUNTIF(I8:I21,"C")+(COUNTIF(I8:I21,"CS")+COUNTIF(I8:I21,"RTT")+(COUNTIF(I8:I21,"DRTT")/2)+COUNTIF(I8:I21,"M")+COUNTIF(I8:I21,"Rec")+(COUNTIF(I8:I21,"Drec")/2)+COUNTIF(I8:I21,"F")+(COUNTIF(I8:I21,"EM")+(COUNTIF(I8:I21,"DEM")/2))))</totalsRowFormula>
    </tableColumn>
    <tableColumn id="9" xr3:uid="{81973152-BF09-B44A-BD8A-A9BF0DB32EFF}" name="8" totalsRowFunction="custom" dataDxfId="801" totalsRowDxfId="684">
      <totalsRowFormula>(COUNTIF(J8:J21,"C")+(COUNTIF(J8:J21,"CS")+COUNTIF(J8:J21,"RTT")+(COUNTIF(J8:J21,"DRTT")/2)+COUNTIF(J8:J21,"M")+COUNTIF(J8:J21,"Rec")+(COUNTIF(J8:J21,"Drec")/2)+COUNTIF(J8:J21,"F")+(COUNTIF(J8:J21,"EM")+(COUNTIF(J8:J21,"DEM")/2))))</totalsRowFormula>
    </tableColumn>
    <tableColumn id="10" xr3:uid="{C2574D8D-67A9-EB4E-8387-21387E45F2AB}" name="9" totalsRowFunction="custom" dataDxfId="800" totalsRowDxfId="683">
      <totalsRowFormula>(COUNTIF(K8:K21,"C")+(COUNTIF(K8:K21,"CS")+COUNTIF(K8:K21,"RTT")+(COUNTIF(K8:K21,"DRTT")/2)+COUNTIF(K8:K21,"M")+COUNTIF(K8:K21,"Rec")+(COUNTIF(K8:K21,"Drec")/2)+COUNTIF(K8:K21,"F")+(COUNTIF(K8:K21,"EM")+(COUNTIF(K8:K21,"DEM")/2))))</totalsRowFormula>
    </tableColumn>
    <tableColumn id="11" xr3:uid="{55D76CCF-5075-4D48-A9C7-19C1C9F9BF0B}" name="10" totalsRowFunction="custom" dataDxfId="799" totalsRowDxfId="682">
      <totalsRowFormula>(COUNTIF(L8:L21,"C")+(COUNTIF(L8:L21,"CS")+COUNTIF(L8:L21,"RTT")+(COUNTIF(L8:L21,"DRTT")/2)+COUNTIF(L8:L21,"M")+COUNTIF(L8:L21,"Rec")+(COUNTIF(L8:L21,"Drec")/2)+COUNTIF(L8:L21,"F")+(COUNTIF(L8:L21,"EM")+(COUNTIF(L8:L21,"DEM")/2))))</totalsRowFormula>
    </tableColumn>
    <tableColumn id="12" xr3:uid="{ECFBB34D-0E3F-B646-A55B-2529A5C291DD}" name="11" totalsRowFunction="custom" dataDxfId="798" totalsRowDxfId="681">
      <totalsRowFormula>(COUNTIF(M8:M21,"C")+(COUNTIF(M8:M21,"CS")+COUNTIF(M8:M21,"RTT")+(COUNTIF(M8:M21,"DRTT")/2)+COUNTIF(M8:M21,"M")+COUNTIF(M8:M21,"Rec")+(COUNTIF(M8:M21,"Drec")/2)+COUNTIF(M8:M21,"F")+(COUNTIF(M8:M21,"EM")+(COUNTIF(M8:M21,"DEM")/2))))</totalsRowFormula>
    </tableColumn>
    <tableColumn id="13" xr3:uid="{616DF16E-9A0F-DF41-B8CB-2874EB39F220}" name="12" totalsRowFunction="custom" dataDxfId="797" totalsRowDxfId="680">
      <totalsRowFormula>(COUNTIF(N8:N21,"C")+(COUNTIF(N8:N21,"CS")+COUNTIF(N8:N21,"RTT")+(COUNTIF(N8:N21,"DRTT")/2)+COUNTIF(N8:N21,"M")+COUNTIF(N8:N21,"Rec")+(COUNTIF(N8:N21,"Drec")/2)+COUNTIF(N8:N21,"F")+(COUNTIF(N8:N21,"EM")+(COUNTIF(N8:N21,"DEM")/2))))</totalsRowFormula>
    </tableColumn>
    <tableColumn id="14" xr3:uid="{961ACE5F-28F1-2F4F-BF04-9E8EAAA0E876}" name="13" totalsRowFunction="custom" dataDxfId="796" totalsRowDxfId="679">
      <totalsRowFormula>(COUNTIF(O8:O21,"C")+(COUNTIF(O8:O21,"CS")+COUNTIF(O8:O21,"RTT")+(COUNTIF(O8:O21,"DRTT")/2)+COUNTIF(O8:O21,"M")+COUNTIF(O8:O21,"Rec")+(COUNTIF(O8:O21,"Drec")/2)+COUNTIF(O8:O21,"F")+(COUNTIF(O8:O21,"EM")+(COUNTIF(O8:O21,"DEM")/2))))</totalsRowFormula>
    </tableColumn>
    <tableColumn id="15" xr3:uid="{41C4349A-1959-604A-A7C4-9F6CBEDBF293}" name="14" totalsRowFunction="custom" dataDxfId="795" totalsRowDxfId="678">
      <totalsRowFormula>(COUNTIF(P8:P21,"C")+(COUNTIF(P8:P21,"CS")+COUNTIF(P8:P21,"RTT")+(COUNTIF(P8:P21,"DRTT")/2)+COUNTIF(P8:P21,"M")+COUNTIF(P8:P21,"Rec")+(COUNTIF(P8:P21,"Drec")/2)+COUNTIF(P8:P21,"F")+(COUNTIF(P8:P21,"EM")+(COUNTIF(P8:P21,"DEM")/2))))</totalsRowFormula>
    </tableColumn>
    <tableColumn id="16" xr3:uid="{9BBEC06D-5D97-D24E-B3F3-29FCEDC118E9}" name="15" totalsRowFunction="custom" dataDxfId="794" totalsRowDxfId="677">
      <totalsRowFormula>(COUNTIF(Q8:Q21,"C")+(COUNTIF(Q8:Q21,"CS")+COUNTIF(Q8:Q21,"RTT")+(COUNTIF(Q8:Q21,"DRTT")/2)+COUNTIF(Q8:Q21,"M")+COUNTIF(Q8:Q21,"Rec")+(COUNTIF(Q8:Q21,"Drec")/2)+COUNTIF(Q8:Q21,"F")+(COUNTIF(Q8:Q21,"EM")+(COUNTIF(Q8:Q21,"DEM")/2))))</totalsRowFormula>
    </tableColumn>
    <tableColumn id="17" xr3:uid="{B2472A9D-3067-AF49-B3F8-3371871D9158}" name="16" totalsRowFunction="custom" dataDxfId="793" totalsRowDxfId="676">
      <totalsRowFormula>(COUNTIF(R8:R21,"C")+(COUNTIF(R8:R21,"CS")+COUNTIF(R8:R21,"RTT")+(COUNTIF(R8:R21,"DRTT")/2)+COUNTIF(R8:R21,"M")+COUNTIF(R8:R21,"Rec")+(COUNTIF(R8:R21,"Drec")/2)+COUNTIF(R8:R21,"F")+(COUNTIF(R8:R21,"EM")+(COUNTIF(R8:R21,"DEM")/2))))</totalsRowFormula>
    </tableColumn>
    <tableColumn id="18" xr3:uid="{4F4AA044-2B79-984C-8B82-34B44C9740FB}" name="17" totalsRowFunction="custom" dataDxfId="792" totalsRowDxfId="675">
      <totalsRowFormula>(COUNTIF(S8:S21,"C")+(COUNTIF(S8:S21,"CS")+COUNTIF(S8:S21,"RTT")+(COUNTIF(S8:S21,"DRTT")/2)+COUNTIF(S8:S21,"M")+COUNTIF(S8:S21,"Rec")+(COUNTIF(S8:S21,"Drec")/2)+COUNTIF(S8:S21,"F")+(COUNTIF(S8:S21,"EM")+(COUNTIF(S8:S21,"DEM")/2))))</totalsRowFormula>
    </tableColumn>
    <tableColumn id="19" xr3:uid="{531A2C31-5B11-D242-B28D-5FE900276CC4}" name="18" totalsRowFunction="custom" dataDxfId="791" totalsRowDxfId="674">
      <totalsRowFormula>(COUNTIF(T8:T21,"C")+(COUNTIF(T8:T21,"CS")+COUNTIF(T8:T21,"RTT")+(COUNTIF(T8:T21,"DRTT")/2)+COUNTIF(T8:T21,"M")+COUNTIF(T8:T21,"Rec")+(COUNTIF(T8:T21,"Drec")/2)+COUNTIF(T8:T21,"F")+(COUNTIF(T8:T21,"EM")+(COUNTIF(T8:T21,"DEM")/2))))</totalsRowFormula>
    </tableColumn>
    <tableColumn id="20" xr3:uid="{5D6EE488-2C02-8B44-BF33-2B62EE0F7800}" name="19" totalsRowFunction="custom" dataDxfId="790" totalsRowDxfId="673">
      <totalsRowFormula>(COUNTIF(U8:U21,"C")+(COUNTIF(U8:U21,"CS")+COUNTIF(U8:U21,"RTT")+(COUNTIF(U8:U21,"DRTT")/2)+COUNTIF(U8:U21,"M")+COUNTIF(U8:U21,"Rec")+(COUNTIF(U8:U21,"Drec")/2)+COUNTIF(U8:U21,"F")+(COUNTIF(U8:U21,"EM")+(COUNTIF(U8:U21,"DEM")/2))))</totalsRowFormula>
    </tableColumn>
    <tableColumn id="21" xr3:uid="{69FA8B3B-0D71-9B41-87BA-5C714B7EBF7B}" name="20" totalsRowFunction="custom" dataDxfId="789" totalsRowDxfId="672">
      <totalsRowFormula>(COUNTIF(V8:V21,"C")+(COUNTIF(V8:V21,"CS")+COUNTIF(V8:V21,"RTT")+(COUNTIF(V8:V21,"DRTT")/2)+COUNTIF(V8:V21,"M")+COUNTIF(V8:V21,"Rec")+(COUNTIF(V8:V21,"Drec")/2)+COUNTIF(V8:V21,"F")+(COUNTIF(V8:V21,"EM")+(COUNTIF(V8:V21,"DEM")/2))))</totalsRowFormula>
    </tableColumn>
    <tableColumn id="22" xr3:uid="{83F1AE5E-92D1-D941-AAF7-8B4252D38AE6}" name="21" totalsRowFunction="custom" dataDxfId="788" totalsRowDxfId="671">
      <totalsRowFormula>(COUNTIF(W8:W21,"C")+(COUNTIF(W8:W21,"CS")+COUNTIF(W8:W21,"RTT")+(COUNTIF(W8:W21,"DRTT")/2)+COUNTIF(W8:W21,"M")+COUNTIF(W8:W21,"Rec")+(COUNTIF(W8:W21,"Drec")/2)+COUNTIF(W8:W21,"F")+(COUNTIF(W8:W21,"EM")+(COUNTIF(W8:W21,"DEM")/2))))</totalsRowFormula>
    </tableColumn>
    <tableColumn id="23" xr3:uid="{D053C945-6B92-9645-90DE-4BBC75C95EA9}" name="22" totalsRowFunction="custom" dataDxfId="787" totalsRowDxfId="670">
      <totalsRowFormula>(COUNTIF(X8:X21,"C")+(COUNTIF(X8:X21,"CS")+COUNTIF(X8:X21,"RTT")+(COUNTIF(X8:X21,"DRTT")/2)+COUNTIF(X8:X21,"M")+COUNTIF(X8:X21,"Rec")+(COUNTIF(X8:X21,"Drec")/2)+COUNTIF(X8:X21,"F")+(COUNTIF(X8:X21,"EM")+(COUNTIF(X8:X21,"DEM")/2))))</totalsRowFormula>
    </tableColumn>
    <tableColumn id="24" xr3:uid="{F32FBD8D-07B7-E944-BCF7-52AE4CBAD3A7}" name="23" totalsRowFunction="custom" dataDxfId="786" totalsRowDxfId="669">
      <totalsRowFormula>(COUNTIF(Y8:Y21,"C")+(COUNTIF(Y8:Y21,"CS")+COUNTIF(Y8:Y21,"RTT")+(COUNTIF(Y8:Y21,"DRTT")/2)+COUNTIF(Y8:Y21,"M")+COUNTIF(Y8:Y21,"Rec")+(COUNTIF(Y8:Y21,"Drec")/2)+COUNTIF(Y8:Y21,"F")+(COUNTIF(Y8:Y21,"EM")+(COUNTIF(Y8:Y21,"DEM")/2))))</totalsRowFormula>
    </tableColumn>
    <tableColumn id="25" xr3:uid="{E2DE7ADB-57F2-354B-979E-BDFFEA11DAC4}" name="24" totalsRowFunction="custom" dataDxfId="785" totalsRowDxfId="668">
      <totalsRowFormula>(COUNTIF(Z8:Z21,"C")+(COUNTIF(Z8:Z21,"CS")+COUNTIF(Z8:Z21,"RTT")+(COUNTIF(Z8:Z21,"DRTT")/2)+COUNTIF(Z8:Z21,"M")+COUNTIF(Z8:Z21,"Rec")+(COUNTIF(Z8:Z21,"Drec")/2)+COUNTIF(Z8:Z21,"F")+(COUNTIF(Z8:Z21,"EM")+(COUNTIF(Z8:Z21,"DEM")/2))))</totalsRowFormula>
    </tableColumn>
    <tableColumn id="26" xr3:uid="{AB494624-99DC-8840-9C80-3564E8DCC1EF}" name="25" totalsRowFunction="custom" dataDxfId="784" totalsRowDxfId="667">
      <totalsRowFormula>(COUNTIF(AA8:AA21,"C")+(COUNTIF(AA8:AA21,"CS")+COUNTIF(AA8:AA21,"RTT")+(COUNTIF(AA8:AA21,"DRTT")/2)+COUNTIF(AA8:AA21,"M")+COUNTIF(AA8:AA21,"Rec")+(COUNTIF(AA8:AA21,"Drec")/2)+COUNTIF(AA8:AA21,"F")+(COUNTIF(AA8:AA21,"EM")+(COUNTIF(AA8:AA21,"DEM")/2))))</totalsRowFormula>
    </tableColumn>
    <tableColumn id="27" xr3:uid="{06598672-F09E-8B4B-91E8-1B16F9071D3D}" name="26" totalsRowFunction="custom" dataDxfId="783" totalsRowDxfId="666">
      <totalsRowFormula>(COUNTIF(AB8:AB21,"C")+(COUNTIF(AB8:AB21,"CS")+COUNTIF(AB8:AB21,"RTT")+(COUNTIF(AB8:AB21,"DRTT")/2)+COUNTIF(AB8:AB21,"M")+COUNTIF(AB8:AB21,"Rec")+(COUNTIF(AB8:AB21,"Drec")/2)+COUNTIF(AB8:AB21,"F")+(COUNTIF(AB8:AB21,"EM")+(COUNTIF(AB8:AB21,"DEM")/2))))</totalsRowFormula>
    </tableColumn>
    <tableColumn id="28" xr3:uid="{1CFE22C2-DC84-1B4C-AD41-8F32785D412E}" name="27" totalsRowFunction="custom" dataDxfId="782" totalsRowDxfId="665">
      <totalsRowFormula>(COUNTIF(AC8:AC21,"C")+(COUNTIF(AC8:AC21,"CS")+COUNTIF(AC8:AC21,"RTT")+(COUNTIF(AC8:AC21,"DRTT")/2)+COUNTIF(AC8:AC21,"M")+COUNTIF(AC8:AC21,"Rec")+(COUNTIF(AC8:AC21,"Drec")/2)+COUNTIF(AC8:AC21,"F")+(COUNTIF(AC8:AC21,"EM")+(COUNTIF(AC8:AC21,"DEM")/2))))</totalsRowFormula>
    </tableColumn>
    <tableColumn id="29" xr3:uid="{0045D311-3EA1-F149-9FF4-93879A92A8BC}" name="28" totalsRowFunction="custom" dataDxfId="781" totalsRowDxfId="664">
      <totalsRowFormula>(COUNTIF(AD8:AD21,"C")+(COUNTIF(AD8:AD21,"CS")+COUNTIF(AD8:AD21,"RTT")+(COUNTIF(AD8:AD21,"DRTT")/2)+COUNTIF(AD8:AD21,"M")+COUNTIF(AD8:AD21,"Rec")+(COUNTIF(AD8:AD21,"Drec")/2)+COUNTIF(AD8:AD21,"F")+(COUNTIF(AD8:AD21,"EM")+(COUNTIF(AD8:AD21,"DEM")/2))))</totalsRowFormula>
    </tableColumn>
    <tableColumn id="30" xr3:uid="{5E7664A3-2777-D74D-BFC3-FB2A3C0EC9C1}" name="29" totalsRowFunction="custom" dataDxfId="780" totalsRowDxfId="663">
      <totalsRowFormula>(COUNTIF(AE8:AE21,"C")+(COUNTIF(AE8:AE21,"CS")+COUNTIF(AE8:AE21,"RTT")+(COUNTIF(AE8:AE21,"DRTT")/2)+COUNTIF(AE8:AE21,"M")+COUNTIF(AE8:AE21,"Rec")+(COUNTIF(AE8:AE21,"Drec")/2)+COUNTIF(AE8:AE21,"F")+(COUNTIF(AE8:AE21,"EM")+(COUNTIF(AE8:AE21,"DEM")/2))))</totalsRowFormula>
    </tableColumn>
    <tableColumn id="31" xr3:uid="{661665A7-BE02-504E-8F59-058029B3DDBC}" name="30" totalsRowFunction="custom" dataDxfId="779" totalsRowDxfId="662">
      <totalsRowFormula>(COUNTIF(AF8:AF21,"C")+(COUNTIF(AF8:AF21,"CS")+COUNTIF(AF8:AF21,"RTT")+(COUNTIF(AF8:AF21,"DRTT")/2)+COUNTIF(AF8:AF21,"M")+COUNTIF(AF8:AF21,"Rec")+(COUNTIF(AF8:AF21,"Drec")/2)+COUNTIF(AF8:AF21,"F")+(COUNTIF(AF8:AF21,"EM")+(COUNTIF(AF8:AF21,"DEM")/2))))</totalsRowFormula>
    </tableColumn>
    <tableColumn id="32" xr3:uid="{4F5BE129-811B-5D4E-8439-C12A724CD71E}" name=" " totalsRowFunction="custom" dataDxfId="778" totalsRowDxfId="661">
      <totalsRowFormula>(COUNTIF(AG8:AG21,"C")+(COUNTIF(AG8:AG21,"CS")+COUNTIF(AG8:AG21,"RTT")+(COUNTIF(AG8:AG21,"DRTT")/2)+COUNTIF(AG8:AG21,"M")+COUNTIF(AG8:AG21,"Rec")+(COUNTIF(AG8:AG21,"Drec")/2)+COUNTIF(AG8:AG21,"F")+(COUNTIF(AG8:AG21,"EM")+(COUNTIF(AG8:AG21,"DEM")/2))))</totalsRowFormula>
    </tableColumn>
    <tableColumn id="33" xr3:uid="{27F51899-2998-144A-979E-BBE0699BC0DC}" name="Total absence" totalsRowFunction="sum" dataDxfId="777" totalsRowDxfId="660" dataCellStyle="Total">
      <calculatedColumnFormula>(COUNTIF(C8:AG8,"C")+(COUNTIF(C8:AG8,"EM")+COUNTIF(C8:AG8,"RTT")+COUNTIF(C8:AG8,"M")+COUNTIF(C8:AG8,"Rec")+COUNTIF(C8:AG8,"F")+COUNTIF(C8:AG8,"TT"-1)+COUNTIF(C8:AG8,"CS")+COUNTIF(C8:AG8,"PE"-1)+COUNTIF(C8:AG8,"DRTT")/2)+COUNTIF(C8:AG8,"DREC")/2)+COUNTIF(C8:AG8,"DEM")/2</calculatedColumnFormula>
    </tableColumn>
    <tableColumn id="34" xr3:uid="{5DBB9C7C-2DD9-CC45-A039-2B299FDBFB5C}" name="Dont RTT" totalsRowFunction="sum" dataDxfId="776" totalsRowDxfId="659" dataCellStyle="Total">
      <calculatedColumnFormula>COUNTIF(C8:AG8,"RTT")+COUNTIF(C8:AG8,"DRTT")/2</calculatedColumnFormula>
    </tableColumn>
    <tableColumn id="36" xr3:uid="{028B61D9-7236-AC45-AA78-CC5260EE9AB4}" name="Dont MALADIE" totalsRowFunction="sum" dataDxfId="775" totalsRowDxfId="658" dataCellStyle="Total"/>
    <tableColumn id="35" xr3:uid="{559D8BAD-3D58-7C4A-94C0-E348A75B9110}" name="Solde RTT disponible au 01/12/2021" dataDxfId="774" totalsRowDxfId="657">
      <calculatedColumnFormula>Mars!AK8-Mai[[#This Row],[Dont RTT]]+2</calculatedColumnFormula>
    </tableColumn>
    <tableColumn id="37" xr3:uid="{AD2321E8-EAAB-DD48-966D-66B7D1EE01E2}" name="Commentaires" totalsRowDxfId="65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D67DC8AC-EE4B-F247-9458-E54D9FC35DA8}" name="Décembre" displayName="Décembre" ref="B7:AL22" totalsRowCount="1" headerRowDxfId="773" dataDxfId="772" totalsRowDxfId="771" dataCellStyle="Total">
  <tableColumns count="37">
    <tableColumn id="1" xr3:uid="{4600A43C-3BC7-804C-8032-48BDD1A7E121}" name="Nom de l’employé" totalsRowFunction="custom" dataDxfId="770" totalsRowDxfId="729" dataCellStyle="Employé">
      <totalsRowFormula>NomMois&amp;" Total"</totalsRowFormula>
    </tableColumn>
    <tableColumn id="2" xr3:uid="{38FA8196-CB01-5E48-B58D-2B9F4004A044}" name="1" totalsRowFunction="custom" dataDxfId="769" totalsRowDxfId="728">
      <totalsRowFormula>(COUNTIF(C8:C21,"C")+(COUNTIF(C8:C21,"CS")+COUNTIF(C8:C21,"RTT")+(COUNTIF(C8:C21,"DRTT")/2)+COUNTIF(C8:C21,"M")+COUNTIF(C8:C21,"Rec")+(COUNTIF(C8:C21,"Drec")/2)+COUNTIF(C8:C21,"F")+(COUNTIF(C8:C21,"EM")+(COUNTIF(C8:C21,"DEM")/2))))</totalsRowFormula>
    </tableColumn>
    <tableColumn id="3" xr3:uid="{C7EEA301-5275-134E-AFC1-1FFACBCD05C1}" name="2" totalsRowFunction="custom" dataDxfId="768" totalsRowDxfId="727">
      <totalsRowFormula>(COUNTIF(D8:D21,"C")+(COUNTIF(D8:D21,"CS")+COUNTIF(D8:D21,"RTT")+(COUNTIF(D8:D21,"DRTT")/2)+COUNTIF(D8:D21,"M")+COUNTIF(D8:D21,"Rec")+(COUNTIF(D8:D21,"Drec")/2)+COUNTIF(D8:D21,"F")+(COUNTIF(D8:D21,"EM")+(COUNTIF(D8:D21,"DEM")/2))))</totalsRowFormula>
    </tableColumn>
    <tableColumn id="4" xr3:uid="{B976883C-612F-A543-9A0E-D4ABE11DDDC1}" name="3" totalsRowFunction="custom" dataDxfId="767" totalsRowDxfId="726">
      <totalsRowFormula>(COUNTIF(E8:E21,"C")+(COUNTIF(E8:E21,"CS")+COUNTIF(E8:E21,"RTT")+(COUNTIF(E8:E21,"DRTT")/2)+COUNTIF(E8:E21,"M")+COUNTIF(E8:E21,"Rec")+(COUNTIF(E8:E21,"Drec")/2)+COUNTIF(E8:E21,"F")+(COUNTIF(E8:E21,"EM")+(COUNTIF(E8:E21,"DEM")/2))))</totalsRowFormula>
    </tableColumn>
    <tableColumn id="5" xr3:uid="{55C7AAD5-DAA5-6D44-90F0-BBC9DBC4BC87}" name="4" totalsRowFunction="custom" dataDxfId="766" totalsRowDxfId="725">
      <totalsRowFormula>(COUNTIF(F8:F21,"C")+(COUNTIF(F8:F21,"CS")+COUNTIF(F8:F21,"RTT")+(COUNTIF(F8:F21,"DRTT")/2)+COUNTIF(F8:F21,"M")+COUNTIF(F8:F21,"Rec")+(COUNTIF(F8:F21,"Drec")/2)+COUNTIF(F8:F21,"F")+(COUNTIF(F8:F21,"EM")+(COUNTIF(F8:F21,"DEM")/2))))</totalsRowFormula>
    </tableColumn>
    <tableColumn id="6" xr3:uid="{C029D226-E8D8-7F43-9051-0BF76A847BC5}" name="5" totalsRowFunction="custom" dataDxfId="765" totalsRowDxfId="724">
      <totalsRowFormula>(COUNTIF(G8:G21,"C")+(COUNTIF(G8:G21,"CS")+COUNTIF(G8:G21,"RTT")+(COUNTIF(G8:G21,"DRTT")/2)+COUNTIF(G8:G21,"M")+COUNTIF(G8:G21,"Rec")+(COUNTIF(G8:G21,"Drec")/2)+COUNTIF(G8:G21,"F")+(COUNTIF(G8:G21,"EM")+(COUNTIF(G8:G21,"DEM")/2))))</totalsRowFormula>
    </tableColumn>
    <tableColumn id="7" xr3:uid="{CEC5CA6D-54B0-944E-92B2-22EF03CFA049}" name="6" totalsRowFunction="custom" dataDxfId="764" totalsRowDxfId="723">
      <totalsRowFormula>(COUNTIF(H8:H21,"C")+(COUNTIF(H8:H21,"CS")+COUNTIF(H8:H21,"RTT")+(COUNTIF(H8:H21,"DRTT")/2)+COUNTIF(H8:H21,"M")+COUNTIF(H8:H21,"Rec")+(COUNTIF(H8:H21,"Drec")/2)+COUNTIF(H8:H21,"F")+(COUNTIF(H8:H21,"EM")+(COUNTIF(H8:H21,"DEM")/2))))</totalsRowFormula>
    </tableColumn>
    <tableColumn id="8" xr3:uid="{36D9ACB1-E3FD-D442-AC51-146D6A09B5AE}" name="7" totalsRowFunction="custom" dataDxfId="763" totalsRowDxfId="722">
      <totalsRowFormula>(COUNTIF(I8:I21,"C")+(COUNTIF(I8:I21,"CS")+COUNTIF(I8:I21,"RTT")+(COUNTIF(I8:I21,"DRTT")/2)+COUNTIF(I8:I21,"M")+COUNTIF(I8:I21,"Rec")+(COUNTIF(I8:I21,"Drec")/2)+COUNTIF(I8:I21,"F")+(COUNTIF(I8:I21,"EM")+(COUNTIF(I8:I21,"DEM")/2))))</totalsRowFormula>
    </tableColumn>
    <tableColumn id="9" xr3:uid="{F14CD676-A70C-5F41-8725-38B94E269764}" name="8" totalsRowFunction="custom" dataDxfId="762" totalsRowDxfId="721">
      <totalsRowFormula>(COUNTIF(J8:J21,"C")+(COUNTIF(J8:J21,"CS")+COUNTIF(J8:J21,"RTT")+(COUNTIF(J8:J21,"DRTT")/2)+COUNTIF(J8:J21,"M")+COUNTIF(J8:J21,"Rec")+(COUNTIF(J8:J21,"Drec")/2)+COUNTIF(J8:J21,"F")+(COUNTIF(J8:J21,"EM")+(COUNTIF(J8:J21,"DEM")/2))))</totalsRowFormula>
    </tableColumn>
    <tableColumn id="10" xr3:uid="{61DDB561-505A-9546-83D4-B17F8B358AF0}" name="9" totalsRowFunction="custom" dataDxfId="761" totalsRowDxfId="720">
      <totalsRowFormula>(COUNTIF(K8:K21,"C")+(COUNTIF(K8:K21,"CS")+COUNTIF(K8:K21,"RTT")+(COUNTIF(K8:K21,"DRTT")/2)+COUNTIF(K8:K21,"M")+COUNTIF(K8:K21,"Rec")+(COUNTIF(K8:K21,"Drec")/2)+COUNTIF(K8:K21,"F")+(COUNTIF(K8:K21,"EM")+(COUNTIF(K8:K21,"DEM")/2))))</totalsRowFormula>
    </tableColumn>
    <tableColumn id="11" xr3:uid="{57120CBC-EA3F-F64B-93E4-4E1DED70C331}" name="10" totalsRowFunction="custom" dataDxfId="760" totalsRowDxfId="719">
      <totalsRowFormula>(COUNTIF(L8:L21,"C")+(COUNTIF(L8:L21,"CS")+COUNTIF(L8:L21,"RTT")+(COUNTIF(L8:L21,"DRTT")/2)+COUNTIF(L8:L21,"M")+COUNTIF(L8:L21,"Rec")+(COUNTIF(L8:L21,"Drec")/2)+COUNTIF(L8:L21,"F")+(COUNTIF(L8:L21,"EM")+(COUNTIF(L8:L21,"DEM")/2))))</totalsRowFormula>
    </tableColumn>
    <tableColumn id="12" xr3:uid="{A509FA6B-675A-A843-BCE8-A123694078FD}" name="11" totalsRowFunction="custom" dataDxfId="759" totalsRowDxfId="718">
      <totalsRowFormula>(COUNTIF(M8:M21,"C")+(COUNTIF(M8:M21,"CS")+COUNTIF(M8:M21,"RTT")+(COUNTIF(M8:M21,"DRTT")/2)+COUNTIF(M8:M21,"M")+COUNTIF(M8:M21,"Rec")+(COUNTIF(M8:M21,"Drec")/2)+COUNTIF(M8:M21,"F")+(COUNTIF(M8:M21,"EM")+(COUNTIF(M8:M21,"DEM")/2))))</totalsRowFormula>
    </tableColumn>
    <tableColumn id="13" xr3:uid="{ACA09D42-B26B-A248-89B5-74B25AC0A8B0}" name="12" totalsRowFunction="custom" dataDxfId="758" totalsRowDxfId="717">
      <totalsRowFormula>(COUNTIF(N8:N21,"C")+(COUNTIF(N8:N21,"CS")+COUNTIF(N8:N21,"RTT")+(COUNTIF(N8:N21,"DRTT")/2)+COUNTIF(N8:N21,"M")+COUNTIF(N8:N21,"Rec")+(COUNTIF(N8:N21,"Drec")/2)+COUNTIF(N8:N21,"F")+(COUNTIF(N8:N21,"EM")+(COUNTIF(N8:N21,"DEM")/2))))</totalsRowFormula>
    </tableColumn>
    <tableColumn id="14" xr3:uid="{250087D8-8FD1-9D4A-89C4-9450B4D058D3}" name="13" totalsRowFunction="custom" dataDxfId="757" totalsRowDxfId="716">
      <totalsRowFormula>(COUNTIF(O8:O21,"C")+(COUNTIF(O8:O21,"CS")+COUNTIF(O8:O21,"RTT")+(COUNTIF(O8:O21,"DRTT")/2)+COUNTIF(O8:O21,"M")+COUNTIF(O8:O21,"Rec")+(COUNTIF(O8:O21,"Drec")/2)+COUNTIF(O8:O21,"F")+(COUNTIF(O8:O21,"EM")+(COUNTIF(O8:O21,"DEM")/2))))</totalsRowFormula>
    </tableColumn>
    <tableColumn id="15" xr3:uid="{F8F2F2E0-2DBB-C143-95B3-EF3AA27D39C1}" name="14" totalsRowFunction="custom" dataDxfId="756" totalsRowDxfId="715">
      <totalsRowFormula>(COUNTIF(P8:P21,"C")+(COUNTIF(P8:P21,"CS")+COUNTIF(P8:P21,"RTT")+(COUNTIF(P8:P21,"DRTT")/2)+COUNTIF(P8:P21,"M")+COUNTIF(P8:P21,"Rec")+(COUNTIF(P8:P21,"Drec")/2)+COUNTIF(P8:P21,"F")+(COUNTIF(P8:P21,"EM")+(COUNTIF(P8:P21,"DEM")/2))))</totalsRowFormula>
    </tableColumn>
    <tableColumn id="16" xr3:uid="{CB20F08E-9208-A34C-9792-8716C949E124}" name="15" totalsRowFunction="custom" dataDxfId="755" totalsRowDxfId="714">
      <totalsRowFormula>(COUNTIF(Q8:Q21,"C")+(COUNTIF(Q8:Q21,"CS")+COUNTIF(Q8:Q21,"RTT")+(COUNTIF(Q8:Q21,"DRTT")/2)+COUNTIF(Q8:Q21,"M")+COUNTIF(Q8:Q21,"Rec")+(COUNTIF(Q8:Q21,"Drec")/2)+COUNTIF(Q8:Q21,"F")+(COUNTIF(Q8:Q21,"EM")+(COUNTIF(Q8:Q21,"DEM")/2))))</totalsRowFormula>
    </tableColumn>
    <tableColumn id="17" xr3:uid="{B9F1459A-A249-9349-93CB-2BB33F0ACB65}" name="16" totalsRowFunction="custom" dataDxfId="754" totalsRowDxfId="713">
      <totalsRowFormula>(COUNTIF(R8:R21,"C")+(COUNTIF(R8:R21,"CS")+COUNTIF(R8:R21,"RTT")+(COUNTIF(R8:R21,"DRTT")/2)+COUNTIF(R8:R21,"M")+COUNTIF(R8:R21,"Rec")+(COUNTIF(R8:R21,"Drec")/2)+COUNTIF(R8:R21,"F")+(COUNTIF(R8:R21,"EM")+(COUNTIF(R8:R21,"DEM")/2))))</totalsRowFormula>
    </tableColumn>
    <tableColumn id="18" xr3:uid="{F2EDA756-4433-844B-B82B-45B959CAC1A5}" name="17" totalsRowFunction="custom" dataDxfId="753" totalsRowDxfId="712">
      <totalsRowFormula>(COUNTIF(S8:S21,"C")+(COUNTIF(S8:S21,"CS")+COUNTIF(S8:S21,"RTT")+(COUNTIF(S8:S21,"DRTT")/2)+COUNTIF(S8:S21,"M")+COUNTIF(S8:S21,"Rec")+(COUNTIF(S8:S21,"Drec")/2)+COUNTIF(S8:S21,"F")+(COUNTIF(S8:S21,"EM")+(COUNTIF(S8:S21,"DEM")/2))))</totalsRowFormula>
    </tableColumn>
    <tableColumn id="19" xr3:uid="{6982FA9C-70C4-5541-955C-5FCC9165A7A0}" name="18" totalsRowFunction="custom" dataDxfId="752" totalsRowDxfId="711">
      <totalsRowFormula>(COUNTIF(T8:T21,"C")+(COUNTIF(T8:T21,"CS")+COUNTIF(T8:T21,"RTT")+(COUNTIF(T8:T21,"DRTT")/2)+COUNTIF(T8:T21,"M")+COUNTIF(T8:T21,"Rec")+(COUNTIF(T8:T21,"Drec")/2)+COUNTIF(T8:T21,"F")+(COUNTIF(T8:T21,"EM")+(COUNTIF(T8:T21,"DEM")/2))))</totalsRowFormula>
    </tableColumn>
    <tableColumn id="20" xr3:uid="{0A63E19D-CCE5-194E-B2A1-D17D871E0DCE}" name="19" totalsRowFunction="custom" dataDxfId="751" totalsRowDxfId="710">
      <totalsRowFormula>(COUNTIF(U8:U21,"C")+(COUNTIF(U8:U21,"CS")+COUNTIF(U8:U21,"RTT")+(COUNTIF(U8:U21,"DRTT")/2)+COUNTIF(U8:U21,"M")+COUNTIF(U8:U21,"Rec")+(COUNTIF(U8:U21,"Drec")/2)+COUNTIF(U8:U21,"F")+(COUNTIF(U8:U21,"EM")+(COUNTIF(U8:U21,"DEM")/2))))</totalsRowFormula>
    </tableColumn>
    <tableColumn id="21" xr3:uid="{0D7C3840-2590-5C40-8516-09C7853E5C54}" name="20" totalsRowFunction="custom" dataDxfId="750" totalsRowDxfId="709">
      <totalsRowFormula>(COUNTIF(V8:V21,"C")+(COUNTIF(V8:V21,"CS")+COUNTIF(V8:V21,"RTT")+(COUNTIF(V8:V21,"DRTT")/2)+COUNTIF(V8:V21,"M")+COUNTIF(V8:V21,"Rec")+(COUNTIF(V8:V21,"Drec")/2)+COUNTIF(V8:V21,"F")+(COUNTIF(V8:V21,"EM")+(COUNTIF(V8:V21,"DEM")/2))))</totalsRowFormula>
    </tableColumn>
    <tableColumn id="22" xr3:uid="{A1C959B5-E2E5-6845-9192-CE3BD7147CC7}" name="21" totalsRowFunction="custom" dataDxfId="749" totalsRowDxfId="708">
      <totalsRowFormula>(COUNTIF(W8:W21,"C")+(COUNTIF(W8:W21,"CS")+COUNTIF(W8:W21,"RTT")+(COUNTIF(W8:W21,"DRTT")/2)+COUNTIF(W8:W21,"M")+COUNTIF(W8:W21,"Rec")+(COUNTIF(W8:W21,"Drec")/2)+COUNTIF(W8:W21,"F")+(COUNTIF(W8:W21,"EM")+(COUNTIF(W8:W21,"DEM")/2))))</totalsRowFormula>
    </tableColumn>
    <tableColumn id="23" xr3:uid="{EAE34074-E4F4-1B49-808A-CA7607B908F5}" name="22" totalsRowFunction="custom" dataDxfId="748" totalsRowDxfId="707">
      <totalsRowFormula>(COUNTIF(X8:X21,"C")+(COUNTIF(X8:X21,"CS")+COUNTIF(X8:X21,"RTT")+(COUNTIF(X8:X21,"DRTT")/2)+COUNTIF(X8:X21,"M")+COUNTIF(X8:X21,"Rec")+(COUNTIF(X8:X21,"Drec")/2)+COUNTIF(X8:X21,"F")+(COUNTIF(X8:X21,"EM")+(COUNTIF(X8:X21,"DEM")/2))))</totalsRowFormula>
    </tableColumn>
    <tableColumn id="24" xr3:uid="{80AC6DDA-7986-904B-BF33-B5AF9612A445}" name="23" totalsRowFunction="custom" dataDxfId="747" totalsRowDxfId="706">
      <totalsRowFormula>(COUNTIF(Y8:Y21,"C")+(COUNTIF(Y8:Y21,"CS")+COUNTIF(Y8:Y21,"RTT")+(COUNTIF(Y8:Y21,"DRTT")/2)+COUNTIF(Y8:Y21,"M")+COUNTIF(Y8:Y21,"Rec")+(COUNTIF(Y8:Y21,"Drec")/2)+COUNTIF(Y8:Y21,"F")+(COUNTIF(Y8:Y21,"EM")+(COUNTIF(Y8:Y21,"DEM")/2))))</totalsRowFormula>
    </tableColumn>
    <tableColumn id="25" xr3:uid="{0ED7B2FB-1005-C64D-AA33-442CB4DF6618}" name="24" totalsRowFunction="custom" dataDxfId="746" totalsRowDxfId="705">
      <totalsRowFormula>(COUNTIF(Z8:Z21,"C")+(COUNTIF(Z8:Z21,"CS")+COUNTIF(Z8:Z21,"RTT")+(COUNTIF(Z8:Z21,"DRTT")/2)+COUNTIF(Z8:Z21,"M")+COUNTIF(Z8:Z21,"Rec")+(COUNTIF(Z8:Z21,"Drec")/2)+COUNTIF(Z8:Z21,"F")+(COUNTIF(Z8:Z21,"EM")+(COUNTIF(Z8:Z21,"DEM")/2))))</totalsRowFormula>
    </tableColumn>
    <tableColumn id="26" xr3:uid="{7E61EEE4-26EB-DE4F-A0DC-B4A47A638287}" name="25" totalsRowFunction="custom" dataDxfId="745" totalsRowDxfId="704">
      <totalsRowFormula>(COUNTIF(AA8:AA21,"C")+(COUNTIF(AA8:AA21,"CS")+COUNTIF(AA8:AA21,"RTT")+(COUNTIF(AA8:AA21,"DRTT")/2)+COUNTIF(AA8:AA21,"M")+COUNTIF(AA8:AA21,"Rec")+(COUNTIF(AA8:AA21,"Drec")/2)+COUNTIF(AA8:AA21,"F")+(COUNTIF(AA8:AA21,"EM")+(COUNTIF(AA8:AA21,"DEM")/2))))</totalsRowFormula>
    </tableColumn>
    <tableColumn id="27" xr3:uid="{217996A5-1568-3543-8552-F1D66B780DA1}" name="26" totalsRowFunction="custom" dataDxfId="744" totalsRowDxfId="703">
      <totalsRowFormula>(COUNTIF(AB8:AB21,"C")+(COUNTIF(AB8:AB21,"CS")+COUNTIF(AB8:AB21,"RTT")+(COUNTIF(AB8:AB21,"DRTT")/2)+COUNTIF(AB8:AB21,"M")+COUNTIF(AB8:AB21,"Rec")+(COUNTIF(AB8:AB21,"Drec")/2)+COUNTIF(AB8:AB21,"F")+(COUNTIF(AB8:AB21,"EM")+(COUNTIF(AB8:AB21,"DEM")/2))))</totalsRowFormula>
    </tableColumn>
    <tableColumn id="28" xr3:uid="{6881A46E-3F16-604E-8AB0-22E3EBDED15D}" name="27" totalsRowFunction="custom" dataDxfId="743" totalsRowDxfId="702">
      <totalsRowFormula>(COUNTIF(AC8:AC21,"C")+(COUNTIF(AC8:AC21,"CS")+COUNTIF(AC8:AC21,"RTT")+(COUNTIF(AC8:AC21,"DRTT")/2)+COUNTIF(AC8:AC21,"M")+COUNTIF(AC8:AC21,"Rec")+(COUNTIF(AC8:AC21,"Drec")/2)+COUNTIF(AC8:AC21,"F")+(COUNTIF(AC8:AC21,"EM")+(COUNTIF(AC8:AC21,"DEM")/2))))</totalsRowFormula>
    </tableColumn>
    <tableColumn id="29" xr3:uid="{26DB4E93-6BFB-EA49-AB25-ABBBA397E385}" name="28" totalsRowFunction="custom" dataDxfId="742" totalsRowDxfId="701">
      <totalsRowFormula>(COUNTIF(AD8:AD21,"C")+(COUNTIF(AD8:AD21,"CS")+COUNTIF(AD8:AD21,"RTT")+(COUNTIF(AD8:AD21,"DRTT")/2)+COUNTIF(AD8:AD21,"M")+COUNTIF(AD8:AD21,"Rec")+(COUNTIF(AD8:AD21,"Drec")/2)+COUNTIF(AD8:AD21,"F")+(COUNTIF(AD8:AD21,"EM")+(COUNTIF(AD8:AD21,"DEM")/2))))</totalsRowFormula>
    </tableColumn>
    <tableColumn id="30" xr3:uid="{1BA7B91D-D8CF-AE43-8ADF-210657478EF2}" name="29" totalsRowFunction="custom" dataDxfId="741" totalsRowDxfId="700">
      <totalsRowFormula>(COUNTIF(AE8:AE21,"C")+(COUNTIF(AE8:AE21,"CS")+COUNTIF(AE8:AE21,"RTT")+(COUNTIF(AE8:AE21,"DRTT")/2)+COUNTIF(AE8:AE21,"M")+COUNTIF(AE8:AE21,"Rec")+(COUNTIF(AE8:AE21,"Drec")/2)+COUNTIF(AE8:AE21,"F")+(COUNTIF(AE8:AE21,"EM")+(COUNTIF(AE8:AE21,"DEM")/2))))</totalsRowFormula>
    </tableColumn>
    <tableColumn id="31" xr3:uid="{CDFAD7D2-72BF-7341-9655-F807A7082165}" name="30" totalsRowFunction="custom" dataDxfId="740" totalsRowDxfId="699">
      <totalsRowFormula>(COUNTIF(AF8:AF21,"C")+(COUNTIF(AF8:AF21,"CS")+COUNTIF(AF8:AF21,"RTT")+(COUNTIF(AF8:AF21,"DRTT")/2)+COUNTIF(AF8:AF21,"M")+COUNTIF(AF8:AF21,"Rec")+(COUNTIF(AF8:AF21,"Drec")/2)+COUNTIF(AF8:AF21,"F")+(COUNTIF(AF8:AF21,"EM")+(COUNTIF(AF8:AF21,"DEM")/2))))</totalsRowFormula>
    </tableColumn>
    <tableColumn id="32" xr3:uid="{8D899F68-E1B3-7245-9035-1C51F47E1E66}" name="31" totalsRowFunction="custom" dataDxfId="739" totalsRowDxfId="698">
      <totalsRowFormula>(COUNTIF(AG8:AG21,"C")+(COUNTIF(AG8:AG21,"CS")+COUNTIF(AG8:AG21,"RTT")+(COUNTIF(AG8:AG21,"DRTT")/2)+COUNTIF(AG8:AG21,"M")+COUNTIF(AG8:AG21,"Rec")+(COUNTIF(AG8:AG21,"Drec")/2)+COUNTIF(AG8:AG21,"F")+(COUNTIF(AG8:AG21,"EM")+(COUNTIF(AG8:AG21,"DEM")/2))))</totalsRowFormula>
    </tableColumn>
    <tableColumn id="33" xr3:uid="{8A67251B-9C3C-084D-A72C-511D80EBC705}" name="Total absence" totalsRowFunction="sum" dataDxfId="738" totalsRowDxfId="697" dataCellStyle="Total">
      <calculatedColumnFormula>(COUNTIF(C8:AG8,"C")+(COUNTIF(C8:AG8,"EM")+COUNTIF(C8:AG8,"RTT")+COUNTIF(C8:AG8,"M")+COUNTIF(C8:AG8,"Rec")+COUNTIF(C8:AG8,"F")+COUNTIF(C8:AG8,"TT"-1)+COUNTIF(C8:AG8,"CS")+COUNTIF(C8:AG8,"PE"-1)+COUNTIF(C8:AG8,"DRTT")/2)+COUNTIF(C8:AG8,"DREC")/2)+COUNTIF(C8:AG8,"DEM")/2</calculatedColumnFormula>
    </tableColumn>
    <tableColumn id="34" xr3:uid="{DF0BAFB9-44A1-9341-9562-ACFE96D59546}" name="Dont RTT" totalsRowFunction="sum" dataDxfId="737" totalsRowDxfId="696" dataCellStyle="Total">
      <calculatedColumnFormula>COUNTIF(C8:AG8,"RTT")+COUNTIF(C8:AG8,"DRTT")/2</calculatedColumnFormula>
    </tableColumn>
    <tableColumn id="36" xr3:uid="{0B250DF6-8FFE-5D46-B122-8C5ECB9EED97}" name="Dont MALADIE" totalsRowFunction="sum" dataDxfId="736" totalsRowDxfId="695" dataCellStyle="Total"/>
    <tableColumn id="35" xr3:uid="{C8DC0C30-15F6-604E-AAB1-BA3C7FEB55CA}" name="Solde RTT disponible au 01/01/2022" dataDxfId="735" totalsRowDxfId="694">
      <calculatedColumnFormula>Mars!AK8-Mai[[#This Row],[Dont RTT]]+2</calculatedColumnFormula>
    </tableColumn>
    <tableColumn id="37" xr3:uid="{D088FF7B-F11B-CC4A-8C02-29721EBA6654}" name="Commentaires" dataDxfId="734" totalsRowDxfId="693"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T_Employés" displayName="T_Employés" ref="B3:D7">
  <autoFilter ref="B3:D7" xr:uid="{00000000-0009-0000-0100-00000D000000}"/>
  <sortState ref="B4:B12">
    <sortCondition ref="B3:B12"/>
  </sortState>
  <tableColumns count="3">
    <tableColumn id="1" xr3:uid="{00000000-0010-0000-0C00-000001000000}" name="Noms des employés" totalsRowFunction="count" totalsRowDxfId="733" dataCellStyle="Employé"/>
    <tableColumn id="2" xr3:uid="{3F061EE8-4F4D-0F46-88CF-23D45ED7D2BB}" name="Solde rtt disponible au 1er janvier 2022" totalsRowDxfId="732" dataCellStyle="Employé"/>
    <tableColumn id="3" xr3:uid="{AFDA9075-FCA7-464B-B4C0-8D1125DC0C50}" name="Solde cp disponible au 1er janvier 2021" totalsRowDxfId="731"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530ECEA-5E74-1C4F-982D-1F90265A9A97}" name="T_Types" displayName="T_Types" ref="A4:B18" totalsRowShown="0">
  <autoFilter ref="A4:B18" xr:uid="{53211BAC-524C-DA40-BB07-1B9E9DD4C4F0}"/>
  <tableColumns count="2">
    <tableColumn id="1" xr3:uid="{61995EDA-B6ED-D647-B5DF-5F5566EC7461}" name="Motif"/>
    <tableColumn id="2" xr3:uid="{F9BCB8C5-81DF-7545-A4B0-1B3055C6B9D3}" name="Descriptif"/>
  </tableColumns>
  <tableStyleInfo name="Tableau des absences des employés"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AF687FF-4242-F84E-B2C1-5C644AE668FF}" name="Tableau2" displayName="Tableau2" ref="A1:C13" totalsRowShown="0">
  <autoFilter ref="A1:C13" xr:uid="{D4D2031F-1E89-4F47-8FFB-1E69FF0D4F60}"/>
  <tableColumns count="3">
    <tableColumn id="1" xr3:uid="{1DBC8F6C-601E-E643-A652-074F1F6780A3}" name="Colonne1"/>
    <tableColumn id="2" xr3:uid="{2A475E70-1282-3E49-B035-285F7ACCF3CA}" name="Colonne2"/>
    <tableColumn id="3" xr3:uid="{DF9B2749-D37B-8D48-801B-42EDBDD07E5D}" name="Colonne3" dataDxfId="730"/>
  </tableColumns>
  <tableStyleInfo name="Tableau des absences des employés" showFirstColumn="0" showLastColumn="0" showRowStripes="1" showColumnStripes="0"/>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table" Target="../tables/table14.xml"/></Relationships>
</file>

<file path=xl/worksheets/_rels/sheet15.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16.xml.rels><?xml version="1.0" encoding="UTF-8" standalone="yes"?>
<Relationships xmlns="http://schemas.openxmlformats.org/package/2006/relationships"><Relationship Id="rId1" Type="http://schemas.openxmlformats.org/officeDocument/2006/relationships/table" Target="../tables/table1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sheetPr>
  <dimension ref="A1:AK19"/>
  <sheetViews>
    <sheetView showGridLines="0" zoomScale="110" zoomScaleNormal="110" workbookViewId="0">
      <selection activeCell="J10" sqref="J10"/>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33203125" style="4" customWidth="1"/>
    <col min="35" max="36" width="13.33203125" customWidth="1"/>
    <col min="37" max="37" width="19.33203125" customWidth="1"/>
  </cols>
  <sheetData>
    <row r="1" spans="1:37" ht="50" customHeight="1">
      <c r="A1" s="6"/>
      <c r="B1" s="5" t="s">
        <v>0</v>
      </c>
    </row>
    <row r="2" spans="1:37"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c r="AD2" s="4" t="s">
        <v>104</v>
      </c>
      <c r="AE2" s="89" t="s">
        <v>106</v>
      </c>
      <c r="AF2" s="89"/>
      <c r="AG2" s="89"/>
      <c r="AH2" s="89"/>
    </row>
    <row r="3" spans="1:37"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c r="AD3" s="4" t="s">
        <v>103</v>
      </c>
      <c r="AE3" s="89" t="s">
        <v>105</v>
      </c>
      <c r="AF3" s="89"/>
      <c r="AG3" s="89"/>
      <c r="AH3" s="89"/>
    </row>
    <row r="4" spans="1:37" ht="15" customHeight="1">
      <c r="AK4" s="60" t="s">
        <v>40</v>
      </c>
    </row>
    <row r="5" spans="1:37" ht="30" customHeight="1">
      <c r="B5" s="21" t="s">
        <v>2</v>
      </c>
      <c r="C5" s="84"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2">
        <v>2021</v>
      </c>
    </row>
    <row r="6" spans="1:37" ht="15" customHeight="1">
      <c r="B6" s="15"/>
      <c r="C6" s="58" t="str">
        <f>TEXT(WEEKDAY(DATE(AnnéeCalendrier,1,1),1),"jjj")</f>
        <v>ven</v>
      </c>
      <c r="D6" s="58" t="str">
        <f>TEXT(WEEKDAY(DATE(AnnéeCalendrier,1,2),1),"jjj")</f>
        <v>sam</v>
      </c>
      <c r="E6" s="58" t="str">
        <f>TEXT(WEEKDAY(DATE(AnnéeCalendrier,1,3),1),"jjj")</f>
        <v>dim</v>
      </c>
      <c r="F6" s="58" t="str">
        <f>TEXT(WEEKDAY(DATE(AnnéeCalendrier,1,4),1),"jjj")</f>
        <v>lun</v>
      </c>
      <c r="G6" s="58" t="str">
        <f>TEXT(WEEKDAY(DATE(AnnéeCalendrier,1,5),1),"jjj")</f>
        <v>mar</v>
      </c>
      <c r="H6" s="58" t="str">
        <f>TEXT(WEEKDAY(DATE(AnnéeCalendrier,1,6),1),"jjj")</f>
        <v>mer</v>
      </c>
      <c r="I6" s="58" t="str">
        <f>TEXT(WEEKDAY(DATE(AnnéeCalendrier,1,7),1),"jjj")</f>
        <v>jeu</v>
      </c>
      <c r="J6" s="58" t="str">
        <f>TEXT(WEEKDAY(DATE(AnnéeCalendrier,1,8),1),"jjj")</f>
        <v>ven</v>
      </c>
      <c r="K6" s="58" t="str">
        <f>TEXT(WEEKDAY(DATE(AnnéeCalendrier,1,9),1),"jjj")</f>
        <v>sam</v>
      </c>
      <c r="L6" s="58" t="str">
        <f>TEXT(WEEKDAY(DATE(AnnéeCalendrier,1,10),1),"jjj")</f>
        <v>dim</v>
      </c>
      <c r="M6" s="58" t="str">
        <f>TEXT(WEEKDAY(DATE(AnnéeCalendrier,1,11),1),"jjj")</f>
        <v>lun</v>
      </c>
      <c r="N6" s="58" t="str">
        <f>TEXT(WEEKDAY(DATE(AnnéeCalendrier,1,12),1),"jjj")</f>
        <v>mar</v>
      </c>
      <c r="O6" s="58" t="str">
        <f>TEXT(WEEKDAY(DATE(AnnéeCalendrier,1,13),1),"jjj")</f>
        <v>mer</v>
      </c>
      <c r="P6" s="58" t="str">
        <f>TEXT(WEEKDAY(DATE(AnnéeCalendrier,1,14),1),"jjj")</f>
        <v>jeu</v>
      </c>
      <c r="Q6" s="58" t="str">
        <f>TEXT(WEEKDAY(DATE(AnnéeCalendrier,1,15),1),"jjj")</f>
        <v>ven</v>
      </c>
      <c r="R6" s="58" t="str">
        <f>TEXT(WEEKDAY(DATE(AnnéeCalendrier,1,16),1),"jjj")</f>
        <v>sam</v>
      </c>
      <c r="S6" s="58" t="str">
        <f>TEXT(WEEKDAY(DATE(AnnéeCalendrier,1,17),1),"jjj")</f>
        <v>dim</v>
      </c>
      <c r="T6" s="58" t="str">
        <f>TEXT(WEEKDAY(DATE(AnnéeCalendrier,1,18),1),"jjj")</f>
        <v>lun</v>
      </c>
      <c r="U6" s="58" t="str">
        <f>TEXT(WEEKDAY(DATE(AnnéeCalendrier,1,19),1),"jjj")</f>
        <v>mar</v>
      </c>
      <c r="V6" s="58" t="str">
        <f>TEXT(WEEKDAY(DATE(AnnéeCalendrier,1,20),1),"jjj")</f>
        <v>mer</v>
      </c>
      <c r="W6" s="58" t="str">
        <f>TEXT(WEEKDAY(DATE(AnnéeCalendrier,1,21),1),"jjj")</f>
        <v>jeu</v>
      </c>
      <c r="X6" s="58" t="str">
        <f>TEXT(WEEKDAY(DATE(AnnéeCalendrier,1,22),1),"jjj")</f>
        <v>ven</v>
      </c>
      <c r="Y6" s="58" t="str">
        <f>TEXT(WEEKDAY(DATE(AnnéeCalendrier,1,23),1),"jjj")</f>
        <v>sam</v>
      </c>
      <c r="Z6" s="58" t="str">
        <f>TEXT(WEEKDAY(DATE(AnnéeCalendrier,1,24),1),"jjj")</f>
        <v>dim</v>
      </c>
      <c r="AA6" s="58" t="str">
        <f>TEXT(WEEKDAY(DATE(AnnéeCalendrier,1,25),1),"jjj")</f>
        <v>lun</v>
      </c>
      <c r="AB6" s="58" t="str">
        <f>TEXT(WEEKDAY(DATE(AnnéeCalendrier,1,26),1),"jjj")</f>
        <v>mar</v>
      </c>
      <c r="AC6" s="58" t="str">
        <f>TEXT(WEEKDAY(DATE(AnnéeCalendrier,1,27),1),"jjj")</f>
        <v>mer</v>
      </c>
      <c r="AD6" s="58" t="str">
        <f>TEXT(WEEKDAY(DATE(AnnéeCalendrier,1,28),1),"jjj")</f>
        <v>jeu</v>
      </c>
      <c r="AE6" s="58" t="str">
        <f>TEXT(WEEKDAY(DATE(AnnéeCalendrier,1,29),1),"jjj")</f>
        <v>ven</v>
      </c>
      <c r="AF6" s="58" t="str">
        <f>TEXT(WEEKDAY(DATE(AnnéeCalendrier,1,30),1),"jjj")</f>
        <v>sam</v>
      </c>
      <c r="AG6" s="58" t="str">
        <f>TEXT(WEEKDAY(DATE(AnnéeCalendrier,1,31),1),"jjj")</f>
        <v>dim</v>
      </c>
      <c r="AH6" s="12"/>
      <c r="AI6" s="12"/>
      <c r="AJ6" s="12"/>
      <c r="AK6" s="12"/>
    </row>
    <row r="7" spans="1:37" ht="35" customHeight="1">
      <c r="B7" s="57"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52" t="s">
        <v>67</v>
      </c>
      <c r="AI7" s="27" t="s">
        <v>78</v>
      </c>
      <c r="AJ7" s="27" t="s">
        <v>98</v>
      </c>
      <c r="AK7" s="39" t="s">
        <v>64</v>
      </c>
    </row>
    <row r="8" spans="1:37" ht="30" customHeight="1">
      <c r="B8" s="10" t="s">
        <v>107</v>
      </c>
      <c r="C8" s="17"/>
      <c r="D8" s="17"/>
      <c r="E8" s="17"/>
      <c r="F8" s="17"/>
      <c r="G8" s="17"/>
      <c r="H8" s="17" t="s">
        <v>112</v>
      </c>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1</v>
      </c>
      <c r="AI8" s="33">
        <f>COUNTIF(C8:AG8,"RTT")+COUNTIF(C8:AG8,"DRTT")/2</f>
        <v>0</v>
      </c>
      <c r="AJ8" s="33">
        <f>COUNTIF(C8:AG8,"M")</f>
        <v>0</v>
      </c>
      <c r="AK8" s="24"/>
    </row>
    <row r="9" spans="1:37" ht="30" customHeight="1">
      <c r="B9" s="10" t="s">
        <v>108</v>
      </c>
      <c r="C9" s="17"/>
      <c r="D9" s="17"/>
      <c r="E9" s="17"/>
      <c r="F9" s="17" t="s">
        <v>111</v>
      </c>
      <c r="G9" s="17" t="s">
        <v>111</v>
      </c>
      <c r="H9" s="17" t="s">
        <v>112</v>
      </c>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3</v>
      </c>
      <c r="AI9" s="33">
        <f t="shared" ref="AI9:AI18" si="1">COUNTIF(C9:AG9,"RTT")+COUNTIF(C9:AG9,"DRTT")/2</f>
        <v>2</v>
      </c>
      <c r="AJ9" s="33">
        <f t="shared" ref="AJ9:AJ18" si="2">COUNTIF(C9:AG9,"M")</f>
        <v>0</v>
      </c>
      <c r="AK9" s="24">
        <f>5+2-Janvier[[#This Row],[Dont RTT]]</f>
        <v>5</v>
      </c>
    </row>
    <row r="10" spans="1:37" ht="30" customHeight="1">
      <c r="B10" s="10" t="s">
        <v>109</v>
      </c>
      <c r="C10" s="17"/>
      <c r="D10" s="17"/>
      <c r="E10" s="17"/>
      <c r="F10" s="17"/>
      <c r="G10" s="17"/>
      <c r="H10" s="17"/>
      <c r="I10" s="17"/>
      <c r="J10" s="17" t="s">
        <v>122</v>
      </c>
      <c r="K10" s="17" t="s">
        <v>122</v>
      </c>
      <c r="L10" s="17" t="s">
        <v>122</v>
      </c>
      <c r="M10" s="17" t="s">
        <v>122</v>
      </c>
      <c r="N10" s="17" t="s">
        <v>122</v>
      </c>
      <c r="O10" s="17" t="s">
        <v>122</v>
      </c>
      <c r="P10" s="17" t="s">
        <v>122</v>
      </c>
      <c r="Q10" s="17" t="s">
        <v>122</v>
      </c>
      <c r="R10" s="17"/>
      <c r="S10" s="17"/>
      <c r="T10" s="17"/>
      <c r="U10" s="17"/>
      <c r="V10" s="17"/>
      <c r="W10" s="17"/>
      <c r="X10" s="17"/>
      <c r="Y10" s="17"/>
      <c r="Z10" s="17"/>
      <c r="AA10" s="17"/>
      <c r="AB10" s="17"/>
      <c r="AC10" s="17"/>
      <c r="AD10" s="17"/>
      <c r="AE10" s="17"/>
      <c r="AF10" s="17"/>
      <c r="AG10" s="17"/>
      <c r="AH10" s="33">
        <f t="shared" si="0"/>
        <v>8</v>
      </c>
      <c r="AI10" s="33">
        <f t="shared" si="1"/>
        <v>0</v>
      </c>
      <c r="AJ10" s="33">
        <f t="shared" si="2"/>
        <v>8</v>
      </c>
      <c r="AK10" s="24">
        <f>11+2-Janvier[[#This Row],[Dont RTT]]</f>
        <v>13</v>
      </c>
    </row>
    <row r="11" spans="1:37" ht="30" customHeight="1">
      <c r="B11" s="3" t="s">
        <v>110</v>
      </c>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 t="shared" si="2"/>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si="2"/>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2.93+2-Janvier[[#This Row],[Dont RTT]]</f>
        <v>4.93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2.5+2-Janvier[[#This Row],[Dont RTT]]</f>
        <v>4.5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5.5+2-Janvier[[#This Row],[Dont RTT]]</f>
        <v>7.5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2.16+2-Janvier[[#This Row],[Dont RTT]]</f>
        <v>4.16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11+2-Janvier[[#This Row],[Dont RTT]]</f>
        <v>13</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2.5+2-Janvier[[#This Row],[Dont RTT]]</f>
        <v>4.5</v>
      </c>
    </row>
    <row r="19" spans="2:37" ht="30" customHeight="1">
      <c r="B19" s="30" t="str">
        <f>NomMois&amp;" Total"</f>
        <v>Janvier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1</v>
      </c>
      <c r="G19" s="35">
        <f t="shared" si="3"/>
        <v>1</v>
      </c>
      <c r="H19" s="35">
        <f t="shared" si="3"/>
        <v>2</v>
      </c>
      <c r="I19" s="35">
        <f t="shared" si="3"/>
        <v>0</v>
      </c>
      <c r="J19" s="35">
        <f t="shared" si="3"/>
        <v>1</v>
      </c>
      <c r="K19" s="35">
        <f t="shared" si="3"/>
        <v>1</v>
      </c>
      <c r="L19" s="35">
        <f t="shared" si="3"/>
        <v>1</v>
      </c>
      <c r="M19" s="35">
        <f t="shared" si="3"/>
        <v>1</v>
      </c>
      <c r="N19" s="35">
        <f t="shared" si="3"/>
        <v>1</v>
      </c>
      <c r="O19" s="35">
        <f t="shared" si="3"/>
        <v>1</v>
      </c>
      <c r="P19" s="35">
        <f t="shared" si="3"/>
        <v>1</v>
      </c>
      <c r="Q19" s="35">
        <f t="shared" si="3"/>
        <v>1</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37">
        <f>SUBTOTAL(109,Janvier[Total absence])</f>
        <v>12</v>
      </c>
      <c r="AI19" s="37">
        <f>SUBTOTAL(109,Janvier[Dont RTT])</f>
        <v>2</v>
      </c>
      <c r="AJ19" s="37">
        <f>SUBTOTAL(109,Janvier[Dont MALADIE])</f>
        <v>8</v>
      </c>
      <c r="AK19" s="36"/>
    </row>
  </sheetData>
  <mergeCells count="17">
    <mergeCell ref="G2:H2"/>
    <mergeCell ref="Q2:U2"/>
    <mergeCell ref="D2:E2"/>
    <mergeCell ref="AA2:AC2"/>
    <mergeCell ref="AA3:AC3"/>
    <mergeCell ref="C5:AG5"/>
    <mergeCell ref="G3:H3"/>
    <mergeCell ref="D3:E3"/>
    <mergeCell ref="J3:L3"/>
    <mergeCell ref="N3:O3"/>
    <mergeCell ref="Q3:R3"/>
    <mergeCell ref="T3:U3"/>
    <mergeCell ref="W3:Y3"/>
    <mergeCell ref="AE2:AH2"/>
    <mergeCell ref="AE3:AH3"/>
    <mergeCell ref="W2:Y2"/>
    <mergeCell ref="J2:L2"/>
  </mergeCells>
  <conditionalFormatting sqref="C8:AG8 C10:AG18 I9:AG9">
    <cfRule type="expression" dxfId="546" priority="16" stopIfTrue="1">
      <formula>C8=CléAbsenceJustifiée</formula>
    </cfRule>
    <cfRule type="expression" dxfId="545" priority="38" stopIfTrue="1">
      <formula>C8=CléNonTravaillé</formula>
    </cfRule>
    <cfRule type="expression" dxfId="544" priority="43" stopIfTrue="1">
      <formula>C8=CléPrésenceExceptionnelle</formula>
    </cfRule>
    <cfRule type="expression" dxfId="543" priority="45" stopIfTrue="1">
      <formula>C8=CléCongéSpécial</formula>
    </cfRule>
    <cfRule type="expression" dxfId="542" priority="48" stopIfTrue="1">
      <formula>C8=CléDemiRécupération</formula>
    </cfRule>
    <cfRule type="expression" dxfId="541" priority="49" stopIfTrue="1">
      <formula>C8=CléDemiEnfantMalade</formula>
    </cfRule>
    <cfRule type="expression" dxfId="540" priority="54" stopIfTrue="1">
      <formula>C8=CléEnfantMalade</formula>
    </cfRule>
    <cfRule type="expression" dxfId="539" priority="56" stopIfTrue="1">
      <formula>C8=CléDemiRtt</formula>
    </cfRule>
    <cfRule type="expression" priority="59" stopIfTrue="1">
      <formula>C8=""</formula>
    </cfRule>
    <cfRule type="expression" dxfId="538" priority="60" stopIfTrue="1">
      <formula>C8=CléCongéMalade</formula>
    </cfRule>
    <cfRule type="expression" dxfId="537" priority="65" stopIfTrue="1">
      <formula>C8=CléCongé</formula>
    </cfRule>
    <cfRule type="expression" dxfId="536" priority="71" stopIfTrue="1">
      <formula>C8=CléRécupération</formula>
    </cfRule>
    <cfRule type="expression" dxfId="535" priority="72" stopIfTrue="1">
      <formula>C8=CléFormation</formula>
    </cfRule>
    <cfRule type="expression" dxfId="534" priority="73" stopIfTrue="1">
      <formula>C8=CléRTT</formula>
    </cfRule>
    <cfRule type="expression" dxfId="533" priority="74" stopIfTrue="1">
      <formula>C8=CléTélétravail</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{06B0B54B-3B45-C645-843F-C0B723C8AC12}</x14:id>
        </ext>
      </extLst>
    </cfRule>
  </conditionalFormatting>
  <conditionalFormatting sqref="AL3:XFD3 A3:D3 A1:XFD1 A2 F2:G3 M3:N3 Q3 S3:T3 V2:W3 I2:J3 A7:AH7 AK7:XFD7 AI2:XFD2 A6:AJ6 AL6:XFD6 A4:AG5 AI4:XFD5">
    <cfRule type="containsText" dxfId="532" priority="55" stopIfTrue="1" operator="containsText" text="dim">
      <formula>NOT(ISERROR(SEARCH("dim",A1)))</formula>
    </cfRule>
  </conditionalFormatting>
  <conditionalFormatting sqref="V2:W2">
    <cfRule type="containsText" dxfId="531" priority="53" stopIfTrue="1" operator="containsText" text="dim">
      <formula>NOT(ISERROR(SEARCH("dim",V2)))</formula>
    </cfRule>
  </conditionalFormatting>
  <conditionalFormatting sqref="AH8:AH18">
    <cfRule type="dataBar" priority="36">
      <dataBar>
        <cfvo type="num" val="0"/>
        <cfvo type="num" val="31"/>
        <color rgb="FF00B0F0"/>
      </dataBar>
      <extLst>
        <ext xmlns:x14="http://schemas.microsoft.com/office/spreadsheetml/2009/9/main" uri="{B025F937-C7B1-47D3-B67F-A62EFF666E3E}">
          <x14:id>{22EEE165-6413-544B-B435-0A9B8805D7ED}</x14:id>
        </ext>
      </extLst>
    </cfRule>
    <cfRule type="containsText" dxfId="530" priority="41" stopIfTrue="1" operator="containsText" text="dim">
      <formula>NOT(ISERROR(SEARCH("dim",AH8)))</formula>
    </cfRule>
  </conditionalFormatting>
  <conditionalFormatting sqref="AA2">
    <cfRule type="containsText" dxfId="529" priority="40" stopIfTrue="1" operator="containsText" text="dim">
      <formula>NOT(ISERROR(SEARCH("dim",AA2)))</formula>
    </cfRule>
  </conditionalFormatting>
  <conditionalFormatting sqref="AA2">
    <cfRule type="containsText" dxfId="528" priority="39" stopIfTrue="1" operator="containsText" text="dim">
      <formula>NOT(ISERROR(SEARCH("dim",AA2)))</formula>
    </cfRule>
  </conditionalFormatting>
  <conditionalFormatting sqref="AI8:AI18">
    <cfRule type="dataBar" priority="37">
      <dataBar>
        <cfvo type="num" val="0"/>
        <cfvo type="num" val="31"/>
        <color rgb="FF92D050"/>
      </dataBar>
      <extLst>
        <ext xmlns:x14="http://schemas.microsoft.com/office/spreadsheetml/2009/9/main" uri="{B025F937-C7B1-47D3-B67F-A62EFF666E3E}">
          <x14:id>{10DB94B8-2D5F-4244-B3AC-869B80A980B5}</x14:id>
        </ext>
      </extLst>
    </cfRule>
  </conditionalFormatting>
  <conditionalFormatting sqref="P3">
    <cfRule type="expression" dxfId="527" priority="22" stopIfTrue="1">
      <formula>P3=CléNonTravaillé</formula>
    </cfRule>
    <cfRule type="expression" dxfId="526" priority="23" stopIfTrue="1">
      <formula>P3=CléPrésenceExceptionnelle</formula>
    </cfRule>
    <cfRule type="expression" dxfId="525" priority="24" stopIfTrue="1">
      <formula>P3=CléCongéSpécial</formula>
    </cfRule>
    <cfRule type="expression" dxfId="524" priority="25" stopIfTrue="1">
      <formula>P3=CléDemiRécupération</formula>
    </cfRule>
    <cfRule type="expression" dxfId="523" priority="26" stopIfTrue="1">
      <formula>P3=CléDemiEnfantMalade</formula>
    </cfRule>
    <cfRule type="expression" dxfId="522" priority="27" stopIfTrue="1">
      <formula>P3=CléEnfantMalade</formula>
    </cfRule>
    <cfRule type="expression" dxfId="521" priority="28" stopIfTrue="1">
      <formula>P3=CléDemiRtt</formula>
    </cfRule>
    <cfRule type="expression" priority="29" stopIfTrue="1">
      <formula>P3=""</formula>
    </cfRule>
    <cfRule type="expression" dxfId="520" priority="30" stopIfTrue="1">
      <formula>P3=CléMaladie</formula>
    </cfRule>
    <cfRule type="expression" dxfId="519" priority="31" stopIfTrue="1">
      <formula>P3=CléCongé</formula>
    </cfRule>
    <cfRule type="expression" dxfId="518" priority="32" stopIfTrue="1">
      <formula>P3=CléRécupération</formula>
    </cfRule>
    <cfRule type="expression" dxfId="517" priority="33" stopIfTrue="1">
      <formula>P3=CléFormation</formula>
    </cfRule>
    <cfRule type="expression" dxfId="516" priority="34" stopIfTrue="1">
      <formula>P3=CléRTT</formula>
    </cfRule>
    <cfRule type="expression" dxfId="515" priority="35" stopIfTrue="1">
      <formula>P3=CléTélétravail</formula>
    </cfRule>
  </conditionalFormatting>
  <conditionalFormatting sqref="AK6">
    <cfRule type="containsText" dxfId="514" priority="20" stopIfTrue="1" operator="containsText" text="dim">
      <formula>NOT(ISERROR(SEARCH("dim",AK6)))</formula>
    </cfRule>
  </conditionalFormatting>
  <conditionalFormatting sqref="AH5">
    <cfRule type="containsText" dxfId="513" priority="19" stopIfTrue="1" operator="containsText" text="dim">
      <formula>NOT(ISERROR(SEARCH("dim",AH5)))</formula>
    </cfRule>
  </conditionalFormatting>
  <conditionalFormatting sqref="AA3">
    <cfRule type="containsText" dxfId="512" priority="18" stopIfTrue="1" operator="containsText" text="dim">
      <formula>NOT(ISERROR(SEARCH("dim",AA3)))</formula>
    </cfRule>
  </conditionalFormatting>
  <conditionalFormatting sqref="AA3">
    <cfRule type="containsText" dxfId="511" priority="17" stopIfTrue="1" operator="containsText" text="dim">
      <formula>NOT(ISERROR(SEARCH("dim",AA3)))</formula>
    </cfRule>
  </conditionalFormatting>
  <conditionalFormatting sqref="C9:H9">
    <cfRule type="expression" dxfId="510" priority="1" stopIfTrue="1">
      <formula>C9=CléAbsenceJustifiée</formula>
    </cfRule>
    <cfRule type="expression" dxfId="509" priority="2" stopIfTrue="1">
      <formula>C9=CléNonTravaillé</formula>
    </cfRule>
    <cfRule type="expression" dxfId="508" priority="3" stopIfTrue="1">
      <formula>C9=CléPrésenceExceptionnelle</formula>
    </cfRule>
    <cfRule type="expression" dxfId="507" priority="4" stopIfTrue="1">
      <formula>C9=CléCongéSpécial</formula>
    </cfRule>
    <cfRule type="expression" dxfId="506" priority="5" stopIfTrue="1">
      <formula>C9=CléDemiRécupération</formula>
    </cfRule>
    <cfRule type="expression" dxfId="505" priority="6" stopIfTrue="1">
      <formula>C9=CléDemiEnfantMalade</formula>
    </cfRule>
    <cfRule type="expression" dxfId="504" priority="7" stopIfTrue="1">
      <formula>C9=CléEnfantMalade</formula>
    </cfRule>
    <cfRule type="expression" dxfId="503" priority="8" stopIfTrue="1">
      <formula>C9=CléDemiRtt</formula>
    </cfRule>
    <cfRule type="expression" priority="9" stopIfTrue="1">
      <formula>C9=""</formula>
    </cfRule>
    <cfRule type="expression" dxfId="502" priority="10" stopIfTrue="1">
      <formula>C9=CléCongéMalade</formula>
    </cfRule>
    <cfRule type="expression" dxfId="501" priority="11" stopIfTrue="1">
      <formula>C9=CléCongé</formula>
    </cfRule>
    <cfRule type="expression" dxfId="500" priority="12" stopIfTrue="1">
      <formula>C9=CléRécupération</formula>
    </cfRule>
    <cfRule type="expression" dxfId="499" priority="13" stopIfTrue="1">
      <formula>C9=CléFormation</formula>
    </cfRule>
    <cfRule type="expression" dxfId="498" priority="14" stopIfTrue="1">
      <formula>C9=CléRTT</formula>
    </cfRule>
    <cfRule type="expression" dxfId="497" priority="15" stopIfTrue="1">
      <formula>C9=CléTélétravail</formula>
    </cfRule>
  </conditionalFormatting>
  <dataValidations count="15">
    <dataValidation allowBlank="1" showErrorMessage="1" prompt="Entrez l’année dans cette cellule." sqref="AK5"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00000000-0002-0000-0000-000002000000}"/>
    <dataValidation allowBlank="1" showErrorMessage="1" prompt="La lettre « C » indique une absence pour cause de congé" sqref="C3" xr:uid="{180648D2-410D-B143-B587-7A30566DDE0A}"/>
    <dataValidation allowBlank="1" showErrorMessage="1" prompt="La lettre « P » indique une absence pour motifs personnels" sqref="F3" xr:uid="{F76D8E89-C5BE-5641-A960-C8924BC7F107}"/>
    <dataValidation allowBlank="1" showInputMessage="1" showErrorMessage="1" prompt="La lettre « M » indique une absence pour cause de maladie" sqref="S3" xr:uid="{AA4B8FA4-AE57-CA43-B1F0-5DF94DD8246B}"/>
    <dataValidation allowBlank="1" showInputMessage="1" showErrorMessage="1" prompt="Entrez une lettre et personnalisez l’étiquette à droite pour ajouter un élément de clé" sqref="M3" xr:uid="{DA6A8F83-9B62-0141-AED8-7A83438C3BCA}"/>
    <dataValidation allowBlank="1" showInputMessage="1" showErrorMessage="1" prompt="Entrez une étiquette pour décrire la clé personnalisée à gauche" sqref="J2:J3" xr:uid="{52436857-DDAD-6E4E-A172-6A9E6829667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A2" xr:uid="{00000000-0002-0000-0000-00000D000000}"/>
    <dataValidation allowBlank="1" showErrorMessage="1" prompt="Entrez l’année dans la cellule ci-dessous" sqref="AK4" xr:uid="{00000000-0002-0000-0000-00000E000000}"/>
    <dataValidation allowBlank="1" showErrorMessage="1" prompt="Entrez une lettre et personnalisez l’étiquette à droite pour ajouter un élément de clé" sqref="I2:I3" xr:uid="{F3C13E23-AA26-A242-AB55-71EFAB18774F}"/>
    <dataValidation allowBlank="1" showErrorMessage="1" prompt="Entrez une étiquette pour décrire la clé personnalisée à gauche" sqref="N3" xr:uid="{D27234F8-1932-2849-A1D5-DEF8B0A16588}"/>
    <dataValidation allowBlank="1" showErrorMessage="1" sqref="B1:B5" xr:uid="{287AE99F-A568-2E49-87F0-4F6D162FD61E}"/>
    <dataValidation allowBlank="1" showErrorMessage="1" prompt="Calcule automatiquement le nombre total de jours d’absence d’un employé durant ce mois" sqref="AH7 AK7" xr:uid="{040E8A70-86A9-DF47-A79B-3431F39E2A12}"/>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6" xr:uid="{00000000-0002-0000-0000-000003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6B0B54B-3B45-C645-843F-C0B723C8AC12}">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22EEE165-6413-544B-B435-0A9B8805D7ED}">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10DB94B8-2D5F-4244-B3AC-869B80A980B5}">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employés'!$B$4:$B$7</xm:f>
          </x14:formula1>
          <xm:sqref>B8:B18</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B0D29E-C9F5-A540-9E94-B8BDDEAD3CFF}">
  <sheetPr>
    <tabColor theme="2" tint="-0.749992370372631"/>
  </sheetPr>
  <dimension ref="A1:AK19"/>
  <sheetViews>
    <sheetView showGridLines="0" zoomScale="110" zoomScaleNormal="110" workbookViewId="0">
      <selection activeCell="B8" sqref="B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33203125" style="4" customWidth="1"/>
    <col min="35" max="36" width="13.33203125" customWidth="1"/>
    <col min="37" max="37" width="19.33203125" customWidth="1"/>
  </cols>
  <sheetData>
    <row r="1" spans="1:37" ht="50" customHeight="1">
      <c r="B1" s="5" t="str">
        <f>Titre_Absence_Employé</f>
        <v>Calendrier des absences des employés</v>
      </c>
    </row>
    <row r="2" spans="1:37"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7"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7" ht="15" customHeight="1">
      <c r="B4"/>
    </row>
    <row r="5" spans="1:37" ht="30" customHeight="1">
      <c r="B5" s="21" t="s">
        <v>41</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2">
        <f>AnnéeCalendrier01</f>
        <v>2021</v>
      </c>
    </row>
    <row r="6" spans="1:37" ht="15" customHeight="1">
      <c r="B6" s="15"/>
      <c r="C6" s="58" t="str">
        <f>TEXT(WEEKDAY(DATE(AnnéeCalendrier,2,1),1),"jjj")</f>
        <v>lun</v>
      </c>
      <c r="D6" s="58" t="str">
        <f>TEXT(WEEKDAY(DATE(AnnéeCalendrier,2,2),1),"jjj")</f>
        <v>mar</v>
      </c>
      <c r="E6" s="58" t="str">
        <f>TEXT(WEEKDAY(DATE(AnnéeCalendrier,2,3),1),"jjj")</f>
        <v>mer</v>
      </c>
      <c r="F6" s="58" t="str">
        <f>TEXT(WEEKDAY(DATE(AnnéeCalendrier,2,4),1),"jjj")</f>
        <v>jeu</v>
      </c>
      <c r="G6" s="58" t="str">
        <f>TEXT(WEEKDAY(DATE(AnnéeCalendrier,2,5),1),"jjj")</f>
        <v>ven</v>
      </c>
      <c r="H6" s="58" t="str">
        <f>TEXT(WEEKDAY(DATE(AnnéeCalendrier,2,6),1),"jjj")</f>
        <v>sam</v>
      </c>
      <c r="I6" s="58" t="str">
        <f>TEXT(WEEKDAY(DATE(AnnéeCalendrier,2,7),1),"jjj")</f>
        <v>dim</v>
      </c>
      <c r="J6" s="58" t="str">
        <f>TEXT(WEEKDAY(DATE(AnnéeCalendrier,2,8),1),"jjj")</f>
        <v>lun</v>
      </c>
      <c r="K6" s="58" t="str">
        <f>TEXT(WEEKDAY(DATE(AnnéeCalendrier,2,9),1),"jjj")</f>
        <v>mar</v>
      </c>
      <c r="L6" s="58" t="str">
        <f>TEXT(WEEKDAY(DATE(AnnéeCalendrier,2,10),1),"jjj")</f>
        <v>mer</v>
      </c>
      <c r="M6" s="58" t="str">
        <f>TEXT(WEEKDAY(DATE(AnnéeCalendrier,2,11),1),"jjj")</f>
        <v>jeu</v>
      </c>
      <c r="N6" s="58" t="str">
        <f>TEXT(WEEKDAY(DATE(AnnéeCalendrier,2,12),1),"jjj")</f>
        <v>ven</v>
      </c>
      <c r="O6" s="58" t="str">
        <f>TEXT(WEEKDAY(DATE(AnnéeCalendrier,2,13),1),"jjj")</f>
        <v>sam</v>
      </c>
      <c r="P6" s="58" t="str">
        <f>TEXT(WEEKDAY(DATE(AnnéeCalendrier,2,14),1),"jjj")</f>
        <v>dim</v>
      </c>
      <c r="Q6" s="58" t="str">
        <f>TEXT(WEEKDAY(DATE(AnnéeCalendrier,2,15),1),"jjj")</f>
        <v>lun</v>
      </c>
      <c r="R6" s="58" t="str">
        <f>TEXT(WEEKDAY(DATE(AnnéeCalendrier,2,16),1),"jjj")</f>
        <v>mar</v>
      </c>
      <c r="S6" s="58" t="str">
        <f>TEXT(WEEKDAY(DATE(AnnéeCalendrier,2,17),1),"jjj")</f>
        <v>mer</v>
      </c>
      <c r="T6" s="58" t="str">
        <f>TEXT(WEEKDAY(DATE(AnnéeCalendrier,2,18),1),"jjj")</f>
        <v>jeu</v>
      </c>
      <c r="U6" s="58" t="str">
        <f>TEXT(WEEKDAY(DATE(AnnéeCalendrier,2,19),1),"jjj")</f>
        <v>ven</v>
      </c>
      <c r="V6" s="58" t="str">
        <f>TEXT(WEEKDAY(DATE(AnnéeCalendrier,2,20),1),"jjj")</f>
        <v>sam</v>
      </c>
      <c r="W6" s="58" t="str">
        <f>TEXT(WEEKDAY(DATE(AnnéeCalendrier,2,21),1),"jjj")</f>
        <v>dim</v>
      </c>
      <c r="X6" s="58" t="str">
        <f>TEXT(WEEKDAY(DATE(AnnéeCalendrier,2,22),1),"jjj")</f>
        <v>lun</v>
      </c>
      <c r="Y6" s="58" t="str">
        <f>TEXT(WEEKDAY(DATE(AnnéeCalendrier,2,23),1),"jjj")</f>
        <v>mar</v>
      </c>
      <c r="Z6" s="58" t="str">
        <f>TEXT(WEEKDAY(DATE(AnnéeCalendrier,2,24),1),"jjj")</f>
        <v>mer</v>
      </c>
      <c r="AA6" s="58" t="str">
        <f>TEXT(WEEKDAY(DATE(AnnéeCalendrier,2,25),1),"jjj")</f>
        <v>jeu</v>
      </c>
      <c r="AB6" s="58" t="str">
        <f>TEXT(WEEKDAY(DATE(AnnéeCalendrier,2,26),1),"jjj")</f>
        <v>ven</v>
      </c>
      <c r="AC6" s="58" t="str">
        <f>TEXT(WEEKDAY(DATE(AnnéeCalendrier,2,27),1),"jjj")</f>
        <v>sam</v>
      </c>
      <c r="AD6" s="58" t="str">
        <f>TEXT(WEEKDAY(DATE(AnnéeCalendrier,2,28),1),"jjj")</f>
        <v>dim</v>
      </c>
      <c r="AE6" s="58" t="str">
        <f>TEXT(WEEKDAY(DATE(AnnéeCalendrier,2,29),1),"jjj")</f>
        <v>lun</v>
      </c>
      <c r="AF6" s="59"/>
      <c r="AG6" s="59"/>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42</v>
      </c>
      <c r="AG7" s="14" t="s">
        <v>43</v>
      </c>
      <c r="AH7" s="26" t="s">
        <v>91</v>
      </c>
      <c r="AI7" s="27" t="s">
        <v>78</v>
      </c>
      <c r="AJ7" s="27" t="s">
        <v>98</v>
      </c>
      <c r="AK7" s="34" t="s">
        <v>65</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 t="shared" ref="AJ8:AJ18" si="1">COUNTIF(C8:AG8,"M")</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2">COUNTIF(C9:AG9,"RTT")+COUNTIF(C9:AG9,"DRTT")/2</f>
        <v>0</v>
      </c>
      <c r="AJ9" s="33">
        <f t="shared" si="1"/>
        <v>0</v>
      </c>
      <c r="AK9" s="24">
        <f>Janvier!AK9-Février[[#This Row],[Dont RTT]]+2</f>
        <v>7</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2"/>
        <v>0</v>
      </c>
      <c r="AJ10" s="33">
        <f t="shared" si="1"/>
        <v>0</v>
      </c>
      <c r="AK10" s="24">
        <f>Janvier!AK10-Février[[#This Row],[Dont RTT]]+2</f>
        <v>15</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2"/>
        <v>0</v>
      </c>
      <c r="AJ11" s="33">
        <f t="shared" si="1"/>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2"/>
        <v>0</v>
      </c>
      <c r="AJ12" s="33">
        <f t="shared" si="1"/>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2"/>
        <v>0</v>
      </c>
      <c r="AJ13" s="33">
        <f t="shared" si="1"/>
        <v>0</v>
      </c>
      <c r="AK13" s="24">
        <f>Janvier!AK13-Février[[#This Row],[Dont RTT]]+2</f>
        <v>6.93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2"/>
        <v>0</v>
      </c>
      <c r="AJ14" s="33">
        <f t="shared" si="1"/>
        <v>0</v>
      </c>
      <c r="AK14" s="24">
        <f>Janvier!AK14-Février[[#This Row],[Dont RTT]]+2</f>
        <v>6.5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2"/>
        <v>0</v>
      </c>
      <c r="AJ15" s="33">
        <f t="shared" si="1"/>
        <v>0</v>
      </c>
      <c r="AK15" s="24">
        <f>Janvier!AK15-Février[[#This Row],[Dont RTT]]+2</f>
        <v>9.5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2"/>
        <v>0</v>
      </c>
      <c r="AJ16" s="33">
        <f t="shared" si="1"/>
        <v>0</v>
      </c>
      <c r="AK16" s="24">
        <f>Janvier!AK16-Février[[#This Row],[Dont RTT]]+2</f>
        <v>6.16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2"/>
        <v>0</v>
      </c>
      <c r="AJ17" s="33">
        <f t="shared" si="1"/>
        <v>0</v>
      </c>
      <c r="AK17" s="24">
        <f>Janvier!AK17-Février[[#This Row],[Dont RTT]]+2</f>
        <v>15</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2"/>
        <v>0</v>
      </c>
      <c r="AJ18" s="33">
        <f t="shared" si="1"/>
        <v>0</v>
      </c>
      <c r="AK18" s="24">
        <f>Janvier!AK18-Février[[#This Row],[Dont RTT]]+2</f>
        <v>6.5</v>
      </c>
    </row>
    <row r="19" spans="2:37" ht="30" customHeight="1">
      <c r="B19" s="30" t="str">
        <f>NomMois&amp;" Total"</f>
        <v>Février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0</v>
      </c>
      <c r="G19" s="35">
        <f t="shared" si="3"/>
        <v>0</v>
      </c>
      <c r="H19" s="35">
        <f t="shared" si="3"/>
        <v>0</v>
      </c>
      <c r="I19" s="35">
        <f t="shared" si="3"/>
        <v>0</v>
      </c>
      <c r="J19" s="35">
        <f t="shared" si="3"/>
        <v>0</v>
      </c>
      <c r="K19" s="35">
        <f t="shared" si="3"/>
        <v>0</v>
      </c>
      <c r="L19" s="35">
        <f t="shared" si="3"/>
        <v>0</v>
      </c>
      <c r="M19" s="35">
        <f t="shared" si="3"/>
        <v>0</v>
      </c>
      <c r="N19" s="35">
        <f t="shared" si="3"/>
        <v>0</v>
      </c>
      <c r="O19" s="35">
        <f t="shared" si="3"/>
        <v>0</v>
      </c>
      <c r="P19" s="35">
        <f t="shared" si="3"/>
        <v>0</v>
      </c>
      <c r="Q19" s="35">
        <f t="shared" si="3"/>
        <v>0</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28">
        <f>SUBTOTAL(109,Février[Total])</f>
        <v>0</v>
      </c>
      <c r="AI19" s="28">
        <f>SUBTOTAL(109,Février[Dont RTT])</f>
        <v>0</v>
      </c>
      <c r="AJ19" s="37">
        <f>SUBTOTAL(109,Février[Dont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1:XFD1 A20:XFD1048576 A8:A18 AL8:XFD18 A19:B19 AH19:AI19 A7:AH7 AK7:XFD7 AK19:XFD19 A4:XFD4 A6:AJ6 A5:AG5 AI5:AJ5 AL5:XFD6">
    <cfRule type="containsText" dxfId="496" priority="385" stopIfTrue="1" operator="containsText" text="dim">
      <formula>NOT(ISERROR(SEARCH("dim",A1)))</formula>
    </cfRule>
  </conditionalFormatting>
  <conditionalFormatting sqref="C19:AG19">
    <cfRule type="containsText" dxfId="495" priority="272" stopIfTrue="1" operator="containsText" text="dim">
      <formula>NOT(ISERROR(SEARCH("dim",C19)))</formula>
    </cfRule>
  </conditionalFormatting>
  <conditionalFormatting sqref="AL3:XFD3 A2:A3 AG2:XFD2">
    <cfRule type="containsText" dxfId="494" priority="132" stopIfTrue="1" operator="containsText" text="dim">
      <formula>NOT(ISERROR(SEARCH("dim",A2)))</formula>
    </cfRule>
  </conditionalFormatting>
  <conditionalFormatting sqref="AJ19">
    <cfRule type="containsText" dxfId="493" priority="107" stopIfTrue="1" operator="containsText" text="dim">
      <formula>NOT(ISERROR(SEARCH("dim",AJ19)))</formula>
    </cfRule>
  </conditionalFormatting>
  <conditionalFormatting sqref="AJ8:AJ18">
    <cfRule type="dataBar" priority="83">
      <dataBar>
        <cfvo type="num" val="0"/>
        <cfvo type="num" val="31"/>
        <color rgb="FFFF0000"/>
      </dataBar>
      <extLst>
        <ext xmlns:x14="http://schemas.microsoft.com/office/spreadsheetml/2009/9/main" uri="{B025F937-C7B1-47D3-B67F-A62EFF666E3E}">
          <x14:id>{AD9EFFAA-FF7D-6043-ADB3-756367F44472}</x14:id>
        </ext>
      </extLst>
    </cfRule>
  </conditionalFormatting>
  <conditionalFormatting sqref="AH8:AH18">
    <cfRule type="dataBar" priority="71">
      <dataBar>
        <cfvo type="num" val="0"/>
        <cfvo type="num" val="31"/>
        <color rgb="FF00B0F0"/>
      </dataBar>
      <extLst>
        <ext xmlns:x14="http://schemas.microsoft.com/office/spreadsheetml/2009/9/main" uri="{B025F937-C7B1-47D3-B67F-A62EFF666E3E}">
          <x14:id>{EDBEF5A3-6273-3246-944C-733C6563D89E}</x14:id>
        </ext>
      </extLst>
    </cfRule>
    <cfRule type="containsText" dxfId="492" priority="74" stopIfTrue="1" operator="containsText" text="dim">
      <formula>NOT(ISERROR(SEARCH("dim",AH8)))</formula>
    </cfRule>
  </conditionalFormatting>
  <conditionalFormatting sqref="AI8:AI18">
    <cfRule type="dataBar" priority="72">
      <dataBar>
        <cfvo type="num" val="0"/>
        <cfvo type="num" val="31"/>
        <color rgb="FF92D050"/>
      </dataBar>
      <extLst>
        <ext xmlns:x14="http://schemas.microsoft.com/office/spreadsheetml/2009/9/main" uri="{B025F937-C7B1-47D3-B67F-A62EFF666E3E}">
          <x14:id>{299B0925-68E6-984D-BADF-3C0190B25A12}</x14:id>
        </ext>
      </extLst>
    </cfRule>
  </conditionalFormatting>
  <conditionalFormatting sqref="AH5">
    <cfRule type="containsText" dxfId="491" priority="54" stopIfTrue="1" operator="containsText" text="dim">
      <formula>NOT(ISERROR(SEARCH("dim",AH5)))</formula>
    </cfRule>
  </conditionalFormatting>
  <conditionalFormatting sqref="AK6">
    <cfRule type="containsText" dxfId="490" priority="53" stopIfTrue="1" operator="containsText" text="dim">
      <formula>NOT(ISERROR(SEARCH("dim",AK6)))</formula>
    </cfRule>
  </conditionalFormatting>
  <conditionalFormatting sqref="B3:D3 F2:G3 M3:N3 Q3 S3:T3 V2:W3 I2:J3">
    <cfRule type="containsText" dxfId="489" priority="50" stopIfTrue="1" operator="containsText" text="dim">
      <formula>NOT(ISERROR(SEARCH("dim",B2)))</formula>
    </cfRule>
  </conditionalFormatting>
  <conditionalFormatting sqref="V2:W2">
    <cfRule type="containsText" dxfId="488" priority="49" stopIfTrue="1" operator="containsText" text="dim">
      <formula>NOT(ISERROR(SEARCH("dim",V2)))</formula>
    </cfRule>
  </conditionalFormatting>
  <conditionalFormatting sqref="AA2">
    <cfRule type="containsText" dxfId="487" priority="48" stopIfTrue="1" operator="containsText" text="dim">
      <formula>NOT(ISERROR(SEARCH("dim",AA2)))</formula>
    </cfRule>
  </conditionalFormatting>
  <conditionalFormatting sqref="AA2">
    <cfRule type="containsText" dxfId="486" priority="47" stopIfTrue="1" operator="containsText" text="dim">
      <formula>NOT(ISERROR(SEARCH("dim",AA2)))</formula>
    </cfRule>
  </conditionalFormatting>
  <conditionalFormatting sqref="P3">
    <cfRule type="expression" dxfId="485" priority="33" stopIfTrue="1">
      <formula>P3=CléNonTravaillé</formula>
    </cfRule>
    <cfRule type="expression" dxfId="484" priority="34" stopIfTrue="1">
      <formula>P3=CléPrésenceExceptionnelle</formula>
    </cfRule>
    <cfRule type="expression" dxfId="483" priority="35" stopIfTrue="1">
      <formula>P3=CléCongéSpécial</formula>
    </cfRule>
    <cfRule type="expression" dxfId="482" priority="36" stopIfTrue="1">
      <formula>P3=CléDemiRécupération</formula>
    </cfRule>
    <cfRule type="expression" dxfId="481" priority="37" stopIfTrue="1">
      <formula>P3=CléDemiEnfantMalade</formula>
    </cfRule>
    <cfRule type="expression" dxfId="480" priority="38" stopIfTrue="1">
      <formula>P3=CléEnfantMalade</formula>
    </cfRule>
    <cfRule type="expression" dxfId="479" priority="39" stopIfTrue="1">
      <formula>P3=CléDemiRtt</formula>
    </cfRule>
    <cfRule type="expression" priority="40" stopIfTrue="1">
      <formula>P3=""</formula>
    </cfRule>
    <cfRule type="expression" dxfId="478" priority="41" stopIfTrue="1">
      <formula>P3=CléMaladie</formula>
    </cfRule>
    <cfRule type="expression" dxfId="477" priority="42" stopIfTrue="1">
      <formula>P3=CléCongé</formula>
    </cfRule>
    <cfRule type="expression" dxfId="476" priority="43" stopIfTrue="1">
      <formula>P3=CléRécupération</formula>
    </cfRule>
    <cfRule type="expression" dxfId="475" priority="44" stopIfTrue="1">
      <formula>P3=CléFormation</formula>
    </cfRule>
    <cfRule type="expression" dxfId="474" priority="45" stopIfTrue="1">
      <formula>P3=CléRTT</formula>
    </cfRule>
    <cfRule type="expression" dxfId="473" priority="46" stopIfTrue="1">
      <formula>P3=CléTélétravail</formula>
    </cfRule>
  </conditionalFormatting>
  <conditionalFormatting sqref="AA3">
    <cfRule type="containsText" dxfId="472" priority="32" stopIfTrue="1" operator="containsText" text="dim">
      <formula>NOT(ISERROR(SEARCH("dim",AA3)))</formula>
    </cfRule>
  </conditionalFormatting>
  <conditionalFormatting sqref="AA3">
    <cfRule type="containsText" dxfId="471" priority="31" stopIfTrue="1" operator="containsText" text="dim">
      <formula>NOT(ISERROR(SEARCH("dim",AA3)))</formula>
    </cfRule>
  </conditionalFormatting>
  <conditionalFormatting sqref="C8:AG18">
    <cfRule type="expression" dxfId="470" priority="1" stopIfTrue="1">
      <formula>C8=CléAbsenceJustifiée</formula>
    </cfRule>
    <cfRule type="expression" dxfId="469" priority="2" stopIfTrue="1">
      <formula>C8=CléNonTravaillé</formula>
    </cfRule>
    <cfRule type="expression" dxfId="468" priority="3" stopIfTrue="1">
      <formula>C8=CléPrésenceExceptionnelle</formula>
    </cfRule>
    <cfRule type="expression" dxfId="467" priority="4" stopIfTrue="1">
      <formula>C8=CléCongéSpécial</formula>
    </cfRule>
    <cfRule type="expression" dxfId="466" priority="5" stopIfTrue="1">
      <formula>C8=CléDemiRécupération</formula>
    </cfRule>
    <cfRule type="expression" dxfId="465" priority="6" stopIfTrue="1">
      <formula>C8=CléDemiEnfantMalade</formula>
    </cfRule>
    <cfRule type="expression" dxfId="464" priority="7" stopIfTrue="1">
      <formula>C8=CléEnfantMalade</formula>
    </cfRule>
    <cfRule type="expression" dxfId="463" priority="8" stopIfTrue="1">
      <formula>C8=CléDemiRtt</formula>
    </cfRule>
    <cfRule type="expression" priority="9" stopIfTrue="1">
      <formula>C8=""</formula>
    </cfRule>
    <cfRule type="expression" dxfId="462" priority="10" stopIfTrue="1">
      <formula>C8=CléCongéMalade</formula>
    </cfRule>
    <cfRule type="expression" dxfId="461" priority="11" stopIfTrue="1">
      <formula>C8=CléCongé</formula>
    </cfRule>
    <cfRule type="expression" dxfId="460" priority="12" stopIfTrue="1">
      <formula>C8=CléRécupération</formula>
    </cfRule>
    <cfRule type="expression" dxfId="459" priority="13" stopIfTrue="1">
      <formula>C8=CléFormation</formula>
    </cfRule>
    <cfRule type="expression" dxfId="458" priority="14" stopIfTrue="1">
      <formula>C8=CléRTT</formula>
    </cfRule>
    <cfRule type="expression" dxfId="457" priority="15" stopIfTrue="1">
      <formula>C8=CléTélétravail</formula>
    </cfRule>
  </conditionalFormatting>
  <dataValidations count="1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C2975FCB-1223-B74D-A693-223600ACC9DE}"/>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0B6AC1ED-5B45-5C47-9018-82BEB881A4B9}"/>
    <dataValidation allowBlank="1" showInputMessage="1" showErrorMessage="1" prompt="La lettre « M » indique une absence pour cause de maladie" sqref="S3" xr:uid="{481B0CA8-D1DD-5245-A719-ECDD0A793283}"/>
    <dataValidation allowBlank="1" showInputMessage="1" showErrorMessage="1" prompt="Entrez une lettre et personnalisez l’étiquette à droite pour ajouter un élément de clé" sqref="M3" xr:uid="{B1CE2677-C082-A540-A1D0-13B87A62E7A9}"/>
    <dataValidation allowBlank="1" showInputMessage="1" showErrorMessage="1" prompt="Entrez une étiquette pour décrire la clé personnalisée à gauche" sqref="J2:J3" xr:uid="{3CCE56D1-5651-844C-9961-0F5B695C2D2D}"/>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6E21AA15-07EC-124C-8558-70E9D45EAB68}"/>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7F217003-CCEF-7B4C-B314-E0AC0315AABB}"/>
    <dataValidation allowBlank="1" showInputMessage="1" showErrorMessage="1" prompt="Le titre mis à jour automatiquement figure dans cette cellule. Pour modifier le titre, mettez à jour la cellule B1 de la feuille de calcul Janvier" sqref="B1" xr:uid="{65760958-6D36-554D-BFAC-65B14AC3BE91}"/>
    <dataValidation allowBlank="1" showInputMessage="1" showErrorMessage="1" prompt="Calcule automatiquement le nombre total de jours d’absence d’un employé durant ce mois dans cette colonne" sqref="AH7" xr:uid="{EC965676-0CCD-144A-8E87-E48A3238E9E1}"/>
    <dataValidation allowBlank="1" showInputMessage="1" showErrorMessage="1" prompt="Suivez les absences du mois de février dans cette feuille de calcul" sqref="A1" xr:uid="{DCD38D13-2AE8-E443-BE8C-8A45B8EFD412}"/>
    <dataValidation allowBlank="1" showErrorMessage="1" prompt="Entrez une étiquette pour décrire la clé personnalisée à gauche" sqref="N3" xr:uid="{3FD90DF7-F746-384F-90E1-8FDF702B5D35}"/>
    <dataValidation allowBlank="1" showErrorMessage="1" prompt="Entrez une lettre et personnalisez l’étiquette à droite pour ajouter un élément de clé" sqref="I2:I3" xr:uid="{999B0789-9769-834D-9C9E-3F4B171A8C4D}"/>
    <dataValidation allowBlank="1" showErrorMessage="1" prompt="La lettre « P » indique une absence pour motifs personnels" sqref="F3" xr:uid="{E5CB4047-F134-EF47-90D0-62DF789BB397}"/>
    <dataValidation allowBlank="1" showErrorMessage="1" prompt="La lettre « C » indique une absence pour cause de congé" sqref="C3" xr:uid="{AFA45F87-32F0-6848-AE6C-0E11F9B2DE4E}"/>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59AF29B-8E9C-254F-8C4B-4208649A9A62}"/>
    <dataValidation allowBlank="1" showErrorMessage="1" sqref="B2:B3" xr:uid="{0778C10D-80D3-4542-8567-06BE98088473}"/>
    <dataValidation allowBlank="1" showInputMessage="1" showErrorMessage="1" prompt="Année mise à jour automatiquement en fonction de l’année entrée dans la feuille de calcul Janvier" sqref="AK5" xr:uid="{316E5908-D010-274B-80FC-1B5013D4826E}"/>
  </dataValidations>
  <pageMargins left="0.7" right="0.7" top="0.75" bottom="0.75" header="0.3" footer="0.3"/>
  <pageSetup paperSize="9" fitToHeight="0" orientation="portrait" verticalDpi="4294967293" r:id="rId1"/>
  <legacy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D9EFFAA-FF7D-6043-ADB3-756367F44472}">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EDBEF5A3-6273-3246-944C-733C6563D89E}">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299B0925-68E6-984D-BADF-3C0190B25A12}">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D1C4935B-8629-5549-869E-F6FAD52F6C92}">
          <x14:formula1>
            <xm:f>'Noms des employés'!$B$4:$B$13</xm:f>
          </x14:formula1>
          <xm:sqref>B9:B18</xm:sqref>
        </x14:dataValidation>
        <x14:dataValidation type="list" allowBlank="1" showInputMessage="1" showErrorMessage="1" xr:uid="{50AFECC1-0D8C-EB4D-ABEF-B2397E89204F}">
          <x14:formula1>
            <xm:f>'Noms des employés'!$B$4:$B$7</xm:f>
          </x14:formula1>
          <xm:sqref>B8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8B9A17-16B1-4944-AA7A-08DB67BAA54A}">
  <sheetPr>
    <tabColor theme="2" tint="-0.499984740745262"/>
  </sheetPr>
  <dimension ref="A1:AK19"/>
  <sheetViews>
    <sheetView showGridLines="0" zoomScale="110" zoomScaleNormal="110" workbookViewId="0">
      <selection activeCell="B8" sqref="B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33203125" style="4" customWidth="1"/>
    <col min="35" max="36" width="13.33203125" customWidth="1"/>
    <col min="37" max="37" width="19.5" customWidth="1"/>
  </cols>
  <sheetData>
    <row r="1" spans="1:37" ht="50" customHeight="1">
      <c r="B1" s="5" t="str">
        <f>Titre_Absence_Employé</f>
        <v>Calendrier des absences des employés</v>
      </c>
    </row>
    <row r="2" spans="1:37"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7"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7" ht="15" customHeight="1">
      <c r="B4" s="5"/>
    </row>
    <row r="5" spans="1:37" ht="30" customHeight="1">
      <c r="B5" s="21" t="s">
        <v>44</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2">
        <f>AnnéeCalendrier</f>
        <v>2021</v>
      </c>
    </row>
    <row r="6" spans="1:37" ht="15" customHeight="1">
      <c r="B6" s="15"/>
      <c r="C6" s="58" t="str">
        <f>TEXT(WEEKDAY(DATE(AnnéeCalendrier,3,1),1),"jjj")</f>
        <v>lun</v>
      </c>
      <c r="D6" s="58" t="str">
        <f>TEXT(WEEKDAY(DATE(AnnéeCalendrier,3,2),1),"jjj")</f>
        <v>mar</v>
      </c>
      <c r="E6" s="58" t="str">
        <f>TEXT(WEEKDAY(DATE(AnnéeCalendrier,3,3),1),"jjj")</f>
        <v>mer</v>
      </c>
      <c r="F6" s="58" t="str">
        <f>TEXT(WEEKDAY(DATE(AnnéeCalendrier,3,4),1),"jjj")</f>
        <v>jeu</v>
      </c>
      <c r="G6" s="58" t="str">
        <f>TEXT(WEEKDAY(DATE(AnnéeCalendrier,3,5),1),"jjj")</f>
        <v>ven</v>
      </c>
      <c r="H6" s="58" t="str">
        <f>TEXT(WEEKDAY(DATE(AnnéeCalendrier,3,6),1),"jjj")</f>
        <v>sam</v>
      </c>
      <c r="I6" s="58" t="str">
        <f>TEXT(WEEKDAY(DATE(AnnéeCalendrier,3,7),1),"jjj")</f>
        <v>dim</v>
      </c>
      <c r="J6" s="58" t="str">
        <f>TEXT(WEEKDAY(DATE(AnnéeCalendrier,3,8),1),"jjj")</f>
        <v>lun</v>
      </c>
      <c r="K6" s="58" t="str">
        <f>TEXT(WEEKDAY(DATE(AnnéeCalendrier,3,9),1),"jjj")</f>
        <v>mar</v>
      </c>
      <c r="L6" s="58" t="str">
        <f>TEXT(WEEKDAY(DATE(AnnéeCalendrier,3,10),1),"jjj")</f>
        <v>mer</v>
      </c>
      <c r="M6" s="58" t="str">
        <f>TEXT(WEEKDAY(DATE(AnnéeCalendrier,3,11),1),"jjj")</f>
        <v>jeu</v>
      </c>
      <c r="N6" s="58" t="str">
        <f>TEXT(WEEKDAY(DATE(AnnéeCalendrier,3,12),1),"jjj")</f>
        <v>ven</v>
      </c>
      <c r="O6" s="58" t="str">
        <f>TEXT(WEEKDAY(DATE(AnnéeCalendrier,3,13),1),"jjj")</f>
        <v>sam</v>
      </c>
      <c r="P6" s="58" t="str">
        <f>TEXT(WEEKDAY(DATE(AnnéeCalendrier,3,14),1),"jjj")</f>
        <v>dim</v>
      </c>
      <c r="Q6" s="58" t="str">
        <f>TEXT(WEEKDAY(DATE(AnnéeCalendrier,3,15),1),"jjj")</f>
        <v>lun</v>
      </c>
      <c r="R6" s="58" t="str">
        <f>TEXT(WEEKDAY(DATE(AnnéeCalendrier,3,16),1),"jjj")</f>
        <v>mar</v>
      </c>
      <c r="S6" s="58" t="str">
        <f>TEXT(WEEKDAY(DATE(AnnéeCalendrier,3,17),1),"jjj")</f>
        <v>mer</v>
      </c>
      <c r="T6" s="58" t="str">
        <f>TEXT(WEEKDAY(DATE(AnnéeCalendrier,3,18),1),"jjj")</f>
        <v>jeu</v>
      </c>
      <c r="U6" s="58" t="str">
        <f>TEXT(WEEKDAY(DATE(AnnéeCalendrier,3,19),1),"jjj")</f>
        <v>ven</v>
      </c>
      <c r="V6" s="58" t="str">
        <f>TEXT(WEEKDAY(DATE(AnnéeCalendrier,3,20),1),"jjj")</f>
        <v>sam</v>
      </c>
      <c r="W6" s="58" t="str">
        <f>TEXT(WEEKDAY(DATE(AnnéeCalendrier,3,21),1),"jjj")</f>
        <v>dim</v>
      </c>
      <c r="X6" s="58" t="str">
        <f>TEXT(WEEKDAY(DATE(AnnéeCalendrier,3,22),1),"jjj")</f>
        <v>lun</v>
      </c>
      <c r="Y6" s="58" t="str">
        <f>TEXT(WEEKDAY(DATE(AnnéeCalendrier,3,23),1),"jjj")</f>
        <v>mar</v>
      </c>
      <c r="Z6" s="58" t="str">
        <f>TEXT(WEEKDAY(DATE(AnnéeCalendrier,3,24),1),"jjj")</f>
        <v>mer</v>
      </c>
      <c r="AA6" s="58" t="str">
        <f>TEXT(WEEKDAY(DATE(AnnéeCalendrier,3,25),1),"jjj")</f>
        <v>jeu</v>
      </c>
      <c r="AB6" s="58" t="str">
        <f>TEXT(WEEKDAY(DATE(AnnéeCalendrier,3,26),1),"jjj")</f>
        <v>ven</v>
      </c>
      <c r="AC6" s="58" t="str">
        <f>TEXT(WEEKDAY(DATE(AnnéeCalendrier,3,27),1),"jjj")</f>
        <v>sam</v>
      </c>
      <c r="AD6" s="58" t="str">
        <f>TEXT(WEEKDAY(DATE(AnnéeCalendrier,3,28),1),"jjj")</f>
        <v>dim</v>
      </c>
      <c r="AE6" s="58" t="str">
        <f>TEXT(WEEKDAY(DATE(AnnéeCalendrier,3,29),1),"jjj")</f>
        <v>lun</v>
      </c>
      <c r="AF6" s="58" t="str">
        <f>TEXT(WEEKDAY(DATE(AnnéeCalendrier,3,30),1),"jjj")</f>
        <v>mar</v>
      </c>
      <c r="AG6" s="58" t="str">
        <f>TEXT(WEEKDAY(DATE(AnnéeCalendrier,3,31),1),"jjj")</f>
        <v>mer</v>
      </c>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67</v>
      </c>
      <c r="AI7" s="27" t="s">
        <v>78</v>
      </c>
      <c r="AJ7" s="27" t="s">
        <v>98</v>
      </c>
      <c r="AK7" s="34" t="s">
        <v>75</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Février!AK9-Mars[[#This Row],[Dont RTT]]+2</f>
        <v>9</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Février!AK10-Mars[[#This Row],[Dont RTT]]+2</f>
        <v>17</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Février!AK13-Mars[[#This Row],[Dont RTT]]+2</f>
        <v>8.93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Février!AK14-Mars[[#This Row],[Dont RTT]]+2</f>
        <v>8.5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Février!AK15-Mars[[#This Row],[Dont RTT]]+2</f>
        <v>11.5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Février!AK16-Mars[[#This Row],[Dont RTT]]+2</f>
        <v>8.16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Février!AK17-Mars[[#This Row],[Dont RTT]]+2</f>
        <v>17</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Février!AK18-Mars[[#This Row],[Dont RTT]]+2</f>
        <v>8.5</v>
      </c>
    </row>
    <row r="19" spans="2:37" ht="30" customHeight="1">
      <c r="B19" s="30" t="str">
        <f>NomMois&amp;" Total"</f>
        <v>Mars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31">
        <f>SUBTOTAL(109,Mars[Total absence])</f>
        <v>0</v>
      </c>
      <c r="AI19" s="28">
        <f>SUBTOTAL(109,Mars[Dont RTT])</f>
        <v>0</v>
      </c>
      <c r="AJ19" s="37">
        <f>SUBTOTAL(109,Mars[Dont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K1 AK19:AK1048576 AK4 AK7">
    <cfRule type="containsText" dxfId="456" priority="229" stopIfTrue="1" operator="containsText" text="dim">
      <formula>NOT(ISERROR(SEARCH("dim",AK1)))</formula>
    </cfRule>
  </conditionalFormatting>
  <conditionalFormatting sqref="C6:AG6">
    <cfRule type="containsText" dxfId="455" priority="138" stopIfTrue="1" operator="containsText" text="dim">
      <formula>NOT(ISERROR(SEARCH("dim",C6)))</formula>
    </cfRule>
  </conditionalFormatting>
  <conditionalFormatting sqref="AH7">
    <cfRule type="containsText" dxfId="454" priority="137" stopIfTrue="1" operator="containsText" text="dim">
      <formula>NOT(ISERROR(SEARCH("dim",AH7)))</formula>
    </cfRule>
  </conditionalFormatting>
  <conditionalFormatting sqref="AI19">
    <cfRule type="containsText" dxfId="453" priority="136" stopIfTrue="1" operator="containsText" text="dim">
      <formula>NOT(ISERROR(SEARCH("dim",AI19)))</formula>
    </cfRule>
  </conditionalFormatting>
  <conditionalFormatting sqref="C19:AG19">
    <cfRule type="containsText" dxfId="452" priority="115" stopIfTrue="1" operator="containsText" text="dim">
      <formula>NOT(ISERROR(SEARCH("dim",C19)))</formula>
    </cfRule>
  </conditionalFormatting>
  <conditionalFormatting sqref="AL3:XFD3 A2:A3 AG2:XFD2">
    <cfRule type="containsText" dxfId="451" priority="113" stopIfTrue="1" operator="containsText" text="dim">
      <formula>NOT(ISERROR(SEARCH("dim",A2)))</formula>
    </cfRule>
  </conditionalFormatting>
  <conditionalFormatting sqref="AJ19">
    <cfRule type="containsText" dxfId="450" priority="88" stopIfTrue="1" operator="containsText" text="dim">
      <formula>NOT(ISERROR(SEARCH("dim",AJ19)))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{5CB279B6-4F87-2642-8169-EAF3DA085A3D}</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{70B0D600-AA18-6E4E-88AF-E716FF444CDB}</x14:id>
        </ext>
      </extLst>
    </cfRule>
    <cfRule type="containsText" dxfId="449"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{8689CD13-DB79-F947-A7CD-0135813A8595}</x14:id>
        </ext>
      </extLst>
    </cfRule>
  </conditionalFormatting>
  <conditionalFormatting sqref="B3:D3 F2:G3 M3:N3 Q3 S3:T3 V2:W3 I2:J3">
    <cfRule type="containsText" dxfId="448" priority="35" stopIfTrue="1" operator="containsText" text="dim">
      <formula>NOT(ISERROR(SEARCH("dim",B2)))</formula>
    </cfRule>
  </conditionalFormatting>
  <conditionalFormatting sqref="V2:W2">
    <cfRule type="containsText" dxfId="447" priority="34" stopIfTrue="1" operator="containsText" text="dim">
      <formula>NOT(ISERROR(SEARCH("dim",V2)))</formula>
    </cfRule>
  </conditionalFormatting>
  <conditionalFormatting sqref="AA2">
    <cfRule type="containsText" dxfId="446" priority="33" stopIfTrue="1" operator="containsText" text="dim">
      <formula>NOT(ISERROR(SEARCH("dim",AA2)))</formula>
    </cfRule>
  </conditionalFormatting>
  <conditionalFormatting sqref="AA2">
    <cfRule type="containsText" dxfId="445" priority="32" stopIfTrue="1" operator="containsText" text="dim">
      <formula>NOT(ISERROR(SEARCH("dim",AA2)))</formula>
    </cfRule>
  </conditionalFormatting>
  <conditionalFormatting sqref="P3">
    <cfRule type="expression" dxfId="444" priority="18" stopIfTrue="1">
      <formula>P3=CléNonTravaillé</formula>
    </cfRule>
    <cfRule type="expression" dxfId="443" priority="19" stopIfTrue="1">
      <formula>P3=CléPrésenceExceptionnelle</formula>
    </cfRule>
    <cfRule type="expression" dxfId="442" priority="20" stopIfTrue="1">
      <formula>P3=CléCongéSpécial</formula>
    </cfRule>
    <cfRule type="expression" dxfId="441" priority="21" stopIfTrue="1">
      <formula>P3=CléDemiRécupération</formula>
    </cfRule>
    <cfRule type="expression" dxfId="440" priority="22" stopIfTrue="1">
      <formula>P3=CléDemiEnfantMalade</formula>
    </cfRule>
    <cfRule type="expression" dxfId="439" priority="23" stopIfTrue="1">
      <formula>P3=CléEnfantMalade</formula>
    </cfRule>
    <cfRule type="expression" dxfId="438" priority="24" stopIfTrue="1">
      <formula>P3=CléDemiRtt</formula>
    </cfRule>
    <cfRule type="expression" priority="25" stopIfTrue="1">
      <formula>P3=""</formula>
    </cfRule>
    <cfRule type="expression" dxfId="437" priority="26" stopIfTrue="1">
      <formula>P3=CléMaladie</formula>
    </cfRule>
    <cfRule type="expression" dxfId="436" priority="27" stopIfTrue="1">
      <formula>P3=CléCongé</formula>
    </cfRule>
    <cfRule type="expression" dxfId="435" priority="28" stopIfTrue="1">
      <formula>P3=CléRécupération</formula>
    </cfRule>
    <cfRule type="expression" dxfId="434" priority="29" stopIfTrue="1">
      <formula>P3=CléFormation</formula>
    </cfRule>
    <cfRule type="expression" dxfId="433" priority="30" stopIfTrue="1">
      <formula>P3=CléRTT</formula>
    </cfRule>
    <cfRule type="expression" dxfId="432" priority="31" stopIfTrue="1">
      <formula>P3=CléTélétravail</formula>
    </cfRule>
  </conditionalFormatting>
  <conditionalFormatting sqref="AA3">
    <cfRule type="containsText" dxfId="431" priority="17" stopIfTrue="1" operator="containsText" text="dim">
      <formula>NOT(ISERROR(SEARCH("dim",AA3)))</formula>
    </cfRule>
  </conditionalFormatting>
  <conditionalFormatting sqref="AA3">
    <cfRule type="containsText" dxfId="430" priority="16" stopIfTrue="1" operator="containsText" text="dim">
      <formula>NOT(ISERROR(SEARCH("dim",AA3)))</formula>
    </cfRule>
  </conditionalFormatting>
  <conditionalFormatting sqref="C8:AG18">
    <cfRule type="expression" dxfId="429" priority="1" stopIfTrue="1">
      <formula>C8=CléAbsenceJustifiée</formula>
    </cfRule>
    <cfRule type="expression" dxfId="428" priority="2" stopIfTrue="1">
      <formula>C8=CléNonTravaillé</formula>
    </cfRule>
    <cfRule type="expression" dxfId="427" priority="3" stopIfTrue="1">
      <formula>C8=CléPrésenceExceptionnelle</formula>
    </cfRule>
    <cfRule type="expression" dxfId="426" priority="4" stopIfTrue="1">
      <formula>C8=CléCongéSpécial</formula>
    </cfRule>
    <cfRule type="expression" dxfId="425" priority="5" stopIfTrue="1">
      <formula>C8=CléDemiRécupération</formula>
    </cfRule>
    <cfRule type="expression" dxfId="424" priority="6" stopIfTrue="1">
      <formula>C8=CléDemiEnfantMalade</formula>
    </cfRule>
    <cfRule type="expression" dxfId="423" priority="7" stopIfTrue="1">
      <formula>C8=CléEnfantMalade</formula>
    </cfRule>
    <cfRule type="expression" dxfId="422" priority="8" stopIfTrue="1">
      <formula>C8=CléDemiRtt</formula>
    </cfRule>
    <cfRule type="expression" priority="9" stopIfTrue="1">
      <formula>C8=""</formula>
    </cfRule>
    <cfRule type="expression" dxfId="421" priority="10" stopIfTrue="1">
      <formula>C8=CléCongéMalade</formula>
    </cfRule>
    <cfRule type="expression" dxfId="420" priority="11" stopIfTrue="1">
      <formula>C8=CléCongé</formula>
    </cfRule>
    <cfRule type="expression" dxfId="419" priority="12" stopIfTrue="1">
      <formula>C8=CléRécupération</formula>
    </cfRule>
    <cfRule type="expression" dxfId="418" priority="13" stopIfTrue="1">
      <formula>C8=CléFormation</formula>
    </cfRule>
    <cfRule type="expression" dxfId="417" priority="14" stopIfTrue="1">
      <formula>C8=CléRTT</formula>
    </cfRule>
    <cfRule type="expression" dxfId="416" priority="15" stopIfTrue="1">
      <formula>C8=CléTélétravail</formula>
    </cfRule>
  </conditionalFormatting>
  <dataValidations count="16">
    <dataValidation allowBlank="1" showInputMessage="1" showErrorMessage="1" prompt="Calcule automatiquement le nombre total de jours d’absence d’un employé durant ce mois dans cette colonne" sqref="AH7" xr:uid="{392E3765-5967-5F49-9AA4-97454329BF7F}"/>
    <dataValidation allowBlank="1" showInputMessage="1" showErrorMessage="1" prompt="Suivez les absences du mois de mars dans cette feuille de calcul" sqref="A1" xr:uid="{B958DC82-5BB3-6F4D-B847-4D1FBE7EEA77}"/>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B4197EEA-4B58-8E41-A3C9-8E05FB2035F4}"/>
    <dataValidation allowBlank="1" showInputMessage="1" showErrorMessage="1" prompt="La lettre « M » indique une absence pour cause de maladie" sqref="AG10 U10 S3" xr:uid="{0805F197-3C45-5D44-8532-45E2BF4064E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EF5B19EF-6C6D-F445-806F-C1AF7F688E6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B5857D76-BC94-664F-84C7-0012CDC21CE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5421F493-A31F-8648-8CC2-873E0B9CED9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EB96700F-AF7B-8044-9396-0968816A3B1A}"/>
    <dataValidation allowBlank="1" showErrorMessage="1" sqref="B1:Y1 B2:B3" xr:uid="{834BA3B8-AE7C-F641-9116-D4379DF82498}"/>
    <dataValidation allowBlank="1" showErrorMessage="1" prompt="Entrez une étiquette pour décrire la clé personnalisée à gauche" sqref="N3" xr:uid="{1110D081-4450-D24F-8E89-E5060A420017}"/>
    <dataValidation allowBlank="1" showErrorMessage="1" prompt="Entrez une lettre et personnalisez l’étiquette à droite pour ajouter un élément de clé" sqref="I2:I3" xr:uid="{3C943EFA-6AF0-F040-9A3B-C5C8C8C181F6}"/>
    <dataValidation allowBlank="1" showInputMessage="1" showErrorMessage="1" prompt="Entrez une étiquette pour décrire la clé personnalisée à gauche" sqref="J2:J3" xr:uid="{90BE1D7F-8FFA-5D45-9E40-456CC1EC8194}"/>
    <dataValidation allowBlank="1" showInputMessage="1" showErrorMessage="1" prompt="Entrez une lettre et personnalisez l’étiquette à droite pour ajouter un élément de clé" sqref="M3" xr:uid="{6249C861-3CF7-8044-A522-5BD470DA5AE0}"/>
    <dataValidation allowBlank="1" showErrorMessage="1" prompt="La lettre « P » indique une absence pour motifs personnels" sqref="F3" xr:uid="{F6CA74E1-27E1-994B-BAA2-EBB35E820E11}"/>
    <dataValidation allowBlank="1" showErrorMessage="1" prompt="La lettre « C » indique une absence pour cause de congé" sqref="C3" xr:uid="{285882F3-4FE2-A842-AD1E-82EB0627E773}"/>
    <dataValidation allowBlank="1" showInputMessage="1" showErrorMessage="1" prompt="Année mise à jour automatiquement en fonction de l’année entrée dans la feuille de calcul Janvier" sqref="AK5" xr:uid="{39196C44-96C9-5F49-B489-3E9FF48C5841}"/>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CB279B6-4F87-2642-8169-EAF3DA085A3D}">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70B0D600-AA18-6E4E-88AF-E716FF444CDB}">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8689CD13-DB79-F947-A7CD-0135813A8595}">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DC17AE2F-E03A-024D-B22F-0617EB2AC7B0}">
          <x14:formula1>
            <xm:f>'Noms des employés'!$B$4:$B$13</xm:f>
          </x14:formula1>
          <xm:sqref>B8:B18</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B1A6BD-3DC0-4145-BF9B-10A476ED778C}">
  <sheetPr>
    <tabColor theme="2" tint="-0.249977111117893"/>
  </sheetPr>
  <dimension ref="A1:AK19"/>
  <sheetViews>
    <sheetView showGridLines="0" zoomScale="110" zoomScaleNormal="110" workbookViewId="0">
      <selection activeCell="B9" sqref="B9"/>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21.5" customWidth="1"/>
  </cols>
  <sheetData>
    <row r="1" spans="1:37" ht="50" customHeight="1">
      <c r="B1" s="5" t="str">
        <f>Titre_Absence_Employé</f>
        <v>Calendrier des absences des employés</v>
      </c>
    </row>
    <row r="2" spans="1:37"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7"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7" ht="15" customHeight="1">
      <c r="B4" s="5"/>
    </row>
    <row r="5" spans="1:37" ht="30" customHeight="1">
      <c r="B5" s="21" t="s">
        <v>45</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2">
        <f>AnnéeCalendrier</f>
        <v>2021</v>
      </c>
    </row>
    <row r="6" spans="1:37" ht="15" customHeight="1">
      <c r="B6" s="15"/>
      <c r="C6" s="58" t="str">
        <f>TEXT(WEEKDAY(DATE(AnnéeCalendrier,4,1),1),"jjj")</f>
        <v>jeu</v>
      </c>
      <c r="D6" s="58" t="str">
        <f>TEXT(WEEKDAY(DATE(AnnéeCalendrier,4,2),1),"jjj")</f>
        <v>ven</v>
      </c>
      <c r="E6" s="58" t="str">
        <f>TEXT(WEEKDAY(DATE(AnnéeCalendrier,4,3),1),"jjj")</f>
        <v>sam</v>
      </c>
      <c r="F6" s="58" t="str">
        <f>TEXT(WEEKDAY(DATE(AnnéeCalendrier,4,4),1),"jjj")</f>
        <v>dim</v>
      </c>
      <c r="G6" s="58" t="str">
        <f>TEXT(WEEKDAY(DATE(AnnéeCalendrier,4,5),1),"jjj")</f>
        <v>lun</v>
      </c>
      <c r="H6" s="58" t="str">
        <f>TEXT(WEEKDAY(DATE(AnnéeCalendrier,4,6),1),"jjj")</f>
        <v>mar</v>
      </c>
      <c r="I6" s="58" t="str">
        <f>TEXT(WEEKDAY(DATE(AnnéeCalendrier,4,7),1),"jjj")</f>
        <v>mer</v>
      </c>
      <c r="J6" s="58" t="str">
        <f>TEXT(WEEKDAY(DATE(AnnéeCalendrier,4,8),1),"jjj")</f>
        <v>jeu</v>
      </c>
      <c r="K6" s="58" t="str">
        <f>TEXT(WEEKDAY(DATE(AnnéeCalendrier,4,9),1),"jjj")</f>
        <v>ven</v>
      </c>
      <c r="L6" s="58" t="str">
        <f>TEXT(WEEKDAY(DATE(AnnéeCalendrier,4,10),1),"jjj")</f>
        <v>sam</v>
      </c>
      <c r="M6" s="58" t="str">
        <f>TEXT(WEEKDAY(DATE(AnnéeCalendrier,4,11),1),"jjj")</f>
        <v>dim</v>
      </c>
      <c r="N6" s="58" t="str">
        <f>TEXT(WEEKDAY(DATE(AnnéeCalendrier,4,12),1),"jjj")</f>
        <v>lun</v>
      </c>
      <c r="O6" s="58" t="str">
        <f>TEXT(WEEKDAY(DATE(AnnéeCalendrier,4,13),1),"jjj")</f>
        <v>mar</v>
      </c>
      <c r="P6" s="58" t="str">
        <f>TEXT(WEEKDAY(DATE(AnnéeCalendrier,4,14),1),"jjj")</f>
        <v>mer</v>
      </c>
      <c r="Q6" s="58" t="str">
        <f>TEXT(WEEKDAY(DATE(AnnéeCalendrier,4,15),1),"jjj")</f>
        <v>jeu</v>
      </c>
      <c r="R6" s="58" t="str">
        <f>TEXT(WEEKDAY(DATE(AnnéeCalendrier,4,16),1),"jjj")</f>
        <v>ven</v>
      </c>
      <c r="S6" s="58" t="str">
        <f>TEXT(WEEKDAY(DATE(AnnéeCalendrier,4,17),1),"jjj")</f>
        <v>sam</v>
      </c>
      <c r="T6" s="58" t="str">
        <f>TEXT(WEEKDAY(DATE(AnnéeCalendrier,4,18),1),"jjj")</f>
        <v>dim</v>
      </c>
      <c r="U6" s="58" t="str">
        <f>TEXT(WEEKDAY(DATE(AnnéeCalendrier,4,19),1),"jjj")</f>
        <v>lun</v>
      </c>
      <c r="V6" s="58" t="str">
        <f>TEXT(WEEKDAY(DATE(AnnéeCalendrier,4,20),1),"jjj")</f>
        <v>mar</v>
      </c>
      <c r="W6" s="58" t="str">
        <f>TEXT(WEEKDAY(DATE(AnnéeCalendrier,4,21),1),"jjj")</f>
        <v>mer</v>
      </c>
      <c r="X6" s="58" t="str">
        <f>TEXT(WEEKDAY(DATE(AnnéeCalendrier,4,22),1),"jjj")</f>
        <v>jeu</v>
      </c>
      <c r="Y6" s="58" t="str">
        <f>TEXT(WEEKDAY(DATE(AnnéeCalendrier,4,23),1),"jjj")</f>
        <v>ven</v>
      </c>
      <c r="Z6" s="58" t="str">
        <f>TEXT(WEEKDAY(DATE(AnnéeCalendrier,4,24),1),"jjj")</f>
        <v>sam</v>
      </c>
      <c r="AA6" s="58" t="str">
        <f>TEXT(WEEKDAY(DATE(AnnéeCalendrier,4,25),1),"jjj")</f>
        <v>dim</v>
      </c>
      <c r="AB6" s="58" t="str">
        <f>TEXT(WEEKDAY(DATE(AnnéeCalendrier,4,26),1),"jjj")</f>
        <v>lun</v>
      </c>
      <c r="AC6" s="58" t="str">
        <f>TEXT(WEEKDAY(DATE(AnnéeCalendrier,4,27),1),"jjj")</f>
        <v>mar</v>
      </c>
      <c r="AD6" s="58" t="str">
        <f>TEXT(WEEKDAY(DATE(AnnéeCalendrier,4,28),1),"jjj")</f>
        <v>mer</v>
      </c>
      <c r="AE6" s="58" t="str">
        <f>TEXT(WEEKDAY(DATE(AnnéeCalendrier,4,29),1),"jjj")</f>
        <v>jeu</v>
      </c>
      <c r="AF6" s="58" t="str">
        <f>TEXT(WEEKDAY(DATE(AnnéeCalendrier,4,30),1),"jjj")</f>
        <v>ven</v>
      </c>
      <c r="AG6" s="58"/>
      <c r="AH6" s="12"/>
      <c r="AI6" s="12"/>
      <c r="AJ6" s="12"/>
      <c r="AK6" s="12"/>
    </row>
    <row r="7" spans="1:37" ht="34" customHeight="1">
      <c r="B7" s="44" t="s">
        <v>3</v>
      </c>
      <c r="C7" s="14" t="s">
        <v>6</v>
      </c>
      <c r="D7" s="14" t="s">
        <v>8</v>
      </c>
      <c r="E7" s="14" t="s">
        <v>9</v>
      </c>
      <c r="F7" s="14" t="s">
        <v>10</v>
      </c>
      <c r="G7" s="5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34" t="s">
        <v>76</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Mars!AK9-Avril[[#This Row],[Dont RTT]]+2</f>
        <v>11</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Mars!AK10-Avril[[#This Row],[Dont RTT]]+2</f>
        <v>19</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Mars!AK13-Avril[[#This Row],[Dont RTT]]+2</f>
        <v>10.93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Mars!AK14-Avril[[#This Row],[Dont RTT]]+2</f>
        <v>10.5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Mars!AK15-Avril[[#This Row],[Dont RTT]]+2</f>
        <v>13.5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Mars!AK16-Avril[[#This Row],[Dont RTT]]+2</f>
        <v>10.16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Mars!AK17-Avril[[#This Row],[Dont RTT]]+2</f>
        <v>19</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Mars!AK18-Avril[[#This Row],[Dont RTT]]+2</f>
        <v>10.5</v>
      </c>
    </row>
    <row r="19" spans="2:37" ht="30" customHeight="1">
      <c r="B19" s="30" t="str">
        <f>NomMois&amp;" Total"</f>
        <v>Avril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SUBTOTAL(109,Avril[Total absence])</f>
        <v>0</v>
      </c>
      <c r="AI19" s="28">
        <f>SUBTOTAL(109,Avril[Dont RTT])</f>
        <v>0</v>
      </c>
      <c r="AJ19" s="37">
        <f>SUBTOTAL(109,Avril[Dont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K1 AK19:AK1048576 AK4 AK7">
    <cfRule type="containsText" dxfId="415" priority="293" stopIfTrue="1" operator="containsText" text="dim">
      <formula>NOT(ISERROR(SEARCH("dim",AK1)))</formula>
    </cfRule>
  </conditionalFormatting>
  <conditionalFormatting sqref="C6:AG6">
    <cfRule type="containsText" dxfId="414" priority="228" stopIfTrue="1" operator="containsText" text="dim">
      <formula>NOT(ISERROR(SEARCH("dim",C6)))</formula>
    </cfRule>
  </conditionalFormatting>
  <conditionalFormatting sqref="AH7">
    <cfRule type="containsText" dxfId="413" priority="227" stopIfTrue="1" operator="containsText" text="dim">
      <formula>NOT(ISERROR(SEARCH("dim",AH7)))</formula>
    </cfRule>
  </conditionalFormatting>
  <conditionalFormatting sqref="AI19">
    <cfRule type="containsText" dxfId="412" priority="225" stopIfTrue="1" operator="containsText" text="dim">
      <formula>NOT(ISERROR(SEARCH("dim",AI19)))</formula>
    </cfRule>
  </conditionalFormatting>
  <conditionalFormatting sqref="C19:AG19">
    <cfRule type="containsText" dxfId="411" priority="204" stopIfTrue="1" operator="containsText" text="dim">
      <formula>NOT(ISERROR(SEARCH("dim",C19)))</formula>
    </cfRule>
  </conditionalFormatting>
  <conditionalFormatting sqref="AL3:XFD3 A2:A3 AG2:XFD2">
    <cfRule type="containsText" dxfId="410" priority="201" stopIfTrue="1" operator="containsText" text="dim">
      <formula>NOT(ISERROR(SEARCH("dim",A2)))</formula>
    </cfRule>
  </conditionalFormatting>
  <conditionalFormatting sqref="AJ19">
    <cfRule type="containsText" dxfId="409" priority="88" stopIfTrue="1" operator="containsText" text="dim">
      <formula>NOT(ISERROR(SEARCH("dim",AJ19)))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{42F8202A-5499-A748-B68E-322587385001}</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{5F766FC9-B2C4-EE49-B646-5D7E9D7BE408}</x14:id>
        </ext>
      </extLst>
    </cfRule>
    <cfRule type="containsText" dxfId="408"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{1F9B411A-F363-C244-8866-506AEC24FA67}</x14:id>
        </ext>
      </extLst>
    </cfRule>
  </conditionalFormatting>
  <conditionalFormatting sqref="B3:D3 F2:G3 M3:N3 Q3 S3:T3 V2:W3 I2:J3">
    <cfRule type="containsText" dxfId="407" priority="35" stopIfTrue="1" operator="containsText" text="dim">
      <formula>NOT(ISERROR(SEARCH("dim",B2)))</formula>
    </cfRule>
  </conditionalFormatting>
  <conditionalFormatting sqref="V2:W2">
    <cfRule type="containsText" dxfId="406" priority="34" stopIfTrue="1" operator="containsText" text="dim">
      <formula>NOT(ISERROR(SEARCH("dim",V2)))</formula>
    </cfRule>
  </conditionalFormatting>
  <conditionalFormatting sqref="AA2">
    <cfRule type="containsText" dxfId="405" priority="33" stopIfTrue="1" operator="containsText" text="dim">
      <formula>NOT(ISERROR(SEARCH("dim",AA2)))</formula>
    </cfRule>
  </conditionalFormatting>
  <conditionalFormatting sqref="AA2">
    <cfRule type="containsText" dxfId="404" priority="32" stopIfTrue="1" operator="containsText" text="dim">
      <formula>NOT(ISERROR(SEARCH("dim",AA2)))</formula>
    </cfRule>
  </conditionalFormatting>
  <conditionalFormatting sqref="P3">
    <cfRule type="expression" dxfId="403" priority="18" stopIfTrue="1">
      <formula>P3=CléNonTravaillé</formula>
    </cfRule>
    <cfRule type="expression" dxfId="402" priority="19" stopIfTrue="1">
      <formula>P3=CléPrésenceExceptionnelle</formula>
    </cfRule>
    <cfRule type="expression" dxfId="401" priority="20" stopIfTrue="1">
      <formula>P3=CléCongéSpécial</formula>
    </cfRule>
    <cfRule type="expression" dxfId="400" priority="21" stopIfTrue="1">
      <formula>P3=CléDemiRécupération</formula>
    </cfRule>
    <cfRule type="expression" dxfId="399" priority="22" stopIfTrue="1">
      <formula>P3=CléDemiEnfantMalade</formula>
    </cfRule>
    <cfRule type="expression" dxfId="398" priority="23" stopIfTrue="1">
      <formula>P3=CléEnfantMalade</formula>
    </cfRule>
    <cfRule type="expression" dxfId="397" priority="24" stopIfTrue="1">
      <formula>P3=CléDemiRtt</formula>
    </cfRule>
    <cfRule type="expression" priority="25" stopIfTrue="1">
      <formula>P3=""</formula>
    </cfRule>
    <cfRule type="expression" dxfId="396" priority="26" stopIfTrue="1">
      <formula>P3=CléMaladie</formula>
    </cfRule>
    <cfRule type="expression" dxfId="395" priority="27" stopIfTrue="1">
      <formula>P3=CléCongé</formula>
    </cfRule>
    <cfRule type="expression" dxfId="394" priority="28" stopIfTrue="1">
      <formula>P3=CléRécupération</formula>
    </cfRule>
    <cfRule type="expression" dxfId="393" priority="29" stopIfTrue="1">
      <formula>P3=CléFormation</formula>
    </cfRule>
    <cfRule type="expression" dxfId="392" priority="30" stopIfTrue="1">
      <formula>P3=CléRTT</formula>
    </cfRule>
    <cfRule type="expression" dxfId="391" priority="31" stopIfTrue="1">
      <formula>P3=CléTélétravail</formula>
    </cfRule>
  </conditionalFormatting>
  <conditionalFormatting sqref="AA3">
    <cfRule type="containsText" dxfId="390" priority="17" stopIfTrue="1" operator="containsText" text="dim">
      <formula>NOT(ISERROR(SEARCH("dim",AA3)))</formula>
    </cfRule>
  </conditionalFormatting>
  <conditionalFormatting sqref="AA3">
    <cfRule type="containsText" dxfId="389" priority="16" stopIfTrue="1" operator="containsText" text="dim">
      <formula>NOT(ISERROR(SEARCH("dim",AA3)))</formula>
    </cfRule>
  </conditionalFormatting>
  <conditionalFormatting sqref="C8:AG18">
    <cfRule type="expression" dxfId="388" priority="1" stopIfTrue="1">
      <formula>C8=CléAbsenceJustifiée</formula>
    </cfRule>
    <cfRule type="expression" dxfId="387" priority="2" stopIfTrue="1">
      <formula>C8=CléNonTravaillé</formula>
    </cfRule>
    <cfRule type="expression" dxfId="386" priority="3" stopIfTrue="1">
      <formula>C8=CléPrésenceExceptionnelle</formula>
    </cfRule>
    <cfRule type="expression" dxfId="385" priority="4" stopIfTrue="1">
      <formula>C8=CléCongéSpécial</formula>
    </cfRule>
    <cfRule type="expression" dxfId="384" priority="5" stopIfTrue="1">
      <formula>C8=CléDemiRécupération</formula>
    </cfRule>
    <cfRule type="expression" dxfId="383" priority="6" stopIfTrue="1">
      <formula>C8=CléDemiEnfantMalade</formula>
    </cfRule>
    <cfRule type="expression" dxfId="382" priority="7" stopIfTrue="1">
      <formula>C8=CléEnfantMalade</formula>
    </cfRule>
    <cfRule type="expression" dxfId="381" priority="8" stopIfTrue="1">
      <formula>C8=CléDemiRtt</formula>
    </cfRule>
    <cfRule type="expression" priority="9" stopIfTrue="1">
      <formula>C8=""</formula>
    </cfRule>
    <cfRule type="expression" dxfId="380" priority="10" stopIfTrue="1">
      <formula>C8=CléCongéMalade</formula>
    </cfRule>
    <cfRule type="expression" dxfId="379" priority="11" stopIfTrue="1">
      <formula>C8=CléCongé</formula>
    </cfRule>
    <cfRule type="expression" dxfId="378" priority="12" stopIfTrue="1">
      <formula>C8=CléRécupération</formula>
    </cfRule>
    <cfRule type="expression" dxfId="377" priority="13" stopIfTrue="1">
      <formula>C8=CléFormation</formula>
    </cfRule>
    <cfRule type="expression" dxfId="376" priority="14" stopIfTrue="1">
      <formula>C8=CléRTT</formula>
    </cfRule>
    <cfRule type="expression" dxfId="375" priority="15" stopIfTrue="1">
      <formula>C8=CléTélétravail</formula>
    </cfRule>
  </conditionalFormatting>
  <dataValidations count="1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FAE640D8-2DF5-8A40-8095-859BA0CD369A}"/>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5C01EDF2-F02E-204B-91E7-51833A8124D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83C5C1D8-EEFF-E54A-98F5-6F8ABEAFBAF8}"/>
    <dataValidation allowBlank="1" showInputMessage="1" showErrorMessage="1" prompt="Suivez les absences du mois d’avril dans cette feuille de calcul" sqref="A1" xr:uid="{7B7CE15F-E5C9-794F-9D3C-A766E4A4B1F4}"/>
    <dataValidation allowBlank="1" showInputMessage="1" showErrorMessage="1" prompt="Calcule automatiquement le nombre total de jours d’absence d’un employé durant ce mois dans cette colonne" sqref="AH7" xr:uid="{5F4A24E6-9F1E-5B41-AC8F-4F5BE45075B8}"/>
    <dataValidation allowBlank="1" showInputMessage="1" showErrorMessage="1" prompt="Année mise à jour automatiquement en fonction de l’année entrée dans la feuille de calcul Janvier" sqref="AH5 AK5" xr:uid="{254F797B-9BF2-5B4C-AFE9-7AC59BF5514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F2F441D1-AC04-5F4F-8690-C2535193761C}"/>
    <dataValidation allowBlank="1" showErrorMessage="1" prompt="Les jours de la semaine dans cette ligne sont mis à jour automatiquement pour le mois en fonction de l’année dans AH4. Chaque jour du mois est une colonne dans laquelle noter l’absence et le motif d’absence d’un employé" sqref="C6:AG6" xr:uid="{D031B0BE-D128-5B4D-AAE6-5F2DC6C3F2E8}"/>
    <dataValidation allowBlank="1" showErrorMessage="1" sqref="B1:Y1 B2:B3" xr:uid="{1CB90103-6C62-7341-A7BE-85111CC1CE28}"/>
    <dataValidation allowBlank="1" showErrorMessage="1" prompt="Entrez une étiquette pour décrire la clé personnalisée à gauche" sqref="N3" xr:uid="{570DA598-9A39-3748-B6AD-C55AD057E890}"/>
    <dataValidation allowBlank="1" showErrorMessage="1" prompt="Entrez une lettre et personnalisez l’étiquette à droite pour ajouter un élément de clé" sqref="I2:I3" xr:uid="{A961902C-688B-0049-B697-15BE49C86330}"/>
    <dataValidation allowBlank="1" showInputMessage="1" showErrorMessage="1" prompt="Entrez une étiquette pour décrire la clé personnalisée à gauche" sqref="J2:J3" xr:uid="{1CBF9181-0E70-B346-80C6-48A36C3D3A96}"/>
    <dataValidation allowBlank="1" showInputMessage="1" showErrorMessage="1" prompt="Entrez une lettre et personnalisez l’étiquette à droite pour ajouter un élément de clé" sqref="M3" xr:uid="{1D8A4C6C-F4B9-9D47-B5E1-CBFB1432C53E}"/>
    <dataValidation allowBlank="1" showInputMessage="1" showErrorMessage="1" prompt="La lettre « M » indique une absence pour cause de maladie" sqref="S3" xr:uid="{36636B44-814E-0646-912F-1D0C6541F2F5}"/>
    <dataValidation allowBlank="1" showErrorMessage="1" prompt="La lettre « P » indique une absence pour motifs personnels" sqref="F3" xr:uid="{7093A885-B279-8B4A-8D17-2972022A54F6}"/>
    <dataValidation allowBlank="1" showErrorMessage="1" prompt="La lettre « C » indique une absence pour cause de congé" sqref="C3" xr:uid="{2A8DC548-F288-2C44-97ED-2585FDECB243}"/>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2F8202A-5499-A748-B68E-322587385001}">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F766FC9-B2C4-EE49-B646-5D7E9D7BE408}">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1F9B411A-F363-C244-8866-506AEC24FA67}">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BF70D2B-B0BD-C548-BA96-FFB9C74A43B2}">
          <x14:formula1>
            <xm:f>'Noms des employés'!$B$4:$B$13</xm:f>
          </x14:formula1>
          <xm:sqref>B8:B18</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1CAFAF-1336-6947-BBC3-260FC00327A7}">
  <sheetPr>
    <tabColor theme="2" tint="-9.9978637043366805E-2"/>
  </sheetPr>
  <dimension ref="A1:AK19"/>
  <sheetViews>
    <sheetView showGridLines="0" zoomScale="110" zoomScaleNormal="110" workbookViewId="0">
      <selection activeCell="A7" sqref="A7:XFD7"/>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21" customWidth="1"/>
    <col min="38" max="38" width="2.6640625" customWidth="1"/>
  </cols>
  <sheetData>
    <row r="1" spans="1:37" ht="50" customHeight="1">
      <c r="B1" s="5" t="str">
        <f>Titre_Absence_Employé</f>
        <v>Calendrier des absences des employés</v>
      </c>
    </row>
    <row r="2" spans="1:37"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7"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7" ht="15" customHeight="1">
      <c r="B4" s="5"/>
    </row>
    <row r="5" spans="1:37" ht="30" customHeight="1">
      <c r="B5" s="21" t="s">
        <v>46</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2">
        <f>AnnéeCalendrier</f>
        <v>2021</v>
      </c>
    </row>
    <row r="6" spans="1:37" ht="15" customHeight="1">
      <c r="B6" s="15"/>
      <c r="C6" s="58" t="str">
        <f>TEXT(WEEKDAY(DATE(AnnéeCalendrier,5,1),1),"jjj")</f>
        <v>sam</v>
      </c>
      <c r="D6" s="58" t="str">
        <f>TEXT(WEEKDAY(DATE(AnnéeCalendrier,5,2),1),"jjj")</f>
        <v>dim</v>
      </c>
      <c r="E6" s="58" t="str">
        <f>TEXT(WEEKDAY(DATE(AnnéeCalendrier,5,3),1),"jjj")</f>
        <v>lun</v>
      </c>
      <c r="F6" s="58" t="str">
        <f>TEXT(WEEKDAY(DATE(AnnéeCalendrier,5,4),1),"jjj")</f>
        <v>mar</v>
      </c>
      <c r="G6" s="58" t="str">
        <f>TEXT(WEEKDAY(DATE(AnnéeCalendrier,5,5),1),"jjj")</f>
        <v>mer</v>
      </c>
      <c r="H6" s="58" t="str">
        <f>TEXT(WEEKDAY(DATE(AnnéeCalendrier,5,6),1),"jjj")</f>
        <v>jeu</v>
      </c>
      <c r="I6" s="58" t="str">
        <f>TEXT(WEEKDAY(DATE(AnnéeCalendrier,5,7),1),"jjj")</f>
        <v>ven</v>
      </c>
      <c r="J6" s="58" t="str">
        <f>TEXT(WEEKDAY(DATE(AnnéeCalendrier,5,8),1),"jjj")</f>
        <v>sam</v>
      </c>
      <c r="K6" s="58" t="str">
        <f>TEXT(WEEKDAY(DATE(AnnéeCalendrier,5,9),1),"jjj")</f>
        <v>dim</v>
      </c>
      <c r="L6" s="58" t="str">
        <f>TEXT(WEEKDAY(DATE(AnnéeCalendrier,5,10),1),"jjj")</f>
        <v>lun</v>
      </c>
      <c r="M6" s="58" t="str">
        <f>TEXT(WEEKDAY(DATE(AnnéeCalendrier,5,11),1),"jjj")</f>
        <v>mar</v>
      </c>
      <c r="N6" s="58" t="str">
        <f>TEXT(WEEKDAY(DATE(AnnéeCalendrier,5,12),1),"jjj")</f>
        <v>mer</v>
      </c>
      <c r="O6" s="58" t="str">
        <f>TEXT(WEEKDAY(DATE(AnnéeCalendrier,5,13),1),"jjj")</f>
        <v>jeu</v>
      </c>
      <c r="P6" s="58" t="str">
        <f>TEXT(WEEKDAY(DATE(AnnéeCalendrier,5,14),1),"jjj")</f>
        <v>ven</v>
      </c>
      <c r="Q6" s="58" t="str">
        <f>TEXT(WEEKDAY(DATE(AnnéeCalendrier,5,15),1),"jjj")</f>
        <v>sam</v>
      </c>
      <c r="R6" s="58" t="str">
        <f>TEXT(WEEKDAY(DATE(AnnéeCalendrier,5,16),1),"jjj")</f>
        <v>dim</v>
      </c>
      <c r="S6" s="58" t="str">
        <f>TEXT(WEEKDAY(DATE(AnnéeCalendrier,5,17),1),"jjj")</f>
        <v>lun</v>
      </c>
      <c r="T6" s="58" t="str">
        <f>TEXT(WEEKDAY(DATE(AnnéeCalendrier,5,18),1),"jjj")</f>
        <v>mar</v>
      </c>
      <c r="U6" s="58" t="str">
        <f>TEXT(WEEKDAY(DATE(AnnéeCalendrier,5,19),1),"jjj")</f>
        <v>mer</v>
      </c>
      <c r="V6" s="58" t="str">
        <f>TEXT(WEEKDAY(DATE(AnnéeCalendrier,5,20),1),"jjj")</f>
        <v>jeu</v>
      </c>
      <c r="W6" s="58" t="str">
        <f>TEXT(WEEKDAY(DATE(AnnéeCalendrier,5,21),1),"jjj")</f>
        <v>ven</v>
      </c>
      <c r="X6" s="58" t="str">
        <f>TEXT(WEEKDAY(DATE(AnnéeCalendrier,5,22),1),"jjj")</f>
        <v>sam</v>
      </c>
      <c r="Y6" s="58" t="str">
        <f>TEXT(WEEKDAY(DATE(AnnéeCalendrier,5,23),1),"jjj")</f>
        <v>dim</v>
      </c>
      <c r="Z6" s="58" t="str">
        <f>TEXT(WEEKDAY(DATE(AnnéeCalendrier,5,24),1),"jjj")</f>
        <v>lun</v>
      </c>
      <c r="AA6" s="58" t="str">
        <f>TEXT(WEEKDAY(DATE(AnnéeCalendrier,5,25),1),"jjj")</f>
        <v>mar</v>
      </c>
      <c r="AB6" s="58" t="str">
        <f>TEXT(WEEKDAY(DATE(AnnéeCalendrier,5,26),1),"jjj")</f>
        <v>mer</v>
      </c>
      <c r="AC6" s="58" t="str">
        <f>TEXT(WEEKDAY(DATE(AnnéeCalendrier,5,27),1),"jjj")</f>
        <v>jeu</v>
      </c>
      <c r="AD6" s="58" t="str">
        <f>TEXT(WEEKDAY(DATE(AnnéeCalendrier,5,28),1),"jjj")</f>
        <v>ven</v>
      </c>
      <c r="AE6" s="58" t="str">
        <f>TEXT(WEEKDAY(DATE(AnnéeCalendrier,5,29),1),"jjj")</f>
        <v>sam</v>
      </c>
      <c r="AF6" s="58" t="str">
        <f>TEXT(WEEKDAY(DATE(AnnéeCalendrier,5,30),1),"jjj")</f>
        <v>dim</v>
      </c>
      <c r="AG6" s="58" t="str">
        <f>TEXT(WEEKDAY(DATE(AnnéeCalendrier,5,31),1),"jjj")</f>
        <v>lun</v>
      </c>
      <c r="AH6" s="12"/>
      <c r="AI6" s="12"/>
      <c r="AJ6" s="12"/>
      <c r="AK6" s="12"/>
    </row>
    <row r="7" spans="1:37" ht="34" customHeight="1">
      <c r="B7" s="13" t="s">
        <v>3</v>
      </c>
      <c r="C7" s="54" t="s">
        <v>6</v>
      </c>
      <c r="D7" s="14" t="s">
        <v>8</v>
      </c>
      <c r="E7" s="14" t="s">
        <v>9</v>
      </c>
      <c r="F7" s="14" t="s">
        <v>10</v>
      </c>
      <c r="G7" s="14" t="s">
        <v>12</v>
      </c>
      <c r="H7" s="14" t="s">
        <v>13</v>
      </c>
      <c r="I7" s="14" t="s">
        <v>14</v>
      </c>
      <c r="J7" s="54" t="s">
        <v>15</v>
      </c>
      <c r="K7" s="14" t="s">
        <v>16</v>
      </c>
      <c r="L7" s="14" t="s">
        <v>18</v>
      </c>
      <c r="M7" s="14" t="s">
        <v>19</v>
      </c>
      <c r="N7" s="14" t="s">
        <v>20</v>
      </c>
      <c r="O7" s="54" t="s">
        <v>21</v>
      </c>
      <c r="P7" s="14" t="s">
        <v>22</v>
      </c>
      <c r="Q7" s="14" t="s">
        <v>23</v>
      </c>
      <c r="R7" s="14" t="s">
        <v>24</v>
      </c>
      <c r="S7" s="14" t="s">
        <v>25</v>
      </c>
      <c r="T7" s="14" t="s">
        <v>26</v>
      </c>
      <c r="U7" s="14" t="s">
        <v>27</v>
      </c>
      <c r="V7" s="14" t="s">
        <v>28</v>
      </c>
      <c r="W7" s="14" t="s">
        <v>29</v>
      </c>
      <c r="X7" s="14" t="s">
        <v>30</v>
      </c>
      <c r="Y7" s="14" t="s">
        <v>31</v>
      </c>
      <c r="Z7" s="54" t="s">
        <v>32</v>
      </c>
      <c r="AA7" s="14" t="s">
        <v>33</v>
      </c>
      <c r="AB7" s="14" t="s">
        <v>34</v>
      </c>
      <c r="AC7" s="14" t="s">
        <v>35</v>
      </c>
      <c r="AD7" s="14" t="s">
        <v>36</v>
      </c>
      <c r="AE7" s="14" t="s">
        <v>37</v>
      </c>
      <c r="AF7" s="14" t="s">
        <v>38</v>
      </c>
      <c r="AG7" s="14" t="s">
        <v>39</v>
      </c>
      <c r="AH7" s="26" t="s">
        <v>67</v>
      </c>
      <c r="AI7" s="27" t="s">
        <v>78</v>
      </c>
      <c r="AJ7" s="27" t="s">
        <v>98</v>
      </c>
      <c r="AK7" s="34" t="s">
        <v>77</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Avril!AK9-Mai[[#This Row],[Dont RTT]]+2</f>
        <v>13</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Avril!AK10-Mai[[#This Row],[Dont RTT]]+2</f>
        <v>21</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Avril!AK13-Mai[[#This Row],[Dont RTT]]+2</f>
        <v>12.93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Avril!AK14-Mai[[#This Row],[Dont RTT]]+2</f>
        <v>12.5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Avril!AK15-Mai[[#This Row],[Dont RTT]]+2</f>
        <v>15.5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Avril!AK16-Mai[[#This Row],[Dont RTT]]+2</f>
        <v>12.16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Avril!AK17-Mai[[#This Row],[Dont RTT]]+2</f>
        <v>21</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Avril!AK18-Mai[[#This Row],[Dont RTT]]+2</f>
        <v>12.5</v>
      </c>
    </row>
    <row r="19" spans="2:37" ht="30" customHeight="1">
      <c r="B19" s="30" t="str">
        <f>NomMois&amp;" Total"</f>
        <v>Mai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SUBTOTAL(109,Mai[Total absence])</f>
        <v>0</v>
      </c>
      <c r="AI19" s="28">
        <f>SUBTOTAL(109,Mai[Dont RTT])</f>
        <v>0</v>
      </c>
      <c r="AJ19" s="28">
        <f>SUBTOTAL(109,Mai[Dont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374" priority="134" stopIfTrue="1" operator="containsText" text="dim">
      <formula>NOT(ISERROR(SEARCH("dim",C6)))</formula>
    </cfRule>
  </conditionalFormatting>
  <conditionalFormatting sqref="AH7">
    <cfRule type="containsText" dxfId="373" priority="133" stopIfTrue="1" operator="containsText" text="dim">
      <formula>NOT(ISERROR(SEARCH("dim",AH7)))</formula>
    </cfRule>
  </conditionalFormatting>
  <conditionalFormatting sqref="AI19:AJ19">
    <cfRule type="containsText" dxfId="372" priority="132" stopIfTrue="1" operator="containsText" text="dim">
      <formula>NOT(ISERROR(SEARCH("dim",AI19)))</formula>
    </cfRule>
  </conditionalFormatting>
  <conditionalFormatting sqref="C19:AG19">
    <cfRule type="containsText" dxfId="371" priority="111" stopIfTrue="1" operator="containsText" text="dim">
      <formula>NOT(ISERROR(SEARCH("dim",C19)))</formula>
    </cfRule>
  </conditionalFormatting>
  <conditionalFormatting sqref="AL3:XFD3 A2:A3 AG2:XFD2">
    <cfRule type="containsText" dxfId="370" priority="110" stopIfTrue="1" operator="containsText" text="dim">
      <formula>NOT(ISERROR(SEARCH("dim",A2)))</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{AEC18D99-472E-E94E-A351-1489322E6F41}</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{9697810A-697E-3E4B-921F-5D7A99EDADFE}</x14:id>
        </ext>
      </extLst>
    </cfRule>
    <cfRule type="containsText" dxfId="369"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{9E3B2396-D1E8-404F-ACE1-F54387A2756B}</x14:id>
        </ext>
      </extLst>
    </cfRule>
  </conditionalFormatting>
  <conditionalFormatting sqref="B3:D3 F2:G3 M3:N3 Q3 S3:T3 V2:W3 I2:J3">
    <cfRule type="containsText" dxfId="368" priority="35" stopIfTrue="1" operator="containsText" text="dim">
      <formula>NOT(ISERROR(SEARCH("dim",B2)))</formula>
    </cfRule>
  </conditionalFormatting>
  <conditionalFormatting sqref="V2:W2">
    <cfRule type="containsText" dxfId="367" priority="34" stopIfTrue="1" operator="containsText" text="dim">
      <formula>NOT(ISERROR(SEARCH("dim",V2)))</formula>
    </cfRule>
  </conditionalFormatting>
  <conditionalFormatting sqref="AA2">
    <cfRule type="containsText" dxfId="366" priority="33" stopIfTrue="1" operator="containsText" text="dim">
      <formula>NOT(ISERROR(SEARCH("dim",AA2)))</formula>
    </cfRule>
  </conditionalFormatting>
  <conditionalFormatting sqref="AA2">
    <cfRule type="containsText" dxfId="365" priority="32" stopIfTrue="1" operator="containsText" text="dim">
      <formula>NOT(ISERROR(SEARCH("dim",AA2)))</formula>
    </cfRule>
  </conditionalFormatting>
  <conditionalFormatting sqref="P3">
    <cfRule type="expression" dxfId="364" priority="18" stopIfTrue="1">
      <formula>P3=CléNonTravaillé</formula>
    </cfRule>
    <cfRule type="expression" dxfId="363" priority="19" stopIfTrue="1">
      <formula>P3=CléPrésenceExceptionnelle</formula>
    </cfRule>
    <cfRule type="expression" dxfId="362" priority="20" stopIfTrue="1">
      <formula>P3=CléCongéSpécial</formula>
    </cfRule>
    <cfRule type="expression" dxfId="361" priority="21" stopIfTrue="1">
      <formula>P3=CléDemiRécupération</formula>
    </cfRule>
    <cfRule type="expression" dxfId="360" priority="22" stopIfTrue="1">
      <formula>P3=CléDemiEnfantMalade</formula>
    </cfRule>
    <cfRule type="expression" dxfId="359" priority="23" stopIfTrue="1">
      <formula>P3=CléEnfantMalade</formula>
    </cfRule>
    <cfRule type="expression" dxfId="358" priority="24" stopIfTrue="1">
      <formula>P3=CléDemiRtt</formula>
    </cfRule>
    <cfRule type="expression" priority="25" stopIfTrue="1">
      <formula>P3=""</formula>
    </cfRule>
    <cfRule type="expression" dxfId="357" priority="26" stopIfTrue="1">
      <formula>P3=CléMaladie</formula>
    </cfRule>
    <cfRule type="expression" dxfId="356" priority="27" stopIfTrue="1">
      <formula>P3=CléCongé</formula>
    </cfRule>
    <cfRule type="expression" dxfId="355" priority="28" stopIfTrue="1">
      <formula>P3=CléRécupération</formula>
    </cfRule>
    <cfRule type="expression" dxfId="354" priority="29" stopIfTrue="1">
      <formula>P3=CléFormation</formula>
    </cfRule>
    <cfRule type="expression" dxfId="353" priority="30" stopIfTrue="1">
      <formula>P3=CléRTT</formula>
    </cfRule>
    <cfRule type="expression" dxfId="352" priority="31" stopIfTrue="1">
      <formula>P3=CléTélétravail</formula>
    </cfRule>
  </conditionalFormatting>
  <conditionalFormatting sqref="AA3">
    <cfRule type="containsText" dxfId="351" priority="17" stopIfTrue="1" operator="containsText" text="dim">
      <formula>NOT(ISERROR(SEARCH("dim",AA3)))</formula>
    </cfRule>
  </conditionalFormatting>
  <conditionalFormatting sqref="AA3">
    <cfRule type="containsText" dxfId="350" priority="16" stopIfTrue="1" operator="containsText" text="dim">
      <formula>NOT(ISERROR(SEARCH("dim",AA3)))</formula>
    </cfRule>
  </conditionalFormatting>
  <conditionalFormatting sqref="C8:AG18">
    <cfRule type="expression" dxfId="349" priority="1" stopIfTrue="1">
      <formula>C8=CléAbsenceJustifiée</formula>
    </cfRule>
    <cfRule type="expression" dxfId="348" priority="2" stopIfTrue="1">
      <formula>C8=CléNonTravaillé</formula>
    </cfRule>
    <cfRule type="expression" dxfId="347" priority="3" stopIfTrue="1">
      <formula>C8=CléPrésenceExceptionnelle</formula>
    </cfRule>
    <cfRule type="expression" dxfId="346" priority="4" stopIfTrue="1">
      <formula>C8=CléCongéSpécial</formula>
    </cfRule>
    <cfRule type="expression" dxfId="345" priority="5" stopIfTrue="1">
      <formula>C8=CléDemiRécupération</formula>
    </cfRule>
    <cfRule type="expression" dxfId="344" priority="6" stopIfTrue="1">
      <formula>C8=CléDemiEnfantMalade</formula>
    </cfRule>
    <cfRule type="expression" dxfId="343" priority="7" stopIfTrue="1">
      <formula>C8=CléEnfantMalade</formula>
    </cfRule>
    <cfRule type="expression" dxfId="342" priority="8" stopIfTrue="1">
      <formula>C8=CléDemiRtt</formula>
    </cfRule>
    <cfRule type="expression" priority="9" stopIfTrue="1">
      <formula>C8=""</formula>
    </cfRule>
    <cfRule type="expression" dxfId="341" priority="10" stopIfTrue="1">
      <formula>C8=CléCongéMalade</formula>
    </cfRule>
    <cfRule type="expression" dxfId="340" priority="11" stopIfTrue="1">
      <formula>C8=CléCongé</formula>
    </cfRule>
    <cfRule type="expression" dxfId="339" priority="12" stopIfTrue="1">
      <formula>C8=CléRécupération</formula>
    </cfRule>
    <cfRule type="expression" dxfId="338" priority="13" stopIfTrue="1">
      <formula>C8=CléFormation</formula>
    </cfRule>
    <cfRule type="expression" dxfId="337" priority="14" stopIfTrue="1">
      <formula>C8=CléRTT</formula>
    </cfRule>
    <cfRule type="expression" dxfId="336"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A10E5777-19C4-7E42-97B8-C99A5F770C5E}"/>
    <dataValidation allowBlank="1" showInputMessage="1" showErrorMessage="1" prompt="Année mise à jour automatiquement en fonction de l’année entrée dans la feuille de calcul Janvier" sqref="AH5 AK5" xr:uid="{75397705-4BF7-1748-BE3B-B54018DF703F}"/>
    <dataValidation allowBlank="1" showInputMessage="1" showErrorMessage="1" prompt="Calcule automatiquement le nombre total de jours d’absence d’un employé durant ce mois dans cette colonne" sqref="AH7" xr:uid="{AD7AE540-5428-5A4E-934B-46F36A589115}"/>
    <dataValidation allowBlank="1" showInputMessage="1" showErrorMessage="1" prompt="Suivez les absences du mois de mai dans cette feuille de calcul" sqref="A1" xr:uid="{20C682E7-5B77-8D49-9DED-B4024E4177D7}"/>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317D2B23-8668-B74A-B6CB-3649CF5D5F4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A1D13044-50E5-3D43-B98C-A8D13D3CBB3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73CC7061-4CE9-1C4D-9BF0-F678ECE10877}"/>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0E5D63A0-13D1-AC4C-83DE-3A26853B0366}"/>
    <dataValidation allowBlank="1" showErrorMessage="1" sqref="B1:Y1 B2:B3" xr:uid="{8C7A00A6-394F-0D4F-9A4E-51120618622F}"/>
    <dataValidation allowBlank="1" showErrorMessage="1" prompt="Entrez une étiquette pour décrire la clé personnalisée à gauche" sqref="N3" xr:uid="{8D537EAA-A823-3A46-83F8-F823C9C4BE41}"/>
    <dataValidation allowBlank="1" showErrorMessage="1" prompt="Entrez une lettre et personnalisez l’étiquette à droite pour ajouter un élément de clé" sqref="I2:I3" xr:uid="{DB146E50-9C2F-9C44-A28B-B6AD30233076}"/>
    <dataValidation allowBlank="1" showInputMessage="1" showErrorMessage="1" prompt="Entrez une étiquette pour décrire la clé personnalisée à gauche" sqref="J2:J3" xr:uid="{3B6B63CC-3A3B-A449-852A-7C3A501FDD2A}"/>
    <dataValidation allowBlank="1" showInputMessage="1" showErrorMessage="1" prompt="Entrez une lettre et personnalisez l’étiquette à droite pour ajouter un élément de clé" sqref="M3" xr:uid="{83EF9FEC-73D1-2149-BD34-74106D720180}"/>
    <dataValidation allowBlank="1" showInputMessage="1" showErrorMessage="1" prompt="La lettre « M » indique une absence pour cause de maladie" sqref="S3" xr:uid="{6864B9EB-6CA8-1148-81E8-FD09153C3A08}"/>
    <dataValidation allowBlank="1" showErrorMessage="1" prompt="La lettre « P » indique une absence pour motifs personnels" sqref="F3" xr:uid="{BF7755E7-D905-FB4B-B583-D1A62796E041}"/>
    <dataValidation allowBlank="1" showErrorMessage="1" prompt="La lettre « C » indique une absence pour cause de congé" sqref="C3" xr:uid="{52ECD499-80AD-1340-9FA2-83F52CE224BB}"/>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AEC18D99-472E-E94E-A351-1489322E6F41}">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9697810A-697E-3E4B-921F-5D7A99EDADFE}">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9E3B2396-D1E8-404F-ACE1-F54387A2756B}">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229" stopIfTrue="1" operator="containsText" text="dim" id="{F110C0A1-67BA-3D4A-951B-F8F1BAA467F7}">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594" stopIfTrue="1" operator="containsText" text="dim" id="{F110C0A1-67BA-3D4A-951B-F8F1BAA467F7}">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5979C5CD-6971-8146-A72F-AC81A108248B}">
          <x14:formula1>
            <xm:f>'Noms des employés'!$B$4:$B$13</xm:f>
          </x14:formula1>
          <xm:sqref>B8:B18</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B65312-5CB7-DF46-B50D-DA72320A2B61}">
  <sheetPr>
    <tabColor theme="2"/>
  </sheetPr>
  <dimension ref="A1:AK19"/>
  <sheetViews>
    <sheetView showGridLines="0" zoomScale="110" zoomScaleNormal="110" workbookViewId="0">
      <selection activeCell="A7" sqref="A7:XFD7"/>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19.1640625" customWidth="1"/>
  </cols>
  <sheetData>
    <row r="1" spans="1:37" ht="50" customHeight="1">
      <c r="B1" s="5" t="str">
        <f>Titre_Absence_Employé</f>
        <v>Calendrier des absences des employés</v>
      </c>
    </row>
    <row r="2" spans="1:37"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7"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7" ht="15" customHeight="1">
      <c r="B4" s="5"/>
    </row>
    <row r="5" spans="1:37" ht="30" customHeight="1">
      <c r="B5" s="21" t="s">
        <v>47</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1">
        <f>AnnéeCalendrier</f>
        <v>2021</v>
      </c>
    </row>
    <row r="6" spans="1:37" ht="15" customHeight="1">
      <c r="B6" s="15"/>
      <c r="C6" s="58" t="str">
        <f>TEXT(WEEKDAY(DATE(AnnéeCalendrier,6,1),1),"jjj")</f>
        <v>mar</v>
      </c>
      <c r="D6" s="58" t="str">
        <f>TEXT(WEEKDAY(DATE(AnnéeCalendrier,6,2),1),"jjj")</f>
        <v>mer</v>
      </c>
      <c r="E6" s="58" t="str">
        <f>TEXT(WEEKDAY(DATE(AnnéeCalendrier,6,3),1),"jjj")</f>
        <v>jeu</v>
      </c>
      <c r="F6" s="58" t="str">
        <f>TEXT(WEEKDAY(DATE(AnnéeCalendrier,6,4),1),"jjj")</f>
        <v>ven</v>
      </c>
      <c r="G6" s="58" t="str">
        <f>TEXT(WEEKDAY(DATE(AnnéeCalendrier,6,5),1),"jjj")</f>
        <v>sam</v>
      </c>
      <c r="H6" s="58" t="str">
        <f>TEXT(WEEKDAY(DATE(AnnéeCalendrier,6,6),1),"jjj")</f>
        <v>dim</v>
      </c>
      <c r="I6" s="58" t="str">
        <f>TEXT(WEEKDAY(DATE(AnnéeCalendrier,6,7),1),"jjj")</f>
        <v>lun</v>
      </c>
      <c r="J6" s="58" t="str">
        <f>TEXT(WEEKDAY(DATE(AnnéeCalendrier,6,8),1),"jjj")</f>
        <v>mar</v>
      </c>
      <c r="K6" s="58" t="str">
        <f>TEXT(WEEKDAY(DATE(AnnéeCalendrier,6,9),1),"jjj")</f>
        <v>mer</v>
      </c>
      <c r="L6" s="58" t="str">
        <f>TEXT(WEEKDAY(DATE(AnnéeCalendrier,6,10),1),"jjj")</f>
        <v>jeu</v>
      </c>
      <c r="M6" s="58" t="str">
        <f>TEXT(WEEKDAY(DATE(AnnéeCalendrier,6,11),1),"jjj")</f>
        <v>ven</v>
      </c>
      <c r="N6" s="58" t="str">
        <f>TEXT(WEEKDAY(DATE(AnnéeCalendrier,6,12),1),"jjj")</f>
        <v>sam</v>
      </c>
      <c r="O6" s="58" t="str">
        <f>TEXT(WEEKDAY(DATE(AnnéeCalendrier,6,13),1),"jjj")</f>
        <v>dim</v>
      </c>
      <c r="P6" s="58" t="str">
        <f>TEXT(WEEKDAY(DATE(AnnéeCalendrier,6,14),1),"jjj")</f>
        <v>lun</v>
      </c>
      <c r="Q6" s="58" t="str">
        <f>TEXT(WEEKDAY(DATE(AnnéeCalendrier,6,15),1),"jjj")</f>
        <v>mar</v>
      </c>
      <c r="R6" s="58" t="str">
        <f>TEXT(WEEKDAY(DATE(AnnéeCalendrier,6,16),1),"jjj")</f>
        <v>mer</v>
      </c>
      <c r="S6" s="58" t="str">
        <f>TEXT(WEEKDAY(DATE(AnnéeCalendrier,6,17),1),"jjj")</f>
        <v>jeu</v>
      </c>
      <c r="T6" s="58" t="str">
        <f>TEXT(WEEKDAY(DATE(AnnéeCalendrier,6,18),1),"jjj")</f>
        <v>ven</v>
      </c>
      <c r="U6" s="58" t="str">
        <f>TEXT(WEEKDAY(DATE(AnnéeCalendrier,6,19),1),"jjj")</f>
        <v>sam</v>
      </c>
      <c r="V6" s="58" t="str">
        <f>TEXT(WEEKDAY(DATE(AnnéeCalendrier,6,20),1),"jjj")</f>
        <v>dim</v>
      </c>
      <c r="W6" s="58" t="str">
        <f>TEXT(WEEKDAY(DATE(AnnéeCalendrier,6,21),1),"jjj")</f>
        <v>lun</v>
      </c>
      <c r="X6" s="58" t="str">
        <f>TEXT(WEEKDAY(DATE(AnnéeCalendrier,6,22),1),"jjj")</f>
        <v>mar</v>
      </c>
      <c r="Y6" s="58" t="str">
        <f>TEXT(WEEKDAY(DATE(AnnéeCalendrier,6,23),1),"jjj")</f>
        <v>mer</v>
      </c>
      <c r="Z6" s="58" t="str">
        <f>TEXT(WEEKDAY(DATE(AnnéeCalendrier,6,24),1),"jjj")</f>
        <v>jeu</v>
      </c>
      <c r="AA6" s="58" t="str">
        <f>TEXT(WEEKDAY(DATE(AnnéeCalendrier,6,25),1),"jjj")</f>
        <v>ven</v>
      </c>
      <c r="AB6" s="58" t="str">
        <f>TEXT(WEEKDAY(DATE(AnnéeCalendrier,6,26),1),"jjj")</f>
        <v>sam</v>
      </c>
      <c r="AC6" s="58" t="str">
        <f>TEXT(WEEKDAY(DATE(AnnéeCalendrier,6,27),1),"jjj")</f>
        <v>dim</v>
      </c>
      <c r="AD6" s="58" t="str">
        <f>TEXT(WEEKDAY(DATE(AnnéeCalendrier,6,28),1),"jjj")</f>
        <v>lun</v>
      </c>
      <c r="AE6" s="58" t="str">
        <f>TEXT(WEEKDAY(DATE(AnnéeCalendrier,6,29),1),"jjj")</f>
        <v>mar</v>
      </c>
      <c r="AF6" s="58" t="str">
        <f>TEXT(WEEKDAY(DATE(AnnéeCalendrier,6,30),1),"jjj")</f>
        <v>mer</v>
      </c>
      <c r="AG6" s="58"/>
      <c r="AH6" s="12"/>
      <c r="AI6" s="12"/>
      <c r="AJ6" s="12"/>
      <c r="AK6" s="73"/>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34" t="s">
        <v>85</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Mai!AK9-Juin[[#This Row],[Dont RTT]]+2</f>
        <v>15</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Mai!AK10-Juin[[#This Row],[Dont RTT]]+2</f>
        <v>23</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Mai!AK13-Juin[[#This Row],[Dont RTT]]+2</f>
        <v>14.93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Mai!AK14-Juin[[#This Row],[Dont RTT]]+2</f>
        <v>14.5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Mai!AK15-Juin[[#This Row],[Dont RTT]]+2</f>
        <v>17.5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Mai!AK16-Juin[[#This Row],[Dont RTT]]+2</f>
        <v>14.16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Mai!AK17-Juin[[#This Row],[Dont RTT]]+2</f>
        <v>23</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Mai!AK18-Juin[[#This Row],[Dont RTT]]+2</f>
        <v>14.5</v>
      </c>
    </row>
    <row r="19" spans="2:37" ht="30" customHeight="1">
      <c r="B19" s="30" t="str">
        <f>NomMois&amp;" Total"</f>
        <v>Juin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SUBTOTAL(109,Juin[Total absence])</f>
        <v>0</v>
      </c>
      <c r="AI19" s="28">
        <f>SUBTOTAL(109,Juin[Dont RTT])</f>
        <v>0</v>
      </c>
      <c r="AJ19" s="28">
        <f>SUBTOTAL(109,Juin[Dont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333" priority="134" stopIfTrue="1" operator="containsText" text="dim">
      <formula>NOT(ISERROR(SEARCH("dim",C6)))</formula>
    </cfRule>
  </conditionalFormatting>
  <conditionalFormatting sqref="AH7">
    <cfRule type="containsText" dxfId="332" priority="133" stopIfTrue="1" operator="containsText" text="dim">
      <formula>NOT(ISERROR(SEARCH("dim",AH7)))</formula>
    </cfRule>
  </conditionalFormatting>
  <conditionalFormatting sqref="C19:AG19">
    <cfRule type="containsText" dxfId="331" priority="113" stopIfTrue="1" operator="containsText" text="dim">
      <formula>NOT(ISERROR(SEARCH("dim",C19)))</formula>
    </cfRule>
  </conditionalFormatting>
  <conditionalFormatting sqref="AL3:XFD3 A2:A3 AG2:XFD2">
    <cfRule type="containsText" dxfId="330" priority="111" stopIfTrue="1" operator="containsText" text="dim">
      <formula>NOT(ISERROR(SEARCH("dim",A2)))</formula>
    </cfRule>
  </conditionalFormatting>
  <conditionalFormatting sqref="AI19:AJ19">
    <cfRule type="containsText" dxfId="329" priority="88" stopIfTrue="1" operator="containsText" text="dim">
      <formula>NOT(ISERROR(SEARCH("dim",AI19)))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{70B9ECDB-C64B-AA4F-BE61-4C7B62F857A4}</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{54604054-9397-9644-83AC-EAE5170DEC3C}</x14:id>
        </ext>
      </extLst>
    </cfRule>
    <cfRule type="containsText" dxfId="328"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{52416F6A-C168-1440-A239-2FCB283E0AD6}</x14:id>
        </ext>
      </extLst>
    </cfRule>
  </conditionalFormatting>
  <conditionalFormatting sqref="B3:D3 F2:G3 M3:N3 Q3 S3:T3 V2:W3 I2:J3">
    <cfRule type="containsText" dxfId="327" priority="35" stopIfTrue="1" operator="containsText" text="dim">
      <formula>NOT(ISERROR(SEARCH("dim",B2)))</formula>
    </cfRule>
  </conditionalFormatting>
  <conditionalFormatting sqref="V2:W2">
    <cfRule type="containsText" dxfId="326" priority="34" stopIfTrue="1" operator="containsText" text="dim">
      <formula>NOT(ISERROR(SEARCH("dim",V2)))</formula>
    </cfRule>
  </conditionalFormatting>
  <conditionalFormatting sqref="AA2">
    <cfRule type="containsText" dxfId="325" priority="33" stopIfTrue="1" operator="containsText" text="dim">
      <formula>NOT(ISERROR(SEARCH("dim",AA2)))</formula>
    </cfRule>
  </conditionalFormatting>
  <conditionalFormatting sqref="AA2">
    <cfRule type="containsText" dxfId="324" priority="32" stopIfTrue="1" operator="containsText" text="dim">
      <formula>NOT(ISERROR(SEARCH("dim",AA2)))</formula>
    </cfRule>
  </conditionalFormatting>
  <conditionalFormatting sqref="P3">
    <cfRule type="expression" dxfId="323" priority="18" stopIfTrue="1">
      <formula>P3=CléNonTravaillé</formula>
    </cfRule>
    <cfRule type="expression" dxfId="322" priority="19" stopIfTrue="1">
      <formula>P3=CléPrésenceExceptionnelle</formula>
    </cfRule>
    <cfRule type="expression" dxfId="321" priority="20" stopIfTrue="1">
      <formula>P3=CléCongéSpécial</formula>
    </cfRule>
    <cfRule type="expression" dxfId="320" priority="21" stopIfTrue="1">
      <formula>P3=CléDemiRécupération</formula>
    </cfRule>
    <cfRule type="expression" dxfId="319" priority="22" stopIfTrue="1">
      <formula>P3=CléDemiEnfantMalade</formula>
    </cfRule>
    <cfRule type="expression" dxfId="318" priority="23" stopIfTrue="1">
      <formula>P3=CléEnfantMalade</formula>
    </cfRule>
    <cfRule type="expression" dxfId="317" priority="24" stopIfTrue="1">
      <formula>P3=CléDemiRtt</formula>
    </cfRule>
    <cfRule type="expression" priority="25" stopIfTrue="1">
      <formula>P3=""</formula>
    </cfRule>
    <cfRule type="expression" dxfId="316" priority="26" stopIfTrue="1">
      <formula>P3=CléMaladie</formula>
    </cfRule>
    <cfRule type="expression" dxfId="315" priority="27" stopIfTrue="1">
      <formula>P3=CléCongé</formula>
    </cfRule>
    <cfRule type="expression" dxfId="314" priority="28" stopIfTrue="1">
      <formula>P3=CléRécupération</formula>
    </cfRule>
    <cfRule type="expression" dxfId="313" priority="29" stopIfTrue="1">
      <formula>P3=CléFormation</formula>
    </cfRule>
    <cfRule type="expression" dxfId="312" priority="30" stopIfTrue="1">
      <formula>P3=CléRTT</formula>
    </cfRule>
    <cfRule type="expression" dxfId="311" priority="31" stopIfTrue="1">
      <formula>P3=CléTélétravail</formula>
    </cfRule>
  </conditionalFormatting>
  <conditionalFormatting sqref="AA3">
    <cfRule type="containsText" dxfId="310" priority="17" stopIfTrue="1" operator="containsText" text="dim">
      <formula>NOT(ISERROR(SEARCH("dim",AA3)))</formula>
    </cfRule>
  </conditionalFormatting>
  <conditionalFormatting sqref="AA3">
    <cfRule type="containsText" dxfId="309" priority="16" stopIfTrue="1" operator="containsText" text="dim">
      <formula>NOT(ISERROR(SEARCH("dim",AA3)))</formula>
    </cfRule>
  </conditionalFormatting>
  <conditionalFormatting sqref="C8:AG18">
    <cfRule type="expression" dxfId="308" priority="1" stopIfTrue="1">
      <formula>C8=CléAbsenceJustifiée</formula>
    </cfRule>
    <cfRule type="expression" dxfId="307" priority="2" stopIfTrue="1">
      <formula>C8=CléNonTravaillé</formula>
    </cfRule>
    <cfRule type="expression" dxfId="306" priority="3" stopIfTrue="1">
      <formula>C8=CléPrésenceExceptionnelle</formula>
    </cfRule>
    <cfRule type="expression" dxfId="305" priority="4" stopIfTrue="1">
      <formula>C8=CléCongéSpécial</formula>
    </cfRule>
    <cfRule type="expression" dxfId="304" priority="5" stopIfTrue="1">
      <formula>C8=CléDemiRécupération</formula>
    </cfRule>
    <cfRule type="expression" dxfId="303" priority="6" stopIfTrue="1">
      <formula>C8=CléDemiEnfantMalade</formula>
    </cfRule>
    <cfRule type="expression" dxfId="302" priority="7" stopIfTrue="1">
      <formula>C8=CléEnfantMalade</formula>
    </cfRule>
    <cfRule type="expression" dxfId="301" priority="8" stopIfTrue="1">
      <formula>C8=CléDemiRtt</formula>
    </cfRule>
    <cfRule type="expression" priority="9" stopIfTrue="1">
      <formula>C8=""</formula>
    </cfRule>
    <cfRule type="expression" dxfId="300" priority="10" stopIfTrue="1">
      <formula>C8=CléCongéMalade</formula>
    </cfRule>
    <cfRule type="expression" dxfId="299" priority="11" stopIfTrue="1">
      <formula>C8=CléCongé</formula>
    </cfRule>
    <cfRule type="expression" dxfId="298" priority="12" stopIfTrue="1">
      <formula>C8=CléRécupération</formula>
    </cfRule>
    <cfRule type="expression" dxfId="297" priority="13" stopIfTrue="1">
      <formula>C8=CléFormation</formula>
    </cfRule>
    <cfRule type="expression" dxfId="296" priority="14" stopIfTrue="1">
      <formula>C8=CléRTT</formula>
    </cfRule>
    <cfRule type="expression" dxfId="295" priority="15" stopIfTrue="1">
      <formula>C8=CléTélétravail</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DE21164B-CC8E-0A4F-AADB-C423F28C6F4F}"/>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76E4BFFD-78E5-9543-BDC0-A34E9EF9C7E0}"/>
    <dataValidation allowBlank="1" showInputMessage="1" showErrorMessage="1" prompt="Suivez les absences du mois de juin dans cette feuille de calcul" sqref="A1" xr:uid="{C7821271-BEB3-A648-B567-23C153DCFDD4}"/>
    <dataValidation allowBlank="1" showInputMessage="1" showErrorMessage="1" prompt="Calcule automatiquement le nombre total de jours d’absence d’un employé durant ce mois dans cette colonne" sqref="AH7" xr:uid="{46B2F1A8-2E25-4142-BFE0-EF528DDBEE0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4586A70E-C5AE-EA41-B730-820914CE652B}"/>
    <dataValidation allowBlank="1" showErrorMessage="1" sqref="B2:B6 C4:AH6 AD1:AH1 B1:Y1" xr:uid="{FBE99686-406D-7342-B80D-C85ED4C7FA0A}"/>
    <dataValidation allowBlank="1" showErrorMessage="1" prompt="Entrez une étiquette pour décrire la clé personnalisée à gauche" sqref="N3" xr:uid="{18593C1B-299C-8F46-ABE8-EF7F5BC09B05}"/>
    <dataValidation allowBlank="1" showErrorMessage="1" prompt="Entrez une lettre et personnalisez l’étiquette à droite pour ajouter un élément de clé" sqref="I2:I3" xr:uid="{49C4750F-C504-564F-985F-B049C712C7A1}"/>
    <dataValidation allowBlank="1" showInputMessage="1" showErrorMessage="1" prompt="Entrez une étiquette pour décrire la clé personnalisée à gauche" sqref="J2:J3" xr:uid="{A725C2A8-0FAD-CD40-AADE-B1C88C968B47}"/>
    <dataValidation allowBlank="1" showInputMessage="1" showErrorMessage="1" prompt="Entrez une lettre et personnalisez l’étiquette à droite pour ajouter un élément de clé" sqref="M3" xr:uid="{E35E74DF-3E30-5A4B-A7D1-97CBDE1D834A}"/>
    <dataValidation allowBlank="1" showInputMessage="1" showErrorMessage="1" prompt="La lettre « M » indique une absence pour cause de maladie" sqref="S3" xr:uid="{62F6974D-4BBD-824E-82B3-5563621AF48D}"/>
    <dataValidation allowBlank="1" showErrorMessage="1" prompt="La lettre « P » indique une absence pour motifs personnels" sqref="F3" xr:uid="{FA33B147-0056-5947-BE90-09ED03092422}"/>
    <dataValidation allowBlank="1" showErrorMessage="1" prompt="La lettre « C » indique une absence pour cause de congé" sqref="C3" xr:uid="{E348C5A8-AD1A-5944-A2A8-3B9ED3DD117D}"/>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0B9ECDB-C64B-AA4F-BE61-4C7B62F857A4}">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4604054-9397-9644-83AC-EAE5170DEC3C}">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52416F6A-C168-1440-A239-2FCB283E0AD6}">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87" stopIfTrue="1" operator="containsText" text="dim" id="{2A258A5D-0A9C-BD4F-A33D-D6DD39333A38}">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597" stopIfTrue="1" operator="containsText" text="dim" id="{2A258A5D-0A9C-BD4F-A33D-D6DD39333A38}">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F554CBD8-A1A3-5C47-A9C4-AC591341B7A3}">
          <x14:formula1>
            <xm:f>'Noms des employés'!$B$4:$B$13</xm:f>
          </x14:formula1>
          <xm:sqref>B8:B18</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B30BD0-F0F2-C241-A1DB-AE8486F544C7}">
  <sheetPr>
    <tabColor theme="1"/>
  </sheetPr>
  <dimension ref="A1:AK19"/>
  <sheetViews>
    <sheetView showGridLines="0" topLeftCell="A3" zoomScale="110" zoomScaleNormal="110" workbookViewId="0">
      <selection activeCell="A7" sqref="A7:XFD8"/>
    </sheetView>
  </sheetViews>
  <sheetFormatPr baseColWidth="10" defaultColWidth="9.1640625" defaultRowHeight="30" customHeight="1"/>
  <cols>
    <col min="1" max="1" width="2.6640625" style="4" customWidth="1"/>
    <col min="2" max="2" width="26" style="4" customWidth="1"/>
    <col min="3" max="33" width="4.6640625" style="4" customWidth="1"/>
    <col min="34" max="34" width="13.5" style="4" customWidth="1"/>
    <col min="35" max="36" width="11.1640625" customWidth="1"/>
    <col min="37" max="37" width="19" bestFit="1" customWidth="1"/>
  </cols>
  <sheetData>
    <row r="1" spans="1:37" ht="50" customHeight="1">
      <c r="B1" s="5" t="str">
        <f>Titre_Absence_Employé</f>
        <v>Calendrier des absences des employés</v>
      </c>
    </row>
    <row r="2" spans="1:37"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7"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7" ht="15" customHeight="1">
      <c r="B4" s="5"/>
    </row>
    <row r="5" spans="1:37" ht="30" customHeight="1">
      <c r="B5" s="21" t="s">
        <v>48</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1">
        <f>AnnéeCalendrier</f>
        <v>2021</v>
      </c>
    </row>
    <row r="6" spans="1:37" ht="15" customHeight="1">
      <c r="B6" s="15"/>
      <c r="C6" s="58" t="str">
        <f>TEXT(WEEKDAY(DATE(AnnéeCalendrier,7,1),1),"jjj")</f>
        <v>jeu</v>
      </c>
      <c r="D6" s="58" t="str">
        <f>TEXT(WEEKDAY(DATE(AnnéeCalendrier,7,2),1),"jjj")</f>
        <v>ven</v>
      </c>
      <c r="E6" s="58" t="str">
        <f>TEXT(WEEKDAY(DATE(AnnéeCalendrier,7,3),1),"jjj")</f>
        <v>sam</v>
      </c>
      <c r="F6" s="58" t="str">
        <f>TEXT(WEEKDAY(DATE(AnnéeCalendrier,7,4),1),"jjj")</f>
        <v>dim</v>
      </c>
      <c r="G6" s="58" t="str">
        <f>TEXT(WEEKDAY(DATE(AnnéeCalendrier,7,5),1),"jjj")</f>
        <v>lun</v>
      </c>
      <c r="H6" s="58" t="str">
        <f>TEXT(WEEKDAY(DATE(AnnéeCalendrier,7,6),1),"jjj")</f>
        <v>mar</v>
      </c>
      <c r="I6" s="58" t="str">
        <f>TEXT(WEEKDAY(DATE(AnnéeCalendrier,7,7),1),"jjj")</f>
        <v>mer</v>
      </c>
      <c r="J6" s="58" t="str">
        <f>TEXT(WEEKDAY(DATE(AnnéeCalendrier,7,8),1),"jjj")</f>
        <v>jeu</v>
      </c>
      <c r="K6" s="58" t="str">
        <f>TEXT(WEEKDAY(DATE(AnnéeCalendrier,7,9),1),"jjj")</f>
        <v>ven</v>
      </c>
      <c r="L6" s="58" t="str">
        <f>TEXT(WEEKDAY(DATE(AnnéeCalendrier,7,10),1),"jjj")</f>
        <v>sam</v>
      </c>
      <c r="M6" s="58" t="str">
        <f>TEXT(WEEKDAY(DATE(AnnéeCalendrier,7,11),1),"jjj")</f>
        <v>dim</v>
      </c>
      <c r="N6" s="58" t="str">
        <f>TEXT(WEEKDAY(DATE(AnnéeCalendrier,7,12),1),"jjj")</f>
        <v>lun</v>
      </c>
      <c r="O6" s="58" t="str">
        <f>TEXT(WEEKDAY(DATE(AnnéeCalendrier,7,13),1),"jjj")</f>
        <v>mar</v>
      </c>
      <c r="P6" s="58" t="str">
        <f>TEXT(WEEKDAY(DATE(AnnéeCalendrier,7,14),1),"jjj")</f>
        <v>mer</v>
      </c>
      <c r="Q6" s="58" t="str">
        <f>TEXT(WEEKDAY(DATE(AnnéeCalendrier,7,15),1),"jjj")</f>
        <v>jeu</v>
      </c>
      <c r="R6" s="58" t="str">
        <f>TEXT(WEEKDAY(DATE(AnnéeCalendrier,7,16),1),"jjj")</f>
        <v>ven</v>
      </c>
      <c r="S6" s="58" t="str">
        <f>TEXT(WEEKDAY(DATE(AnnéeCalendrier,7,17),1),"jjj")</f>
        <v>sam</v>
      </c>
      <c r="T6" s="58" t="str">
        <f>TEXT(WEEKDAY(DATE(AnnéeCalendrier,7,18),1),"jjj")</f>
        <v>dim</v>
      </c>
      <c r="U6" s="58" t="str">
        <f>TEXT(WEEKDAY(DATE(AnnéeCalendrier,7,19),1),"jjj")</f>
        <v>lun</v>
      </c>
      <c r="V6" s="58" t="str">
        <f>TEXT(WEEKDAY(DATE(AnnéeCalendrier,7,20),1),"jjj")</f>
        <v>mar</v>
      </c>
      <c r="W6" s="58" t="str">
        <f>TEXT(WEEKDAY(DATE(AnnéeCalendrier,7,21),1),"jjj")</f>
        <v>mer</v>
      </c>
      <c r="X6" s="58" t="str">
        <f>TEXT(WEEKDAY(DATE(AnnéeCalendrier,7,22),1),"jjj")</f>
        <v>jeu</v>
      </c>
      <c r="Y6" s="58" t="str">
        <f>TEXT(WEEKDAY(DATE(AnnéeCalendrier,7,23),1),"jjj")</f>
        <v>ven</v>
      </c>
      <c r="Z6" s="58" t="str">
        <f>TEXT(WEEKDAY(DATE(AnnéeCalendrier,7,24),1),"jjj")</f>
        <v>sam</v>
      </c>
      <c r="AA6" s="58" t="str">
        <f>TEXT(WEEKDAY(DATE(AnnéeCalendrier,7,25),1),"jjj")</f>
        <v>dim</v>
      </c>
      <c r="AB6" s="58" t="str">
        <f>TEXT(WEEKDAY(DATE(AnnéeCalendrier,7,26),1),"jjj")</f>
        <v>lun</v>
      </c>
      <c r="AC6" s="58" t="str">
        <f>TEXT(WEEKDAY(DATE(AnnéeCalendrier,7,27),1),"jjj")</f>
        <v>mar</v>
      </c>
      <c r="AD6" s="58" t="str">
        <f>TEXT(WEEKDAY(DATE(AnnéeCalendrier,7,28),1),"jjj")</f>
        <v>mer</v>
      </c>
      <c r="AE6" s="58" t="str">
        <f>TEXT(WEEKDAY(DATE(AnnéeCalendrier,7,29),1),"jjj")</f>
        <v>jeu</v>
      </c>
      <c r="AF6" s="58" t="str">
        <f>TEXT(WEEKDAY(DATE(AnnéeCalendrier,7,30),1),"jjj")</f>
        <v>ven</v>
      </c>
      <c r="AG6" s="58" t="str">
        <f>TEXT(WEEKDAY(DATE(AnnéeCalendrier,7,31),1),"jjj")</f>
        <v>sam</v>
      </c>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51"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67</v>
      </c>
      <c r="AI7" s="27" t="s">
        <v>78</v>
      </c>
      <c r="AJ7" s="27" t="s">
        <v>98</v>
      </c>
      <c r="AK7" s="34" t="s">
        <v>79</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Juin!AK9-Juillet[[#This Row],[Dont RTT]]+2</f>
        <v>17</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Juin!AK10-Juillet[[#This Row],[Dont RTT]]+2</f>
        <v>25</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Juin!AK13-Juillet[[#This Row],[Dont RTT]]+2</f>
        <v>16.93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Juin!AK14-Juillet[[#This Row],[Dont RTT]]+2</f>
        <v>16.5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Juin!AK15-Juillet[[#This Row],[Dont RTT]]+2</f>
        <v>19.5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Juin!AK16-Juillet[[#This Row],[Dont RTT]]+2</f>
        <v>16.16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Juin!AK17-Juillet[[#This Row],[Dont RTT]]+2</f>
        <v>25</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Juin!AK18-Juillet[[#This Row],[Dont RTT]]+2</f>
        <v>16.5</v>
      </c>
    </row>
    <row r="19" spans="2:37" ht="30" customHeight="1">
      <c r="B19" s="30" t="str">
        <f>NomMois&amp;" Total"</f>
        <v>Juillet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SUBTOTAL(109,Juillet[Total absence])</f>
        <v>0</v>
      </c>
      <c r="AI19" s="28">
        <f>SUBTOTAL(109,Juillet[Dont RTT])</f>
        <v>0</v>
      </c>
      <c r="AJ19" s="28">
        <f>SUBTOTAL(109,Juillet[Dont MALADIE])</f>
        <v>0</v>
      </c>
      <c r="AK19" s="43"/>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292" priority="135" stopIfTrue="1" operator="containsText" text="dim">
      <formula>NOT(ISERROR(SEARCH("dim",C6)))</formula>
    </cfRule>
  </conditionalFormatting>
  <conditionalFormatting sqref="AH7">
    <cfRule type="containsText" dxfId="291" priority="134" stopIfTrue="1" operator="containsText" text="dim">
      <formula>NOT(ISERROR(SEARCH("dim",AH7)))</formula>
    </cfRule>
  </conditionalFormatting>
  <conditionalFormatting sqref="C19:AG19">
    <cfRule type="containsText" dxfId="290" priority="114" stopIfTrue="1" operator="containsText" text="dim">
      <formula>NOT(ISERROR(SEARCH("dim",C19)))</formula>
    </cfRule>
  </conditionalFormatting>
  <conditionalFormatting sqref="AL3:XFD3 A2:A3 AG2:XFD2">
    <cfRule type="containsText" dxfId="289" priority="112" stopIfTrue="1" operator="containsText" text="dim">
      <formula>NOT(ISERROR(SEARCH("dim",A2)))</formula>
    </cfRule>
  </conditionalFormatting>
  <conditionalFormatting sqref="AJ8:AJ18">
    <cfRule type="dataBar" priority="65">
      <dataBar>
        <cfvo type="num" val="0"/>
        <cfvo type="num" val="31"/>
        <color rgb="FFFF0000"/>
      </dataBar>
      <extLst>
        <ext xmlns:x14="http://schemas.microsoft.com/office/spreadsheetml/2009/9/main" uri="{B025F937-C7B1-47D3-B67F-A62EFF666E3E}">
          <x14:id>{408B9725-BA4E-3F45-A081-A3B4EF7A9D08}</x14:id>
        </ext>
      </extLst>
    </cfRule>
  </conditionalFormatting>
  <conditionalFormatting sqref="AH8:AH18">
    <cfRule type="dataBar" priority="53">
      <dataBar>
        <cfvo type="num" val="0"/>
        <cfvo type="num" val="31"/>
        <color rgb="FF00B0F0"/>
      </dataBar>
      <extLst>
        <ext xmlns:x14="http://schemas.microsoft.com/office/spreadsheetml/2009/9/main" uri="{B025F937-C7B1-47D3-B67F-A62EFF666E3E}">
          <x14:id>{2E735621-44A4-BB48-8DEF-914BA57FDD72}</x14:id>
        </ext>
      </extLst>
    </cfRule>
    <cfRule type="containsText" dxfId="288" priority="56" stopIfTrue="1" operator="containsText" text="dim">
      <formula>NOT(ISERROR(SEARCH("dim",AH8)))</formula>
    </cfRule>
  </conditionalFormatting>
  <conditionalFormatting sqref="AI8:AI18">
    <cfRule type="dataBar" priority="54">
      <dataBar>
        <cfvo type="num" val="0"/>
        <cfvo type="num" val="31"/>
        <color rgb="FF92D050"/>
      </dataBar>
      <extLst>
        <ext xmlns:x14="http://schemas.microsoft.com/office/spreadsheetml/2009/9/main" uri="{B025F937-C7B1-47D3-B67F-A62EFF666E3E}">
          <x14:id>{2A6C340E-12A6-E14B-ABFC-CF681A939FFD}</x14:id>
        </ext>
      </extLst>
    </cfRule>
  </conditionalFormatting>
  <conditionalFormatting sqref="B3:D3 F2:G3 M3:N3 Q3 S3:T3 V2:W3 I2:J3">
    <cfRule type="containsText" dxfId="287" priority="35" stopIfTrue="1" operator="containsText" text="dim">
      <formula>NOT(ISERROR(SEARCH("dim",B2)))</formula>
    </cfRule>
  </conditionalFormatting>
  <conditionalFormatting sqref="V2:W2">
    <cfRule type="containsText" dxfId="286" priority="34" stopIfTrue="1" operator="containsText" text="dim">
      <formula>NOT(ISERROR(SEARCH("dim",V2)))</formula>
    </cfRule>
  </conditionalFormatting>
  <conditionalFormatting sqref="AA2">
    <cfRule type="containsText" dxfId="285" priority="33" stopIfTrue="1" operator="containsText" text="dim">
      <formula>NOT(ISERROR(SEARCH("dim",AA2)))</formula>
    </cfRule>
  </conditionalFormatting>
  <conditionalFormatting sqref="AA2">
    <cfRule type="containsText" dxfId="284" priority="32" stopIfTrue="1" operator="containsText" text="dim">
      <formula>NOT(ISERROR(SEARCH("dim",AA2)))</formula>
    </cfRule>
  </conditionalFormatting>
  <conditionalFormatting sqref="P3">
    <cfRule type="expression" dxfId="283" priority="18" stopIfTrue="1">
      <formula>P3=CléNonTravaillé</formula>
    </cfRule>
    <cfRule type="expression" dxfId="282" priority="19" stopIfTrue="1">
      <formula>P3=CléPrésenceExceptionnelle</formula>
    </cfRule>
    <cfRule type="expression" dxfId="281" priority="20" stopIfTrue="1">
      <formula>P3=CléCongéSpécial</formula>
    </cfRule>
    <cfRule type="expression" dxfId="280" priority="21" stopIfTrue="1">
      <formula>P3=CléDemiRécupération</formula>
    </cfRule>
    <cfRule type="expression" dxfId="279" priority="22" stopIfTrue="1">
      <formula>P3=CléDemiEnfantMalade</formula>
    </cfRule>
    <cfRule type="expression" dxfId="278" priority="23" stopIfTrue="1">
      <formula>P3=CléEnfantMalade</formula>
    </cfRule>
    <cfRule type="expression" dxfId="277" priority="24" stopIfTrue="1">
      <formula>P3=CléDemiRtt</formula>
    </cfRule>
    <cfRule type="expression" priority="25" stopIfTrue="1">
      <formula>P3=""</formula>
    </cfRule>
    <cfRule type="expression" dxfId="276" priority="26" stopIfTrue="1">
      <formula>P3=CléMaladie</formula>
    </cfRule>
    <cfRule type="expression" dxfId="275" priority="27" stopIfTrue="1">
      <formula>P3=CléCongé</formula>
    </cfRule>
    <cfRule type="expression" dxfId="274" priority="28" stopIfTrue="1">
      <formula>P3=CléRécupération</formula>
    </cfRule>
    <cfRule type="expression" dxfId="273" priority="29" stopIfTrue="1">
      <formula>P3=CléFormation</formula>
    </cfRule>
    <cfRule type="expression" dxfId="272" priority="30" stopIfTrue="1">
      <formula>P3=CléRTT</formula>
    </cfRule>
    <cfRule type="expression" dxfId="271" priority="31" stopIfTrue="1">
      <formula>P3=CléTélétravail</formula>
    </cfRule>
  </conditionalFormatting>
  <conditionalFormatting sqref="AA3">
    <cfRule type="containsText" dxfId="270" priority="17" stopIfTrue="1" operator="containsText" text="dim">
      <formula>NOT(ISERROR(SEARCH("dim",AA3)))</formula>
    </cfRule>
  </conditionalFormatting>
  <conditionalFormatting sqref="AA3">
    <cfRule type="containsText" dxfId="269" priority="16" stopIfTrue="1" operator="containsText" text="dim">
      <formula>NOT(ISERROR(SEARCH("dim",AA3)))</formula>
    </cfRule>
  </conditionalFormatting>
  <conditionalFormatting sqref="C8:AG18">
    <cfRule type="expression" dxfId="268" priority="1" stopIfTrue="1">
      <formula>C8=CléAbsenceJustifiée</formula>
    </cfRule>
    <cfRule type="expression" dxfId="267" priority="2" stopIfTrue="1">
      <formula>C8=CléNonTravaillé</formula>
    </cfRule>
    <cfRule type="expression" dxfId="266" priority="3" stopIfTrue="1">
      <formula>C8=CléPrésenceExceptionnelle</formula>
    </cfRule>
    <cfRule type="expression" dxfId="265" priority="4" stopIfTrue="1">
      <formula>C8=CléCongéSpécial</formula>
    </cfRule>
    <cfRule type="expression" dxfId="264" priority="5" stopIfTrue="1">
      <formula>C8=CléDemiRécupération</formula>
    </cfRule>
    <cfRule type="expression" dxfId="263" priority="6" stopIfTrue="1">
      <formula>C8=CléDemiEnfantMalade</formula>
    </cfRule>
    <cfRule type="expression" dxfId="262" priority="7" stopIfTrue="1">
      <formula>C8=CléEnfantMalade</formula>
    </cfRule>
    <cfRule type="expression" dxfId="261" priority="8" stopIfTrue="1">
      <formula>C8=CléDemiRtt</formula>
    </cfRule>
    <cfRule type="expression" priority="9" stopIfTrue="1">
      <formula>C8=""</formula>
    </cfRule>
    <cfRule type="expression" dxfId="260" priority="10" stopIfTrue="1">
      <formula>C8=CléCongéMalade</formula>
    </cfRule>
    <cfRule type="expression" dxfId="259" priority="11" stopIfTrue="1">
      <formula>C8=CléCongé</formula>
    </cfRule>
    <cfRule type="expression" dxfId="258" priority="12" stopIfTrue="1">
      <formula>C8=CléRécupération</formula>
    </cfRule>
    <cfRule type="expression" dxfId="257" priority="13" stopIfTrue="1">
      <formula>C8=CléFormation</formula>
    </cfRule>
    <cfRule type="expression" dxfId="256" priority="14" stopIfTrue="1">
      <formula>C8=CléRTT</formula>
    </cfRule>
    <cfRule type="expression" dxfId="255"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63613924-DE8B-6C42-9855-41DB04B7870B}"/>
    <dataValidation allowBlank="1" showInputMessage="1" showErrorMessage="1" prompt="Année mise à jour automatiquement en fonction de l’année entrée dans la feuille de calcul Janvier" sqref="AH5" xr:uid="{7C83C222-D391-4B40-8F50-47C2BDB9C522}"/>
    <dataValidation allowBlank="1" showInputMessage="1" showErrorMessage="1" prompt="Calcule automatiquement le nombre total de jours d’absence d’un employé durant ce mois dans cette colonne" sqref="AH7" xr:uid="{108B7C77-C0D6-0E46-9785-06A2E20E29FB}"/>
    <dataValidation allowBlank="1" showInputMessage="1" showErrorMessage="1" prompt="Suivez les absences du mois de juillet dans cette feuille de calcul" sqref="A1" xr:uid="{0F1BB49D-C98F-B24C-93B1-607E23D0E0FC}"/>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A5E443D2-FDC6-EE41-B0C2-84D6E1C44AD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2F8DC9F3-8C92-A142-8F97-06232BC47E12}"/>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DDE63753-6B39-F842-8F05-3938C86464EE}"/>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2380D19-95C8-004D-90F9-E53FFD5A4692}"/>
    <dataValidation allowBlank="1" showErrorMessage="1" sqref="B2:B3 B1:Y1" xr:uid="{C19D9715-7C8C-4840-A534-FDFF8D377866}"/>
    <dataValidation allowBlank="1" showErrorMessage="1" prompt="Entrez une étiquette pour décrire la clé personnalisée à gauche" sqref="N3" xr:uid="{F94B4426-EFE0-EE42-B995-FC3922063EF4}"/>
    <dataValidation allowBlank="1" showErrorMessage="1" prompt="Entrez une lettre et personnalisez l’étiquette à droite pour ajouter un élément de clé" sqref="I2:I3" xr:uid="{B8EBE9DB-8A7F-7843-A667-F988518DC2C5}"/>
    <dataValidation allowBlank="1" showInputMessage="1" showErrorMessage="1" prompt="Entrez une étiquette pour décrire la clé personnalisée à gauche" sqref="J2:J3" xr:uid="{236B7885-FDEA-AB41-BAAE-1952AD16E328}"/>
    <dataValidation allowBlank="1" showInputMessage="1" showErrorMessage="1" prompt="Entrez une lettre et personnalisez l’étiquette à droite pour ajouter un élément de clé" sqref="M3" xr:uid="{C42D8FEA-AAEE-FC4D-ACE7-3F0A70F05BE7}"/>
    <dataValidation allowBlank="1" showInputMessage="1" showErrorMessage="1" prompt="La lettre « M » indique une absence pour cause de maladie" sqref="S3" xr:uid="{6BE246D1-04EB-1149-A164-9AA0A2638C4C}"/>
    <dataValidation allowBlank="1" showErrorMessage="1" prompt="La lettre « P » indique une absence pour motifs personnels" sqref="F3" xr:uid="{4081B12F-6D9C-544A-81D8-9AD29B26CC53}"/>
    <dataValidation allowBlank="1" showErrorMessage="1" prompt="La lettre « C » indique une absence pour cause de congé" sqref="C3" xr:uid="{5BB5E604-0F0A-E349-B353-6C793A15CD7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08B9725-BA4E-3F45-A081-A3B4EF7A9D08}">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2E735621-44A4-BB48-8DEF-914BA57FDD72}">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2A6C340E-12A6-E14B-ABFC-CF681A939FFD}">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64" stopIfTrue="1" operator="containsText" text="dim" id="{12D51DEC-8727-894B-A505-6AC52C69404B}">
            <xm:f>NOT(ISERROR(SEARCH("dim",Avril!AK17)))</xm:f>
            <x14:dxf>
              <font>
                <color theme="9"/>
              </font>
              <fill>
                <patternFill patternType="none">
                  <bgColor auto="1"/>
                </patternFill>
              </fill>
            </x14:dxf>
          </x14:cfRule>
          <xm:sqref>AK19:AK1048576</xm:sqref>
        </x14:conditionalFormatting>
        <x14:conditionalFormatting xmlns:xm="http://schemas.microsoft.com/office/excel/2006/main">
          <x14:cfRule type="containsText" priority="89" stopIfTrue="1" operator="containsText" text="dim" id="{968D20C4-6906-D84F-8CCB-57EE16113673}">
            <xm:f>NOT(ISERROR(SEARCH("dim",Juin!AI19)))</xm:f>
            <x14:dxf>
              <font>
                <color theme="9"/>
              </font>
              <fill>
                <patternFill patternType="none">
                  <bgColor auto="1"/>
                </patternFill>
              </fill>
            </x14:dxf>
          </x14:cfRule>
          <xm:sqref>AI19:AJ19</xm:sqref>
        </x14:conditionalFormatting>
        <x14:conditionalFormatting xmlns:xm="http://schemas.microsoft.com/office/excel/2006/main">
          <x14:cfRule type="containsText" priority="464" stopIfTrue="1" operator="containsText" text="dim" id="{12D51DEC-8727-894B-A505-6AC52C69404B}">
            <xm:f>NOT(ISERROR(SEARCH("dim",Avril!AK1)))</xm:f>
            <x14:dxf>
              <font>
                <color theme="9"/>
              </font>
              <fill>
                <patternFill patternType="none">
                  <bgColor auto="1"/>
                </patternFill>
              </fill>
            </x14:dxf>
          </x14:cfRule>
          <xm:sqref>AK1 AK4 AK7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E148C79-7E18-2449-B48F-EF57CAA16718}">
          <x14:formula1>
            <xm:f>'Noms des employés'!$B$4:$B$13</xm:f>
          </x14:formula1>
          <xm:sqref>B8:B18</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C5DFFE-6BEA-444B-A5FA-33147DE478F5}">
  <sheetPr>
    <tabColor theme="2" tint="-0.749992370372631"/>
  </sheetPr>
  <dimension ref="A1:AK19"/>
  <sheetViews>
    <sheetView showGridLines="0" topLeftCell="A5" zoomScale="110" zoomScaleNormal="110" workbookViewId="0">
      <selection activeCell="B8" sqref="B8:B1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20.1640625" customWidth="1"/>
  </cols>
  <sheetData>
    <row r="1" spans="1:37" ht="50" customHeight="1">
      <c r="B1" s="5" t="str">
        <f>Titre_Absence_Employé</f>
        <v>Calendrier des absences des employés</v>
      </c>
    </row>
    <row r="2" spans="1:37"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7"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7" ht="15" customHeight="1">
      <c r="B4" s="5"/>
    </row>
    <row r="5" spans="1:37" ht="30" customHeight="1">
      <c r="B5" s="21" t="s">
        <v>49</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1">
        <f>AnnéeCalendrier</f>
        <v>2021</v>
      </c>
    </row>
    <row r="6" spans="1:37" ht="15" customHeight="1">
      <c r="B6" s="15"/>
      <c r="C6" s="58" t="str">
        <f>TEXT(WEEKDAY(DATE(AnnéeCalendrier,8,1),1),"jjj")</f>
        <v>dim</v>
      </c>
      <c r="D6" s="58" t="str">
        <f>TEXT(WEEKDAY(DATE(AnnéeCalendrier,8,2),1),"jjj")</f>
        <v>lun</v>
      </c>
      <c r="E6" s="58" t="str">
        <f>TEXT(WEEKDAY(DATE(AnnéeCalendrier,8,3),1),"jjj")</f>
        <v>mar</v>
      </c>
      <c r="F6" s="58" t="str">
        <f>TEXT(WEEKDAY(DATE(AnnéeCalendrier,8,4),1),"jjj")</f>
        <v>mer</v>
      </c>
      <c r="G6" s="58" t="str">
        <f>TEXT(WEEKDAY(DATE(AnnéeCalendrier,8,5),1),"jjj")</f>
        <v>jeu</v>
      </c>
      <c r="H6" s="58" t="str">
        <f>TEXT(WEEKDAY(DATE(AnnéeCalendrier,8,6),1),"jjj")</f>
        <v>ven</v>
      </c>
      <c r="I6" s="58" t="str">
        <f>TEXT(WEEKDAY(DATE(AnnéeCalendrier,8,7),1),"jjj")</f>
        <v>sam</v>
      </c>
      <c r="J6" s="58" t="str">
        <f>TEXT(WEEKDAY(DATE(AnnéeCalendrier,8,8),1),"jjj")</f>
        <v>dim</v>
      </c>
      <c r="K6" s="58" t="str">
        <f>TEXT(WEEKDAY(DATE(AnnéeCalendrier,8,9),1),"jjj")</f>
        <v>lun</v>
      </c>
      <c r="L6" s="58" t="str">
        <f>TEXT(WEEKDAY(DATE(AnnéeCalendrier,8,10),1),"jjj")</f>
        <v>mar</v>
      </c>
      <c r="M6" s="58" t="str">
        <f>TEXT(WEEKDAY(DATE(AnnéeCalendrier,8,11),1),"jjj")</f>
        <v>mer</v>
      </c>
      <c r="N6" s="58" t="str">
        <f>TEXT(WEEKDAY(DATE(AnnéeCalendrier,8,12),1),"jjj")</f>
        <v>jeu</v>
      </c>
      <c r="O6" s="58" t="str">
        <f>TEXT(WEEKDAY(DATE(AnnéeCalendrier,8,13),1),"jjj")</f>
        <v>ven</v>
      </c>
      <c r="P6" s="58" t="str">
        <f>TEXT(WEEKDAY(DATE(AnnéeCalendrier,8,14),1),"jjj")</f>
        <v>sam</v>
      </c>
      <c r="Q6" s="58" t="str">
        <f>TEXT(WEEKDAY(DATE(AnnéeCalendrier,8,15),1),"jjj")</f>
        <v>dim</v>
      </c>
      <c r="R6" s="58" t="str">
        <f>TEXT(WEEKDAY(DATE(AnnéeCalendrier,8,16),1),"jjj")</f>
        <v>lun</v>
      </c>
      <c r="S6" s="58" t="str">
        <f>TEXT(WEEKDAY(DATE(AnnéeCalendrier,8,17),1),"jjj")</f>
        <v>mar</v>
      </c>
      <c r="T6" s="58" t="str">
        <f>TEXT(WEEKDAY(DATE(AnnéeCalendrier,8,18),1),"jjj")</f>
        <v>mer</v>
      </c>
      <c r="U6" s="58" t="str">
        <f>TEXT(WEEKDAY(DATE(AnnéeCalendrier,8,19),1),"jjj")</f>
        <v>jeu</v>
      </c>
      <c r="V6" s="58" t="str">
        <f>TEXT(WEEKDAY(DATE(AnnéeCalendrier,8,20),1),"jjj")</f>
        <v>ven</v>
      </c>
      <c r="W6" s="58" t="str">
        <f>TEXT(WEEKDAY(DATE(AnnéeCalendrier,8,21),1),"jjj")</f>
        <v>sam</v>
      </c>
      <c r="X6" s="58" t="str">
        <f>TEXT(WEEKDAY(DATE(AnnéeCalendrier,8,22),1),"jjj")</f>
        <v>dim</v>
      </c>
      <c r="Y6" s="58" t="str">
        <f>TEXT(WEEKDAY(DATE(AnnéeCalendrier,8,23),1),"jjj")</f>
        <v>lun</v>
      </c>
      <c r="Z6" s="58" t="str">
        <f>TEXT(WEEKDAY(DATE(AnnéeCalendrier,8,24),1),"jjj")</f>
        <v>mar</v>
      </c>
      <c r="AA6" s="58" t="str">
        <f>TEXT(WEEKDAY(DATE(AnnéeCalendrier,8,25),1),"jjj")</f>
        <v>mer</v>
      </c>
      <c r="AB6" s="58" t="str">
        <f>TEXT(WEEKDAY(DATE(AnnéeCalendrier,8,26),1),"jjj")</f>
        <v>jeu</v>
      </c>
      <c r="AC6" s="58" t="str">
        <f>TEXT(WEEKDAY(DATE(AnnéeCalendrier,8,27),1),"jjj")</f>
        <v>ven</v>
      </c>
      <c r="AD6" s="58" t="str">
        <f>TEXT(WEEKDAY(DATE(AnnéeCalendrier,8,28),1),"jjj")</f>
        <v>sam</v>
      </c>
      <c r="AE6" s="58" t="str">
        <f>TEXT(WEEKDAY(DATE(AnnéeCalendrier,8,29),1),"jjj")</f>
        <v>dim</v>
      </c>
      <c r="AF6" s="58" t="str">
        <f>TEXT(WEEKDAY(DATE(AnnéeCalendrier,8,30),1),"jjj")</f>
        <v>lun</v>
      </c>
      <c r="AG6" s="58" t="str">
        <f>TEXT(WEEKDAY(DATE(AnnéeCalendrier,8,31),1),"jjj")</f>
        <v>mar</v>
      </c>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67</v>
      </c>
      <c r="AI7" s="27" t="s">
        <v>78</v>
      </c>
      <c r="AJ7" s="27" t="s">
        <v>98</v>
      </c>
      <c r="AK7" s="34" t="s">
        <v>84</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Juillet!AK9-Août[[#This Row],[Dont RTT]]+2</f>
        <v>19</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Juillet!AK10-Août[[#This Row],[Dont RTT]]+2</f>
        <v>27</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Juillet!AK13-Août[[#This Row],[Dont RTT]]+2</f>
        <v>18.93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Juillet!AK14-Août[[#This Row],[Dont RTT]]+2</f>
        <v>18.5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Juillet!AK15-Août[[#This Row],[Dont RTT]]+2</f>
        <v>21.5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Juillet!AK16-Août[[#This Row],[Dont RTT]]+2</f>
        <v>18.16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Juillet!AK17-Août[[#This Row],[Dont RTT]]+2</f>
        <v>27</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Juillet!AK18-Août[[#This Row],[Dont RTT]]+2</f>
        <v>18.5</v>
      </c>
    </row>
    <row r="19" spans="2:37" ht="30" customHeight="1">
      <c r="B19" s="30" t="str">
        <f>NomMois&amp;" Total"</f>
        <v>Août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0</v>
      </c>
      <c r="G19" s="35">
        <f t="shared" si="3"/>
        <v>0</v>
      </c>
      <c r="H19" s="35">
        <f t="shared" si="3"/>
        <v>0</v>
      </c>
      <c r="I19" s="35">
        <f t="shared" si="3"/>
        <v>0</v>
      </c>
      <c r="J19" s="35">
        <f t="shared" si="3"/>
        <v>0</v>
      </c>
      <c r="K19" s="35">
        <f t="shared" si="3"/>
        <v>0</v>
      </c>
      <c r="L19" s="35">
        <f t="shared" si="3"/>
        <v>0</v>
      </c>
      <c r="M19" s="35">
        <f t="shared" si="3"/>
        <v>0</v>
      </c>
      <c r="N19" s="35">
        <f t="shared" si="3"/>
        <v>0</v>
      </c>
      <c r="O19" s="35">
        <f t="shared" si="3"/>
        <v>0</v>
      </c>
      <c r="P19" s="35">
        <f t="shared" si="3"/>
        <v>0</v>
      </c>
      <c r="Q19" s="35">
        <f t="shared" si="3"/>
        <v>0</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29">
        <f>SUBTOTAL(109,Août[Total absence])</f>
        <v>0</v>
      </c>
      <c r="AI19" s="29">
        <f>SUBTOTAL(109,Août[Dont RTT])</f>
        <v>0</v>
      </c>
      <c r="AJ19" s="55">
        <f>SUBTOTAL(109,Août[Dont MALADIE])</f>
        <v>0</v>
      </c>
      <c r="AK19" s="35"/>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251" priority="135" stopIfTrue="1" operator="containsText" text="dim">
      <formula>NOT(ISERROR(SEARCH("dim",C6)))</formula>
    </cfRule>
  </conditionalFormatting>
  <conditionalFormatting sqref="AH7">
    <cfRule type="containsText" dxfId="250" priority="134" stopIfTrue="1" operator="containsText" text="dim">
      <formula>NOT(ISERROR(SEARCH("dim",AH7)))</formula>
    </cfRule>
  </conditionalFormatting>
  <conditionalFormatting sqref="C19:AG19">
    <cfRule type="containsText" dxfId="249" priority="114" stopIfTrue="1" operator="containsText" text="dim">
      <formula>NOT(ISERROR(SEARCH("dim",C19)))</formula>
    </cfRule>
  </conditionalFormatting>
  <conditionalFormatting sqref="AL3:XFD3 A2:A3 AG2:XFD2">
    <cfRule type="containsText" dxfId="248" priority="112" stopIfTrue="1" operator="containsText" text="dim">
      <formula>NOT(ISERROR(SEARCH("dim",A2)))</formula>
    </cfRule>
  </conditionalFormatting>
  <conditionalFormatting sqref="AJ19:AK19">
    <cfRule type="containsText" dxfId="247" priority="89" stopIfTrue="1" operator="containsText" text="dim">
      <formula>NOT(ISERROR(SEARCH("dim",AJ19)))</formula>
    </cfRule>
  </conditionalFormatting>
  <conditionalFormatting sqref="AJ8:AJ18">
    <cfRule type="dataBar" priority="65">
      <dataBar>
        <cfvo type="num" val="0"/>
        <cfvo type="num" val="31"/>
        <color rgb="FFFF0000"/>
      </dataBar>
      <extLst>
        <ext xmlns:x14="http://schemas.microsoft.com/office/spreadsheetml/2009/9/main" uri="{B025F937-C7B1-47D3-B67F-A62EFF666E3E}">
          <x14:id>{750DAF94-545D-6B41-B31C-29E48210743E}</x14:id>
        </ext>
      </extLst>
    </cfRule>
  </conditionalFormatting>
  <conditionalFormatting sqref="AH8:AH18">
    <cfRule type="dataBar" priority="53">
      <dataBar>
        <cfvo type="num" val="0"/>
        <cfvo type="num" val="31"/>
        <color rgb="FF00B0F0"/>
      </dataBar>
      <extLst>
        <ext xmlns:x14="http://schemas.microsoft.com/office/spreadsheetml/2009/9/main" uri="{B025F937-C7B1-47D3-B67F-A62EFF666E3E}">
          <x14:id>{6FF73F68-ACD9-6145-AA4E-F0A805A9B98D}</x14:id>
        </ext>
      </extLst>
    </cfRule>
    <cfRule type="containsText" dxfId="246" priority="56" stopIfTrue="1" operator="containsText" text="dim">
      <formula>NOT(ISERROR(SEARCH("dim",AH8)))</formula>
    </cfRule>
  </conditionalFormatting>
  <conditionalFormatting sqref="AI8:AI18">
    <cfRule type="dataBar" priority="54">
      <dataBar>
        <cfvo type="num" val="0"/>
        <cfvo type="num" val="31"/>
        <color rgb="FF92D050"/>
      </dataBar>
      <extLst>
        <ext xmlns:x14="http://schemas.microsoft.com/office/spreadsheetml/2009/9/main" uri="{B025F937-C7B1-47D3-B67F-A62EFF666E3E}">
          <x14:id>{D2BB18A1-1124-2C43-941E-2304014B4141}</x14:id>
        </ext>
      </extLst>
    </cfRule>
  </conditionalFormatting>
  <conditionalFormatting sqref="B3:D3 F2:G3 M3:N3 Q3 S3:T3 V2:W3 I2:J3">
    <cfRule type="containsText" dxfId="245" priority="35" stopIfTrue="1" operator="containsText" text="dim">
      <formula>NOT(ISERROR(SEARCH("dim",B2)))</formula>
    </cfRule>
  </conditionalFormatting>
  <conditionalFormatting sqref="V2:W2">
    <cfRule type="containsText" dxfId="244" priority="34" stopIfTrue="1" operator="containsText" text="dim">
      <formula>NOT(ISERROR(SEARCH("dim",V2)))</formula>
    </cfRule>
  </conditionalFormatting>
  <conditionalFormatting sqref="AA2">
    <cfRule type="containsText" dxfId="243" priority="33" stopIfTrue="1" operator="containsText" text="dim">
      <formula>NOT(ISERROR(SEARCH("dim",AA2)))</formula>
    </cfRule>
  </conditionalFormatting>
  <conditionalFormatting sqref="AA2">
    <cfRule type="containsText" dxfId="242" priority="32" stopIfTrue="1" operator="containsText" text="dim">
      <formula>NOT(ISERROR(SEARCH("dim",AA2)))</formula>
    </cfRule>
  </conditionalFormatting>
  <conditionalFormatting sqref="P3">
    <cfRule type="expression" dxfId="241" priority="18" stopIfTrue="1">
      <formula>P3=CléNonTravaillé</formula>
    </cfRule>
    <cfRule type="expression" dxfId="240" priority="19" stopIfTrue="1">
      <formula>P3=CléPrésenceExceptionnelle</formula>
    </cfRule>
    <cfRule type="expression" dxfId="239" priority="20" stopIfTrue="1">
      <formula>P3=CléCongéSpécial</formula>
    </cfRule>
    <cfRule type="expression" dxfId="238" priority="21" stopIfTrue="1">
      <formula>P3=CléDemiRécupération</formula>
    </cfRule>
    <cfRule type="expression" dxfId="237" priority="22" stopIfTrue="1">
      <formula>P3=CléDemiEnfantMalade</formula>
    </cfRule>
    <cfRule type="expression" dxfId="236" priority="23" stopIfTrue="1">
      <formula>P3=CléEnfantMalade</formula>
    </cfRule>
    <cfRule type="expression" dxfId="235" priority="24" stopIfTrue="1">
      <formula>P3=CléDemiRtt</formula>
    </cfRule>
    <cfRule type="expression" priority="25" stopIfTrue="1">
      <formula>P3=""</formula>
    </cfRule>
    <cfRule type="expression" dxfId="234" priority="26" stopIfTrue="1">
      <formula>P3=CléMaladie</formula>
    </cfRule>
    <cfRule type="expression" dxfId="233" priority="27" stopIfTrue="1">
      <formula>P3=CléCongé</formula>
    </cfRule>
    <cfRule type="expression" dxfId="232" priority="28" stopIfTrue="1">
      <formula>P3=CléRécupération</formula>
    </cfRule>
    <cfRule type="expression" dxfId="231" priority="29" stopIfTrue="1">
      <formula>P3=CléFormation</formula>
    </cfRule>
    <cfRule type="expression" dxfId="230" priority="30" stopIfTrue="1">
      <formula>P3=CléRTT</formula>
    </cfRule>
    <cfRule type="expression" dxfId="229" priority="31" stopIfTrue="1">
      <formula>P3=CléTélétravail</formula>
    </cfRule>
  </conditionalFormatting>
  <conditionalFormatting sqref="AA3">
    <cfRule type="containsText" dxfId="228" priority="17" stopIfTrue="1" operator="containsText" text="dim">
      <formula>NOT(ISERROR(SEARCH("dim",AA3)))</formula>
    </cfRule>
  </conditionalFormatting>
  <conditionalFormatting sqref="AA3">
    <cfRule type="containsText" dxfId="227" priority="16" stopIfTrue="1" operator="containsText" text="dim">
      <formula>NOT(ISERROR(SEARCH("dim",AA3)))</formula>
    </cfRule>
  </conditionalFormatting>
  <conditionalFormatting sqref="C8:AG18">
    <cfRule type="expression" dxfId="226" priority="1" stopIfTrue="1">
      <formula>C8=CléAbsenceJustifiée</formula>
    </cfRule>
    <cfRule type="expression" dxfId="225" priority="2" stopIfTrue="1">
      <formula>C8=CléNonTravaillé</formula>
    </cfRule>
    <cfRule type="expression" dxfId="224" priority="3" stopIfTrue="1">
      <formula>C8=CléPrésenceExceptionnelle</formula>
    </cfRule>
    <cfRule type="expression" dxfId="223" priority="4" stopIfTrue="1">
      <formula>C8=CléCongéSpécial</formula>
    </cfRule>
    <cfRule type="expression" dxfId="222" priority="5" stopIfTrue="1">
      <formula>C8=CléDemiRécupération</formula>
    </cfRule>
    <cfRule type="expression" dxfId="221" priority="6" stopIfTrue="1">
      <formula>C8=CléDemiEnfantMalade</formula>
    </cfRule>
    <cfRule type="expression" dxfId="220" priority="7" stopIfTrue="1">
      <formula>C8=CléEnfantMalade</formula>
    </cfRule>
    <cfRule type="expression" dxfId="219" priority="8" stopIfTrue="1">
      <formula>C8=CléDemiRtt</formula>
    </cfRule>
    <cfRule type="expression" priority="9" stopIfTrue="1">
      <formula>C8=""</formula>
    </cfRule>
    <cfRule type="expression" dxfId="218" priority="10" stopIfTrue="1">
      <formula>C8=CléCongéMalade</formula>
    </cfRule>
    <cfRule type="expression" dxfId="217" priority="11" stopIfTrue="1">
      <formula>C8=CléCongé</formula>
    </cfRule>
    <cfRule type="expression" dxfId="216" priority="12" stopIfTrue="1">
      <formula>C8=CléRécupération</formula>
    </cfRule>
    <cfRule type="expression" dxfId="215" priority="13" stopIfTrue="1">
      <formula>C8=CléFormation</formula>
    </cfRule>
    <cfRule type="expression" dxfId="214" priority="14" stopIfTrue="1">
      <formula>C8=CléRTT</formula>
    </cfRule>
    <cfRule type="expression" dxfId="213" priority="15" stopIfTrue="1">
      <formula>C8=CléTélétravail</formula>
    </cfRule>
  </conditionalFormatting>
  <dataValidations count="1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7FADA9E7-E7CD-A541-9001-34AF11A3E58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2CF1C88C-FE91-B04F-B83F-480536B901F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DDEC9286-54A0-864B-BD98-248B9590439D}"/>
    <dataValidation allowBlank="1" showInputMessage="1" showErrorMessage="1" prompt="Suivez les absences du mois d’août dans cette feuille de calcul" sqref="A1" xr:uid="{47106520-16CD-1F44-9E81-B3E3064ADCBE}"/>
    <dataValidation allowBlank="1" showInputMessage="1" showErrorMessage="1" prompt="Calcule automatiquement le nombre total de jours d’absence d’un employé durant ce mois dans cette colonne" sqref="AH7" xr:uid="{BE7383DB-E2EA-CF4B-9B87-B69706DF02C9}"/>
    <dataValidation allowBlank="1" showInputMessage="1" showErrorMessage="1" prompt="Année mise à jour automatiquement en fonction de l’année entrée dans la feuille de calcul Janvier" sqref="AH5" xr:uid="{5847B389-4C60-084A-9772-C32A30336F4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8A693272-C63E-4945-899C-47A8EC4465E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C1D5BAAF-84FB-714B-8A25-6F9EEBFA792A}"/>
    <dataValidation allowBlank="1" showErrorMessage="1" sqref="B2:B3 B1:Y1" xr:uid="{DC449E6A-DB80-CB45-955F-8537DEA1BB92}"/>
    <dataValidation allowBlank="1" showErrorMessage="1" prompt="Entrez une étiquette pour décrire la clé personnalisée à gauche" sqref="N3" xr:uid="{BAF1C45E-7778-CC4D-9CA1-559CB0419AE9}"/>
    <dataValidation allowBlank="1" showErrorMessage="1" prompt="Entrez une lettre et personnalisez l’étiquette à droite pour ajouter un élément de clé" sqref="I2:I3" xr:uid="{E6F02B48-6011-4E47-B126-4982C6EC619A}"/>
    <dataValidation allowBlank="1" showInputMessage="1" showErrorMessage="1" prompt="Entrez une étiquette pour décrire la clé personnalisée à gauche" sqref="J2:J3" xr:uid="{F08C8918-30F1-1B48-9A93-C39BBA619919}"/>
    <dataValidation allowBlank="1" showInputMessage="1" showErrorMessage="1" prompt="Entrez une lettre et personnalisez l’étiquette à droite pour ajouter un élément de clé" sqref="M3" xr:uid="{158CBFD9-A2BF-AB48-80CC-282A7D0AB339}"/>
    <dataValidation allowBlank="1" showInputMessage="1" showErrorMessage="1" prompt="La lettre « M » indique une absence pour cause de maladie" sqref="S3" xr:uid="{0518120B-5FD1-5346-937D-6578A725C4B6}"/>
    <dataValidation allowBlank="1" showErrorMessage="1" prompt="La lettre « P » indique une absence pour motifs personnels" sqref="F3" xr:uid="{93742802-681A-924E-9C3E-883C860F0870}"/>
    <dataValidation allowBlank="1" showErrorMessage="1" prompt="La lettre « C » indique une absence pour cause de congé" sqref="C3" xr:uid="{F393A11D-E818-FF4B-B695-8EF7663657C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50DAF94-545D-6B41-B31C-29E48210743E}">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6FF73F68-ACD9-6145-AA4E-F0A805A9B98D}">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D2BB18A1-1124-2C43-941E-2304014B4141}">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51" stopIfTrue="1" operator="containsText" text="dim" id="{6D9C846A-116C-8E4F-85DC-C394BEA81404}">
            <xm:f>NOT(ISERROR(SEARCH("dim",Avril!AK18)))</xm:f>
            <x14:dxf>
              <font>
                <color theme="9"/>
              </font>
              <fill>
                <patternFill patternType="none">
                  <bgColor auto="1"/>
                </patternFill>
              </fill>
            </x14:dxf>
          </x14:cfRule>
          <xm:sqref>AK20:AK1048576</xm:sqref>
        </x14:conditionalFormatting>
        <x14:conditionalFormatting xmlns:xm="http://schemas.microsoft.com/office/excel/2006/main">
          <x14:cfRule type="containsText" priority="476" stopIfTrue="1" operator="containsText" text="dim" id="{6D9C846A-116C-8E4F-85DC-C394BEA81404}">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BAFCE14-3F05-B84C-B286-3E2E47AAE0B2}">
          <x14:formula1>
            <xm:f>'Noms des employés'!$B$4:$B$13</xm:f>
          </x14:formula1>
          <xm:sqref>B8:B18</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DD357E-FA92-4244-A9F5-847541AA84A0}">
  <sheetPr>
    <tabColor theme="2" tint="-0.499984740745262"/>
  </sheetPr>
  <dimension ref="A1:AK19"/>
  <sheetViews>
    <sheetView showGridLines="0" topLeftCell="A5" zoomScale="110" zoomScaleNormal="110" workbookViewId="0">
      <selection activeCell="B8" sqref="B8:B1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5" width="11.6640625" customWidth="1"/>
    <col min="36" max="36" width="13" customWidth="1"/>
    <col min="37" max="37" width="19.1640625" customWidth="1"/>
  </cols>
  <sheetData>
    <row r="1" spans="1:37" ht="50" customHeight="1">
      <c r="B1" s="5" t="str">
        <f>Titre_Absence_Employé</f>
        <v>Calendrier des absences des employés</v>
      </c>
    </row>
    <row r="2" spans="1:37"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7"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7" ht="15" customHeight="1">
      <c r="B4" s="5"/>
    </row>
    <row r="5" spans="1:37" ht="30" customHeight="1">
      <c r="B5" s="21" t="s">
        <v>50</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1">
        <f>AnnéeCalendrier</f>
        <v>2021</v>
      </c>
    </row>
    <row r="6" spans="1:37" ht="15" customHeight="1">
      <c r="B6" s="15"/>
      <c r="C6" s="58" t="str">
        <f>TEXT(WEEKDAY(DATE(AnnéeCalendrier,9,1),1),"jjj")</f>
        <v>mer</v>
      </c>
      <c r="D6" s="58" t="str">
        <f>TEXT(WEEKDAY(DATE(AnnéeCalendrier,9,2),1),"jjj")</f>
        <v>jeu</v>
      </c>
      <c r="E6" s="58" t="str">
        <f>TEXT(WEEKDAY(DATE(AnnéeCalendrier,9,3),1),"jjj")</f>
        <v>ven</v>
      </c>
      <c r="F6" s="58" t="str">
        <f>TEXT(WEEKDAY(DATE(AnnéeCalendrier,9,4),1),"jjj")</f>
        <v>sam</v>
      </c>
      <c r="G6" s="58" t="str">
        <f>TEXT(WEEKDAY(DATE(AnnéeCalendrier,9,5),1),"jjj")</f>
        <v>dim</v>
      </c>
      <c r="H6" s="58" t="str">
        <f>TEXT(WEEKDAY(DATE(AnnéeCalendrier,9,6),1),"jjj")</f>
        <v>lun</v>
      </c>
      <c r="I6" s="58" t="str">
        <f>TEXT(WEEKDAY(DATE(AnnéeCalendrier,9,7),1),"jjj")</f>
        <v>mar</v>
      </c>
      <c r="J6" s="58" t="str">
        <f>TEXT(WEEKDAY(DATE(AnnéeCalendrier,9,8),1),"jjj")</f>
        <v>mer</v>
      </c>
      <c r="K6" s="58" t="str">
        <f>TEXT(WEEKDAY(DATE(AnnéeCalendrier,9,9),1),"jjj")</f>
        <v>jeu</v>
      </c>
      <c r="L6" s="58" t="str">
        <f>TEXT(WEEKDAY(DATE(AnnéeCalendrier,9,10),1),"jjj")</f>
        <v>ven</v>
      </c>
      <c r="M6" s="58" t="str">
        <f>TEXT(WEEKDAY(DATE(AnnéeCalendrier,9,11),1),"jjj")</f>
        <v>sam</v>
      </c>
      <c r="N6" s="58" t="str">
        <f>TEXT(WEEKDAY(DATE(AnnéeCalendrier,9,12),1),"jjj")</f>
        <v>dim</v>
      </c>
      <c r="O6" s="58" t="str">
        <f>TEXT(WEEKDAY(DATE(AnnéeCalendrier,9,13),1),"jjj")</f>
        <v>lun</v>
      </c>
      <c r="P6" s="58" t="str">
        <f>TEXT(WEEKDAY(DATE(AnnéeCalendrier,9,14),1),"jjj")</f>
        <v>mar</v>
      </c>
      <c r="Q6" s="58" t="str">
        <f>TEXT(WEEKDAY(DATE(AnnéeCalendrier,9,15),1),"jjj")</f>
        <v>mer</v>
      </c>
      <c r="R6" s="58" t="str">
        <f>TEXT(WEEKDAY(DATE(AnnéeCalendrier,9,16),1),"jjj")</f>
        <v>jeu</v>
      </c>
      <c r="S6" s="58" t="str">
        <f>TEXT(WEEKDAY(DATE(AnnéeCalendrier,9,17),1),"jjj")</f>
        <v>ven</v>
      </c>
      <c r="T6" s="58" t="str">
        <f>TEXT(WEEKDAY(DATE(AnnéeCalendrier,9,18),1),"jjj")</f>
        <v>sam</v>
      </c>
      <c r="U6" s="58" t="str">
        <f>TEXT(WEEKDAY(DATE(AnnéeCalendrier,9,19),1),"jjj")</f>
        <v>dim</v>
      </c>
      <c r="V6" s="58" t="str">
        <f>TEXT(WEEKDAY(DATE(AnnéeCalendrier,9,20),1),"jjj")</f>
        <v>lun</v>
      </c>
      <c r="W6" s="58" t="str">
        <f>TEXT(WEEKDAY(DATE(AnnéeCalendrier,9,21),1),"jjj")</f>
        <v>mar</v>
      </c>
      <c r="X6" s="58" t="str">
        <f>TEXT(WEEKDAY(DATE(AnnéeCalendrier,9,22),1),"jjj")</f>
        <v>mer</v>
      </c>
      <c r="Y6" s="58" t="str">
        <f>TEXT(WEEKDAY(DATE(AnnéeCalendrier,9,23),1),"jjj")</f>
        <v>jeu</v>
      </c>
      <c r="Z6" s="58" t="str">
        <f>TEXT(WEEKDAY(DATE(AnnéeCalendrier,9,24),1),"jjj")</f>
        <v>ven</v>
      </c>
      <c r="AA6" s="58" t="str">
        <f>TEXT(WEEKDAY(DATE(AnnéeCalendrier,9,25),1),"jjj")</f>
        <v>sam</v>
      </c>
      <c r="AB6" s="58" t="str">
        <f>TEXT(WEEKDAY(DATE(AnnéeCalendrier,9,26),1),"jjj")</f>
        <v>dim</v>
      </c>
      <c r="AC6" s="58" t="str">
        <f>TEXT(WEEKDAY(DATE(AnnéeCalendrier,9,27),1),"jjj")</f>
        <v>lun</v>
      </c>
      <c r="AD6" s="58" t="str">
        <f>TEXT(WEEKDAY(DATE(AnnéeCalendrier,9,28),1),"jjj")</f>
        <v>mar</v>
      </c>
      <c r="AE6" s="58" t="str">
        <f>TEXT(WEEKDAY(DATE(AnnéeCalendrier,9,29),1),"jjj")</f>
        <v>mer</v>
      </c>
      <c r="AF6" s="58" t="str">
        <f>TEXT(WEEKDAY(DATE(AnnéeCalendrier,9,30),1),"jjj")</f>
        <v>jeu</v>
      </c>
      <c r="AG6" s="58"/>
      <c r="AH6" s="12"/>
      <c r="AI6" s="12"/>
      <c r="AJ6" s="12"/>
      <c r="AK6" s="12"/>
    </row>
    <row r="7" spans="1:37" ht="34"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34" t="s">
        <v>83</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Août!AK9-Septembre[[#This Row],[Dont RTT]]+2</f>
        <v>21</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Août!AK10-Septembre[[#This Row],[Dont RTT]]+2</f>
        <v>29</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Août!AK13-Septembre[[#This Row],[Dont RTT]]+2</f>
        <v>20.93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Août!AK14-Septembre[[#This Row],[Dont RTT]]+2</f>
        <v>20.5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Août!AK15-Septembre[[#This Row],[Dont RTT]]+2</f>
        <v>23.5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Août!AK16-Septembre[[#This Row],[Dont RTT]]+2</f>
        <v>20.16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Août!AK17-Septembre[[#This Row],[Dont RTT]]+2</f>
        <v>29</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Août!AK18-Septembre[[#This Row],[Dont RTT]]+2</f>
        <v>20.5</v>
      </c>
    </row>
    <row r="19" spans="2:37" ht="30" customHeight="1">
      <c r="B19" s="30" t="str">
        <f>NomMois&amp;" Total"</f>
        <v>Septembre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9">
        <f>SUBTOTAL(109,Septembre[Total absence])</f>
        <v>0</v>
      </c>
      <c r="AI19" s="29">
        <f>SUBTOTAL(109,Septembre[Dont RTT])</f>
        <v>0</v>
      </c>
      <c r="AJ19" s="55">
        <f>SUBTOTAL(109,Septembre[Dont MALADIE])</f>
        <v>0</v>
      </c>
      <c r="AK19" s="43"/>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210" priority="135" stopIfTrue="1" operator="containsText" text="dim">
      <formula>NOT(ISERROR(SEARCH("dim",C6)))</formula>
    </cfRule>
  </conditionalFormatting>
  <conditionalFormatting sqref="AH7">
    <cfRule type="containsText" dxfId="209" priority="134" stopIfTrue="1" operator="containsText" text="dim">
      <formula>NOT(ISERROR(SEARCH("dim",AH7)))</formula>
    </cfRule>
  </conditionalFormatting>
  <conditionalFormatting sqref="C19:AG19">
    <cfRule type="containsText" dxfId="208" priority="114" stopIfTrue="1" operator="containsText" text="dim">
      <formula>NOT(ISERROR(SEARCH("dim",C19)))</formula>
    </cfRule>
  </conditionalFormatting>
  <conditionalFormatting sqref="AL3:XFD3 A2:A3 AG2:XFD2">
    <cfRule type="containsText" dxfId="207" priority="112" stopIfTrue="1" operator="containsText" text="dim">
      <formula>NOT(ISERROR(SEARCH("dim",A2)))</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{F07E8032-F9DA-B844-A8A2-B9B52819D9CD}</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{5ADB184A-9C2E-1F46-8527-539973699570}</x14:id>
        </ext>
      </extLst>
    </cfRule>
    <cfRule type="containsText" dxfId="206"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{80FD76CC-F1B9-8447-8564-5F029DBF1CC5}</x14:id>
        </ext>
      </extLst>
    </cfRule>
  </conditionalFormatting>
  <conditionalFormatting sqref="B3:D3 F2:G3 M3:N3 Q3 S3:T3 V2:W3 I2:J3">
    <cfRule type="containsText" dxfId="205" priority="35" stopIfTrue="1" operator="containsText" text="dim">
      <formula>NOT(ISERROR(SEARCH("dim",B2)))</formula>
    </cfRule>
  </conditionalFormatting>
  <conditionalFormatting sqref="V2:W2">
    <cfRule type="containsText" dxfId="204" priority="34" stopIfTrue="1" operator="containsText" text="dim">
      <formula>NOT(ISERROR(SEARCH("dim",V2)))</formula>
    </cfRule>
  </conditionalFormatting>
  <conditionalFormatting sqref="AA2">
    <cfRule type="containsText" dxfId="203" priority="33" stopIfTrue="1" operator="containsText" text="dim">
      <formula>NOT(ISERROR(SEARCH("dim",AA2)))</formula>
    </cfRule>
  </conditionalFormatting>
  <conditionalFormatting sqref="AA2">
    <cfRule type="containsText" dxfId="202" priority="32" stopIfTrue="1" operator="containsText" text="dim">
      <formula>NOT(ISERROR(SEARCH("dim",AA2)))</formula>
    </cfRule>
  </conditionalFormatting>
  <conditionalFormatting sqref="P3">
    <cfRule type="expression" dxfId="201" priority="18" stopIfTrue="1">
      <formula>P3=CléNonTravaillé</formula>
    </cfRule>
    <cfRule type="expression" dxfId="200" priority="19" stopIfTrue="1">
      <formula>P3=CléPrésenceExceptionnelle</formula>
    </cfRule>
    <cfRule type="expression" dxfId="199" priority="20" stopIfTrue="1">
      <formula>P3=CléCongéSpécial</formula>
    </cfRule>
    <cfRule type="expression" dxfId="198" priority="21" stopIfTrue="1">
      <formula>P3=CléDemiRécupération</formula>
    </cfRule>
    <cfRule type="expression" dxfId="197" priority="22" stopIfTrue="1">
      <formula>P3=CléDemiEnfantMalade</formula>
    </cfRule>
    <cfRule type="expression" dxfId="196" priority="23" stopIfTrue="1">
      <formula>P3=CléEnfantMalade</formula>
    </cfRule>
    <cfRule type="expression" dxfId="195" priority="24" stopIfTrue="1">
      <formula>P3=CléDemiRtt</formula>
    </cfRule>
    <cfRule type="expression" priority="25" stopIfTrue="1">
      <formula>P3=""</formula>
    </cfRule>
    <cfRule type="expression" dxfId="194" priority="26" stopIfTrue="1">
      <formula>P3=CléMaladie</formula>
    </cfRule>
    <cfRule type="expression" dxfId="193" priority="27" stopIfTrue="1">
      <formula>P3=CléCongé</formula>
    </cfRule>
    <cfRule type="expression" dxfId="192" priority="28" stopIfTrue="1">
      <formula>P3=CléRécupération</formula>
    </cfRule>
    <cfRule type="expression" dxfId="191" priority="29" stopIfTrue="1">
      <formula>P3=CléFormation</formula>
    </cfRule>
    <cfRule type="expression" dxfId="190" priority="30" stopIfTrue="1">
      <formula>P3=CléRTT</formula>
    </cfRule>
    <cfRule type="expression" dxfId="189" priority="31" stopIfTrue="1">
      <formula>P3=CléTélétravail</formula>
    </cfRule>
  </conditionalFormatting>
  <conditionalFormatting sqref="AA3">
    <cfRule type="containsText" dxfId="188" priority="17" stopIfTrue="1" operator="containsText" text="dim">
      <formula>NOT(ISERROR(SEARCH("dim",AA3)))</formula>
    </cfRule>
  </conditionalFormatting>
  <conditionalFormatting sqref="AA3">
    <cfRule type="containsText" dxfId="187" priority="16" stopIfTrue="1" operator="containsText" text="dim">
      <formula>NOT(ISERROR(SEARCH("dim",AA3)))</formula>
    </cfRule>
  </conditionalFormatting>
  <conditionalFormatting sqref="C8:AG18">
    <cfRule type="expression" dxfId="186" priority="1" stopIfTrue="1">
      <formula>C8=CléAbsenceJustifiée</formula>
    </cfRule>
    <cfRule type="expression" dxfId="185" priority="2" stopIfTrue="1">
      <formula>C8=CléNonTravaillé</formula>
    </cfRule>
    <cfRule type="expression" dxfId="184" priority="3" stopIfTrue="1">
      <formula>C8=CléPrésenceExceptionnelle</formula>
    </cfRule>
    <cfRule type="expression" dxfId="183" priority="4" stopIfTrue="1">
      <formula>C8=CléCongéSpécial</formula>
    </cfRule>
    <cfRule type="expression" dxfId="182" priority="5" stopIfTrue="1">
      <formula>C8=CléDemiRécupération</formula>
    </cfRule>
    <cfRule type="expression" dxfId="181" priority="6" stopIfTrue="1">
      <formula>C8=CléDemiEnfantMalade</formula>
    </cfRule>
    <cfRule type="expression" dxfId="180" priority="7" stopIfTrue="1">
      <formula>C8=CléEnfantMalade</formula>
    </cfRule>
    <cfRule type="expression" dxfId="179" priority="8" stopIfTrue="1">
      <formula>C8=CléDemiRtt</formula>
    </cfRule>
    <cfRule type="expression" priority="9" stopIfTrue="1">
      <formula>C8=""</formula>
    </cfRule>
    <cfRule type="expression" dxfId="178" priority="10" stopIfTrue="1">
      <formula>C8=CléCongéMalade</formula>
    </cfRule>
    <cfRule type="expression" dxfId="177" priority="11" stopIfTrue="1">
      <formula>C8=CléCongé</formula>
    </cfRule>
    <cfRule type="expression" dxfId="176" priority="12" stopIfTrue="1">
      <formula>C8=CléRécupération</formula>
    </cfRule>
    <cfRule type="expression" dxfId="175" priority="13" stopIfTrue="1">
      <formula>C8=CléFormation</formula>
    </cfRule>
    <cfRule type="expression" dxfId="174" priority="14" stopIfTrue="1">
      <formula>C8=CléRTT</formula>
    </cfRule>
    <cfRule type="expression" dxfId="173"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7E14F6FC-4E37-7648-A594-0DCB61B9658E}"/>
    <dataValidation allowBlank="1" showInputMessage="1" showErrorMessage="1" prompt="Année mise à jour automatiquement en fonction de l’année entrée dans la feuille de calcul Janvier" sqref="AH5" xr:uid="{2CC35B3D-5F20-6F48-B087-614EB8607BD6}"/>
    <dataValidation allowBlank="1" showInputMessage="1" showErrorMessage="1" prompt="Calcule automatiquement le nombre total de jours d’absence d’un employé durant ce mois dans cette colonne" sqref="AH7" xr:uid="{62B7D210-EC4C-234D-AC3A-66748D200AA2}"/>
    <dataValidation allowBlank="1" showInputMessage="1" showErrorMessage="1" prompt="Suivez les absences du mois de septembre dans cette feuille de calcul" sqref="A1" xr:uid="{264081C0-A7C4-0646-9153-5BE49A98E3A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66280752-5A29-7A4D-ABA4-9E282B38606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97BC5A8C-5D72-F149-B9E3-3285C6733C3E}"/>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9F73E622-E073-CD4E-9BD1-5A43CF9A6BCB}"/>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79B8CC9-0919-2646-920E-1BDE9E0587D2}"/>
    <dataValidation allowBlank="1" showErrorMessage="1" sqref="B4:AJ4 AD1:AJ1 B2:B3 B1:Y1" xr:uid="{3827FEA2-1355-6D4C-AF2E-976FA6C0CD36}"/>
    <dataValidation allowBlank="1" showErrorMessage="1" prompt="Entrez une étiquette pour décrire la clé personnalisée à gauche" sqref="N3" xr:uid="{05652064-F00A-0A40-92FF-06CB7B48FDB6}"/>
    <dataValidation allowBlank="1" showErrorMessage="1" prompt="Entrez une lettre et personnalisez l’étiquette à droite pour ajouter un élément de clé" sqref="I2:I3" xr:uid="{8AF9FF17-45D6-3047-A143-A090175C67BF}"/>
    <dataValidation allowBlank="1" showInputMessage="1" showErrorMessage="1" prompt="Entrez une étiquette pour décrire la clé personnalisée à gauche" sqref="J2:J3" xr:uid="{3B88E179-5EBA-B044-A3A9-1A8088781F6A}"/>
    <dataValidation allowBlank="1" showInputMessage="1" showErrorMessage="1" prompt="Entrez une lettre et personnalisez l’étiquette à droite pour ajouter un élément de clé" sqref="M3" xr:uid="{60769337-3883-544A-AC66-9EB8B3794628}"/>
    <dataValidation allowBlank="1" showInputMessage="1" showErrorMessage="1" prompt="La lettre « M » indique une absence pour cause de maladie" sqref="S3" xr:uid="{44E94F1C-BCDC-F74B-8BE1-2C188468CF8C}"/>
    <dataValidation allowBlank="1" showErrorMessage="1" prompt="La lettre « P » indique une absence pour motifs personnels" sqref="F3" xr:uid="{8241F17F-0D25-A043-B57C-3A9A49739838}"/>
    <dataValidation allowBlank="1" showErrorMessage="1" prompt="La lettre « C » indique une absence pour cause de congé" sqref="C3" xr:uid="{6B7D47FC-8937-194E-A8DB-F0E9DC2AC1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07E8032-F9DA-B844-A8A2-B9B52819D9CD}">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ADB184A-9C2E-1F46-8527-539973699570}">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80FD76CC-F1B9-8447-8564-5F029DBF1CC5}">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51" stopIfTrue="1" operator="containsText" text="dim" id="{ABC52282-978D-4643-9D91-F39EF56EBE23}">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88" stopIfTrue="1" operator="containsText" text="dim" id="{1E0332C0-4ACB-B548-B144-11E833885B22}">
            <xm:f>NOT(ISERROR(SEARCH("dim",Août!AJ19)))</xm:f>
            <x14:dxf>
              <font>
                <color theme="0" tint="-0.24994659260841701"/>
              </font>
              <fill>
                <patternFill patternType="none">
                  <bgColor auto="1"/>
                </patternFill>
              </fill>
            </x14:dxf>
          </x14:cfRule>
          <xm:sqref>AJ19</xm:sqref>
        </x14:conditionalFormatting>
        <x14:conditionalFormatting xmlns:xm="http://schemas.microsoft.com/office/excel/2006/main">
          <x14:cfRule type="containsText" priority="606" stopIfTrue="1" operator="containsText" text="dim" id="{ABC52282-978D-4643-9D91-F39EF56EBE23}">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6D81EA9-FD89-1A4E-A7F9-EAFF8E2F3F49}">
          <x14:formula1>
            <xm:f>'Noms des employés'!$B$4:$B$13</xm:f>
          </x14:formula1>
          <xm:sqref>B8:B18</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880150-2180-3346-9740-CF30AA3A6C09}">
  <sheetPr>
    <tabColor theme="2" tint="-0.249977111117893"/>
  </sheetPr>
  <dimension ref="A1:AL22"/>
  <sheetViews>
    <sheetView showGridLines="0" topLeftCell="A6" zoomScaleNormal="100" workbookViewId="0">
      <selection activeCell="B8" sqref="B8:B21"/>
    </sheetView>
  </sheetViews>
  <sheetFormatPr baseColWidth="10" defaultColWidth="9.1640625" defaultRowHeight="30" customHeight="1"/>
  <cols>
    <col min="1" max="1" width="2.6640625" style="4" customWidth="1"/>
    <col min="2" max="2" width="19.6640625" style="4" customWidth="1"/>
    <col min="3" max="33" width="4.6640625" style="4" customWidth="1"/>
    <col min="34" max="34" width="11.83203125" style="4" customWidth="1"/>
    <col min="35" max="36" width="11.83203125" customWidth="1"/>
    <col min="37" max="37" width="18.83203125" customWidth="1"/>
    <col min="38" max="38" width="41.83203125" customWidth="1"/>
  </cols>
  <sheetData>
    <row r="1" spans="1:38" ht="50" customHeight="1">
      <c r="B1" s="5" t="str">
        <f>Titre_Absence_Employé</f>
        <v>Calendrier des absences des employés</v>
      </c>
    </row>
    <row r="2" spans="1:38"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8"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8" ht="15" customHeight="1">
      <c r="B4" s="5"/>
    </row>
    <row r="5" spans="1:38" ht="30" customHeight="1">
      <c r="B5" s="21" t="s">
        <v>51</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1">
        <f>AnnéeCalendrier</f>
        <v>2021</v>
      </c>
      <c r="AL5" s="25"/>
    </row>
    <row r="6" spans="1:38" ht="15" customHeight="1">
      <c r="B6" s="15"/>
      <c r="C6" s="2" t="str">
        <f>TEXT(WEEKDAY(DATE(AnnéeCalendrier,10,1),1),"jjj")</f>
        <v>ven</v>
      </c>
      <c r="D6" s="2" t="str">
        <f>TEXT(WEEKDAY(DATE(AnnéeCalendrier,10,2),1),"jjj")</f>
        <v>sam</v>
      </c>
      <c r="E6" s="2" t="str">
        <f>TEXT(WEEKDAY(DATE(AnnéeCalendrier,10,3),1),"jjj")</f>
        <v>dim</v>
      </c>
      <c r="F6" s="2" t="str">
        <f>TEXT(WEEKDAY(DATE(AnnéeCalendrier,10,4),1),"jjj")</f>
        <v>lun</v>
      </c>
      <c r="G6" s="2" t="str">
        <f>TEXT(WEEKDAY(DATE(AnnéeCalendrier,10,5),1),"jjj")</f>
        <v>mar</v>
      </c>
      <c r="H6" s="2" t="str">
        <f>TEXT(WEEKDAY(DATE(AnnéeCalendrier,10,6),1),"jjj")</f>
        <v>mer</v>
      </c>
      <c r="I6" s="2" t="str">
        <f>TEXT(WEEKDAY(DATE(AnnéeCalendrier,10,7),1),"jjj")</f>
        <v>jeu</v>
      </c>
      <c r="J6" s="2" t="str">
        <f>TEXT(WEEKDAY(DATE(AnnéeCalendrier,10,8),1),"jjj")</f>
        <v>ven</v>
      </c>
      <c r="K6" s="2" t="str">
        <f>TEXT(WEEKDAY(DATE(AnnéeCalendrier,10,9),1),"jjj")</f>
        <v>sam</v>
      </c>
      <c r="L6" s="2" t="str">
        <f>TEXT(WEEKDAY(DATE(AnnéeCalendrier,10,10),1),"jjj")</f>
        <v>dim</v>
      </c>
      <c r="M6" s="2" t="str">
        <f>TEXT(WEEKDAY(DATE(AnnéeCalendrier,10,11),1),"jjj")</f>
        <v>lun</v>
      </c>
      <c r="N6" s="2" t="str">
        <f>TEXT(WEEKDAY(DATE(AnnéeCalendrier,10,12),1),"jjj")</f>
        <v>mar</v>
      </c>
      <c r="O6" s="2" t="str">
        <f>TEXT(WEEKDAY(DATE(AnnéeCalendrier,10,13),1),"jjj")</f>
        <v>mer</v>
      </c>
      <c r="P6" s="2" t="str">
        <f>TEXT(WEEKDAY(DATE(AnnéeCalendrier,10,14),1),"jjj")</f>
        <v>jeu</v>
      </c>
      <c r="Q6" s="2" t="str">
        <f>TEXT(WEEKDAY(DATE(AnnéeCalendrier,10,15),1),"jjj")</f>
        <v>ven</v>
      </c>
      <c r="R6" s="2" t="str">
        <f>TEXT(WEEKDAY(DATE(AnnéeCalendrier,10,16),1),"jjj")</f>
        <v>sam</v>
      </c>
      <c r="S6" s="2" t="str">
        <f>TEXT(WEEKDAY(DATE(AnnéeCalendrier,10,17),1),"jjj")</f>
        <v>dim</v>
      </c>
      <c r="T6" s="2" t="str">
        <f>TEXT(WEEKDAY(DATE(AnnéeCalendrier,10,18),1),"jjj")</f>
        <v>lun</v>
      </c>
      <c r="U6" s="2" t="str">
        <f>TEXT(WEEKDAY(DATE(AnnéeCalendrier,10,19),1),"jjj")</f>
        <v>mar</v>
      </c>
      <c r="V6" s="2" t="str">
        <f>TEXT(WEEKDAY(DATE(AnnéeCalendrier,10,20),1),"jjj")</f>
        <v>mer</v>
      </c>
      <c r="W6" s="2" t="str">
        <f>TEXT(WEEKDAY(DATE(AnnéeCalendrier,10,21),1),"jjj")</f>
        <v>jeu</v>
      </c>
      <c r="X6" s="2" t="str">
        <f>TEXT(WEEKDAY(DATE(AnnéeCalendrier,10,22),1),"jjj")</f>
        <v>ven</v>
      </c>
      <c r="Y6" s="2" t="str">
        <f>TEXT(WEEKDAY(DATE(AnnéeCalendrier,10,23),1),"jjj")</f>
        <v>sam</v>
      </c>
      <c r="Z6" s="2" t="str">
        <f>TEXT(WEEKDAY(DATE(AnnéeCalendrier,10,24),1),"jjj")</f>
        <v>dim</v>
      </c>
      <c r="AA6" s="2" t="str">
        <f>TEXT(WEEKDAY(DATE(AnnéeCalendrier,10,25),1),"jjj")</f>
        <v>lun</v>
      </c>
      <c r="AB6" s="2" t="str">
        <f>TEXT(WEEKDAY(DATE(AnnéeCalendrier,10,26),1),"jjj")</f>
        <v>mar</v>
      </c>
      <c r="AC6" s="2" t="str">
        <f>TEXT(WEEKDAY(DATE(AnnéeCalendrier,10,27),1),"jjj")</f>
        <v>mer</v>
      </c>
      <c r="AD6" s="2" t="str">
        <f>TEXT(WEEKDAY(DATE(AnnéeCalendrier,10,28),1),"jjj")</f>
        <v>jeu</v>
      </c>
      <c r="AE6" s="2" t="str">
        <f>TEXT(WEEKDAY(DATE(AnnéeCalendrier,10,29),1),"jjj")</f>
        <v>ven</v>
      </c>
      <c r="AF6" s="2" t="str">
        <f>TEXT(WEEKDAY(DATE(AnnéeCalendrier,10,30),1),"jjj")</f>
        <v>sam</v>
      </c>
      <c r="AG6" s="2" t="str">
        <f>TEXT(WEEKDAY(DATE(AnnéeCalendrier,10,31),1),"jjj")</f>
        <v>dim</v>
      </c>
      <c r="AH6" s="12"/>
      <c r="AI6" s="12"/>
      <c r="AJ6" s="12"/>
      <c r="AK6" s="12"/>
      <c r="AL6" s="12"/>
    </row>
    <row r="7" spans="1:38"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70" t="s">
        <v>67</v>
      </c>
      <c r="AI7" s="27" t="s">
        <v>78</v>
      </c>
      <c r="AJ7" s="27" t="s">
        <v>98</v>
      </c>
      <c r="AK7" s="75" t="s">
        <v>82</v>
      </c>
      <c r="AL7" s="74" t="s">
        <v>99</v>
      </c>
    </row>
    <row r="8" spans="1:38"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c r="AL8" s="68"/>
    </row>
    <row r="9" spans="1:38"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Septembre!AK9-Octobre[[#This Row],[Dont RTT]]+2</f>
        <v>23</v>
      </c>
      <c r="AL9" s="68"/>
    </row>
    <row r="10" spans="1:38"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Septembre!AK10-Octobre[[#This Row],[Dont RTT]]+2</f>
        <v>31</v>
      </c>
      <c r="AL10" s="68"/>
    </row>
    <row r="11" spans="1:38"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c r="AL11" s="68"/>
    </row>
    <row r="12" spans="1:38"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c r="AL12" s="68"/>
    </row>
    <row r="13" spans="1:38"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Septembre!AK13-Octobre[[#This Row],[Dont RTT]]+2</f>
        <v>22.93</v>
      </c>
      <c r="AL13" s="68"/>
    </row>
    <row r="14" spans="1:38"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Septembre!AK14-Octobre[[#This Row],[Dont RTT]]+2</f>
        <v>22.5</v>
      </c>
      <c r="AL14" s="68"/>
    </row>
    <row r="15" spans="1:38"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Septembre!AK15-Octobre[[#This Row],[Dont RTT]]+2</f>
        <v>25.5</v>
      </c>
      <c r="AL15" s="68"/>
    </row>
    <row r="16" spans="1:38"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Septembre!AK16-Octobre[[#This Row],[Dont RTT]]+2</f>
        <v>22.16</v>
      </c>
      <c r="AL16" s="68"/>
    </row>
    <row r="17" spans="2:38"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Septembre!AK17-Octobre[[#This Row],[Dont RTT]]+2</f>
        <v>31</v>
      </c>
      <c r="AL17" s="68"/>
    </row>
    <row r="18" spans="2:38"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Septembre!AK18-Octobre[[#This Row],[Dont RTT]]+2</f>
        <v>22.5</v>
      </c>
      <c r="AL18" s="68"/>
    </row>
    <row r="19" spans="2:38" ht="30" customHeight="1">
      <c r="B19" s="62"/>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4">
        <f t="shared" ref="AH19:AH21" si="3">(COUNTIF(C19:AG19,"C")+(COUNTIF(C19:AG19,"EM")+COUNTIF(C19:AG19,"RTT")+COUNTIF(C19:AG19,"M")+COUNTIF(C19:AG19,"Rec")+COUNTIF(C19:AG19,"F")+COUNTIF(C19:AG19,"TT"-1)+COUNTIF(C19:AG19,"CS")+COUNTIF(C19:AG19,"PE"-1)+COUNTIF(C19:AG19,"DRTT")/2)+COUNTIF(C19:AG19,"DREC")/2)+COUNTIF(C19:AG19,"DEM")/2</f>
        <v>0</v>
      </c>
      <c r="AI19" s="64">
        <f t="shared" ref="AI19:AI21" si="4">COUNTIF(C19:AG19,"RTT")+COUNTIF(C19:AG19,"DRTT")/2</f>
        <v>0</v>
      </c>
      <c r="AJ19" s="33">
        <f t="shared" si="2"/>
        <v>0</v>
      </c>
      <c r="AK19" s="63"/>
      <c r="AL19" s="68"/>
    </row>
    <row r="20" spans="2:38" ht="30" customHeight="1">
      <c r="B20" s="62"/>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4">
        <f t="shared" si="3"/>
        <v>0</v>
      </c>
      <c r="AI20" s="64">
        <f t="shared" si="4"/>
        <v>0</v>
      </c>
      <c r="AJ20" s="33">
        <f t="shared" si="2"/>
        <v>0</v>
      </c>
      <c r="AK20" s="63"/>
      <c r="AL20" s="68"/>
    </row>
    <row r="21" spans="2:38" ht="30" customHeight="1">
      <c r="B21" s="62"/>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4">
        <f t="shared" si="3"/>
        <v>0</v>
      </c>
      <c r="AI21" s="64">
        <f t="shared" si="4"/>
        <v>0</v>
      </c>
      <c r="AJ21" s="33">
        <f t="shared" si="2"/>
        <v>0</v>
      </c>
      <c r="AK21" s="69"/>
      <c r="AL21" s="68"/>
    </row>
    <row r="22" spans="2:38" ht="30" customHeight="1">
      <c r="B22" s="30" t="str">
        <f>NomMois&amp;" Total"</f>
        <v>Octobre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SUBTOTAL(109,Octobre[Total absence])</f>
        <v>0</v>
      </c>
      <c r="AI22" s="29">
        <f>SUBTOTAL(109,Octobre[Dont RTT])</f>
        <v>0</v>
      </c>
      <c r="AJ22" s="55">
        <f>SUBTOTAL(109,Octobre[Dont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169" priority="144" stopIfTrue="1" operator="containsText" text="dim">
      <formula>NOT(ISERROR(SEARCH("dim",C6)))</formula>
    </cfRule>
  </conditionalFormatting>
  <conditionalFormatting sqref="AH7">
    <cfRule type="containsText" dxfId="168" priority="143" stopIfTrue="1" operator="containsText" text="dim">
      <formula>NOT(ISERROR(SEARCH("dim",AH7)))</formula>
    </cfRule>
  </conditionalFormatting>
  <conditionalFormatting sqref="C22:AG22">
    <cfRule type="containsText" dxfId="167" priority="124" stopIfTrue="1" operator="containsText" text="dim">
      <formula>NOT(ISERROR(SEARCH("dim",C22)))</formula>
    </cfRule>
  </conditionalFormatting>
  <conditionalFormatting sqref="AL3:XFD3 A2:A3 AG2:XFD2">
    <cfRule type="containsText" dxfId="166" priority="120" stopIfTrue="1" operator="containsText" text="dim">
      <formula>NOT(ISERROR(SEARCH("dim",A2)))</formula>
    </cfRule>
  </conditionalFormatting>
  <conditionalFormatting sqref="AJ8:AJ21">
    <cfRule type="dataBar" priority="72">
      <dataBar>
        <cfvo type="num" val="0"/>
        <cfvo type="num" val="31"/>
        <color rgb="FFFF0000"/>
      </dataBar>
      <extLst>
        <ext xmlns:x14="http://schemas.microsoft.com/office/spreadsheetml/2009/9/main" uri="{B025F937-C7B1-47D3-B67F-A62EFF666E3E}">
          <x14:id>{59833182-E8A6-5D4D-8738-2AF1DC0259AB}</x14:id>
        </ext>
      </extLst>
    </cfRule>
  </conditionalFormatting>
  <conditionalFormatting sqref="AH8:AH21">
    <cfRule type="dataBar" priority="60">
      <dataBar>
        <cfvo type="num" val="0"/>
        <cfvo type="num" val="31"/>
        <color rgb="FF00B0F0"/>
      </dataBar>
      <extLst>
        <ext xmlns:x14="http://schemas.microsoft.com/office/spreadsheetml/2009/9/main" uri="{B025F937-C7B1-47D3-B67F-A62EFF666E3E}">
          <x14:id>{531125BD-964F-A34E-A404-B8890B4FC423}</x14:id>
        </ext>
      </extLst>
    </cfRule>
    <cfRule type="containsText" dxfId="165" priority="63" stopIfTrue="1" operator="containsText" text="dim">
      <formula>NOT(ISERROR(SEARCH("dim",AH8)))</formula>
    </cfRule>
  </conditionalFormatting>
  <conditionalFormatting sqref="AI8:AI21">
    <cfRule type="dataBar" priority="61">
      <dataBar>
        <cfvo type="num" val="0"/>
        <cfvo type="num" val="31"/>
        <color rgb="FF92D050"/>
      </dataBar>
      <extLst>
        <ext xmlns:x14="http://schemas.microsoft.com/office/spreadsheetml/2009/9/main" uri="{B025F937-C7B1-47D3-B67F-A62EFF666E3E}">
          <x14:id>{8E35412C-925A-FF48-B0C5-0B6C32C451BF}</x14:id>
        </ext>
      </extLst>
    </cfRule>
  </conditionalFormatting>
  <conditionalFormatting sqref="B3:D3 F2:G3 M3:N3 Q3 S3:T3 V2:W3 I2:J3">
    <cfRule type="containsText" dxfId="164" priority="35" stopIfTrue="1" operator="containsText" text="dim">
      <formula>NOT(ISERROR(SEARCH("dim",B2)))</formula>
    </cfRule>
  </conditionalFormatting>
  <conditionalFormatting sqref="V2:W2">
    <cfRule type="containsText" dxfId="163" priority="34" stopIfTrue="1" operator="containsText" text="dim">
      <formula>NOT(ISERROR(SEARCH("dim",V2)))</formula>
    </cfRule>
  </conditionalFormatting>
  <conditionalFormatting sqref="AA2">
    <cfRule type="containsText" dxfId="162" priority="33" stopIfTrue="1" operator="containsText" text="dim">
      <formula>NOT(ISERROR(SEARCH("dim",AA2)))</formula>
    </cfRule>
  </conditionalFormatting>
  <conditionalFormatting sqref="AA2">
    <cfRule type="containsText" dxfId="161" priority="32" stopIfTrue="1" operator="containsText" text="dim">
      <formula>NOT(ISERROR(SEARCH("dim",AA2)))</formula>
    </cfRule>
  </conditionalFormatting>
  <conditionalFormatting sqref="P3">
    <cfRule type="expression" dxfId="160" priority="18" stopIfTrue="1">
      <formula>P3=CléNonTravaillé</formula>
    </cfRule>
    <cfRule type="expression" dxfId="159" priority="19" stopIfTrue="1">
      <formula>P3=CléPrésenceExceptionnelle</formula>
    </cfRule>
    <cfRule type="expression" dxfId="158" priority="20" stopIfTrue="1">
      <formula>P3=CléCongéSpécial</formula>
    </cfRule>
    <cfRule type="expression" dxfId="157" priority="21" stopIfTrue="1">
      <formula>P3=CléDemiRécupération</formula>
    </cfRule>
    <cfRule type="expression" dxfId="156" priority="22" stopIfTrue="1">
      <formula>P3=CléDemiEnfantMalade</formula>
    </cfRule>
    <cfRule type="expression" dxfId="155" priority="23" stopIfTrue="1">
      <formula>P3=CléEnfantMalade</formula>
    </cfRule>
    <cfRule type="expression" dxfId="154" priority="24" stopIfTrue="1">
      <formula>P3=CléDemiRtt</formula>
    </cfRule>
    <cfRule type="expression" priority="25" stopIfTrue="1">
      <formula>P3=""</formula>
    </cfRule>
    <cfRule type="expression" dxfId="153" priority="26" stopIfTrue="1">
      <formula>P3=CléMaladie</formula>
    </cfRule>
    <cfRule type="expression" dxfId="152" priority="27" stopIfTrue="1">
      <formula>P3=CléCongé</formula>
    </cfRule>
    <cfRule type="expression" dxfId="151" priority="28" stopIfTrue="1">
      <formula>P3=CléRécupération</formula>
    </cfRule>
    <cfRule type="expression" dxfId="150" priority="29" stopIfTrue="1">
      <formula>P3=CléFormation</formula>
    </cfRule>
    <cfRule type="expression" dxfId="149" priority="30" stopIfTrue="1">
      <formula>P3=CléRTT</formula>
    </cfRule>
    <cfRule type="expression" dxfId="148" priority="31" stopIfTrue="1">
      <formula>P3=CléTélétravail</formula>
    </cfRule>
  </conditionalFormatting>
  <conditionalFormatting sqref="AA3">
    <cfRule type="containsText" dxfId="147" priority="17" stopIfTrue="1" operator="containsText" text="dim">
      <formula>NOT(ISERROR(SEARCH("dim",AA3)))</formula>
    </cfRule>
  </conditionalFormatting>
  <conditionalFormatting sqref="AA3">
    <cfRule type="containsText" dxfId="146" priority="16" stopIfTrue="1" operator="containsText" text="dim">
      <formula>NOT(ISERROR(SEARCH("dim",AA3)))</formula>
    </cfRule>
  </conditionalFormatting>
  <conditionalFormatting sqref="C8:AG21">
    <cfRule type="expression" dxfId="145" priority="1" stopIfTrue="1">
      <formula>C8=CléAbsenceJustifiée</formula>
    </cfRule>
    <cfRule type="expression" dxfId="144" priority="2" stopIfTrue="1">
      <formula>C8=CléNonTravaillé</formula>
    </cfRule>
    <cfRule type="expression" dxfId="143" priority="3" stopIfTrue="1">
      <formula>C8=CléPrésenceExceptionnelle</formula>
    </cfRule>
    <cfRule type="expression" dxfId="142" priority="4" stopIfTrue="1">
      <formula>C8=CléCongéSpécial</formula>
    </cfRule>
    <cfRule type="expression" dxfId="141" priority="5" stopIfTrue="1">
      <formula>C8=CléDemiRécupération</formula>
    </cfRule>
    <cfRule type="expression" dxfId="140" priority="6" stopIfTrue="1">
      <formula>C8=CléDemiEnfantMalade</formula>
    </cfRule>
    <cfRule type="expression" dxfId="139" priority="7" stopIfTrue="1">
      <formula>C8=CléEnfantMalade</formula>
    </cfRule>
    <cfRule type="expression" dxfId="138" priority="8" stopIfTrue="1">
      <formula>C8=CléDemiRtt</formula>
    </cfRule>
    <cfRule type="expression" priority="9" stopIfTrue="1">
      <formula>C8=""</formula>
    </cfRule>
    <cfRule type="expression" dxfId="137" priority="10" stopIfTrue="1">
      <formula>C8=CléCongéMalade</formula>
    </cfRule>
    <cfRule type="expression" dxfId="136" priority="11" stopIfTrue="1">
      <formula>C8=CléCongé</formula>
    </cfRule>
    <cfRule type="expression" dxfId="135" priority="12" stopIfTrue="1">
      <formula>C8=CléRécupération</formula>
    </cfRule>
    <cfRule type="expression" dxfId="134" priority="13" stopIfTrue="1">
      <formula>C8=CléFormation</formula>
    </cfRule>
    <cfRule type="expression" dxfId="133" priority="14" stopIfTrue="1">
      <formula>C8=CléRTT</formula>
    </cfRule>
    <cfRule type="expression" dxfId="132" priority="15" stopIfTrue="1">
      <formula>C8=CléTélétravail</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A5C906B3-D083-6D48-A84B-18B854D2EBBD}"/>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893144A7-728A-4D40-93BC-A14B623B6D35}"/>
    <dataValidation allowBlank="1" showInputMessage="1" showErrorMessage="1" prompt="Suivez les absences du mois d’octobre dans cette feuille de calcul" sqref="A1" xr:uid="{CAB78C87-39CD-794A-B46E-46B7414888A8}"/>
    <dataValidation allowBlank="1" showInputMessage="1" showErrorMessage="1" prompt="Calcule automatiquement le nombre total de jours d’absence d’un employé durant ce mois dans cette colonne" sqref="AH7" xr:uid="{FAC5764A-286E-5946-8A25-BFBEC4A03F2E}"/>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117448EA-5F6F-6946-A538-746EA42F640C}"/>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17977A47-A7C6-D146-8996-60B530B15F23}"/>
    <dataValidation allowBlank="1" showErrorMessage="1" sqref="B4:AJ5 AD1:AJ1 B2:B3 B1:Y1" xr:uid="{FD8D6894-836E-754D-BC5F-5504E871F24C}"/>
    <dataValidation allowBlank="1" showErrorMessage="1" prompt="Entrez une étiquette pour décrire la clé personnalisée à gauche" sqref="N3" xr:uid="{6A4EEBBC-4432-E849-A433-3F6FBE27E45F}"/>
    <dataValidation allowBlank="1" showErrorMessage="1" prompt="Entrez une lettre et personnalisez l’étiquette à droite pour ajouter un élément de clé" sqref="I16 F16 I2:I3" xr:uid="{70B34098-8DAF-A248-BA3A-169AC4D326BC}"/>
    <dataValidation allowBlank="1" showInputMessage="1" showErrorMessage="1" prompt="Entrez une étiquette pour décrire la clé personnalisée à gauche" sqref="J2:J3" xr:uid="{22BCA5EB-07E6-444C-AEEB-CB59E7EFF4A6}"/>
    <dataValidation allowBlank="1" showInputMessage="1" showErrorMessage="1" prompt="Entrez une lettre et personnalisez l’étiquette à droite pour ajouter un élément de clé" sqref="M3" xr:uid="{B8835787-7E70-AA45-8ECF-941460C0BC34}"/>
    <dataValidation allowBlank="1" showInputMessage="1" showErrorMessage="1" prompt="La lettre « M » indique une absence pour cause de maladie" sqref="S3" xr:uid="{51A701B4-BC90-EE45-90DB-FE1BFDB13AC6}"/>
    <dataValidation allowBlank="1" showErrorMessage="1" prompt="La lettre « P » indique une absence pour motifs personnels" sqref="F3" xr:uid="{635762B3-6E4E-FA48-A8A8-29B12A5E5DA3}"/>
    <dataValidation allowBlank="1" showErrorMessage="1" prompt="La lettre « C » indique une absence pour cause de congé" sqref="C3" xr:uid="{E807CF8A-2436-D64C-8779-DE415155B26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9833182-E8A6-5D4D-8738-2AF1DC0259AB}">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531125BD-964F-A34E-A404-B8890B4FC423}">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8E35412C-925A-FF48-B0C5-0B6C32C451BF}">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60" stopIfTrue="1" operator="containsText" text="dim" id="{E32FD559-C6BE-DC4E-9A92-14FFD8AC5E93}">
            <xm:f>NOT(ISERROR(SEARCH("dim",Avril!AK18)))</xm:f>
            <x14:dxf>
              <font>
                <color theme="9"/>
              </font>
              <fill>
                <patternFill patternType="none">
                  <bgColor auto="1"/>
                </patternFill>
              </fill>
            </x14:dxf>
          </x14:cfRule>
          <xm:sqref>AK22:AK1048576</xm:sqref>
        </x14:conditionalFormatting>
        <x14:conditionalFormatting xmlns:xm="http://schemas.microsoft.com/office/excel/2006/main">
          <x14:cfRule type="containsText" priority="96" stopIfTrue="1" operator="containsText" text="dim" id="{7E698E6F-57A9-6F4E-9955-F3FFB75F1D3F}">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507" stopIfTrue="1" operator="containsText" text="dim" id="{E32FD559-C6BE-DC4E-9A92-14FFD8AC5E93}">
            <xm:f>NOT(ISERROR(SEARCH("dim",Avril!AK1)))</xm:f>
            <x14:dxf>
              <font>
                <color theme="9"/>
              </font>
              <fill>
                <patternFill patternType="none">
                  <bgColor auto="1"/>
                </patternFill>
              </fill>
            </x14:dxf>
          </x14:cfRule>
          <xm:sqref>AK7 AK1 AK4</xm:sqref>
        </x14:conditionalFormatting>
        <x14:conditionalFormatting xmlns:xm="http://schemas.microsoft.com/office/excel/2006/main">
          <x14:cfRule type="containsText" priority="531" stopIfTrue="1" operator="containsText" text="dim" id="{E32FD559-C6BE-DC4E-9A92-14FFD8AC5E93}">
            <xm:f>NOT(ISERROR(SEARCH("dim",Avril!AK20)))</xm:f>
            <x14:dxf>
              <font>
                <color theme="9"/>
              </font>
              <fill>
                <patternFill patternType="none">
                  <bgColor auto="1"/>
                </patternFill>
              </fill>
            </x14:dxf>
          </x14:cfRule>
          <xm:sqref>AK19:AK21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33932B49-5187-294F-A4B2-F912DE900FE1}">
          <x14:formula1>
            <xm:f>'Noms des employés'!$B$4:$B$16</xm:f>
          </x14:formula1>
          <xm:sqref>B8:B21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581B235-97AA-6A4A-877C-6FD88B294FB4}">
  <sheetPr>
    <tabColor theme="2" tint="-0.249977111117893"/>
  </sheetPr>
  <dimension ref="A1:AL22"/>
  <sheetViews>
    <sheetView showGridLines="0" topLeftCell="A6" zoomScaleNormal="100" workbookViewId="0">
      <selection activeCell="B8" sqref="B8:B21"/>
    </sheetView>
  </sheetViews>
  <sheetFormatPr baseColWidth="10" defaultColWidth="9.1640625" defaultRowHeight="30" customHeight="1"/>
  <cols>
    <col min="1" max="1" width="2.6640625" style="4" customWidth="1"/>
    <col min="2" max="2" width="19.33203125" style="4" customWidth="1"/>
    <col min="3" max="33" width="4.6640625" style="4" customWidth="1"/>
    <col min="34" max="34" width="12" style="4" customWidth="1"/>
    <col min="35" max="35" width="11.1640625" customWidth="1"/>
    <col min="36" max="36" width="11.83203125" customWidth="1"/>
    <col min="37" max="37" width="19.6640625" customWidth="1"/>
    <col min="38" max="38" width="41.83203125" customWidth="1"/>
  </cols>
  <sheetData>
    <row r="1" spans="1:38" ht="50" customHeight="1">
      <c r="B1" s="5" t="str">
        <f>Titre_Absence_Employé</f>
        <v>Calendrier des absences des employés</v>
      </c>
    </row>
    <row r="2" spans="1:38"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8"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8" ht="15" customHeight="1">
      <c r="B4" s="5"/>
    </row>
    <row r="5" spans="1:38" ht="30" customHeight="1">
      <c r="B5" s="21" t="s">
        <v>52</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1"/>
      <c r="AJ5" s="21"/>
      <c r="AK5" s="71">
        <f>AnnéeCalendrier</f>
        <v>2021</v>
      </c>
      <c r="AL5" s="21"/>
    </row>
    <row r="6" spans="1:38" ht="15" customHeight="1">
      <c r="B6" s="15"/>
      <c r="C6" s="58" t="str">
        <f>TEXT(WEEKDAY(DATE(AnnéeCalendrier,11,1),1),"jjj")</f>
        <v>lun</v>
      </c>
      <c r="D6" s="58" t="str">
        <f>TEXT(WEEKDAY(DATE(AnnéeCalendrier,11,2),1),"jjj")</f>
        <v>mar</v>
      </c>
      <c r="E6" s="58" t="str">
        <f>TEXT(WEEKDAY(DATE(AnnéeCalendrier,11,3),1),"jjj")</f>
        <v>mer</v>
      </c>
      <c r="F6" s="58" t="str">
        <f>TEXT(WEEKDAY(DATE(AnnéeCalendrier,11,4),1),"jjj")</f>
        <v>jeu</v>
      </c>
      <c r="G6" s="58" t="str">
        <f>TEXT(WEEKDAY(DATE(AnnéeCalendrier,11,5),1),"jjj")</f>
        <v>ven</v>
      </c>
      <c r="H6" s="58" t="str">
        <f>TEXT(WEEKDAY(DATE(AnnéeCalendrier,11,6),1),"jjj")</f>
        <v>sam</v>
      </c>
      <c r="I6" s="58" t="str">
        <f>TEXT(WEEKDAY(DATE(AnnéeCalendrier,11,7),1),"jjj")</f>
        <v>dim</v>
      </c>
      <c r="J6" s="58" t="str">
        <f>TEXT(WEEKDAY(DATE(AnnéeCalendrier,11,8),1),"jjj")</f>
        <v>lun</v>
      </c>
      <c r="K6" s="58" t="str">
        <f>TEXT(WEEKDAY(DATE(AnnéeCalendrier,11,9),1),"jjj")</f>
        <v>mar</v>
      </c>
      <c r="L6" s="58" t="str">
        <f>TEXT(WEEKDAY(DATE(AnnéeCalendrier,11,10),1),"jjj")</f>
        <v>mer</v>
      </c>
      <c r="M6" s="58" t="str">
        <f>TEXT(WEEKDAY(DATE(AnnéeCalendrier,11,11),1),"jjj")</f>
        <v>jeu</v>
      </c>
      <c r="N6" s="58" t="str">
        <f>TEXT(WEEKDAY(DATE(AnnéeCalendrier,11,12),1),"jjj")</f>
        <v>ven</v>
      </c>
      <c r="O6" s="58" t="str">
        <f>TEXT(WEEKDAY(DATE(AnnéeCalendrier,11,13),1),"jjj")</f>
        <v>sam</v>
      </c>
      <c r="P6" s="58" t="str">
        <f>TEXT(WEEKDAY(DATE(AnnéeCalendrier,11,14),1),"jjj")</f>
        <v>dim</v>
      </c>
      <c r="Q6" s="58" t="str">
        <f>TEXT(WEEKDAY(DATE(AnnéeCalendrier,11,15),1),"jjj")</f>
        <v>lun</v>
      </c>
      <c r="R6" s="58" t="str">
        <f>TEXT(WEEKDAY(DATE(AnnéeCalendrier,11,16),1),"jjj")</f>
        <v>mar</v>
      </c>
      <c r="S6" s="58" t="str">
        <f>TEXT(WEEKDAY(DATE(AnnéeCalendrier,11,17),1),"jjj")</f>
        <v>mer</v>
      </c>
      <c r="T6" s="58" t="str">
        <f>TEXT(WEEKDAY(DATE(AnnéeCalendrier,11,18),1),"jjj")</f>
        <v>jeu</v>
      </c>
      <c r="U6" s="58" t="str">
        <f>TEXT(WEEKDAY(DATE(AnnéeCalendrier,11,19),1),"jjj")</f>
        <v>ven</v>
      </c>
      <c r="V6" s="58" t="str">
        <f>TEXT(WEEKDAY(DATE(AnnéeCalendrier,11,20),1),"jjj")</f>
        <v>sam</v>
      </c>
      <c r="W6" s="58" t="str">
        <f>TEXT(WEEKDAY(DATE(AnnéeCalendrier,11,21),1),"jjj")</f>
        <v>dim</v>
      </c>
      <c r="X6" s="58" t="str">
        <f>TEXT(WEEKDAY(DATE(AnnéeCalendrier,11,22),1),"jjj")</f>
        <v>lun</v>
      </c>
      <c r="Y6" s="58" t="str">
        <f>TEXT(WEEKDAY(DATE(AnnéeCalendrier,11,23),1),"jjj")</f>
        <v>mar</v>
      </c>
      <c r="Z6" s="58" t="str">
        <f>TEXT(WEEKDAY(DATE(AnnéeCalendrier,11,24),1),"jjj")</f>
        <v>mer</v>
      </c>
      <c r="AA6" s="58" t="str">
        <f>TEXT(WEEKDAY(DATE(AnnéeCalendrier,11,25),1),"jjj")</f>
        <v>jeu</v>
      </c>
      <c r="AB6" s="58" t="str">
        <f>TEXT(WEEKDAY(DATE(AnnéeCalendrier,11,26),1),"jjj")</f>
        <v>ven</v>
      </c>
      <c r="AC6" s="58" t="str">
        <f>TEXT(WEEKDAY(DATE(AnnéeCalendrier,11,27),1),"jjj")</f>
        <v>sam</v>
      </c>
      <c r="AD6" s="58" t="str">
        <f>TEXT(WEEKDAY(DATE(AnnéeCalendrier,11,28),1),"jjj")</f>
        <v>dim</v>
      </c>
      <c r="AE6" s="58" t="str">
        <f>TEXT(WEEKDAY(DATE(AnnéeCalendrier,11,29),1),"jjj")</f>
        <v>lun</v>
      </c>
      <c r="AF6" s="58" t="str">
        <f>TEXT(WEEKDAY(DATE(AnnéeCalendrier,11,30),1),"jjj")</f>
        <v>mar</v>
      </c>
      <c r="AG6" s="58"/>
      <c r="AH6" s="12"/>
      <c r="AI6" s="12"/>
      <c r="AJ6" s="12"/>
      <c r="AK6" s="12"/>
      <c r="AL6" s="12"/>
    </row>
    <row r="7" spans="1:38" ht="36" customHeight="1">
      <c r="B7" s="13" t="s">
        <v>3</v>
      </c>
      <c r="C7" s="51" t="s">
        <v>6</v>
      </c>
      <c r="D7" s="14" t="s">
        <v>8</v>
      </c>
      <c r="E7" s="14" t="s">
        <v>9</v>
      </c>
      <c r="F7" s="14" t="s">
        <v>10</v>
      </c>
      <c r="G7" s="14" t="s">
        <v>12</v>
      </c>
      <c r="H7" s="14" t="s">
        <v>13</v>
      </c>
      <c r="I7" s="14" t="s">
        <v>14</v>
      </c>
      <c r="J7" s="14" t="s">
        <v>15</v>
      </c>
      <c r="K7" s="14" t="s">
        <v>16</v>
      </c>
      <c r="L7" s="14" t="s">
        <v>18</v>
      </c>
      <c r="M7" s="51"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67</v>
      </c>
      <c r="AI7" s="27" t="s">
        <v>78</v>
      </c>
      <c r="AJ7" s="27" t="s">
        <v>98</v>
      </c>
      <c r="AK7" s="75" t="s">
        <v>81</v>
      </c>
      <c r="AL7" s="74" t="s">
        <v>99</v>
      </c>
    </row>
    <row r="8" spans="1:38"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8"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Octobre!AK9-Novembre[[#This Row],[Dont RTT]]+2</f>
        <v>25</v>
      </c>
    </row>
    <row r="10" spans="1:38"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Octobre!AK10-Novembre[[#This Row],[Dont RTT]]+2</f>
        <v>33</v>
      </c>
    </row>
    <row r="11" spans="1:38"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8"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row>
    <row r="13" spans="1:38"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Octobre!AK13-Novembre[[#This Row],[Dont RTT]]+2</f>
        <v>24.93</v>
      </c>
    </row>
    <row r="14" spans="1:38"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Octobre!AK14-Novembre[[#This Row],[Dont RTT]]+2</f>
        <v>24.5</v>
      </c>
    </row>
    <row r="15" spans="1:38"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Octobre!AK15-Novembre[[#This Row],[Dont RTT]]+2</f>
        <v>27.5</v>
      </c>
    </row>
    <row r="16" spans="1:38"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Octobre!AK16-Novembre[[#This Row],[Dont RTT]]+2</f>
        <v>24.16</v>
      </c>
    </row>
    <row r="17" spans="2:38"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Octobre!AK17-Novembre[[#This Row],[Dont RTT]]+2</f>
        <v>33</v>
      </c>
    </row>
    <row r="18" spans="2:38"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Octobre!AK18-Novembre[[#This Row],[Dont RTT]]+2</f>
        <v>24.5</v>
      </c>
    </row>
    <row r="19" spans="2:38" ht="30" customHeight="1">
      <c r="B19" s="62"/>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5">
        <f t="shared" ref="AH19:AH21" si="3">(COUNTIF(C19:AG19,"C")+(COUNTIF(C19:AG19,"EM")+COUNTIF(C19:AG19,"RTT")+COUNTIF(C19:AG19,"M")+COUNTIF(C19:AG19,"Rec")+COUNTIF(C19:AG19,"F")+COUNTIF(C19:AG19,"TT"-1)+COUNTIF(C19:AG19,"CS")+COUNTIF(C19:AG19,"PE"-1)+COUNTIF(C19:AG19,"DRTT")/2)+COUNTIF(C19:AG19,"DREC")/2)+COUNTIF(C19:AG19,"DEM")/2</f>
        <v>0</v>
      </c>
      <c r="AI19" s="65">
        <f t="shared" ref="AI19:AI21" si="4">COUNTIF(C19:AG19,"RTT")+COUNTIF(C19:AG19,"DRTT")/2</f>
        <v>0</v>
      </c>
      <c r="AJ19" s="33">
        <f t="shared" si="2"/>
        <v>0</v>
      </c>
      <c r="AK19" s="63"/>
    </row>
    <row r="20" spans="2:38" ht="30" customHeight="1">
      <c r="B20" s="62"/>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5">
        <f t="shared" si="3"/>
        <v>0</v>
      </c>
      <c r="AI20" s="65">
        <f t="shared" si="4"/>
        <v>0</v>
      </c>
      <c r="AJ20" s="33">
        <f t="shared" si="2"/>
        <v>0</v>
      </c>
      <c r="AK20" s="63"/>
    </row>
    <row r="21" spans="2:38" ht="30" customHeight="1">
      <c r="B21" s="62"/>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5">
        <f t="shared" si="3"/>
        <v>0</v>
      </c>
      <c r="AI21" s="65">
        <f t="shared" si="4"/>
        <v>0</v>
      </c>
      <c r="AJ21" s="33">
        <f t="shared" si="2"/>
        <v>0</v>
      </c>
      <c r="AK21" s="63"/>
    </row>
    <row r="22" spans="2:38" ht="30" customHeight="1">
      <c r="B22" s="30" t="str">
        <f>NomMois&amp;" Total"</f>
        <v>Novembre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SUBTOTAL(109,Novembre[Total absence])</f>
        <v>0</v>
      </c>
      <c r="AI22" s="29">
        <f>SUBTOTAL(109,Novembre[Dont RTT])</f>
        <v>0</v>
      </c>
      <c r="AJ22" s="55">
        <f>SUBTOTAL(109,Novembre[Dont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127" priority="138" stopIfTrue="1" operator="containsText" text="dim">
      <formula>NOT(ISERROR(SEARCH("dim",C6)))</formula>
    </cfRule>
  </conditionalFormatting>
  <conditionalFormatting sqref="AH7">
    <cfRule type="containsText" dxfId="126" priority="137" stopIfTrue="1" operator="containsText" text="dim">
      <formula>NOT(ISERROR(SEARCH("dim",AH7)))</formula>
    </cfRule>
  </conditionalFormatting>
  <conditionalFormatting sqref="C22:AG22">
    <cfRule type="containsText" dxfId="125" priority="117" stopIfTrue="1" operator="containsText" text="dim">
      <formula>NOT(ISERROR(SEARCH("dim",C22)))</formula>
    </cfRule>
  </conditionalFormatting>
  <conditionalFormatting sqref="AL3:XFD3 A2:A3 AG2:XFD2">
    <cfRule type="containsText" dxfId="124" priority="114" stopIfTrue="1" operator="containsText" text="dim">
      <formula>NOT(ISERROR(SEARCH("dim",A2)))</formula>
    </cfRule>
  </conditionalFormatting>
  <conditionalFormatting sqref="AJ8:AJ21">
    <cfRule type="dataBar" priority="66">
      <dataBar>
        <cfvo type="num" val="0"/>
        <cfvo type="num" val="31"/>
        <color rgb="FFFF0000"/>
      </dataBar>
      <extLst>
        <ext xmlns:x14="http://schemas.microsoft.com/office/spreadsheetml/2009/9/main" uri="{B025F937-C7B1-47D3-B67F-A62EFF666E3E}">
          <x14:id>{8ED36B72-7B84-FC49-8569-F8EDF688A8BE}</x14:id>
        </ext>
      </extLst>
    </cfRule>
  </conditionalFormatting>
  <conditionalFormatting sqref="AH8:AH21">
    <cfRule type="dataBar" priority="54">
      <dataBar>
        <cfvo type="num" val="0"/>
        <cfvo type="num" val="31"/>
        <color rgb="FF00B0F0"/>
      </dataBar>
      <extLst>
        <ext xmlns:x14="http://schemas.microsoft.com/office/spreadsheetml/2009/9/main" uri="{B025F937-C7B1-47D3-B67F-A62EFF666E3E}">
          <x14:id>{6B34DDAC-AC86-BE4F-A703-C37FB5D3F71D}</x14:id>
        </ext>
      </extLst>
    </cfRule>
    <cfRule type="containsText" dxfId="123" priority="57" stopIfTrue="1" operator="containsText" text="dim">
      <formula>NOT(ISERROR(SEARCH("dim",AH8)))</formula>
    </cfRule>
  </conditionalFormatting>
  <conditionalFormatting sqref="AI8:AI21">
    <cfRule type="dataBar" priority="55">
      <dataBar>
        <cfvo type="num" val="0"/>
        <cfvo type="num" val="31"/>
        <color rgb="FF92D050"/>
      </dataBar>
      <extLst>
        <ext xmlns:x14="http://schemas.microsoft.com/office/spreadsheetml/2009/9/main" uri="{B025F937-C7B1-47D3-B67F-A62EFF666E3E}">
          <x14:id>{D9257F76-1902-F041-9D22-29AAC7B051D3}</x14:id>
        </ext>
      </extLst>
    </cfRule>
  </conditionalFormatting>
  <conditionalFormatting sqref="B3:D3 F2:G3 M3:N3 Q3 S3:T3 V2:W3 I2:J3">
    <cfRule type="containsText" dxfId="122" priority="35" stopIfTrue="1" operator="containsText" text="dim">
      <formula>NOT(ISERROR(SEARCH("dim",B2)))</formula>
    </cfRule>
  </conditionalFormatting>
  <conditionalFormatting sqref="V2:W2">
    <cfRule type="containsText" dxfId="121" priority="34" stopIfTrue="1" operator="containsText" text="dim">
      <formula>NOT(ISERROR(SEARCH("dim",V2)))</formula>
    </cfRule>
  </conditionalFormatting>
  <conditionalFormatting sqref="AA2">
    <cfRule type="containsText" dxfId="120" priority="33" stopIfTrue="1" operator="containsText" text="dim">
      <formula>NOT(ISERROR(SEARCH("dim",AA2)))</formula>
    </cfRule>
  </conditionalFormatting>
  <conditionalFormatting sqref="AA2">
    <cfRule type="containsText" dxfId="119" priority="32" stopIfTrue="1" operator="containsText" text="dim">
      <formula>NOT(ISERROR(SEARCH("dim",AA2)))</formula>
    </cfRule>
  </conditionalFormatting>
  <conditionalFormatting sqref="P3">
    <cfRule type="expression" dxfId="118" priority="18" stopIfTrue="1">
      <formula>P3=CléNonTravaillé</formula>
    </cfRule>
    <cfRule type="expression" dxfId="117" priority="19" stopIfTrue="1">
      <formula>P3=CléPrésenceExceptionnelle</formula>
    </cfRule>
    <cfRule type="expression" dxfId="116" priority="20" stopIfTrue="1">
      <formula>P3=CléCongéSpécial</formula>
    </cfRule>
    <cfRule type="expression" dxfId="115" priority="21" stopIfTrue="1">
      <formula>P3=CléDemiRécupération</formula>
    </cfRule>
    <cfRule type="expression" dxfId="114" priority="22" stopIfTrue="1">
      <formula>P3=CléDemiEnfantMalade</formula>
    </cfRule>
    <cfRule type="expression" dxfId="113" priority="23" stopIfTrue="1">
      <formula>P3=CléEnfantMalade</formula>
    </cfRule>
    <cfRule type="expression" dxfId="112" priority="24" stopIfTrue="1">
      <formula>P3=CléDemiRtt</formula>
    </cfRule>
    <cfRule type="expression" priority="25" stopIfTrue="1">
      <formula>P3=""</formula>
    </cfRule>
    <cfRule type="expression" dxfId="111" priority="26" stopIfTrue="1">
      <formula>P3=CléMaladie</formula>
    </cfRule>
    <cfRule type="expression" dxfId="110" priority="27" stopIfTrue="1">
      <formula>P3=CléCongé</formula>
    </cfRule>
    <cfRule type="expression" dxfId="109" priority="28" stopIfTrue="1">
      <formula>P3=CléRécupération</formula>
    </cfRule>
    <cfRule type="expression" dxfId="108" priority="29" stopIfTrue="1">
      <formula>P3=CléFormation</formula>
    </cfRule>
    <cfRule type="expression" dxfId="107" priority="30" stopIfTrue="1">
      <formula>P3=CléRTT</formula>
    </cfRule>
    <cfRule type="expression" dxfId="106" priority="31" stopIfTrue="1">
      <formula>P3=CléTélétravail</formula>
    </cfRule>
  </conditionalFormatting>
  <conditionalFormatting sqref="AA3">
    <cfRule type="containsText" dxfId="105" priority="17" stopIfTrue="1" operator="containsText" text="dim">
      <formula>NOT(ISERROR(SEARCH("dim",AA3)))</formula>
    </cfRule>
  </conditionalFormatting>
  <conditionalFormatting sqref="AA3">
    <cfRule type="containsText" dxfId="104" priority="16" stopIfTrue="1" operator="containsText" text="dim">
      <formula>NOT(ISERROR(SEARCH("dim",AA3)))</formula>
    </cfRule>
  </conditionalFormatting>
  <conditionalFormatting sqref="C8:AG21">
    <cfRule type="expression" dxfId="103" priority="1" stopIfTrue="1">
      <formula>C8=CléAbsenceJustifiée</formula>
    </cfRule>
    <cfRule type="expression" dxfId="102" priority="2" stopIfTrue="1">
      <formula>C8=CléNonTravaillé</formula>
    </cfRule>
    <cfRule type="expression" dxfId="101" priority="3" stopIfTrue="1">
      <formula>C8=CléPrésenceExceptionnelle</formula>
    </cfRule>
    <cfRule type="expression" dxfId="100" priority="4" stopIfTrue="1">
      <formula>C8=CléCongéSpécial</formula>
    </cfRule>
    <cfRule type="expression" dxfId="99" priority="5" stopIfTrue="1">
      <formula>C8=CléDemiRécupération</formula>
    </cfRule>
    <cfRule type="expression" dxfId="98" priority="6" stopIfTrue="1">
      <formula>C8=CléDemiEnfantMalade</formula>
    </cfRule>
    <cfRule type="expression" dxfId="97" priority="7" stopIfTrue="1">
      <formula>C8=CléEnfantMalade</formula>
    </cfRule>
    <cfRule type="expression" dxfId="96" priority="8" stopIfTrue="1">
      <formula>C8=CléDemiRtt</formula>
    </cfRule>
    <cfRule type="expression" priority="9" stopIfTrue="1">
      <formula>C8=""</formula>
    </cfRule>
    <cfRule type="expression" dxfId="95" priority="10" stopIfTrue="1">
      <formula>C8=CléCongéMalade</formula>
    </cfRule>
    <cfRule type="expression" dxfId="94" priority="11" stopIfTrue="1">
      <formula>C8=CléCongé</formula>
    </cfRule>
    <cfRule type="expression" dxfId="93" priority="12" stopIfTrue="1">
      <formula>C8=CléRécupération</formula>
    </cfRule>
    <cfRule type="expression" dxfId="92" priority="13" stopIfTrue="1">
      <formula>C8=CléFormation</formula>
    </cfRule>
    <cfRule type="expression" dxfId="91" priority="14" stopIfTrue="1">
      <formula>C8=CléRTT</formula>
    </cfRule>
    <cfRule type="expression" dxfId="90"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DA9A24C1-932A-774C-931E-9F32DCF4A6B7}"/>
    <dataValidation allowBlank="1" showInputMessage="1" showErrorMessage="1" prompt="Année mise à jour automatiquement en fonction de l’année entrée dans la feuille de calcul Janvier" sqref="AH5" xr:uid="{4D8139DF-459D-564E-90FA-5577DBE19EA8}"/>
    <dataValidation allowBlank="1" showInputMessage="1" showErrorMessage="1" prompt="Calcule automatiquement le nombre total de jours d’absence d’un employé durant ce mois dans cette colonne" sqref="AH7" xr:uid="{3E2E0AD7-8E79-A84E-BFAC-A5968DC0615B}"/>
    <dataValidation allowBlank="1" showInputMessage="1" showErrorMessage="1" prompt="Suivez les absences du mois de novembre dans cette feuille de calcul" sqref="A1" xr:uid="{4746E981-AB18-4C4B-B4F1-FBC2C5CE2B99}"/>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285C09D-BFA3-0546-81A4-294DD4A98A4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F838F61A-2101-444A-B1C6-E1658EA15ED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2EB061F5-B90B-554B-AF34-64B8312CB666}"/>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AB1C0DA7-F9A4-104D-B0E7-784244855CD2}"/>
    <dataValidation allowBlank="1" showErrorMessage="1" sqref="B4:AJ4 AD1:AJ1 B2:B3 B1:Y1" xr:uid="{7E226CDC-AFFF-9141-80AF-06E3034A1E01}"/>
    <dataValidation allowBlank="1" showErrorMessage="1" prompt="Entrez une étiquette pour décrire la clé personnalisée à gauche" sqref="N3" xr:uid="{7B607717-4F67-4340-81A7-924CE691D972}"/>
    <dataValidation allowBlank="1" showErrorMessage="1" prompt="Entrez une lettre et personnalisez l’étiquette à droite pour ajouter un élément de clé" sqref="I2:I3" xr:uid="{89EEF2EC-A90B-DD40-9BA6-EF2B8E4483A4}"/>
    <dataValidation allowBlank="1" showInputMessage="1" showErrorMessage="1" prompt="Entrez une étiquette pour décrire la clé personnalisée à gauche" sqref="J2:J3" xr:uid="{D8EA5458-67F7-0846-9E38-6C982EF35A3B}"/>
    <dataValidation allowBlank="1" showInputMessage="1" showErrorMessage="1" prompt="Entrez une lettre et personnalisez l’étiquette à droite pour ajouter un élément de clé" sqref="M3" xr:uid="{5FB62F83-DF09-D94D-952B-220DCD28D738}"/>
    <dataValidation allowBlank="1" showInputMessage="1" showErrorMessage="1" prompt="La lettre « M » indique une absence pour cause de maladie" sqref="S3" xr:uid="{05666D8D-9D7C-A946-9D38-85A0C5E855F8}"/>
    <dataValidation allowBlank="1" showErrorMessage="1" prompt="La lettre « P » indique une absence pour motifs personnels" sqref="F3" xr:uid="{83095DD9-8862-CB41-A3B0-5FB2A5525106}"/>
    <dataValidation allowBlank="1" showErrorMessage="1" prompt="La lettre « C » indique une absence pour cause de congé" sqref="C3" xr:uid="{CE0C96C1-EBE6-3645-922C-76BE5D6E6C2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ED36B72-7B84-FC49-8569-F8EDF688A8BE}">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6B34DDAC-AC86-BE4F-A703-C37FB5D3F71D}">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D9257F76-1902-F041-9D22-29AAC7B051D3}">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54" stopIfTrue="1" operator="containsText" text="dim" id="{4FB806DB-D735-6041-A73D-2C265083EE09}">
            <xm:f>NOT(ISERROR(SEARCH("dim",Avril!AK18)))</xm:f>
            <x14:dxf>
              <font>
                <color theme="9"/>
              </font>
              <fill>
                <patternFill patternType="none">
                  <bgColor auto="1"/>
                </patternFill>
              </fill>
            </x14:dxf>
          </x14:cfRule>
          <xm:sqref>AK22:AK1048576</xm:sqref>
        </x14:conditionalFormatting>
        <x14:conditionalFormatting xmlns:xm="http://schemas.microsoft.com/office/excel/2006/main">
          <x14:cfRule type="containsText" priority="90" stopIfTrue="1" operator="containsText" text="dim" id="{120BC6F2-EB0A-2B46-9F7C-F068D9B3CCA1}">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554" stopIfTrue="1" operator="containsText" text="dim" id="{4FB806DB-D735-6041-A73D-2C265083EE09}">
            <xm:f>NOT(ISERROR(SEARCH("dim",Avril!AK1)))</xm:f>
            <x14:dxf>
              <font>
                <color theme="9"/>
              </font>
              <fill>
                <patternFill patternType="none">
                  <bgColor auto="1"/>
                </patternFill>
              </fill>
            </x14:dxf>
          </x14:cfRule>
          <xm:sqref>AK7 AK1 AK4</xm:sqref>
        </x14:conditionalFormatting>
        <x14:conditionalFormatting xmlns:xm="http://schemas.microsoft.com/office/excel/2006/main">
          <x14:cfRule type="containsText" priority="584" stopIfTrue="1" operator="containsText" text="dim" id="{4FB806DB-D735-6041-A73D-2C265083EE09}">
            <xm:f>NOT(ISERROR(SEARCH("dim",Avril!AK20)))</xm:f>
            <x14:dxf>
              <font>
                <color theme="9"/>
              </font>
              <fill>
                <patternFill patternType="none">
                  <bgColor auto="1"/>
                </patternFill>
              </fill>
            </x14:dxf>
          </x14:cfRule>
          <xm:sqref>AK19:AK21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B695F344-0EB4-1643-A9C9-776BCB116607}">
          <x14:formula1>
            <xm:f>'Noms des employés'!$B$4:$B$16</xm:f>
          </x14:formula1>
          <xm:sqref>B8:B21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D06455-8F99-D949-9F1D-8EC8D9CA6B96}">
  <sheetPr>
    <tabColor theme="7" tint="0.79998168889431442"/>
  </sheetPr>
  <dimension ref="A1:AL22"/>
  <sheetViews>
    <sheetView showGridLines="0" topLeftCell="A6" zoomScaleNormal="100" workbookViewId="0">
      <selection activeCell="B21" sqref="B8:B21"/>
    </sheetView>
  </sheetViews>
  <sheetFormatPr baseColWidth="10" defaultColWidth="9.1640625" defaultRowHeight="30" customHeight="1"/>
  <cols>
    <col min="1" max="1" width="2.6640625" style="4" customWidth="1"/>
    <col min="2" max="2" width="19.83203125" style="4" customWidth="1"/>
    <col min="3" max="33" width="4.6640625" style="4" customWidth="1"/>
    <col min="34" max="34" width="11.83203125" style="4" customWidth="1"/>
    <col min="35" max="36" width="11.83203125" customWidth="1"/>
    <col min="37" max="37" width="21" customWidth="1"/>
    <col min="38" max="38" width="41.83203125" customWidth="1"/>
  </cols>
  <sheetData>
    <row r="1" spans="1:38" ht="50" customHeight="1">
      <c r="B1" s="5" t="str">
        <f>Titre_Absence_Employé</f>
        <v>Calendrier des absences des employés</v>
      </c>
    </row>
    <row r="2" spans="1:38" ht="22" customHeight="1">
      <c r="A2" s="6"/>
      <c r="C2" s="50" t="s">
        <v>89</v>
      </c>
      <c r="D2" s="81" t="s">
        <v>90</v>
      </c>
      <c r="E2" s="81"/>
      <c r="F2" s="41" t="s">
        <v>72</v>
      </c>
      <c r="G2" s="82" t="s">
        <v>66</v>
      </c>
      <c r="H2" s="82"/>
      <c r="I2" s="40" t="s">
        <v>71</v>
      </c>
      <c r="J2" s="82" t="s">
        <v>74</v>
      </c>
      <c r="K2" s="82"/>
      <c r="L2" s="82"/>
      <c r="P2" s="49" t="s">
        <v>87</v>
      </c>
      <c r="Q2" s="80" t="s">
        <v>88</v>
      </c>
      <c r="R2" s="80"/>
      <c r="S2" s="80"/>
      <c r="T2" s="80"/>
      <c r="U2" s="80"/>
      <c r="V2" s="42" t="s">
        <v>70</v>
      </c>
      <c r="W2" s="82" t="s">
        <v>73</v>
      </c>
      <c r="X2" s="82"/>
      <c r="Y2" s="82"/>
      <c r="Z2" s="53" t="s">
        <v>96</v>
      </c>
      <c r="AA2" s="82" t="s">
        <v>97</v>
      </c>
      <c r="AB2" s="82"/>
      <c r="AC2" s="82"/>
    </row>
    <row r="3" spans="1:38" ht="18" customHeight="1">
      <c r="B3" s="11" t="s">
        <v>1</v>
      </c>
      <c r="C3" s="19" t="s">
        <v>4</v>
      </c>
      <c r="D3" s="86" t="s">
        <v>7</v>
      </c>
      <c r="E3" s="86"/>
      <c r="F3" s="20" t="s">
        <v>57</v>
      </c>
      <c r="G3" s="82" t="s">
        <v>57</v>
      </c>
      <c r="H3" s="82"/>
      <c r="I3" s="23" t="s">
        <v>55</v>
      </c>
      <c r="J3" s="82" t="s">
        <v>56</v>
      </c>
      <c r="K3" s="82"/>
      <c r="L3" s="82"/>
      <c r="M3" s="16" t="s">
        <v>58</v>
      </c>
      <c r="N3" s="82" t="s">
        <v>59</v>
      </c>
      <c r="O3" s="87"/>
      <c r="P3" s="56" t="s">
        <v>60</v>
      </c>
      <c r="Q3" s="88" t="s">
        <v>61</v>
      </c>
      <c r="R3" s="82"/>
      <c r="S3" s="22" t="s">
        <v>11</v>
      </c>
      <c r="T3" s="86" t="s">
        <v>17</v>
      </c>
      <c r="U3" s="86"/>
      <c r="V3" s="38" t="s">
        <v>69</v>
      </c>
      <c r="W3" s="82" t="s">
        <v>68</v>
      </c>
      <c r="X3" s="82"/>
      <c r="Y3" s="82"/>
      <c r="Z3" s="76" t="s">
        <v>100</v>
      </c>
      <c r="AA3" s="83" t="s">
        <v>101</v>
      </c>
      <c r="AB3" s="83"/>
      <c r="AC3" s="83"/>
    </row>
    <row r="4" spans="1:38" ht="15" customHeight="1">
      <c r="B4" s="5"/>
    </row>
    <row r="5" spans="1:38" ht="30" customHeight="1">
      <c r="B5" s="21" t="s">
        <v>53</v>
      </c>
      <c r="C5" s="85" t="s">
        <v>5</v>
      </c>
      <c r="D5" s="85"/>
      <c r="E5" s="85"/>
      <c r="F5" s="85"/>
      <c r="G5" s="85"/>
      <c r="H5" s="85"/>
      <c r="I5" s="85"/>
      <c r="J5" s="85"/>
      <c r="K5" s="85"/>
      <c r="L5" s="85"/>
      <c r="M5" s="85"/>
      <c r="N5" s="85"/>
      <c r="O5" s="85"/>
      <c r="P5" s="85"/>
      <c r="Q5" s="85"/>
      <c r="R5" s="85"/>
      <c r="S5" s="85"/>
      <c r="T5" s="85"/>
      <c r="U5" s="85"/>
      <c r="V5" s="85"/>
      <c r="W5" s="85"/>
      <c r="X5" s="85"/>
      <c r="Y5" s="85"/>
      <c r="Z5" s="85"/>
      <c r="AA5" s="85"/>
      <c r="AB5" s="85"/>
      <c r="AC5" s="85"/>
      <c r="AD5" s="85"/>
      <c r="AE5" s="85"/>
      <c r="AF5" s="85"/>
      <c r="AG5" s="85"/>
      <c r="AH5" s="25"/>
      <c r="AI5" s="25"/>
      <c r="AJ5" s="25"/>
      <c r="AK5" s="71">
        <f>AnnéeCalendrier</f>
        <v>2021</v>
      </c>
      <c r="AL5" s="25"/>
    </row>
    <row r="6" spans="1:38" ht="15" customHeight="1">
      <c r="B6" s="15"/>
      <c r="C6" s="58" t="str">
        <f>TEXT(WEEKDAY(DATE(AnnéeCalendrier,12,1),1),"jjj")</f>
        <v>mer</v>
      </c>
      <c r="D6" s="58" t="str">
        <f>TEXT(WEEKDAY(DATE(AnnéeCalendrier,12,2),1),"jjj")</f>
        <v>jeu</v>
      </c>
      <c r="E6" s="58" t="str">
        <f>TEXT(WEEKDAY(DATE(AnnéeCalendrier,12,3),1),"jjj")</f>
        <v>ven</v>
      </c>
      <c r="F6" s="58" t="str">
        <f>TEXT(WEEKDAY(DATE(AnnéeCalendrier,12,4),1),"jjj")</f>
        <v>sam</v>
      </c>
      <c r="G6" s="58" t="str">
        <f>TEXT(WEEKDAY(DATE(AnnéeCalendrier,12,5),1),"jjj")</f>
        <v>dim</v>
      </c>
      <c r="H6" s="58" t="str">
        <f>TEXT(WEEKDAY(DATE(AnnéeCalendrier,12,6),1),"jjj")</f>
        <v>lun</v>
      </c>
      <c r="I6" s="58" t="str">
        <f>TEXT(WEEKDAY(DATE(AnnéeCalendrier,12,7),1),"jjj")</f>
        <v>mar</v>
      </c>
      <c r="J6" s="58" t="str">
        <f>TEXT(WEEKDAY(DATE(AnnéeCalendrier,12,8),1),"jjj")</f>
        <v>mer</v>
      </c>
      <c r="K6" s="58" t="str">
        <f>TEXT(WEEKDAY(DATE(AnnéeCalendrier,12,9),1),"jjj")</f>
        <v>jeu</v>
      </c>
      <c r="L6" s="58" t="str">
        <f>TEXT(WEEKDAY(DATE(AnnéeCalendrier,12,10),1),"jjj")</f>
        <v>ven</v>
      </c>
      <c r="M6" s="58" t="str">
        <f>TEXT(WEEKDAY(DATE(AnnéeCalendrier,12,11),1),"jjj")</f>
        <v>sam</v>
      </c>
      <c r="N6" s="58" t="str">
        <f>TEXT(WEEKDAY(DATE(AnnéeCalendrier,12,12),1),"jjj")</f>
        <v>dim</v>
      </c>
      <c r="O6" s="58" t="str">
        <f>TEXT(WEEKDAY(DATE(AnnéeCalendrier,12,13),1),"jjj")</f>
        <v>lun</v>
      </c>
      <c r="P6" s="58" t="str">
        <f>TEXT(WEEKDAY(DATE(AnnéeCalendrier,12,14),1),"jjj")</f>
        <v>mar</v>
      </c>
      <c r="Q6" s="58" t="str">
        <f>TEXT(WEEKDAY(DATE(AnnéeCalendrier,12,15),1),"jjj")</f>
        <v>mer</v>
      </c>
      <c r="R6" s="58" t="str">
        <f>TEXT(WEEKDAY(DATE(AnnéeCalendrier,12,16),1),"jjj")</f>
        <v>jeu</v>
      </c>
      <c r="S6" s="58" t="str">
        <f>TEXT(WEEKDAY(DATE(AnnéeCalendrier,12,17),1),"jjj")</f>
        <v>ven</v>
      </c>
      <c r="T6" s="58" t="str">
        <f>TEXT(WEEKDAY(DATE(AnnéeCalendrier,12,18),1),"jjj")</f>
        <v>sam</v>
      </c>
      <c r="U6" s="58" t="str">
        <f>TEXT(WEEKDAY(DATE(AnnéeCalendrier,12,19),1),"jjj")</f>
        <v>dim</v>
      </c>
      <c r="V6" s="58" t="str">
        <f>TEXT(WEEKDAY(DATE(AnnéeCalendrier,12,20),1),"jjj")</f>
        <v>lun</v>
      </c>
      <c r="W6" s="58" t="str">
        <f>TEXT(WEEKDAY(DATE(AnnéeCalendrier,12,21),1),"jjj")</f>
        <v>mar</v>
      </c>
      <c r="X6" s="58" t="str">
        <f>TEXT(WEEKDAY(DATE(AnnéeCalendrier,12,22),1),"jjj")</f>
        <v>mer</v>
      </c>
      <c r="Y6" s="58" t="str">
        <f>TEXT(WEEKDAY(DATE(AnnéeCalendrier,12,23),1),"jjj")</f>
        <v>jeu</v>
      </c>
      <c r="Z6" s="58" t="str">
        <f>TEXT(WEEKDAY(DATE(AnnéeCalendrier,12,24),1),"jjj")</f>
        <v>ven</v>
      </c>
      <c r="AA6" s="58" t="str">
        <f>TEXT(WEEKDAY(DATE(AnnéeCalendrier,12,25),1),"jjj")</f>
        <v>sam</v>
      </c>
      <c r="AB6" s="58" t="str">
        <f>TEXT(WEEKDAY(DATE(AnnéeCalendrier,12,26),1),"jjj")</f>
        <v>dim</v>
      </c>
      <c r="AC6" s="58" t="str">
        <f>TEXT(WEEKDAY(DATE(AnnéeCalendrier,12,27),1),"jjj")</f>
        <v>lun</v>
      </c>
      <c r="AD6" s="58" t="str">
        <f>TEXT(WEEKDAY(DATE(AnnéeCalendrier,12,28),1),"jjj")</f>
        <v>mar</v>
      </c>
      <c r="AE6" s="58" t="str">
        <f>TEXT(WEEKDAY(DATE(AnnéeCalendrier,12,29),1),"jjj")</f>
        <v>mer</v>
      </c>
      <c r="AF6" s="58" t="str">
        <f>TEXT(WEEKDAY(DATE(AnnéeCalendrier,12,30),1),"jjj")</f>
        <v>jeu</v>
      </c>
      <c r="AG6" s="58" t="str">
        <f>TEXT(WEEKDAY(DATE(AnnéeCalendrier,12,31),1),"jjj")</f>
        <v>ven</v>
      </c>
      <c r="AH6" s="12"/>
      <c r="AI6" s="12"/>
      <c r="AJ6" s="12"/>
      <c r="AK6" s="12"/>
      <c r="AL6" s="12"/>
    </row>
    <row r="7" spans="1:38" ht="34"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51" t="s">
        <v>33</v>
      </c>
      <c r="AB7" s="14" t="s">
        <v>34</v>
      </c>
      <c r="AC7" s="14" t="s">
        <v>35</v>
      </c>
      <c r="AD7" s="14" t="s">
        <v>36</v>
      </c>
      <c r="AE7" s="14" t="s">
        <v>37</v>
      </c>
      <c r="AF7" s="14" t="s">
        <v>38</v>
      </c>
      <c r="AG7" s="14" t="s">
        <v>39</v>
      </c>
      <c r="AH7" s="26" t="s">
        <v>67</v>
      </c>
      <c r="AI7" s="27" t="s">
        <v>78</v>
      </c>
      <c r="AJ7" s="27" t="s">
        <v>98</v>
      </c>
      <c r="AK7" s="75" t="s">
        <v>80</v>
      </c>
      <c r="AL7" s="74" t="s">
        <v>99</v>
      </c>
    </row>
    <row r="8" spans="1:38"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c r="AL8" s="64"/>
    </row>
    <row r="9" spans="1:38"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Novembre!AK9-Décembre[[#This Row],[Dont RTT]]+2</f>
        <v>27</v>
      </c>
      <c r="AL9" s="64"/>
    </row>
    <row r="10" spans="1:38"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Novembre!AK10-Décembre[[#This Row],[Dont RTT]]+2</f>
        <v>35</v>
      </c>
      <c r="AL10" s="64"/>
    </row>
    <row r="11" spans="1:38"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c r="AL11" s="64"/>
    </row>
    <row r="12" spans="1:38"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c r="AL12" s="64"/>
    </row>
    <row r="13" spans="1:38"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Novembre!AK13-Décembre[[#This Row],[Dont RTT]]+2</f>
        <v>26.93</v>
      </c>
      <c r="AL13" s="64"/>
    </row>
    <row r="14" spans="1:38"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Novembre!AK14-Décembre[[#This Row],[Dont RTT]]+2</f>
        <v>26.5</v>
      </c>
      <c r="AL14" s="64"/>
    </row>
    <row r="15" spans="1:38"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Novembre!AK15-Décembre[[#This Row],[Dont RTT]]+2</f>
        <v>29.5</v>
      </c>
      <c r="AL15" s="64"/>
    </row>
    <row r="16" spans="1:38"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Novembre!AK16-Décembre[[#This Row],[Dont RTT]]+2</f>
        <v>26.16</v>
      </c>
      <c r="AL16" s="64"/>
    </row>
    <row r="17" spans="2:38"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Novembre!AK17-Décembre[[#This Row],[Dont RTT]]+2</f>
        <v>35</v>
      </c>
      <c r="AL17" s="64"/>
    </row>
    <row r="18" spans="2:38"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Novembre!AK18-Décembre[[#This Row],[Dont RTT]]+2</f>
        <v>26.5</v>
      </c>
      <c r="AL18" s="64"/>
    </row>
    <row r="19" spans="2:38" ht="30" customHeight="1">
      <c r="B19" s="62"/>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4">
        <f t="shared" ref="AH19:AH21" si="3">(COUNTIF(C19:AG19,"C")+(COUNTIF(C19:AG19,"EM")+COUNTIF(C19:AG19,"RTT")+COUNTIF(C19:AG19,"M")+COUNTIF(C19:AG19,"Rec")+COUNTIF(C19:AG19,"F")+COUNTIF(C19:AG19,"TT"-1)+COUNTIF(C19:AG19,"CS")+COUNTIF(C19:AG19,"PE"-1)+COUNTIF(C19:AG19,"DRTT")/2)+COUNTIF(C19:AG19,"DREC")/2)+COUNTIF(C19:AG19,"DEM")/2</f>
        <v>0</v>
      </c>
      <c r="AI19" s="64">
        <f t="shared" ref="AI19:AI21" si="4">COUNTIF(C19:AG19,"RTT")+COUNTIF(C19:AG19,"DRTT")/2</f>
        <v>0</v>
      </c>
      <c r="AJ19" s="33">
        <f t="shared" si="2"/>
        <v>0</v>
      </c>
      <c r="AK19" s="63"/>
      <c r="AL19" s="64"/>
    </row>
    <row r="20" spans="2:38" ht="30" customHeight="1">
      <c r="B20" s="62"/>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4">
        <f t="shared" si="3"/>
        <v>0</v>
      </c>
      <c r="AI20" s="64">
        <f t="shared" si="4"/>
        <v>0</v>
      </c>
      <c r="AJ20" s="33">
        <f t="shared" si="2"/>
        <v>0</v>
      </c>
      <c r="AK20" s="63"/>
      <c r="AL20" s="64"/>
    </row>
    <row r="21" spans="2:38" ht="30" customHeight="1">
      <c r="B21" s="62"/>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4">
        <f t="shared" si="3"/>
        <v>0</v>
      </c>
      <c r="AI21" s="64">
        <f t="shared" si="4"/>
        <v>0</v>
      </c>
      <c r="AJ21" s="33">
        <f t="shared" si="2"/>
        <v>0</v>
      </c>
      <c r="AK21" s="63"/>
      <c r="AL21" s="64"/>
    </row>
    <row r="22" spans="2:38" ht="30" customHeight="1">
      <c r="B22" s="30" t="str">
        <f>NomMois&amp;" Total"</f>
        <v>Décembre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SUBTOTAL(109,Décembre[Total absence])</f>
        <v>0</v>
      </c>
      <c r="AI22" s="29">
        <f>SUBTOTAL(109,Décembre[Dont RTT])</f>
        <v>0</v>
      </c>
      <c r="AJ22" s="55">
        <f>SUBTOTAL(109,Décembre[Dont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85" priority="138" stopIfTrue="1" operator="containsText" text="dim">
      <formula>NOT(ISERROR(SEARCH("dim",C6)))</formula>
    </cfRule>
  </conditionalFormatting>
  <conditionalFormatting sqref="AH7">
    <cfRule type="containsText" dxfId="84" priority="137" stopIfTrue="1" operator="containsText" text="dim">
      <formula>NOT(ISERROR(SEARCH("dim",AH7)))</formula>
    </cfRule>
  </conditionalFormatting>
  <conditionalFormatting sqref="C22:AG22">
    <cfRule type="containsText" dxfId="83" priority="117" stopIfTrue="1" operator="containsText" text="dim">
      <formula>NOT(ISERROR(SEARCH("dim",C22)))</formula>
    </cfRule>
  </conditionalFormatting>
  <conditionalFormatting sqref="AL3:XFD3 A2:A3 AG2:XFD2">
    <cfRule type="containsText" dxfId="82" priority="114" stopIfTrue="1" operator="containsText" text="dim">
      <formula>NOT(ISERROR(SEARCH("dim",A2)))</formula>
    </cfRule>
  </conditionalFormatting>
  <conditionalFormatting sqref="AJ8:AJ21">
    <cfRule type="dataBar" priority="66">
      <dataBar>
        <cfvo type="num" val="0"/>
        <cfvo type="num" val="31"/>
        <color rgb="FFFF0000"/>
      </dataBar>
      <extLst>
        <ext xmlns:x14="http://schemas.microsoft.com/office/spreadsheetml/2009/9/main" uri="{B025F937-C7B1-47D3-B67F-A62EFF666E3E}">
          <x14:id>{26CF0290-CC35-8B4D-9674-347703FFD337}</x14:id>
        </ext>
      </extLst>
    </cfRule>
  </conditionalFormatting>
  <conditionalFormatting sqref="AH8:AH21">
    <cfRule type="dataBar" priority="54">
      <dataBar>
        <cfvo type="num" val="0"/>
        <cfvo type="num" val="31"/>
        <color rgb="FF00B0F0"/>
      </dataBar>
      <extLst>
        <ext xmlns:x14="http://schemas.microsoft.com/office/spreadsheetml/2009/9/main" uri="{B025F937-C7B1-47D3-B67F-A62EFF666E3E}">
          <x14:id>{47DBF3E6-BD51-C44F-A8C7-4AA001562168}</x14:id>
        </ext>
      </extLst>
    </cfRule>
    <cfRule type="containsText" dxfId="81" priority="57" stopIfTrue="1" operator="containsText" text="dim">
      <formula>NOT(ISERROR(SEARCH("dim",AH8)))</formula>
    </cfRule>
  </conditionalFormatting>
  <conditionalFormatting sqref="AI8:AI21">
    <cfRule type="dataBar" priority="55">
      <dataBar>
        <cfvo type="num" val="0"/>
        <cfvo type="num" val="31"/>
        <color rgb="FF92D050"/>
      </dataBar>
      <extLst>
        <ext xmlns:x14="http://schemas.microsoft.com/office/spreadsheetml/2009/9/main" uri="{B025F937-C7B1-47D3-B67F-A62EFF666E3E}">
          <x14:id>{B1A7813C-1088-614C-AF39-46D84395F3A1}</x14:id>
        </ext>
      </extLst>
    </cfRule>
  </conditionalFormatting>
  <conditionalFormatting sqref="B3:D3 F2:G3 M3:N3 Q3 S3:T3 V2:W3 I2:J3">
    <cfRule type="containsText" dxfId="80" priority="35" stopIfTrue="1" operator="containsText" text="dim">
      <formula>NOT(ISERROR(SEARCH("dim",B2)))</formula>
    </cfRule>
  </conditionalFormatting>
  <conditionalFormatting sqref="V2:W2">
    <cfRule type="containsText" dxfId="79" priority="34" stopIfTrue="1" operator="containsText" text="dim">
      <formula>NOT(ISERROR(SEARCH("dim",V2)))</formula>
    </cfRule>
  </conditionalFormatting>
  <conditionalFormatting sqref="AA2">
    <cfRule type="containsText" dxfId="78" priority="33" stopIfTrue="1" operator="containsText" text="dim">
      <formula>NOT(ISERROR(SEARCH("dim",AA2)))</formula>
    </cfRule>
  </conditionalFormatting>
  <conditionalFormatting sqref="AA2">
    <cfRule type="containsText" dxfId="77" priority="32" stopIfTrue="1" operator="containsText" text="dim">
      <formula>NOT(ISERROR(SEARCH("dim",AA2)))</formula>
    </cfRule>
  </conditionalFormatting>
  <conditionalFormatting sqref="P3">
    <cfRule type="expression" dxfId="76" priority="18" stopIfTrue="1">
      <formula>P3=CléNonTravaillé</formula>
    </cfRule>
    <cfRule type="expression" dxfId="75" priority="19" stopIfTrue="1">
      <formula>P3=CléPrésenceExceptionnelle</formula>
    </cfRule>
    <cfRule type="expression" dxfId="74" priority="20" stopIfTrue="1">
      <formula>P3=CléCongéSpécial</formula>
    </cfRule>
    <cfRule type="expression" dxfId="73" priority="21" stopIfTrue="1">
      <formula>P3=CléDemiRécupération</formula>
    </cfRule>
    <cfRule type="expression" dxfId="72" priority="22" stopIfTrue="1">
      <formula>P3=CléDemiEnfantMalade</formula>
    </cfRule>
    <cfRule type="expression" dxfId="71" priority="23" stopIfTrue="1">
      <formula>P3=CléEnfantMalade</formula>
    </cfRule>
    <cfRule type="expression" dxfId="70" priority="24" stopIfTrue="1">
      <formula>P3=CléDemiRtt</formula>
    </cfRule>
    <cfRule type="expression" priority="25" stopIfTrue="1">
      <formula>P3=""</formula>
    </cfRule>
    <cfRule type="expression" dxfId="69" priority="26" stopIfTrue="1">
      <formula>P3=CléMaladie</formula>
    </cfRule>
    <cfRule type="expression" dxfId="68" priority="27" stopIfTrue="1">
      <formula>P3=CléCongé</formula>
    </cfRule>
    <cfRule type="expression" dxfId="67" priority="28" stopIfTrue="1">
      <formula>P3=CléRécupération</formula>
    </cfRule>
    <cfRule type="expression" dxfId="66" priority="29" stopIfTrue="1">
      <formula>P3=CléFormation</formula>
    </cfRule>
    <cfRule type="expression" dxfId="65" priority="30" stopIfTrue="1">
      <formula>P3=CléRTT</formula>
    </cfRule>
    <cfRule type="expression" dxfId="64" priority="31" stopIfTrue="1">
      <formula>P3=CléTélétravail</formula>
    </cfRule>
  </conditionalFormatting>
  <conditionalFormatting sqref="AA3">
    <cfRule type="containsText" dxfId="63" priority="17" stopIfTrue="1" operator="containsText" text="dim">
      <formula>NOT(ISERROR(SEARCH("dim",AA3)))</formula>
    </cfRule>
  </conditionalFormatting>
  <conditionalFormatting sqref="AA3">
    <cfRule type="containsText" dxfId="62" priority="16" stopIfTrue="1" operator="containsText" text="dim">
      <formula>NOT(ISERROR(SEARCH("dim",AA3)))</formula>
    </cfRule>
  </conditionalFormatting>
  <conditionalFormatting sqref="C8:AG21">
    <cfRule type="expression" dxfId="61" priority="1" stopIfTrue="1">
      <formula>C8=CléAbsenceJustifiée</formula>
    </cfRule>
    <cfRule type="expression" dxfId="60" priority="2" stopIfTrue="1">
      <formula>C8=CléNonTravaillé</formula>
    </cfRule>
    <cfRule type="expression" dxfId="59" priority="3" stopIfTrue="1">
      <formula>C8=CléPrésenceExceptionnelle</formula>
    </cfRule>
    <cfRule type="expression" dxfId="58" priority="4" stopIfTrue="1">
      <formula>C8=CléCongéSpécial</formula>
    </cfRule>
    <cfRule type="expression" dxfId="57" priority="5" stopIfTrue="1">
      <formula>C8=CléDemiRécupération</formula>
    </cfRule>
    <cfRule type="expression" dxfId="56" priority="6" stopIfTrue="1">
      <formula>C8=CléDemiEnfantMalade</formula>
    </cfRule>
    <cfRule type="expression" dxfId="55" priority="7" stopIfTrue="1">
      <formula>C8=CléEnfantMalade</formula>
    </cfRule>
    <cfRule type="expression" dxfId="54" priority="8" stopIfTrue="1">
      <formula>C8=CléDemiRtt</formula>
    </cfRule>
    <cfRule type="expression" priority="9" stopIfTrue="1">
      <formula>C8=""</formula>
    </cfRule>
    <cfRule type="expression" dxfId="53" priority="10" stopIfTrue="1">
      <formula>C8=CléCongéMalade</formula>
    </cfRule>
    <cfRule type="expression" dxfId="52" priority="11" stopIfTrue="1">
      <formula>C8=CléCongé</formula>
    </cfRule>
    <cfRule type="expression" dxfId="51" priority="12" stopIfTrue="1">
      <formula>C8=CléRécupération</formula>
    </cfRule>
    <cfRule type="expression" dxfId="50" priority="13" stopIfTrue="1">
      <formula>C8=CléFormation</formula>
    </cfRule>
    <cfRule type="expression" dxfId="49" priority="14" stopIfTrue="1">
      <formula>C8=CléRTT</formula>
    </cfRule>
    <cfRule type="expression" dxfId="48" priority="15" stopIfTrue="1">
      <formula>C8=CléTélétravail</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1D242F3D-07C2-A14E-BA87-26B49848899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B89BC05-8960-6F46-8568-042E28562CA7}"/>
    <dataValidation allowBlank="1" showInputMessage="1" showErrorMessage="1" prompt="Suivez les absences du mois de décembre dans cette feuille de calcul" sqref="A1" xr:uid="{90544AD4-F894-7A42-9659-9CB62F488C22}"/>
    <dataValidation allowBlank="1" showInputMessage="1" showErrorMessage="1" prompt="Calcule automatiquement le nombre total de jours d’absence d’un employé durant ce mois dans cette colonne" sqref="AH7" xr:uid="{4560B236-5FF5-5143-8456-B7BF38551695}"/>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E66D2DE0-525B-F143-B681-896993D38697}"/>
    <dataValidation allowBlank="1" showErrorMessage="1" sqref="B2:B6 AK6 C4:Z6 AB4:AJ6 AA4:AA6 AD1:AJ1 B1:Y1" xr:uid="{2264CBF7-66BF-E64A-908A-22269CC0B9E3}"/>
    <dataValidation allowBlank="1" showErrorMessage="1" prompt="Entrez une étiquette pour décrire la clé personnalisée à gauche" sqref="N3" xr:uid="{910EA605-D073-0F44-9865-434D082268DE}"/>
    <dataValidation allowBlank="1" showErrorMessage="1" prompt="Entrez une lettre et personnalisez l’étiquette à droite pour ajouter un élément de clé" sqref="I2:I3" xr:uid="{4C5D7D11-2161-A74E-9843-6708E3A9DD97}"/>
    <dataValidation allowBlank="1" showInputMessage="1" showErrorMessage="1" prompt="Entrez une étiquette pour décrire la clé personnalisée à gauche" sqref="J2:J3" xr:uid="{9ADB0C6E-9280-6A46-A221-FD45E73E3C6A}"/>
    <dataValidation allowBlank="1" showInputMessage="1" showErrorMessage="1" prompt="Entrez une lettre et personnalisez l’étiquette à droite pour ajouter un élément de clé" sqref="M3" xr:uid="{00E397EB-34CE-7147-9B93-919254538262}"/>
    <dataValidation allowBlank="1" showInputMessage="1" showErrorMessage="1" prompt="La lettre « M » indique une absence pour cause de maladie" sqref="S3" xr:uid="{B02AF8E0-B53D-A041-B319-D45F713D5FFA}"/>
    <dataValidation allowBlank="1" showErrorMessage="1" prompt="La lettre « P » indique une absence pour motifs personnels" sqref="F3" xr:uid="{BBB64BB9-C539-9C4E-B0B0-9B49594EE2EC}"/>
    <dataValidation allowBlank="1" showErrorMessage="1" prompt="La lettre « C » indique une absence pour cause de congé" sqref="C3" xr:uid="{79965396-820B-2C46-8D67-59A0901D0D99}"/>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6CF0290-CC35-8B4D-9674-347703FFD337}">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47DBF3E6-BD51-C44F-A8C7-4AA001562168}">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B1A7813C-1088-614C-AF39-46D84395F3A1}">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54" stopIfTrue="1" operator="containsText" text="dim" id="{1E0A0F5D-CD20-6C4F-A6A3-2B012548AE10}">
            <xm:f>NOT(ISERROR(SEARCH("dim",Avril!AK17)))</xm:f>
            <x14:dxf>
              <font>
                <color theme="9"/>
              </font>
              <fill>
                <patternFill patternType="none">
                  <bgColor auto="1"/>
                </patternFill>
              </fill>
            </x14:dxf>
          </x14:cfRule>
          <xm:sqref>AK23:AK1048576</xm:sqref>
        </x14:conditionalFormatting>
        <x14:conditionalFormatting xmlns:xm="http://schemas.microsoft.com/office/excel/2006/main">
          <x14:cfRule type="containsText" priority="90" stopIfTrue="1" operator="containsText" text="dim" id="{B23FE883-C089-3841-91E6-900F4ECB49A1}">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428" stopIfTrue="1" operator="containsText" text="dim" id="{1E0A0F5D-CD20-6C4F-A6A3-2B012548AE10}">
            <xm:f>NOT(ISERROR(SEARCH("dim",Avril!AK1)))</xm:f>
            <x14:dxf>
              <font>
                <color theme="9"/>
              </font>
              <fill>
                <patternFill patternType="none">
                  <bgColor auto="1"/>
                </patternFill>
              </fill>
            </x14:dxf>
          </x14:cfRule>
          <xm:sqref>AK19:AK21 AK7 AK4 AK1</xm:sqref>
        </x14:conditionalFormatting>
        <x14:conditionalFormatting xmlns:xm="http://schemas.microsoft.com/office/excel/2006/main">
          <x14:cfRule type="containsText" priority="36" stopIfTrue="1" operator="containsText" text="dim" id="{45BB7C9D-AA7D-8444-BE03-CEB7A852669C}">
            <xm:f>NOT(ISERROR(SEARCH("dim",Avril!AK20)))</xm:f>
            <x14:dxf>
              <font>
                <color theme="9"/>
              </font>
              <fill>
                <patternFill patternType="none">
                  <bgColor auto="1"/>
                </patternFill>
              </fill>
            </x14:dxf>
          </x14:cfRule>
          <xm:sqref>AK22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A051ECEC-6392-2C45-8FDA-76854C5F8824}">
          <x14:formula1>
            <xm:f>'Noms des employés'!$B$4:$B$16</xm:f>
          </x14:formula1>
          <xm:sqref>B8:B21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B1:D16"/>
  <sheetViews>
    <sheetView showGridLines="0" workbookViewId="0">
      <selection activeCell="B5" sqref="B5"/>
    </sheetView>
  </sheetViews>
  <sheetFormatPr baseColWidth="10" defaultColWidth="9.1640625" defaultRowHeight="30" customHeight="1"/>
  <cols>
    <col min="1" max="1" width="2.6640625" customWidth="1"/>
    <col min="2" max="2" width="30.6640625" customWidth="1"/>
    <col min="3" max="3" width="29.33203125" customWidth="1"/>
    <col min="4" max="4" width="31.5" customWidth="1"/>
  </cols>
  <sheetData>
    <row r="1" spans="2:4" ht="50" customHeight="1">
      <c r="B1" s="7" t="s">
        <v>54</v>
      </c>
    </row>
    <row r="2" spans="2:4" ht="15" customHeight="1"/>
    <row r="3" spans="2:4" ht="30" customHeight="1">
      <c r="B3" t="s">
        <v>54</v>
      </c>
      <c r="C3" t="s">
        <v>102</v>
      </c>
      <c r="D3" t="s">
        <v>86</v>
      </c>
    </row>
    <row r="4" spans="2:4" ht="30" customHeight="1">
      <c r="B4" s="8" t="s">
        <v>107</v>
      </c>
      <c r="C4" s="1"/>
      <c r="D4" s="48"/>
    </row>
    <row r="5" spans="2:4" ht="30" customHeight="1">
      <c r="B5" s="8" t="s">
        <v>108</v>
      </c>
      <c r="C5" s="1"/>
      <c r="D5" s="48"/>
    </row>
    <row r="6" spans="2:4" ht="30" customHeight="1">
      <c r="B6" s="8" t="s">
        <v>109</v>
      </c>
      <c r="C6" s="1"/>
      <c r="D6" s="48"/>
    </row>
    <row r="7" spans="2:4" ht="30" customHeight="1">
      <c r="B7" s="8" t="s">
        <v>110</v>
      </c>
      <c r="C7" s="1"/>
      <c r="D7" s="48"/>
    </row>
    <row r="8" spans="2:4" ht="30" customHeight="1">
      <c r="B8" s="1"/>
      <c r="C8" s="1"/>
      <c r="D8" s="48"/>
    </row>
    <row r="9" spans="2:4" ht="30" customHeight="1">
      <c r="B9" s="1"/>
      <c r="C9" s="1"/>
      <c r="D9" s="48"/>
    </row>
    <row r="10" spans="2:4" ht="30" customHeight="1">
      <c r="B10" s="1"/>
      <c r="C10" s="1"/>
      <c r="D10" s="48"/>
    </row>
    <row r="11" spans="2:4" ht="30" customHeight="1">
      <c r="B11" s="1"/>
      <c r="C11" s="1"/>
      <c r="D11" s="48"/>
    </row>
    <row r="12" spans="2:4" ht="30" customHeight="1">
      <c r="B12" s="1"/>
      <c r="C12" s="1"/>
      <c r="D12" s="48"/>
    </row>
    <row r="13" spans="2:4" ht="30" customHeight="1">
      <c r="B13" s="8"/>
      <c r="C13" s="1"/>
      <c r="D13" s="48"/>
    </row>
    <row r="14" spans="2:4" ht="30" customHeight="1">
      <c r="B14" s="48"/>
      <c r="C14" s="48"/>
      <c r="D14" s="48"/>
    </row>
    <row r="15" spans="2:4" ht="30" customHeight="1">
      <c r="B15" s="61"/>
      <c r="C15" s="48"/>
      <c r="D15" s="48"/>
    </row>
    <row r="16" spans="2:4" ht="30" customHeight="1">
      <c r="B16" s="48"/>
      <c r="C16" s="48"/>
      <c r="D16" s="48"/>
    </row>
  </sheetData>
  <dataValidations count="3">
    <dataValidation allowBlank="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9F3EBC-2DC3-CD4D-B963-9D3D0FE5E154}">
  <dimension ref="A2:B18"/>
  <sheetViews>
    <sheetView workbookViewId="0">
      <selection activeCell="B10" sqref="B10"/>
    </sheetView>
  </sheetViews>
  <sheetFormatPr baseColWidth="10" defaultRowHeight="15"/>
  <cols>
    <col min="2" max="2" width="23.33203125" bestFit="1" customWidth="1"/>
  </cols>
  <sheetData>
    <row r="2" spans="1:2" ht="34">
      <c r="A2" s="7" t="s">
        <v>62</v>
      </c>
    </row>
    <row r="4" spans="1:2">
      <c r="A4" t="s">
        <v>63</v>
      </c>
      <c r="B4" t="s">
        <v>95</v>
      </c>
    </row>
    <row r="5" spans="1:2">
      <c r="A5" s="19" t="s">
        <v>4</v>
      </c>
      <c r="B5" t="s">
        <v>7</v>
      </c>
    </row>
    <row r="6" spans="1:2">
      <c r="A6" s="20" t="s">
        <v>57</v>
      </c>
      <c r="B6" t="s">
        <v>57</v>
      </c>
    </row>
    <row r="7" spans="1:2">
      <c r="A7" s="45" t="s">
        <v>72</v>
      </c>
      <c r="B7" t="s">
        <v>66</v>
      </c>
    </row>
    <row r="8" spans="1:2">
      <c r="A8" s="23" t="s">
        <v>55</v>
      </c>
      <c r="B8" t="s">
        <v>56</v>
      </c>
    </row>
    <row r="9" spans="1:2">
      <c r="A9" s="40" t="s">
        <v>71</v>
      </c>
      <c r="B9" t="s">
        <v>92</v>
      </c>
    </row>
    <row r="10" spans="1:2">
      <c r="A10" s="49" t="s">
        <v>87</v>
      </c>
      <c r="B10" t="s">
        <v>88</v>
      </c>
    </row>
    <row r="11" spans="1:2">
      <c r="A11" s="18" t="s">
        <v>60</v>
      </c>
      <c r="B11" t="s">
        <v>61</v>
      </c>
    </row>
    <row r="12" spans="1:2">
      <c r="A12" s="22" t="s">
        <v>11</v>
      </c>
      <c r="B12" t="s">
        <v>17</v>
      </c>
    </row>
    <row r="13" spans="1:2">
      <c r="A13" s="47" t="s">
        <v>69</v>
      </c>
      <c r="B13" t="s">
        <v>68</v>
      </c>
    </row>
    <row r="14" spans="1:2">
      <c r="A14" s="46" t="s">
        <v>70</v>
      </c>
      <c r="B14" t="s">
        <v>93</v>
      </c>
    </row>
    <row r="15" spans="1:2">
      <c r="A15" s="50" t="s">
        <v>89</v>
      </c>
      <c r="B15" t="s">
        <v>94</v>
      </c>
    </row>
    <row r="16" spans="1:2">
      <c r="A16" s="77" t="s">
        <v>100</v>
      </c>
      <c r="B16" t="s">
        <v>101</v>
      </c>
    </row>
    <row r="17" spans="1:2">
      <c r="A17" s="77" t="s">
        <v>103</v>
      </c>
      <c r="B17" t="s">
        <v>105</v>
      </c>
    </row>
    <row r="18" spans="1:2">
      <c r="A18" s="77" t="s">
        <v>104</v>
      </c>
      <c r="B18" t="s">
        <v>106</v>
      </c>
    </row>
  </sheetData>
  <conditionalFormatting sqref="A7">
    <cfRule type="containsText" dxfId="43" priority="12" stopIfTrue="1" operator="containsText" text="dim">
      <formula>NOT(ISERROR(SEARCH("dim",A7)))</formula>
    </cfRule>
  </conditionalFormatting>
  <conditionalFormatting sqref="A11">
    <cfRule type="containsText" dxfId="42" priority="8" stopIfTrue="1" operator="containsText" text="dim">
      <formula>NOT(ISERROR(SEARCH("dim",A11)))</formula>
    </cfRule>
  </conditionalFormatting>
  <conditionalFormatting sqref="A12:A13">
    <cfRule type="containsText" dxfId="41" priority="7" stopIfTrue="1" operator="containsText" text="dim">
      <formula>NOT(ISERROR(SEARCH("dim",A12)))</formula>
    </cfRule>
  </conditionalFormatting>
  <conditionalFormatting sqref="A13">
    <cfRule type="containsText" dxfId="40" priority="5" stopIfTrue="1" operator="containsText" text="dim">
      <formula>NOT(ISERROR(SEARCH("dim",A13)))</formula>
    </cfRule>
  </conditionalFormatting>
  <conditionalFormatting sqref="A6">
    <cfRule type="containsText" dxfId="39" priority="4" stopIfTrue="1" operator="containsText" text="dim">
      <formula>NOT(ISERROR(SEARCH("dim",A6)))</formula>
    </cfRule>
  </conditionalFormatting>
  <conditionalFormatting sqref="A8">
    <cfRule type="containsText" dxfId="38" priority="1" stopIfTrue="1" operator="containsText" text="dim">
      <formula>NOT(ISERROR(SEARCH("dim",A8)))</formula>
    </cfRule>
  </conditionalFormatting>
  <dataValidations count="1">
    <dataValidation allowBlank="1" showErrorMessage="1" prompt="Titre Noms des employés" sqref="A2" xr:uid="{DE7B1CE5-8532-DC4E-A7E1-5965D0AA4043}"/>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containsText" priority="10" stopIfTrue="1" operator="containsText" text="dim" id="{052029A0-A883-9647-81E9-C193C18ED300}">
            <xm:f>NOT(ISERROR(SEARCH("dim",Janvier!A8)))</xm:f>
            <x14:dxf>
              <font>
                <color theme="0" tint="-0.24994659260841701"/>
              </font>
              <fill>
                <patternFill patternType="none">
                  <bgColor auto="1"/>
                </patternFill>
              </fill>
            </x14:dxf>
          </x14:cfRule>
          <xm:sqref>A9</xm:sqref>
        </x14:conditionalFormatting>
        <x14:conditionalFormatting xmlns:xm="http://schemas.microsoft.com/office/excel/2006/main">
          <x14:cfRule type="containsText" priority="6" stopIfTrue="1" operator="containsText" text="dim" id="{B6FCCD0D-BD6F-2F48-B957-E8C3A8D5D59E}">
            <xm:f>NOT(ISERROR(SEARCH("dim",Janvier!A11)))</xm:f>
            <x14:dxf>
              <font>
                <color theme="0" tint="-0.24994659260841701"/>
              </font>
              <fill>
                <patternFill patternType="none">
                  <bgColor auto="1"/>
                </patternFill>
              </fill>
            </x14:dxf>
          </x14:cfRule>
          <xm:sqref>A14</xm:sqref>
        </x14:conditionalFormatting>
      </x14:conditionalFormatting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0C376C-8087-436E-B169-5A50AF507D01}">
  <dimension ref="A1:Q55"/>
  <sheetViews>
    <sheetView workbookViewId="0">
      <selection activeCell="U18" sqref="U18"/>
    </sheetView>
  </sheetViews>
  <sheetFormatPr baseColWidth="10" defaultRowHeight="15"/>
  <cols>
    <col min="1" max="1" width="21.33203125" bestFit="1" customWidth="1"/>
    <col min="2" max="2" width="9.33203125" bestFit="1" customWidth="1"/>
    <col min="3" max="16" width="8" bestFit="1" customWidth="1"/>
    <col min="17" max="17" width="11.1640625" bestFit="1" customWidth="1"/>
  </cols>
  <sheetData>
    <row r="1" spans="1:17">
      <c r="A1" s="78" t="s">
        <v>114</v>
      </c>
      <c r="C1" s="78" t="s">
        <v>63</v>
      </c>
    </row>
    <row r="2" spans="1:17">
      <c r="A2" s="78" t="s">
        <v>54</v>
      </c>
      <c r="B2" s="78" t="s">
        <v>115</v>
      </c>
      <c r="C2" t="s">
        <v>4</v>
      </c>
      <c r="D2" t="s">
        <v>57</v>
      </c>
      <c r="E2" t="s">
        <v>72</v>
      </c>
      <c r="F2" t="s">
        <v>116</v>
      </c>
      <c r="G2" t="s">
        <v>71</v>
      </c>
      <c r="H2" t="s">
        <v>87</v>
      </c>
      <c r="I2" t="s">
        <v>60</v>
      </c>
      <c r="J2" t="s">
        <v>11</v>
      </c>
      <c r="K2" t="s">
        <v>69</v>
      </c>
      <c r="L2" t="s">
        <v>70</v>
      </c>
      <c r="M2" t="s">
        <v>89</v>
      </c>
      <c r="N2" t="s">
        <v>100</v>
      </c>
      <c r="O2" t="s">
        <v>103</v>
      </c>
      <c r="P2" t="s">
        <v>104</v>
      </c>
      <c r="Q2" t="s">
        <v>113</v>
      </c>
    </row>
    <row r="3" spans="1:17">
      <c r="A3" t="s">
        <v>107</v>
      </c>
      <c r="C3" s="79">
        <v>0</v>
      </c>
      <c r="D3" s="79">
        <v>0</v>
      </c>
      <c r="E3" s="79">
        <v>0</v>
      </c>
      <c r="F3" s="79">
        <v>1</v>
      </c>
      <c r="G3" s="79">
        <v>0</v>
      </c>
      <c r="H3" s="79">
        <v>0</v>
      </c>
      <c r="I3" s="79">
        <v>0</v>
      </c>
      <c r="J3" s="79">
        <v>0</v>
      </c>
      <c r="K3" s="79">
        <v>0</v>
      </c>
      <c r="L3" s="79">
        <v>0</v>
      </c>
      <c r="M3" s="79">
        <v>0</v>
      </c>
      <c r="N3" s="79">
        <v>0</v>
      </c>
      <c r="O3" s="79">
        <v>0</v>
      </c>
      <c r="P3" s="79">
        <v>0</v>
      </c>
      <c r="Q3" s="79">
        <v>1</v>
      </c>
    </row>
    <row r="4" spans="1:17">
      <c r="B4" t="s">
        <v>2</v>
      </c>
      <c r="C4" s="79">
        <v>0</v>
      </c>
      <c r="D4" s="79">
        <v>0</v>
      </c>
      <c r="E4" s="79">
        <v>0</v>
      </c>
      <c r="F4" s="79">
        <v>1</v>
      </c>
      <c r="G4" s="79">
        <v>0</v>
      </c>
      <c r="H4" s="79">
        <v>0</v>
      </c>
      <c r="I4" s="79">
        <v>0</v>
      </c>
      <c r="J4" s="79">
        <v>0</v>
      </c>
      <c r="K4" s="79">
        <v>0</v>
      </c>
      <c r="L4" s="79">
        <v>0</v>
      </c>
      <c r="M4" s="79">
        <v>0</v>
      </c>
      <c r="N4" s="79">
        <v>0</v>
      </c>
      <c r="O4" s="79">
        <v>0</v>
      </c>
      <c r="P4" s="79">
        <v>0</v>
      </c>
      <c r="Q4" s="79">
        <v>1</v>
      </c>
    </row>
    <row r="5" spans="1:17">
      <c r="B5" t="s">
        <v>41</v>
      </c>
      <c r="C5" s="79">
        <v>0</v>
      </c>
      <c r="D5" s="79">
        <v>0</v>
      </c>
      <c r="E5" s="79">
        <v>0</v>
      </c>
      <c r="F5" s="79">
        <v>0</v>
      </c>
      <c r="G5" s="79">
        <v>0</v>
      </c>
      <c r="H5" s="79">
        <v>0</v>
      </c>
      <c r="I5" s="79">
        <v>0</v>
      </c>
      <c r="J5" s="79">
        <v>0</v>
      </c>
      <c r="K5" s="79">
        <v>0</v>
      </c>
      <c r="L5" s="79">
        <v>0</v>
      </c>
      <c r="M5" s="79">
        <v>0</v>
      </c>
      <c r="N5" s="79">
        <v>0</v>
      </c>
      <c r="O5" s="79">
        <v>0</v>
      </c>
      <c r="P5" s="79">
        <v>0</v>
      </c>
      <c r="Q5" s="79">
        <v>0</v>
      </c>
    </row>
    <row r="6" spans="1:17">
      <c r="B6" t="s">
        <v>44</v>
      </c>
      <c r="C6" s="79">
        <v>0</v>
      </c>
      <c r="D6" s="79">
        <v>0</v>
      </c>
      <c r="E6" s="79">
        <v>0</v>
      </c>
      <c r="F6" s="79">
        <v>0</v>
      </c>
      <c r="G6" s="79">
        <v>0</v>
      </c>
      <c r="H6" s="79">
        <v>0</v>
      </c>
      <c r="I6" s="79">
        <v>0</v>
      </c>
      <c r="J6" s="79">
        <v>0</v>
      </c>
      <c r="K6" s="79">
        <v>0</v>
      </c>
      <c r="L6" s="79">
        <v>0</v>
      </c>
      <c r="M6" s="79">
        <v>0</v>
      </c>
      <c r="N6" s="79">
        <v>0</v>
      </c>
      <c r="O6" s="79">
        <v>0</v>
      </c>
      <c r="P6" s="79">
        <v>0</v>
      </c>
      <c r="Q6" s="79">
        <v>0</v>
      </c>
    </row>
    <row r="7" spans="1:17">
      <c r="B7" t="s">
        <v>45</v>
      </c>
      <c r="C7" s="79">
        <v>0</v>
      </c>
      <c r="D7" s="79">
        <v>0</v>
      </c>
      <c r="E7" s="79">
        <v>0</v>
      </c>
      <c r="F7" s="79">
        <v>0</v>
      </c>
      <c r="G7" s="79">
        <v>0</v>
      </c>
      <c r="H7" s="79">
        <v>0</v>
      </c>
      <c r="I7" s="79">
        <v>0</v>
      </c>
      <c r="J7" s="79">
        <v>0</v>
      </c>
      <c r="K7" s="79">
        <v>0</v>
      </c>
      <c r="L7" s="79">
        <v>0</v>
      </c>
      <c r="M7" s="79">
        <v>0</v>
      </c>
      <c r="N7" s="79">
        <v>0</v>
      </c>
      <c r="O7" s="79">
        <v>0</v>
      </c>
      <c r="P7" s="79">
        <v>0</v>
      </c>
      <c r="Q7" s="79">
        <v>0</v>
      </c>
    </row>
    <row r="8" spans="1:17">
      <c r="B8" t="s">
        <v>46</v>
      </c>
      <c r="C8" s="79">
        <v>0</v>
      </c>
      <c r="D8" s="79">
        <v>0</v>
      </c>
      <c r="E8" s="79">
        <v>0</v>
      </c>
      <c r="F8" s="79">
        <v>0</v>
      </c>
      <c r="G8" s="79">
        <v>0</v>
      </c>
      <c r="H8" s="79">
        <v>0</v>
      </c>
      <c r="I8" s="79">
        <v>0</v>
      </c>
      <c r="J8" s="79">
        <v>0</v>
      </c>
      <c r="K8" s="79">
        <v>0</v>
      </c>
      <c r="L8" s="79">
        <v>0</v>
      </c>
      <c r="M8" s="79">
        <v>0</v>
      </c>
      <c r="N8" s="79">
        <v>0</v>
      </c>
      <c r="O8" s="79">
        <v>0</v>
      </c>
      <c r="P8" s="79">
        <v>0</v>
      </c>
      <c r="Q8" s="79">
        <v>0</v>
      </c>
    </row>
    <row r="9" spans="1:17">
      <c r="B9" t="s">
        <v>47</v>
      </c>
      <c r="C9" s="79">
        <v>0</v>
      </c>
      <c r="D9" s="79">
        <v>0</v>
      </c>
      <c r="E9" s="79">
        <v>0</v>
      </c>
      <c r="F9" s="79">
        <v>0</v>
      </c>
      <c r="G9" s="79">
        <v>0</v>
      </c>
      <c r="H9" s="79">
        <v>0</v>
      </c>
      <c r="I9" s="79">
        <v>0</v>
      </c>
      <c r="J9" s="79">
        <v>0</v>
      </c>
      <c r="K9" s="79">
        <v>0</v>
      </c>
      <c r="L9" s="79">
        <v>0</v>
      </c>
      <c r="M9" s="79">
        <v>0</v>
      </c>
      <c r="N9" s="79">
        <v>0</v>
      </c>
      <c r="O9" s="79">
        <v>0</v>
      </c>
      <c r="P9" s="79">
        <v>0</v>
      </c>
      <c r="Q9" s="79">
        <v>0</v>
      </c>
    </row>
    <row r="10" spans="1:17">
      <c r="B10" t="s">
        <v>48</v>
      </c>
      <c r="C10" s="79">
        <v>0</v>
      </c>
      <c r="D10" s="79">
        <v>0</v>
      </c>
      <c r="E10" s="79">
        <v>0</v>
      </c>
      <c r="F10" s="79">
        <v>0</v>
      </c>
      <c r="G10" s="79">
        <v>0</v>
      </c>
      <c r="H10" s="79">
        <v>0</v>
      </c>
      <c r="I10" s="79">
        <v>0</v>
      </c>
      <c r="J10" s="79">
        <v>0</v>
      </c>
      <c r="K10" s="79">
        <v>0</v>
      </c>
      <c r="L10" s="79">
        <v>0</v>
      </c>
      <c r="M10" s="79">
        <v>0</v>
      </c>
      <c r="N10" s="79">
        <v>0</v>
      </c>
      <c r="O10" s="79">
        <v>0</v>
      </c>
      <c r="P10" s="79">
        <v>0</v>
      </c>
      <c r="Q10" s="79">
        <v>0</v>
      </c>
    </row>
    <row r="11" spans="1:17">
      <c r="B11" t="s">
        <v>49</v>
      </c>
      <c r="C11" s="79">
        <v>0</v>
      </c>
      <c r="D11" s="79">
        <v>0</v>
      </c>
      <c r="E11" s="79">
        <v>0</v>
      </c>
      <c r="F11" s="79">
        <v>0</v>
      </c>
      <c r="G11" s="79">
        <v>0</v>
      </c>
      <c r="H11" s="79">
        <v>0</v>
      </c>
      <c r="I11" s="79">
        <v>0</v>
      </c>
      <c r="J11" s="79">
        <v>0</v>
      </c>
      <c r="K11" s="79">
        <v>0</v>
      </c>
      <c r="L11" s="79">
        <v>0</v>
      </c>
      <c r="M11" s="79">
        <v>0</v>
      </c>
      <c r="N11" s="79">
        <v>0</v>
      </c>
      <c r="O11" s="79">
        <v>0</v>
      </c>
      <c r="P11" s="79">
        <v>0</v>
      </c>
      <c r="Q11" s="79">
        <v>0</v>
      </c>
    </row>
    <row r="12" spans="1:17">
      <c r="B12" t="s">
        <v>50</v>
      </c>
      <c r="C12" s="79">
        <v>0</v>
      </c>
      <c r="D12" s="79">
        <v>0</v>
      </c>
      <c r="E12" s="79">
        <v>0</v>
      </c>
      <c r="F12" s="79">
        <v>0</v>
      </c>
      <c r="G12" s="79">
        <v>0</v>
      </c>
      <c r="H12" s="79">
        <v>0</v>
      </c>
      <c r="I12" s="79">
        <v>0</v>
      </c>
      <c r="J12" s="79">
        <v>0</v>
      </c>
      <c r="K12" s="79">
        <v>0</v>
      </c>
      <c r="L12" s="79">
        <v>0</v>
      </c>
      <c r="M12" s="79">
        <v>0</v>
      </c>
      <c r="N12" s="79">
        <v>0</v>
      </c>
      <c r="O12" s="79">
        <v>0</v>
      </c>
      <c r="P12" s="79">
        <v>0</v>
      </c>
      <c r="Q12" s="79">
        <v>0</v>
      </c>
    </row>
    <row r="13" spans="1:17">
      <c r="B13" t="s">
        <v>51</v>
      </c>
      <c r="C13" s="79">
        <v>0</v>
      </c>
      <c r="D13" s="79">
        <v>0</v>
      </c>
      <c r="E13" s="79">
        <v>0</v>
      </c>
      <c r="F13" s="79">
        <v>0</v>
      </c>
      <c r="G13" s="79">
        <v>0</v>
      </c>
      <c r="H13" s="79">
        <v>0</v>
      </c>
      <c r="I13" s="79">
        <v>0</v>
      </c>
      <c r="J13" s="79">
        <v>0</v>
      </c>
      <c r="K13" s="79">
        <v>0</v>
      </c>
      <c r="L13" s="79">
        <v>0</v>
      </c>
      <c r="M13" s="79">
        <v>0</v>
      </c>
      <c r="N13" s="79">
        <v>0</v>
      </c>
      <c r="O13" s="79">
        <v>0</v>
      </c>
      <c r="P13" s="79">
        <v>0</v>
      </c>
      <c r="Q13" s="79">
        <v>0</v>
      </c>
    </row>
    <row r="14" spans="1:17">
      <c r="B14" t="s">
        <v>52</v>
      </c>
      <c r="C14" s="79">
        <v>0</v>
      </c>
      <c r="D14" s="79">
        <v>0</v>
      </c>
      <c r="E14" s="79">
        <v>0</v>
      </c>
      <c r="F14" s="79">
        <v>0</v>
      </c>
      <c r="G14" s="79">
        <v>0</v>
      </c>
      <c r="H14" s="79">
        <v>0</v>
      </c>
      <c r="I14" s="79">
        <v>0</v>
      </c>
      <c r="J14" s="79">
        <v>0</v>
      </c>
      <c r="K14" s="79">
        <v>0</v>
      </c>
      <c r="L14" s="79">
        <v>0</v>
      </c>
      <c r="M14" s="79">
        <v>0</v>
      </c>
      <c r="N14" s="79">
        <v>0</v>
      </c>
      <c r="O14" s="79">
        <v>0</v>
      </c>
      <c r="P14" s="79">
        <v>0</v>
      </c>
      <c r="Q14" s="79">
        <v>0</v>
      </c>
    </row>
    <row r="15" spans="1:17">
      <c r="B15" t="s">
        <v>53</v>
      </c>
      <c r="C15" s="79">
        <v>0</v>
      </c>
      <c r="D15" s="79">
        <v>0</v>
      </c>
      <c r="E15" s="79">
        <v>0</v>
      </c>
      <c r="F15" s="79">
        <v>0</v>
      </c>
      <c r="G15" s="79">
        <v>0</v>
      </c>
      <c r="H15" s="79">
        <v>0</v>
      </c>
      <c r="I15" s="79">
        <v>0</v>
      </c>
      <c r="J15" s="79">
        <v>0</v>
      </c>
      <c r="K15" s="79">
        <v>0</v>
      </c>
      <c r="L15" s="79">
        <v>0</v>
      </c>
      <c r="M15" s="79">
        <v>0</v>
      </c>
      <c r="N15" s="79">
        <v>0</v>
      </c>
      <c r="O15" s="79">
        <v>0</v>
      </c>
      <c r="P15" s="79">
        <v>0</v>
      </c>
      <c r="Q15" s="79">
        <v>0</v>
      </c>
    </row>
    <row r="16" spans="1:17">
      <c r="A16" t="s">
        <v>108</v>
      </c>
      <c r="C16" s="79">
        <v>0</v>
      </c>
      <c r="D16" s="79">
        <v>2</v>
      </c>
      <c r="E16" s="79">
        <v>0</v>
      </c>
      <c r="F16" s="79">
        <v>1</v>
      </c>
      <c r="G16" s="79">
        <v>0</v>
      </c>
      <c r="H16" s="79">
        <v>0</v>
      </c>
      <c r="I16" s="79">
        <v>0</v>
      </c>
      <c r="J16" s="79">
        <v>0</v>
      </c>
      <c r="K16" s="79">
        <v>0</v>
      </c>
      <c r="L16" s="79">
        <v>0</v>
      </c>
      <c r="M16" s="79">
        <v>0</v>
      </c>
      <c r="N16" s="79">
        <v>0</v>
      </c>
      <c r="O16" s="79">
        <v>0</v>
      </c>
      <c r="P16" s="79">
        <v>0</v>
      </c>
      <c r="Q16" s="79">
        <v>3</v>
      </c>
    </row>
    <row r="17" spans="1:17">
      <c r="B17" t="s">
        <v>2</v>
      </c>
      <c r="C17" s="79">
        <v>0</v>
      </c>
      <c r="D17" s="79">
        <v>2</v>
      </c>
      <c r="E17" s="79">
        <v>0</v>
      </c>
      <c r="F17" s="79">
        <v>1</v>
      </c>
      <c r="G17" s="79">
        <v>0</v>
      </c>
      <c r="H17" s="79">
        <v>0</v>
      </c>
      <c r="I17" s="79">
        <v>0</v>
      </c>
      <c r="J17" s="79">
        <v>0</v>
      </c>
      <c r="K17" s="79">
        <v>0</v>
      </c>
      <c r="L17" s="79">
        <v>0</v>
      </c>
      <c r="M17" s="79">
        <v>0</v>
      </c>
      <c r="N17" s="79">
        <v>0</v>
      </c>
      <c r="O17" s="79">
        <v>0</v>
      </c>
      <c r="P17" s="79">
        <v>0</v>
      </c>
      <c r="Q17" s="79">
        <v>3</v>
      </c>
    </row>
    <row r="18" spans="1:17">
      <c r="B18" t="s">
        <v>41</v>
      </c>
      <c r="C18" s="79">
        <v>0</v>
      </c>
      <c r="D18" s="79">
        <v>0</v>
      </c>
      <c r="E18" s="79">
        <v>0</v>
      </c>
      <c r="F18" s="79">
        <v>0</v>
      </c>
      <c r="G18" s="79">
        <v>0</v>
      </c>
      <c r="H18" s="79">
        <v>0</v>
      </c>
      <c r="I18" s="79">
        <v>0</v>
      </c>
      <c r="J18" s="79">
        <v>0</v>
      </c>
      <c r="K18" s="79">
        <v>0</v>
      </c>
      <c r="L18" s="79">
        <v>0</v>
      </c>
      <c r="M18" s="79">
        <v>0</v>
      </c>
      <c r="N18" s="79">
        <v>0</v>
      </c>
      <c r="O18" s="79">
        <v>0</v>
      </c>
      <c r="P18" s="79">
        <v>0</v>
      </c>
      <c r="Q18" s="79">
        <v>0</v>
      </c>
    </row>
    <row r="19" spans="1:17">
      <c r="B19" t="s">
        <v>44</v>
      </c>
      <c r="C19" s="79">
        <v>0</v>
      </c>
      <c r="D19" s="79">
        <v>0</v>
      </c>
      <c r="E19" s="79">
        <v>0</v>
      </c>
      <c r="F19" s="79">
        <v>0</v>
      </c>
      <c r="G19" s="79">
        <v>0</v>
      </c>
      <c r="H19" s="79">
        <v>0</v>
      </c>
      <c r="I19" s="79">
        <v>0</v>
      </c>
      <c r="J19" s="79">
        <v>0</v>
      </c>
      <c r="K19" s="79">
        <v>0</v>
      </c>
      <c r="L19" s="79">
        <v>0</v>
      </c>
      <c r="M19" s="79">
        <v>0</v>
      </c>
      <c r="N19" s="79">
        <v>0</v>
      </c>
      <c r="O19" s="79">
        <v>0</v>
      </c>
      <c r="P19" s="79">
        <v>0</v>
      </c>
      <c r="Q19" s="79">
        <v>0</v>
      </c>
    </row>
    <row r="20" spans="1:17">
      <c r="B20" t="s">
        <v>45</v>
      </c>
      <c r="C20" s="79">
        <v>0</v>
      </c>
      <c r="D20" s="79">
        <v>0</v>
      </c>
      <c r="E20" s="79">
        <v>0</v>
      </c>
      <c r="F20" s="79">
        <v>0</v>
      </c>
      <c r="G20" s="79">
        <v>0</v>
      </c>
      <c r="H20" s="79">
        <v>0</v>
      </c>
      <c r="I20" s="79">
        <v>0</v>
      </c>
      <c r="J20" s="79">
        <v>0</v>
      </c>
      <c r="K20" s="79">
        <v>0</v>
      </c>
      <c r="L20" s="79">
        <v>0</v>
      </c>
      <c r="M20" s="79">
        <v>0</v>
      </c>
      <c r="N20" s="79">
        <v>0</v>
      </c>
      <c r="O20" s="79">
        <v>0</v>
      </c>
      <c r="P20" s="79">
        <v>0</v>
      </c>
      <c r="Q20" s="79">
        <v>0</v>
      </c>
    </row>
    <row r="21" spans="1:17">
      <c r="B21" t="s">
        <v>46</v>
      </c>
      <c r="C21" s="79">
        <v>0</v>
      </c>
      <c r="D21" s="79">
        <v>0</v>
      </c>
      <c r="E21" s="79">
        <v>0</v>
      </c>
      <c r="F21" s="79">
        <v>0</v>
      </c>
      <c r="G21" s="79">
        <v>0</v>
      </c>
      <c r="H21" s="79">
        <v>0</v>
      </c>
      <c r="I21" s="79">
        <v>0</v>
      </c>
      <c r="J21" s="79">
        <v>0</v>
      </c>
      <c r="K21" s="79">
        <v>0</v>
      </c>
      <c r="L21" s="79">
        <v>0</v>
      </c>
      <c r="M21" s="79">
        <v>0</v>
      </c>
      <c r="N21" s="79">
        <v>0</v>
      </c>
      <c r="O21" s="79">
        <v>0</v>
      </c>
      <c r="P21" s="79">
        <v>0</v>
      </c>
      <c r="Q21" s="79">
        <v>0</v>
      </c>
    </row>
    <row r="22" spans="1:17">
      <c r="B22" t="s">
        <v>47</v>
      </c>
      <c r="C22" s="79">
        <v>0</v>
      </c>
      <c r="D22" s="79">
        <v>0</v>
      </c>
      <c r="E22" s="79">
        <v>0</v>
      </c>
      <c r="F22" s="79">
        <v>0</v>
      </c>
      <c r="G22" s="79">
        <v>0</v>
      </c>
      <c r="H22" s="79">
        <v>0</v>
      </c>
      <c r="I22" s="79">
        <v>0</v>
      </c>
      <c r="J22" s="79">
        <v>0</v>
      </c>
      <c r="K22" s="79">
        <v>0</v>
      </c>
      <c r="L22" s="79">
        <v>0</v>
      </c>
      <c r="M22" s="79">
        <v>0</v>
      </c>
      <c r="N22" s="79">
        <v>0</v>
      </c>
      <c r="O22" s="79">
        <v>0</v>
      </c>
      <c r="P22" s="79">
        <v>0</v>
      </c>
      <c r="Q22" s="79">
        <v>0</v>
      </c>
    </row>
    <row r="23" spans="1:17">
      <c r="B23" t="s">
        <v>48</v>
      </c>
      <c r="C23" s="79">
        <v>0</v>
      </c>
      <c r="D23" s="79">
        <v>0</v>
      </c>
      <c r="E23" s="79">
        <v>0</v>
      </c>
      <c r="F23" s="79">
        <v>0</v>
      </c>
      <c r="G23" s="79">
        <v>0</v>
      </c>
      <c r="H23" s="79">
        <v>0</v>
      </c>
      <c r="I23" s="79">
        <v>0</v>
      </c>
      <c r="J23" s="79">
        <v>0</v>
      </c>
      <c r="K23" s="79">
        <v>0</v>
      </c>
      <c r="L23" s="79">
        <v>0</v>
      </c>
      <c r="M23" s="79">
        <v>0</v>
      </c>
      <c r="N23" s="79">
        <v>0</v>
      </c>
      <c r="O23" s="79">
        <v>0</v>
      </c>
      <c r="P23" s="79">
        <v>0</v>
      </c>
      <c r="Q23" s="79">
        <v>0</v>
      </c>
    </row>
    <row r="24" spans="1:17">
      <c r="B24" t="s">
        <v>49</v>
      </c>
      <c r="C24" s="79">
        <v>0</v>
      </c>
      <c r="D24" s="79">
        <v>0</v>
      </c>
      <c r="E24" s="79">
        <v>0</v>
      </c>
      <c r="F24" s="79">
        <v>0</v>
      </c>
      <c r="G24" s="79">
        <v>0</v>
      </c>
      <c r="H24" s="79">
        <v>0</v>
      </c>
      <c r="I24" s="79">
        <v>0</v>
      </c>
      <c r="J24" s="79">
        <v>0</v>
      </c>
      <c r="K24" s="79">
        <v>0</v>
      </c>
      <c r="L24" s="79">
        <v>0</v>
      </c>
      <c r="M24" s="79">
        <v>0</v>
      </c>
      <c r="N24" s="79">
        <v>0</v>
      </c>
      <c r="O24" s="79">
        <v>0</v>
      </c>
      <c r="P24" s="79">
        <v>0</v>
      </c>
      <c r="Q24" s="79">
        <v>0</v>
      </c>
    </row>
    <row r="25" spans="1:17">
      <c r="B25" t="s">
        <v>50</v>
      </c>
      <c r="C25" s="79">
        <v>0</v>
      </c>
      <c r="D25" s="79">
        <v>0</v>
      </c>
      <c r="E25" s="79">
        <v>0</v>
      </c>
      <c r="F25" s="79">
        <v>0</v>
      </c>
      <c r="G25" s="79">
        <v>0</v>
      </c>
      <c r="H25" s="79">
        <v>0</v>
      </c>
      <c r="I25" s="79">
        <v>0</v>
      </c>
      <c r="J25" s="79">
        <v>0</v>
      </c>
      <c r="K25" s="79">
        <v>0</v>
      </c>
      <c r="L25" s="79">
        <v>0</v>
      </c>
      <c r="M25" s="79">
        <v>0</v>
      </c>
      <c r="N25" s="79">
        <v>0</v>
      </c>
      <c r="O25" s="79">
        <v>0</v>
      </c>
      <c r="P25" s="79">
        <v>0</v>
      </c>
      <c r="Q25" s="79">
        <v>0</v>
      </c>
    </row>
    <row r="26" spans="1:17">
      <c r="B26" t="s">
        <v>51</v>
      </c>
      <c r="C26" s="79">
        <v>0</v>
      </c>
      <c r="D26" s="79">
        <v>0</v>
      </c>
      <c r="E26" s="79">
        <v>0</v>
      </c>
      <c r="F26" s="79">
        <v>0</v>
      </c>
      <c r="G26" s="79">
        <v>0</v>
      </c>
      <c r="H26" s="79">
        <v>0</v>
      </c>
      <c r="I26" s="79">
        <v>0</v>
      </c>
      <c r="J26" s="79">
        <v>0</v>
      </c>
      <c r="K26" s="79">
        <v>0</v>
      </c>
      <c r="L26" s="79">
        <v>0</v>
      </c>
      <c r="M26" s="79">
        <v>0</v>
      </c>
      <c r="N26" s="79">
        <v>0</v>
      </c>
      <c r="O26" s="79">
        <v>0</v>
      </c>
      <c r="P26" s="79">
        <v>0</v>
      </c>
      <c r="Q26" s="79">
        <v>0</v>
      </c>
    </row>
    <row r="27" spans="1:17">
      <c r="B27" t="s">
        <v>52</v>
      </c>
      <c r="C27" s="79">
        <v>0</v>
      </c>
      <c r="D27" s="79">
        <v>0</v>
      </c>
      <c r="E27" s="79">
        <v>0</v>
      </c>
      <c r="F27" s="79">
        <v>0</v>
      </c>
      <c r="G27" s="79">
        <v>0</v>
      </c>
      <c r="H27" s="79">
        <v>0</v>
      </c>
      <c r="I27" s="79">
        <v>0</v>
      </c>
      <c r="J27" s="79">
        <v>0</v>
      </c>
      <c r="K27" s="79">
        <v>0</v>
      </c>
      <c r="L27" s="79">
        <v>0</v>
      </c>
      <c r="M27" s="79">
        <v>0</v>
      </c>
      <c r="N27" s="79">
        <v>0</v>
      </c>
      <c r="O27" s="79">
        <v>0</v>
      </c>
      <c r="P27" s="79">
        <v>0</v>
      </c>
      <c r="Q27" s="79">
        <v>0</v>
      </c>
    </row>
    <row r="28" spans="1:17">
      <c r="B28" t="s">
        <v>53</v>
      </c>
      <c r="C28" s="79">
        <v>0</v>
      </c>
      <c r="D28" s="79">
        <v>0</v>
      </c>
      <c r="E28" s="79">
        <v>0</v>
      </c>
      <c r="F28" s="79">
        <v>0</v>
      </c>
      <c r="G28" s="79">
        <v>0</v>
      </c>
      <c r="H28" s="79">
        <v>0</v>
      </c>
      <c r="I28" s="79">
        <v>0</v>
      </c>
      <c r="J28" s="79">
        <v>0</v>
      </c>
      <c r="K28" s="79">
        <v>0</v>
      </c>
      <c r="L28" s="79">
        <v>0</v>
      </c>
      <c r="M28" s="79">
        <v>0</v>
      </c>
      <c r="N28" s="79">
        <v>0</v>
      </c>
      <c r="O28" s="79">
        <v>0</v>
      </c>
      <c r="P28" s="79">
        <v>0</v>
      </c>
      <c r="Q28" s="79">
        <v>0</v>
      </c>
    </row>
    <row r="29" spans="1:17">
      <c r="A29" t="s">
        <v>109</v>
      </c>
      <c r="C29" s="79">
        <v>0</v>
      </c>
      <c r="D29" s="79">
        <v>0</v>
      </c>
      <c r="E29" s="79">
        <v>0</v>
      </c>
      <c r="F29" s="79">
        <v>0</v>
      </c>
      <c r="G29" s="79">
        <v>0</v>
      </c>
      <c r="H29" s="79">
        <v>0</v>
      </c>
      <c r="I29" s="79">
        <v>0</v>
      </c>
      <c r="J29" s="79">
        <v>0</v>
      </c>
      <c r="K29" s="79">
        <v>0</v>
      </c>
      <c r="L29" s="79">
        <v>0</v>
      </c>
      <c r="M29" s="79">
        <v>0</v>
      </c>
      <c r="N29" s="79">
        <v>0</v>
      </c>
      <c r="O29" s="79">
        <v>0</v>
      </c>
      <c r="P29" s="79">
        <v>0</v>
      </c>
      <c r="Q29" s="79">
        <v>0</v>
      </c>
    </row>
    <row r="30" spans="1:17">
      <c r="B30" t="s">
        <v>2</v>
      </c>
      <c r="C30" s="79">
        <v>0</v>
      </c>
      <c r="D30" s="79">
        <v>0</v>
      </c>
      <c r="E30" s="79">
        <v>0</v>
      </c>
      <c r="F30" s="79">
        <v>0</v>
      </c>
      <c r="G30" s="79">
        <v>0</v>
      </c>
      <c r="H30" s="79">
        <v>0</v>
      </c>
      <c r="I30" s="79">
        <v>0</v>
      </c>
      <c r="J30" s="79">
        <v>0</v>
      </c>
      <c r="K30" s="79">
        <v>0</v>
      </c>
      <c r="L30" s="79">
        <v>0</v>
      </c>
      <c r="M30" s="79">
        <v>0</v>
      </c>
      <c r="N30" s="79">
        <v>0</v>
      </c>
      <c r="O30" s="79">
        <v>0</v>
      </c>
      <c r="P30" s="79">
        <v>0</v>
      </c>
      <c r="Q30" s="79">
        <v>0</v>
      </c>
    </row>
    <row r="31" spans="1:17">
      <c r="B31" t="s">
        <v>41</v>
      </c>
      <c r="C31" s="79">
        <v>0</v>
      </c>
      <c r="D31" s="79">
        <v>0</v>
      </c>
      <c r="E31" s="79">
        <v>0</v>
      </c>
      <c r="F31" s="79">
        <v>0</v>
      </c>
      <c r="G31" s="79">
        <v>0</v>
      </c>
      <c r="H31" s="79">
        <v>0</v>
      </c>
      <c r="I31" s="79">
        <v>0</v>
      </c>
      <c r="J31" s="79">
        <v>0</v>
      </c>
      <c r="K31" s="79">
        <v>0</v>
      </c>
      <c r="L31" s="79">
        <v>0</v>
      </c>
      <c r="M31" s="79">
        <v>0</v>
      </c>
      <c r="N31" s="79">
        <v>0</v>
      </c>
      <c r="O31" s="79">
        <v>0</v>
      </c>
      <c r="P31" s="79">
        <v>0</v>
      </c>
      <c r="Q31" s="79">
        <v>0</v>
      </c>
    </row>
    <row r="32" spans="1:17">
      <c r="B32" t="s">
        <v>44</v>
      </c>
      <c r="C32" s="79">
        <v>0</v>
      </c>
      <c r="D32" s="79">
        <v>0</v>
      </c>
      <c r="E32" s="79">
        <v>0</v>
      </c>
      <c r="F32" s="79">
        <v>0</v>
      </c>
      <c r="G32" s="79">
        <v>0</v>
      </c>
      <c r="H32" s="79">
        <v>0</v>
      </c>
      <c r="I32" s="79">
        <v>0</v>
      </c>
      <c r="J32" s="79">
        <v>0</v>
      </c>
      <c r="K32" s="79">
        <v>0</v>
      </c>
      <c r="L32" s="79">
        <v>0</v>
      </c>
      <c r="M32" s="79">
        <v>0</v>
      </c>
      <c r="N32" s="79">
        <v>0</v>
      </c>
      <c r="O32" s="79">
        <v>0</v>
      </c>
      <c r="P32" s="79">
        <v>0</v>
      </c>
      <c r="Q32" s="79">
        <v>0</v>
      </c>
    </row>
    <row r="33" spans="1:17">
      <c r="B33" t="s">
        <v>45</v>
      </c>
      <c r="C33" s="79">
        <v>0</v>
      </c>
      <c r="D33" s="79">
        <v>0</v>
      </c>
      <c r="E33" s="79">
        <v>0</v>
      </c>
      <c r="F33" s="79">
        <v>0</v>
      </c>
      <c r="G33" s="79">
        <v>0</v>
      </c>
      <c r="H33" s="79">
        <v>0</v>
      </c>
      <c r="I33" s="79">
        <v>0</v>
      </c>
      <c r="J33" s="79">
        <v>0</v>
      </c>
      <c r="K33" s="79">
        <v>0</v>
      </c>
      <c r="L33" s="79">
        <v>0</v>
      </c>
      <c r="M33" s="79">
        <v>0</v>
      </c>
      <c r="N33" s="79">
        <v>0</v>
      </c>
      <c r="O33" s="79">
        <v>0</v>
      </c>
      <c r="P33" s="79">
        <v>0</v>
      </c>
      <c r="Q33" s="79">
        <v>0</v>
      </c>
    </row>
    <row r="34" spans="1:17">
      <c r="B34" t="s">
        <v>46</v>
      </c>
      <c r="C34" s="79">
        <v>0</v>
      </c>
      <c r="D34" s="79">
        <v>0</v>
      </c>
      <c r="E34" s="79">
        <v>0</v>
      </c>
      <c r="F34" s="79">
        <v>0</v>
      </c>
      <c r="G34" s="79">
        <v>0</v>
      </c>
      <c r="H34" s="79">
        <v>0</v>
      </c>
      <c r="I34" s="79">
        <v>0</v>
      </c>
      <c r="J34" s="79">
        <v>0</v>
      </c>
      <c r="K34" s="79">
        <v>0</v>
      </c>
      <c r="L34" s="79">
        <v>0</v>
      </c>
      <c r="M34" s="79">
        <v>0</v>
      </c>
      <c r="N34" s="79">
        <v>0</v>
      </c>
      <c r="O34" s="79">
        <v>0</v>
      </c>
      <c r="P34" s="79">
        <v>0</v>
      </c>
      <c r="Q34" s="79">
        <v>0</v>
      </c>
    </row>
    <row r="35" spans="1:17">
      <c r="B35" t="s">
        <v>47</v>
      </c>
      <c r="C35" s="79">
        <v>0</v>
      </c>
      <c r="D35" s="79">
        <v>0</v>
      </c>
      <c r="E35" s="79">
        <v>0</v>
      </c>
      <c r="F35" s="79">
        <v>0</v>
      </c>
      <c r="G35" s="79">
        <v>0</v>
      </c>
      <c r="H35" s="79">
        <v>0</v>
      </c>
      <c r="I35" s="79">
        <v>0</v>
      </c>
      <c r="J35" s="79">
        <v>0</v>
      </c>
      <c r="K35" s="79">
        <v>0</v>
      </c>
      <c r="L35" s="79">
        <v>0</v>
      </c>
      <c r="M35" s="79">
        <v>0</v>
      </c>
      <c r="N35" s="79">
        <v>0</v>
      </c>
      <c r="O35" s="79">
        <v>0</v>
      </c>
      <c r="P35" s="79">
        <v>0</v>
      </c>
      <c r="Q35" s="79">
        <v>0</v>
      </c>
    </row>
    <row r="36" spans="1:17">
      <c r="B36" t="s">
        <v>48</v>
      </c>
      <c r="C36" s="79">
        <v>0</v>
      </c>
      <c r="D36" s="79">
        <v>0</v>
      </c>
      <c r="E36" s="79">
        <v>0</v>
      </c>
      <c r="F36" s="79">
        <v>0</v>
      </c>
      <c r="G36" s="79">
        <v>0</v>
      </c>
      <c r="H36" s="79">
        <v>0</v>
      </c>
      <c r="I36" s="79">
        <v>0</v>
      </c>
      <c r="J36" s="79">
        <v>0</v>
      </c>
      <c r="K36" s="79">
        <v>0</v>
      </c>
      <c r="L36" s="79">
        <v>0</v>
      </c>
      <c r="M36" s="79">
        <v>0</v>
      </c>
      <c r="N36" s="79">
        <v>0</v>
      </c>
      <c r="O36" s="79">
        <v>0</v>
      </c>
      <c r="P36" s="79">
        <v>0</v>
      </c>
      <c r="Q36" s="79">
        <v>0</v>
      </c>
    </row>
    <row r="37" spans="1:17">
      <c r="B37" t="s">
        <v>49</v>
      </c>
      <c r="C37" s="79">
        <v>0</v>
      </c>
      <c r="D37" s="79">
        <v>0</v>
      </c>
      <c r="E37" s="79">
        <v>0</v>
      </c>
      <c r="F37" s="79">
        <v>0</v>
      </c>
      <c r="G37" s="79">
        <v>0</v>
      </c>
      <c r="H37" s="79">
        <v>0</v>
      </c>
      <c r="I37" s="79">
        <v>0</v>
      </c>
      <c r="J37" s="79">
        <v>0</v>
      </c>
      <c r="K37" s="79">
        <v>0</v>
      </c>
      <c r="L37" s="79">
        <v>0</v>
      </c>
      <c r="M37" s="79">
        <v>0</v>
      </c>
      <c r="N37" s="79">
        <v>0</v>
      </c>
      <c r="O37" s="79">
        <v>0</v>
      </c>
      <c r="P37" s="79">
        <v>0</v>
      </c>
      <c r="Q37" s="79">
        <v>0</v>
      </c>
    </row>
    <row r="38" spans="1:17">
      <c r="B38" t="s">
        <v>50</v>
      </c>
      <c r="C38" s="79">
        <v>0</v>
      </c>
      <c r="D38" s="79">
        <v>0</v>
      </c>
      <c r="E38" s="79">
        <v>0</v>
      </c>
      <c r="F38" s="79">
        <v>0</v>
      </c>
      <c r="G38" s="79">
        <v>0</v>
      </c>
      <c r="H38" s="79">
        <v>0</v>
      </c>
      <c r="I38" s="79">
        <v>0</v>
      </c>
      <c r="J38" s="79">
        <v>0</v>
      </c>
      <c r="K38" s="79">
        <v>0</v>
      </c>
      <c r="L38" s="79">
        <v>0</v>
      </c>
      <c r="M38" s="79">
        <v>0</v>
      </c>
      <c r="N38" s="79">
        <v>0</v>
      </c>
      <c r="O38" s="79">
        <v>0</v>
      </c>
      <c r="P38" s="79">
        <v>0</v>
      </c>
      <c r="Q38" s="79">
        <v>0</v>
      </c>
    </row>
    <row r="39" spans="1:17">
      <c r="B39" t="s">
        <v>51</v>
      </c>
      <c r="C39" s="79">
        <v>0</v>
      </c>
      <c r="D39" s="79">
        <v>0</v>
      </c>
      <c r="E39" s="79">
        <v>0</v>
      </c>
      <c r="F39" s="79">
        <v>0</v>
      </c>
      <c r="G39" s="79">
        <v>0</v>
      </c>
      <c r="H39" s="79">
        <v>0</v>
      </c>
      <c r="I39" s="79">
        <v>0</v>
      </c>
      <c r="J39" s="79">
        <v>0</v>
      </c>
      <c r="K39" s="79">
        <v>0</v>
      </c>
      <c r="L39" s="79">
        <v>0</v>
      </c>
      <c r="M39" s="79">
        <v>0</v>
      </c>
      <c r="N39" s="79">
        <v>0</v>
      </c>
      <c r="O39" s="79">
        <v>0</v>
      </c>
      <c r="P39" s="79">
        <v>0</v>
      </c>
      <c r="Q39" s="79">
        <v>0</v>
      </c>
    </row>
    <row r="40" spans="1:17">
      <c r="B40" t="s">
        <v>52</v>
      </c>
      <c r="C40" s="79">
        <v>0</v>
      </c>
      <c r="D40" s="79">
        <v>0</v>
      </c>
      <c r="E40" s="79">
        <v>0</v>
      </c>
      <c r="F40" s="79">
        <v>0</v>
      </c>
      <c r="G40" s="79">
        <v>0</v>
      </c>
      <c r="H40" s="79">
        <v>0</v>
      </c>
      <c r="I40" s="79">
        <v>0</v>
      </c>
      <c r="J40" s="79">
        <v>0</v>
      </c>
      <c r="K40" s="79">
        <v>0</v>
      </c>
      <c r="L40" s="79">
        <v>0</v>
      </c>
      <c r="M40" s="79">
        <v>0</v>
      </c>
      <c r="N40" s="79">
        <v>0</v>
      </c>
      <c r="O40" s="79">
        <v>0</v>
      </c>
      <c r="P40" s="79">
        <v>0</v>
      </c>
      <c r="Q40" s="79">
        <v>0</v>
      </c>
    </row>
    <row r="41" spans="1:17">
      <c r="B41" t="s">
        <v>53</v>
      </c>
      <c r="C41" s="79">
        <v>0</v>
      </c>
      <c r="D41" s="79">
        <v>0</v>
      </c>
      <c r="E41" s="79">
        <v>0</v>
      </c>
      <c r="F41" s="79">
        <v>0</v>
      </c>
      <c r="G41" s="79">
        <v>0</v>
      </c>
      <c r="H41" s="79">
        <v>0</v>
      </c>
      <c r="I41" s="79">
        <v>0</v>
      </c>
      <c r="J41" s="79">
        <v>0</v>
      </c>
      <c r="K41" s="79">
        <v>0</v>
      </c>
      <c r="L41" s="79">
        <v>0</v>
      </c>
      <c r="M41" s="79">
        <v>0</v>
      </c>
      <c r="N41" s="79">
        <v>0</v>
      </c>
      <c r="O41" s="79">
        <v>0</v>
      </c>
      <c r="P41" s="79">
        <v>0</v>
      </c>
      <c r="Q41" s="79">
        <v>0</v>
      </c>
    </row>
    <row r="42" spans="1:17">
      <c r="A42" t="s">
        <v>110</v>
      </c>
      <c r="C42" s="79">
        <v>0</v>
      </c>
      <c r="D42" s="79">
        <v>0</v>
      </c>
      <c r="E42" s="79">
        <v>0</v>
      </c>
      <c r="F42" s="79">
        <v>0</v>
      </c>
      <c r="G42" s="79">
        <v>0</v>
      </c>
      <c r="H42" s="79">
        <v>0</v>
      </c>
      <c r="I42" s="79">
        <v>0</v>
      </c>
      <c r="J42" s="79">
        <v>0</v>
      </c>
      <c r="K42" s="79">
        <v>0</v>
      </c>
      <c r="L42" s="79">
        <v>0</v>
      </c>
      <c r="M42" s="79">
        <v>0</v>
      </c>
      <c r="N42" s="79">
        <v>0</v>
      </c>
      <c r="O42" s="79">
        <v>0</v>
      </c>
      <c r="P42" s="79">
        <v>0</v>
      </c>
      <c r="Q42" s="79">
        <v>0</v>
      </c>
    </row>
    <row r="43" spans="1:17">
      <c r="B43" t="s">
        <v>2</v>
      </c>
      <c r="C43" s="79">
        <v>0</v>
      </c>
      <c r="D43" s="79">
        <v>0</v>
      </c>
      <c r="E43" s="79">
        <v>0</v>
      </c>
      <c r="F43" s="79">
        <v>0</v>
      </c>
      <c r="G43" s="79">
        <v>0</v>
      </c>
      <c r="H43" s="79">
        <v>0</v>
      </c>
      <c r="I43" s="79">
        <v>0</v>
      </c>
      <c r="J43" s="79">
        <v>0</v>
      </c>
      <c r="K43" s="79">
        <v>0</v>
      </c>
      <c r="L43" s="79">
        <v>0</v>
      </c>
      <c r="M43" s="79">
        <v>0</v>
      </c>
      <c r="N43" s="79">
        <v>0</v>
      </c>
      <c r="O43" s="79">
        <v>0</v>
      </c>
      <c r="P43" s="79">
        <v>0</v>
      </c>
      <c r="Q43" s="79">
        <v>0</v>
      </c>
    </row>
    <row r="44" spans="1:17">
      <c r="B44" t="s">
        <v>41</v>
      </c>
      <c r="C44" s="79">
        <v>0</v>
      </c>
      <c r="D44" s="79">
        <v>0</v>
      </c>
      <c r="E44" s="79">
        <v>0</v>
      </c>
      <c r="F44" s="79">
        <v>0</v>
      </c>
      <c r="G44" s="79">
        <v>0</v>
      </c>
      <c r="H44" s="79">
        <v>0</v>
      </c>
      <c r="I44" s="79">
        <v>0</v>
      </c>
      <c r="J44" s="79">
        <v>0</v>
      </c>
      <c r="K44" s="79">
        <v>0</v>
      </c>
      <c r="L44" s="79">
        <v>0</v>
      </c>
      <c r="M44" s="79">
        <v>0</v>
      </c>
      <c r="N44" s="79">
        <v>0</v>
      </c>
      <c r="O44" s="79">
        <v>0</v>
      </c>
      <c r="P44" s="79">
        <v>0</v>
      </c>
      <c r="Q44" s="79">
        <v>0</v>
      </c>
    </row>
    <row r="45" spans="1:17">
      <c r="B45" t="s">
        <v>44</v>
      </c>
      <c r="C45" s="79">
        <v>0</v>
      </c>
      <c r="D45" s="79">
        <v>0</v>
      </c>
      <c r="E45" s="79">
        <v>0</v>
      </c>
      <c r="F45" s="79">
        <v>0</v>
      </c>
      <c r="G45" s="79">
        <v>0</v>
      </c>
      <c r="H45" s="79">
        <v>0</v>
      </c>
      <c r="I45" s="79">
        <v>0</v>
      </c>
      <c r="J45" s="79">
        <v>0</v>
      </c>
      <c r="K45" s="79">
        <v>0</v>
      </c>
      <c r="L45" s="79">
        <v>0</v>
      </c>
      <c r="M45" s="79">
        <v>0</v>
      </c>
      <c r="N45" s="79">
        <v>0</v>
      </c>
      <c r="O45" s="79">
        <v>0</v>
      </c>
      <c r="P45" s="79">
        <v>0</v>
      </c>
      <c r="Q45" s="79">
        <v>0</v>
      </c>
    </row>
    <row r="46" spans="1:17">
      <c r="B46" t="s">
        <v>45</v>
      </c>
      <c r="C46" s="79">
        <v>0</v>
      </c>
      <c r="D46" s="79">
        <v>0</v>
      </c>
      <c r="E46" s="79">
        <v>0</v>
      </c>
      <c r="F46" s="79">
        <v>0</v>
      </c>
      <c r="G46" s="79">
        <v>0</v>
      </c>
      <c r="H46" s="79">
        <v>0</v>
      </c>
      <c r="I46" s="79">
        <v>0</v>
      </c>
      <c r="J46" s="79">
        <v>0</v>
      </c>
      <c r="K46" s="79">
        <v>0</v>
      </c>
      <c r="L46" s="79">
        <v>0</v>
      </c>
      <c r="M46" s="79">
        <v>0</v>
      </c>
      <c r="N46" s="79">
        <v>0</v>
      </c>
      <c r="O46" s="79">
        <v>0</v>
      </c>
      <c r="P46" s="79">
        <v>0</v>
      </c>
      <c r="Q46" s="79">
        <v>0</v>
      </c>
    </row>
    <row r="47" spans="1:17">
      <c r="B47" t="s">
        <v>46</v>
      </c>
      <c r="C47" s="79">
        <v>0</v>
      </c>
      <c r="D47" s="79">
        <v>0</v>
      </c>
      <c r="E47" s="79">
        <v>0</v>
      </c>
      <c r="F47" s="79">
        <v>0</v>
      </c>
      <c r="G47" s="79">
        <v>0</v>
      </c>
      <c r="H47" s="79">
        <v>0</v>
      </c>
      <c r="I47" s="79">
        <v>0</v>
      </c>
      <c r="J47" s="79">
        <v>0</v>
      </c>
      <c r="K47" s="79">
        <v>0</v>
      </c>
      <c r="L47" s="79">
        <v>0</v>
      </c>
      <c r="M47" s="79">
        <v>0</v>
      </c>
      <c r="N47" s="79">
        <v>0</v>
      </c>
      <c r="O47" s="79">
        <v>0</v>
      </c>
      <c r="P47" s="79">
        <v>0</v>
      </c>
      <c r="Q47" s="79">
        <v>0</v>
      </c>
    </row>
    <row r="48" spans="1:17">
      <c r="B48" t="s">
        <v>47</v>
      </c>
      <c r="C48" s="79">
        <v>0</v>
      </c>
      <c r="D48" s="79">
        <v>0</v>
      </c>
      <c r="E48" s="79">
        <v>0</v>
      </c>
      <c r="F48" s="79">
        <v>0</v>
      </c>
      <c r="G48" s="79">
        <v>0</v>
      </c>
      <c r="H48" s="79">
        <v>0</v>
      </c>
      <c r="I48" s="79">
        <v>0</v>
      </c>
      <c r="J48" s="79">
        <v>0</v>
      </c>
      <c r="K48" s="79">
        <v>0</v>
      </c>
      <c r="L48" s="79">
        <v>0</v>
      </c>
      <c r="M48" s="79">
        <v>0</v>
      </c>
      <c r="N48" s="79">
        <v>0</v>
      </c>
      <c r="O48" s="79">
        <v>0</v>
      </c>
      <c r="P48" s="79">
        <v>0</v>
      </c>
      <c r="Q48" s="79">
        <v>0</v>
      </c>
    </row>
    <row r="49" spans="1:17">
      <c r="B49" t="s">
        <v>48</v>
      </c>
      <c r="C49" s="79">
        <v>0</v>
      </c>
      <c r="D49" s="79">
        <v>0</v>
      </c>
      <c r="E49" s="79">
        <v>0</v>
      </c>
      <c r="F49" s="79">
        <v>0</v>
      </c>
      <c r="G49" s="79">
        <v>0</v>
      </c>
      <c r="H49" s="79">
        <v>0</v>
      </c>
      <c r="I49" s="79">
        <v>0</v>
      </c>
      <c r="J49" s="79">
        <v>0</v>
      </c>
      <c r="K49" s="79">
        <v>0</v>
      </c>
      <c r="L49" s="79">
        <v>0</v>
      </c>
      <c r="M49" s="79">
        <v>0</v>
      </c>
      <c r="N49" s="79">
        <v>0</v>
      </c>
      <c r="O49" s="79">
        <v>0</v>
      </c>
      <c r="P49" s="79">
        <v>0</v>
      </c>
      <c r="Q49" s="79">
        <v>0</v>
      </c>
    </row>
    <row r="50" spans="1:17">
      <c r="B50" t="s">
        <v>49</v>
      </c>
      <c r="C50" s="79">
        <v>0</v>
      </c>
      <c r="D50" s="79">
        <v>0</v>
      </c>
      <c r="E50" s="79">
        <v>0</v>
      </c>
      <c r="F50" s="79">
        <v>0</v>
      </c>
      <c r="G50" s="79">
        <v>0</v>
      </c>
      <c r="H50" s="79">
        <v>0</v>
      </c>
      <c r="I50" s="79">
        <v>0</v>
      </c>
      <c r="J50" s="79">
        <v>0</v>
      </c>
      <c r="K50" s="79">
        <v>0</v>
      </c>
      <c r="L50" s="79">
        <v>0</v>
      </c>
      <c r="M50" s="79">
        <v>0</v>
      </c>
      <c r="N50" s="79">
        <v>0</v>
      </c>
      <c r="O50" s="79">
        <v>0</v>
      </c>
      <c r="P50" s="79">
        <v>0</v>
      </c>
      <c r="Q50" s="79">
        <v>0</v>
      </c>
    </row>
    <row r="51" spans="1:17">
      <c r="B51" t="s">
        <v>50</v>
      </c>
      <c r="C51" s="79">
        <v>0</v>
      </c>
      <c r="D51" s="79">
        <v>0</v>
      </c>
      <c r="E51" s="79">
        <v>0</v>
      </c>
      <c r="F51" s="79">
        <v>0</v>
      </c>
      <c r="G51" s="79">
        <v>0</v>
      </c>
      <c r="H51" s="79">
        <v>0</v>
      </c>
      <c r="I51" s="79">
        <v>0</v>
      </c>
      <c r="J51" s="79">
        <v>0</v>
      </c>
      <c r="K51" s="79">
        <v>0</v>
      </c>
      <c r="L51" s="79">
        <v>0</v>
      </c>
      <c r="M51" s="79">
        <v>0</v>
      </c>
      <c r="N51" s="79">
        <v>0</v>
      </c>
      <c r="O51" s="79">
        <v>0</v>
      </c>
      <c r="P51" s="79">
        <v>0</v>
      </c>
      <c r="Q51" s="79">
        <v>0</v>
      </c>
    </row>
    <row r="52" spans="1:17">
      <c r="B52" t="s">
        <v>51</v>
      </c>
      <c r="C52" s="79">
        <v>0</v>
      </c>
      <c r="D52" s="79">
        <v>0</v>
      </c>
      <c r="E52" s="79">
        <v>0</v>
      </c>
      <c r="F52" s="79">
        <v>0</v>
      </c>
      <c r="G52" s="79">
        <v>0</v>
      </c>
      <c r="H52" s="79">
        <v>0</v>
      </c>
      <c r="I52" s="79">
        <v>0</v>
      </c>
      <c r="J52" s="79">
        <v>0</v>
      </c>
      <c r="K52" s="79">
        <v>0</v>
      </c>
      <c r="L52" s="79">
        <v>0</v>
      </c>
      <c r="M52" s="79">
        <v>0</v>
      </c>
      <c r="N52" s="79">
        <v>0</v>
      </c>
      <c r="O52" s="79">
        <v>0</v>
      </c>
      <c r="P52" s="79">
        <v>0</v>
      </c>
      <c r="Q52" s="79">
        <v>0</v>
      </c>
    </row>
    <row r="53" spans="1:17">
      <c r="B53" t="s">
        <v>52</v>
      </c>
      <c r="C53" s="79">
        <v>0</v>
      </c>
      <c r="D53" s="79">
        <v>0</v>
      </c>
      <c r="E53" s="79">
        <v>0</v>
      </c>
      <c r="F53" s="79">
        <v>0</v>
      </c>
      <c r="G53" s="79">
        <v>0</v>
      </c>
      <c r="H53" s="79">
        <v>0</v>
      </c>
      <c r="I53" s="79">
        <v>0</v>
      </c>
      <c r="J53" s="79">
        <v>0</v>
      </c>
      <c r="K53" s="79">
        <v>0</v>
      </c>
      <c r="L53" s="79">
        <v>0</v>
      </c>
      <c r="M53" s="79">
        <v>0</v>
      </c>
      <c r="N53" s="79">
        <v>0</v>
      </c>
      <c r="O53" s="79">
        <v>0</v>
      </c>
      <c r="P53" s="79">
        <v>0</v>
      </c>
      <c r="Q53" s="79">
        <v>0</v>
      </c>
    </row>
    <row r="54" spans="1:17">
      <c r="B54" t="s">
        <v>53</v>
      </c>
      <c r="C54" s="79">
        <v>0</v>
      </c>
      <c r="D54" s="79">
        <v>0</v>
      </c>
      <c r="E54" s="79">
        <v>0</v>
      </c>
      <c r="F54" s="79">
        <v>0</v>
      </c>
      <c r="G54" s="79">
        <v>0</v>
      </c>
      <c r="H54" s="79">
        <v>0</v>
      </c>
      <c r="I54" s="79">
        <v>0</v>
      </c>
      <c r="J54" s="79">
        <v>0</v>
      </c>
      <c r="K54" s="79">
        <v>0</v>
      </c>
      <c r="L54" s="79">
        <v>0</v>
      </c>
      <c r="M54" s="79">
        <v>0</v>
      </c>
      <c r="N54" s="79">
        <v>0</v>
      </c>
      <c r="O54" s="79">
        <v>0</v>
      </c>
      <c r="P54" s="79">
        <v>0</v>
      </c>
      <c r="Q54" s="79">
        <v>0</v>
      </c>
    </row>
    <row r="55" spans="1:17">
      <c r="A55" t="s">
        <v>113</v>
      </c>
      <c r="C55" s="79">
        <v>0</v>
      </c>
      <c r="D55" s="79">
        <v>2</v>
      </c>
      <c r="E55" s="79">
        <v>0</v>
      </c>
      <c r="F55" s="79">
        <v>2</v>
      </c>
      <c r="G55" s="79">
        <v>0</v>
      </c>
      <c r="H55" s="79">
        <v>0</v>
      </c>
      <c r="I55" s="79">
        <v>0</v>
      </c>
      <c r="J55" s="79">
        <v>0</v>
      </c>
      <c r="K55" s="79">
        <v>0</v>
      </c>
      <c r="L55" s="79">
        <v>0</v>
      </c>
      <c r="M55" s="79">
        <v>0</v>
      </c>
      <c r="N55" s="79">
        <v>0</v>
      </c>
      <c r="O55" s="79">
        <v>0</v>
      </c>
      <c r="P55" s="79">
        <v>0</v>
      </c>
      <c r="Q55" s="79">
        <v>4</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1281D6-EC1B-BA4A-8589-003AE0C39D38}">
  <dimension ref="A1:C13"/>
  <sheetViews>
    <sheetView tabSelected="1" workbookViewId="0">
      <selection activeCell="P32" sqref="P32"/>
    </sheetView>
  </sheetViews>
  <sheetFormatPr baseColWidth="10" defaultRowHeight="15"/>
  <cols>
    <col min="2" max="2" width="12.5" customWidth="1"/>
    <col min="3" max="3" width="24.33203125" style="90" customWidth="1"/>
  </cols>
  <sheetData>
    <row r="1" spans="1:3">
      <c r="A1" t="s">
        <v>121</v>
      </c>
      <c r="B1" t="s">
        <v>120</v>
      </c>
      <c r="C1" s="90" t="s">
        <v>119</v>
      </c>
    </row>
    <row r="2" spans="1:3">
      <c r="A2" t="s">
        <v>118</v>
      </c>
      <c r="B2" t="s">
        <v>56</v>
      </c>
      <c r="C2" s="90">
        <v>44202</v>
      </c>
    </row>
    <row r="3" spans="1:3">
      <c r="A3" t="s">
        <v>117</v>
      </c>
      <c r="B3" t="s">
        <v>57</v>
      </c>
      <c r="C3" s="90">
        <v>44200</v>
      </c>
    </row>
    <row r="4" spans="1:3">
      <c r="B4" t="s">
        <v>57</v>
      </c>
      <c r="C4" s="90">
        <v>44201</v>
      </c>
    </row>
    <row r="5" spans="1:3">
      <c r="B5" t="s">
        <v>56</v>
      </c>
      <c r="C5" s="90">
        <v>44202</v>
      </c>
    </row>
    <row r="6" spans="1:3">
      <c r="A6" t="s">
        <v>123</v>
      </c>
      <c r="B6" t="s">
        <v>17</v>
      </c>
      <c r="C6" s="90">
        <v>44204</v>
      </c>
    </row>
    <row r="7" spans="1:3">
      <c r="B7" t="s">
        <v>17</v>
      </c>
      <c r="C7" s="90">
        <v>44205</v>
      </c>
    </row>
    <row r="8" spans="1:3">
      <c r="B8" t="s">
        <v>17</v>
      </c>
      <c r="C8" s="90">
        <v>44206</v>
      </c>
    </row>
    <row r="9" spans="1:3">
      <c r="B9" t="s">
        <v>17</v>
      </c>
      <c r="C9" s="90">
        <v>44207</v>
      </c>
    </row>
    <row r="10" spans="1:3">
      <c r="B10" t="s">
        <v>17</v>
      </c>
      <c r="C10" s="90">
        <v>44208</v>
      </c>
    </row>
    <row r="11" spans="1:3">
      <c r="B11" t="s">
        <v>17</v>
      </c>
      <c r="C11" s="90">
        <v>44209</v>
      </c>
    </row>
    <row r="12" spans="1:3">
      <c r="B12" t="s">
        <v>17</v>
      </c>
      <c r="C12" s="90">
        <v>44210</v>
      </c>
    </row>
    <row r="13" spans="1:3">
      <c r="B13" t="s">
        <v>17</v>
      </c>
      <c r="C13" s="90">
        <v>44211</v>
      </c>
    </row>
  </sheetData>
  <dataConsolidate/>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908FD3C-4219-45D4-9079-7D244B11CF99}">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16</vt:i4>
      </vt:variant>
      <vt:variant>
        <vt:lpstr>Plages nommées</vt:lpstr>
      </vt:variant>
      <vt:variant>
        <vt:i4>241</vt:i4>
      </vt:variant>
    </vt:vector>
  </HeadingPairs>
  <TitlesOfParts>
    <vt:vector size="257"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Type d'absence</vt:lpstr>
      <vt:lpstr>Synthèse</vt:lpstr>
      <vt:lpstr>Récap mensuel</vt:lpstr>
      <vt:lpstr>Août!AnnéeCalendrier</vt:lpstr>
      <vt:lpstr>Avril!AnnéeCalendrier</vt:lpstr>
      <vt:lpstr>Décembre!AnnéeCalendrier</vt:lpstr>
      <vt:lpstr>Février!AnnéeCalendrier</vt:lpstr>
      <vt:lpstr>Juillet!AnnéeCalendrier</vt:lpstr>
      <vt:lpstr>Juin!AnnéeCalendrier</vt:lpstr>
      <vt:lpstr>Mai!AnnéeCalendrier</vt:lpstr>
      <vt:lpstr>Mars!AnnéeCalendrier</vt:lpstr>
      <vt:lpstr>Novembre!AnnéeCalendrier</vt:lpstr>
      <vt:lpstr>Octobre!AnnéeCalendrier</vt:lpstr>
      <vt:lpstr>Septembre!AnnéeCalendrier</vt:lpstr>
      <vt:lpstr>AnnéeCalendrier</vt:lpstr>
      <vt:lpstr>AnnéeCalendrier01</vt:lpstr>
      <vt:lpstr>CléAbsenceJustifiée</vt:lpstr>
      <vt:lpstr>CléCompteEpargneTemps</vt:lpstr>
      <vt:lpstr>Août!CléCongé</vt:lpstr>
      <vt:lpstr>Avril!CléCongé</vt:lpstr>
      <vt:lpstr>Décembre!CléCongé</vt:lpstr>
      <vt:lpstr>Février!CléCongé</vt:lpstr>
      <vt:lpstr>Juillet!CléCongé</vt:lpstr>
      <vt:lpstr>Juin!CléCongé</vt:lpstr>
      <vt:lpstr>Mai!CléCongé</vt:lpstr>
      <vt:lpstr>Mars!CléCongé</vt:lpstr>
      <vt:lpstr>Novembre!CléCongé</vt:lpstr>
      <vt:lpstr>Octobre!CléCongé</vt:lpstr>
      <vt:lpstr>Septembre!CléCongé</vt:lpstr>
      <vt:lpstr>CléCongé</vt:lpstr>
      <vt:lpstr>CléCongéMalade</vt:lpstr>
      <vt:lpstr>CléCongéSpécial</vt:lpstr>
      <vt:lpstr>CléDemiCompteEpargneTemps</vt:lpstr>
      <vt:lpstr>CléDemiEnfantMalade</vt:lpstr>
      <vt:lpstr>CléDemiRécupération</vt:lpstr>
      <vt:lpstr>CléDemiRtt</vt:lpstr>
      <vt:lpstr>CléEnfantMalade</vt:lpstr>
      <vt:lpstr>CléFormation</vt:lpstr>
      <vt:lpstr>CléMaladie</vt:lpstr>
      <vt:lpstr>CléNonTravaillé</vt:lpstr>
      <vt:lpstr>CléPrésenceExceptionnelle</vt:lpstr>
      <vt:lpstr>CléRécupération</vt:lpstr>
      <vt:lpstr>CléRTT</vt:lpstr>
      <vt:lpstr>CléTélétravail</vt:lpstr>
      <vt:lpstr>Enfant_malade</vt:lpstr>
      <vt:lpstr>Entrez_l’année</vt:lpstr>
      <vt:lpstr>ÉtiquetteCléAbsenceJustifiée</vt:lpstr>
      <vt:lpstr>ÉtiquetteCléCongé</vt:lpstr>
      <vt:lpstr>EtiquetteCléCongéMaladie</vt:lpstr>
      <vt:lpstr>ÉtiquetteCléCongéSpécial</vt:lpstr>
      <vt:lpstr>EtiquetteCléDemiCompteEpargneTemps</vt:lpstr>
      <vt:lpstr>ÉtiquetteCléDemiEnfantMalade</vt:lpstr>
      <vt:lpstr>ÉtiquetteCléDemiRécupération</vt:lpstr>
      <vt:lpstr>ÉtiquetteCléDemiRTT</vt:lpstr>
      <vt:lpstr>ÉtiquetteCléEnfantMalade</vt:lpstr>
      <vt:lpstr>EtiquetteCléEpargneTemps</vt:lpstr>
      <vt:lpstr>ÉtiquetteCléFormation</vt:lpstr>
      <vt:lpstr>ÉtiquetteCléNontravaillé</vt:lpstr>
      <vt:lpstr>ÉtiquetteCléPrésenceExceptionnelle</vt:lpstr>
      <vt:lpstr>ÉtiquetteCléRécupération</vt:lpstr>
      <vt:lpstr>ÉtiquetteCléRTT</vt:lpstr>
      <vt:lpstr>EtiquetteCléTélétravail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Août!Titre_Absence_Employé</vt:lpstr>
      <vt:lpstr>Avril!Titre_Absence_Employé</vt:lpstr>
      <vt:lpstr>Décembre!Titre_Absence_Employé</vt:lpstr>
      <vt:lpstr>Février!Titre_Absence_Employé</vt:lpstr>
      <vt:lpstr>Juillet!Titre_Absence_Employé</vt:lpstr>
      <vt:lpstr>Juin!Titre_Absence_Employé</vt:lpstr>
      <vt:lpstr>Mai!Titre_Absence_Employé</vt:lpstr>
      <vt:lpstr>Mars!Titre_Absence_Employé</vt:lpstr>
      <vt:lpstr>Novembre!Titre_Absence_Employé</vt:lpstr>
      <vt:lpstr>Octobre!Titre_Absence_Employé</vt:lpstr>
      <vt:lpstr>Septembre!Titre_Absence_Employé</vt:lpstr>
      <vt:lpstr>Titre_Absence_Employé</vt:lpstr>
      <vt:lpstr>Août!Titre1</vt:lpstr>
      <vt:lpstr>Avril!Titre1</vt:lpstr>
      <vt:lpstr>Décembre!Titre1</vt:lpstr>
      <vt:lpstr>Février!Titre1</vt:lpstr>
      <vt:lpstr>Juillet!Titre1</vt:lpstr>
      <vt:lpstr>Juin!Titre1</vt:lpstr>
      <vt:lpstr>Mai!Titre1</vt:lpstr>
      <vt:lpstr>Mars!Titre1</vt:lpstr>
      <vt:lpstr>Novembre!Titre1</vt:lpstr>
      <vt:lpstr>Octobre!Titre1</vt:lpstr>
      <vt:lpstr>Septembre!Titre1</vt:lpstr>
      <vt:lpstr>Titre1</vt:lpstr>
      <vt:lpstr>Août!Titre10</vt:lpstr>
      <vt:lpstr>Avril!Titre10</vt:lpstr>
      <vt:lpstr>Décembre!Titre10</vt:lpstr>
      <vt:lpstr>Février!Titre10</vt:lpstr>
      <vt:lpstr>Juillet!Titre10</vt:lpstr>
      <vt:lpstr>Juin!Titre10</vt:lpstr>
      <vt:lpstr>Mai!Titre10</vt:lpstr>
      <vt:lpstr>Mars!Titre10</vt:lpstr>
      <vt:lpstr>Novembre!Titre10</vt:lpstr>
      <vt:lpstr>Octobre!Titre10</vt:lpstr>
      <vt:lpstr>Septembre!Titre10</vt:lpstr>
      <vt:lpstr>Août!Titre11</vt:lpstr>
      <vt:lpstr>Avril!Titre11</vt:lpstr>
      <vt:lpstr>Décembre!Titre11</vt:lpstr>
      <vt:lpstr>Février!Titre11</vt:lpstr>
      <vt:lpstr>Juillet!Titre11</vt:lpstr>
      <vt:lpstr>Juin!Titre11</vt:lpstr>
      <vt:lpstr>Mai!Titre11</vt:lpstr>
      <vt:lpstr>Mars!Titre11</vt:lpstr>
      <vt:lpstr>Novembre!Titre11</vt:lpstr>
      <vt:lpstr>Octobre!Titre11</vt:lpstr>
      <vt:lpstr>Septembre!Titre11</vt:lpstr>
      <vt:lpstr>Août!Titre12</vt:lpstr>
      <vt:lpstr>Avril!Titre12</vt:lpstr>
      <vt:lpstr>Décembre!Titre12</vt:lpstr>
      <vt:lpstr>Février!Titre12</vt:lpstr>
      <vt:lpstr>Juillet!Titre12</vt:lpstr>
      <vt:lpstr>Juin!Titre12</vt:lpstr>
      <vt:lpstr>Mai!Titre12</vt:lpstr>
      <vt:lpstr>Mars!Titre12</vt:lpstr>
      <vt:lpstr>Novembre!Titre12</vt:lpstr>
      <vt:lpstr>Octobre!Titre12</vt:lpstr>
      <vt:lpstr>Septembre!Titre12</vt:lpstr>
      <vt:lpstr>Août!Titre2</vt:lpstr>
      <vt:lpstr>Avril!Titre2</vt:lpstr>
      <vt:lpstr>Décembre!Titre2</vt:lpstr>
      <vt:lpstr>Février!Titre2</vt:lpstr>
      <vt:lpstr>Juillet!Titre2</vt:lpstr>
      <vt:lpstr>Juin!Titre2</vt:lpstr>
      <vt:lpstr>Mai!Titre2</vt:lpstr>
      <vt:lpstr>Mars!Titre2</vt:lpstr>
      <vt:lpstr>Novembre!Titre2</vt:lpstr>
      <vt:lpstr>Octobre!Titre2</vt:lpstr>
      <vt:lpstr>Septembre!Titre2</vt:lpstr>
      <vt:lpstr>Août!Titre3</vt:lpstr>
      <vt:lpstr>Avril!Titre3</vt:lpstr>
      <vt:lpstr>Décembre!Titre3</vt:lpstr>
      <vt:lpstr>Février!Titre3</vt:lpstr>
      <vt:lpstr>Juillet!Titre3</vt:lpstr>
      <vt:lpstr>Juin!Titre3</vt:lpstr>
      <vt:lpstr>Mai!Titre3</vt:lpstr>
      <vt:lpstr>Mars!Titre3</vt:lpstr>
      <vt:lpstr>Novembre!Titre3</vt:lpstr>
      <vt:lpstr>Octobre!Titre3</vt:lpstr>
      <vt:lpstr>Septembre!Titre3</vt:lpstr>
      <vt:lpstr>Août!Titre4</vt:lpstr>
      <vt:lpstr>Avril!Titre4</vt:lpstr>
      <vt:lpstr>Décembre!Titre4</vt:lpstr>
      <vt:lpstr>Février!Titre4</vt:lpstr>
      <vt:lpstr>Juillet!Titre4</vt:lpstr>
      <vt:lpstr>Juin!Titre4</vt:lpstr>
      <vt:lpstr>Mai!Titre4</vt:lpstr>
      <vt:lpstr>Mars!Titre4</vt:lpstr>
      <vt:lpstr>Novembre!Titre4</vt:lpstr>
      <vt:lpstr>Octobre!Titre4</vt:lpstr>
      <vt:lpstr>Septembre!Titre4</vt:lpstr>
      <vt:lpstr>Août!Titre5</vt:lpstr>
      <vt:lpstr>Avril!Titre5</vt:lpstr>
      <vt:lpstr>Décembre!Titre5</vt:lpstr>
      <vt:lpstr>Février!Titre5</vt:lpstr>
      <vt:lpstr>Juillet!Titre5</vt:lpstr>
      <vt:lpstr>Juin!Titre5</vt:lpstr>
      <vt:lpstr>Mai!Titre5</vt:lpstr>
      <vt:lpstr>Mars!Titre5</vt:lpstr>
      <vt:lpstr>Novembre!Titre5</vt:lpstr>
      <vt:lpstr>Octobre!Titre5</vt:lpstr>
      <vt:lpstr>Septembre!Titre5</vt:lpstr>
      <vt:lpstr>Août!Titre6</vt:lpstr>
      <vt:lpstr>Avril!Titre6</vt:lpstr>
      <vt:lpstr>Décembre!Titre6</vt:lpstr>
      <vt:lpstr>Février!Titre6</vt:lpstr>
      <vt:lpstr>Juillet!Titre6</vt:lpstr>
      <vt:lpstr>Juin!Titre6</vt:lpstr>
      <vt:lpstr>Mai!Titre6</vt:lpstr>
      <vt:lpstr>Mars!Titre6</vt:lpstr>
      <vt:lpstr>Novembre!Titre6</vt:lpstr>
      <vt:lpstr>Octobre!Titre6</vt:lpstr>
      <vt:lpstr>Septembre!Titre6</vt:lpstr>
      <vt:lpstr>Août!Titre7</vt:lpstr>
      <vt:lpstr>Avril!Titre7</vt:lpstr>
      <vt:lpstr>Décembre!Titre7</vt:lpstr>
      <vt:lpstr>Février!Titre7</vt:lpstr>
      <vt:lpstr>Juillet!Titre7</vt:lpstr>
      <vt:lpstr>Juin!Titre7</vt:lpstr>
      <vt:lpstr>Mai!Titre7</vt:lpstr>
      <vt:lpstr>Mars!Titre7</vt:lpstr>
      <vt:lpstr>Novembre!Titre7</vt:lpstr>
      <vt:lpstr>Octobre!Titre7</vt:lpstr>
      <vt:lpstr>Septembre!Titre7</vt:lpstr>
      <vt:lpstr>Août!Titre8</vt:lpstr>
      <vt:lpstr>Avril!Titre8</vt:lpstr>
      <vt:lpstr>Décembre!Titre8</vt:lpstr>
      <vt:lpstr>Février!Titre8</vt:lpstr>
      <vt:lpstr>Juillet!Titre8</vt:lpstr>
      <vt:lpstr>Juin!Titre8</vt:lpstr>
      <vt:lpstr>Mai!Titre8</vt:lpstr>
      <vt:lpstr>Mars!Titre8</vt:lpstr>
      <vt:lpstr>Novembre!Titre8</vt:lpstr>
      <vt:lpstr>Octobre!Titre8</vt:lpstr>
      <vt:lpstr>Septembre!Titre8</vt:lpstr>
      <vt:lpstr>Août!Titre9</vt:lpstr>
      <vt:lpstr>Avril!Titre9</vt:lpstr>
      <vt:lpstr>Décembre!Titre9</vt:lpstr>
      <vt:lpstr>Février!Titre9</vt:lpstr>
      <vt:lpstr>Juillet!Titre9</vt:lpstr>
      <vt:lpstr>Juin!Titre9</vt:lpstr>
      <vt:lpstr>Mai!Titre9</vt:lpstr>
      <vt:lpstr>Mars!Titre9</vt:lpstr>
      <vt:lpstr>Novembre!Titre9</vt:lpstr>
      <vt:lpstr>Octobre!Titre9</vt:lpstr>
      <vt:lpstr>Septembre!Titre9</vt:lpstr>
      <vt:lpstr>Août!TitreColonne13</vt:lpstr>
      <vt:lpstr>Avril!TitreColonne13</vt:lpstr>
      <vt:lpstr>Décembre!TitreColonne13</vt:lpstr>
      <vt:lpstr>Février!TitreColonne13</vt:lpstr>
      <vt:lpstr>Juillet!TitreColonne13</vt:lpstr>
      <vt:lpstr>Juin!TitreColonne13</vt:lpstr>
      <vt:lpstr>Mai!TitreColonne13</vt:lpstr>
      <vt:lpstr>Mars!TitreColonne13</vt:lpstr>
      <vt:lpstr>Novembre!TitreColonne13</vt:lpstr>
      <vt:lpstr>Octobre!TitreColonne13</vt:lpstr>
      <vt:lpstr>Septembre!TitreColonne13</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Charlotte Rogic</cp:lastModifiedBy>
  <dcterms:created xsi:type="dcterms:W3CDTF">2016-12-06T04:52:27Z</dcterms:created>
  <dcterms:modified xsi:type="dcterms:W3CDTF">2021-10-08T09:41:46Z</dcterms:modified>
</cp:coreProperties>
</file>