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Volumes/Charlotte/Documents_SRV/PROJETS MGI/2021-2022/"/>
    </mc:Choice>
  </mc:AlternateContent>
  <xr:revisionPtr revIDLastSave="0" documentId="13_ncr:1_{11E1722E-3020-734F-A62B-180444473D6B}" xr6:coauthVersionLast="36" xr6:coauthVersionMax="47" xr10:uidLastSave="{00000000-0000-0000-0000-000000000000}"/>
  <bookViews>
    <workbookView xWindow="1180" yWindow="1340" windowWidth="32300" windowHeight="18500" tabRatio="686" xr2:uid="{00000000-000D-0000-FFFF-FFFF00000000}"/>
  </bookViews>
  <sheets>
    <sheet name="Janvier" sheetId="4" r:id="rId1"/>
    <sheet name="Février" sheetId="29" r:id="rId2"/>
    <sheet name="Mars" sheetId="30" r:id="rId3"/>
    <sheet name="Avril" sheetId="31" r:id="rId4"/>
    <sheet name="Mai" sheetId="32" r:id="rId5"/>
    <sheet name="Juin" sheetId="33" r:id="rId6"/>
    <sheet name="Juillet" sheetId="34" r:id="rId7"/>
    <sheet name="Août" sheetId="35" r:id="rId8"/>
    <sheet name="Septembre" sheetId="36" r:id="rId9"/>
    <sheet name="Octobre" sheetId="37" r:id="rId10"/>
    <sheet name="Novembre" sheetId="38" r:id="rId11"/>
    <sheet name="Décembre" sheetId="39" r:id="rId12"/>
    <sheet name="Noms des employés" sheetId="16" r:id="rId13"/>
    <sheet name="Type d'absence" sheetId="27" r:id="rId14"/>
  </sheets>
  <definedNames>
    <definedName name="AnnéeCalendrier" localSheetId="7">Janvier!$AK$5</definedName>
    <definedName name="AnnéeCalendrier" localSheetId="3">Janvier!$AK$5</definedName>
    <definedName name="AnnéeCalendrier" localSheetId="11">Janvier!$AK$5</definedName>
    <definedName name="AnnéeCalendrier" localSheetId="1">Février!$AK$5</definedName>
    <definedName name="AnnéeCalendrier" localSheetId="6">Janvier!$AK$5</definedName>
    <definedName name="AnnéeCalendrier" localSheetId="5">Janvier!$AK$5</definedName>
    <definedName name="AnnéeCalendrier" localSheetId="4">Janvier!$AK$5</definedName>
    <definedName name="AnnéeCalendrier" localSheetId="2">Janvier!$AK$5</definedName>
    <definedName name="AnnéeCalendrier" localSheetId="10">Janvier!$AK$5</definedName>
    <definedName name="AnnéeCalendrier" localSheetId="9">Janvier!$AK$5</definedName>
    <definedName name="AnnéeCalendrier" localSheetId="8">Janvier!$AK$5</definedName>
    <definedName name="AnnéeCalendrier">Janvier!$AK$5</definedName>
    <definedName name="AnnéeCalendrier01">Janvier!$AK$5</definedName>
    <definedName name="CléAbsenceJustifiée">Janvier!$Z$3</definedName>
    <definedName name="CléCompteEpargneTemps">Janvier!$AD$3</definedName>
    <definedName name="CléCongé" localSheetId="7">Janvier!$C$3</definedName>
    <definedName name="CléCongé" localSheetId="3">Janvier!$C$3</definedName>
    <definedName name="CléCongé" localSheetId="11">Janvier!$C$3</definedName>
    <definedName name="CléCongé" localSheetId="1">Janvier!$C$3</definedName>
    <definedName name="CléCongé" localSheetId="6">Janvier!$C$3</definedName>
    <definedName name="CléCongé" localSheetId="5">Janvier!$C$3</definedName>
    <definedName name="CléCongé" localSheetId="4">Janvier!$C$3</definedName>
    <definedName name="CléCongé" localSheetId="2">Janvier!$C$3</definedName>
    <definedName name="CléCongé" localSheetId="10">Janvier!$C$3</definedName>
    <definedName name="CléCongé" localSheetId="9">Janvier!$C$3</definedName>
    <definedName name="CléCongé" localSheetId="8">Janvier!$C$3</definedName>
    <definedName name="CléCongé">Janvier!$C$3</definedName>
    <definedName name="CléCongéMalade">Janvier!$S$3</definedName>
    <definedName name="CléCongéSpécial">Janvier!$C$2</definedName>
    <definedName name="CléDemiCompteEpargneTemps">Janvier!$AD$2</definedName>
    <definedName name="CléDemiEnfantMalade">Janvier!$V$2</definedName>
    <definedName name="CléDemiRécupération">Janvier!$I$2</definedName>
    <definedName name="CléDemiRtt">Janvier!$F$2</definedName>
    <definedName name="CléEnfantMalade">Janvier!$V$3</definedName>
    <definedName name="CléFormation">Janvier!$M$3</definedName>
    <definedName name="CléMaladie" localSheetId="7">Janvier!#REF!</definedName>
    <definedName name="CléMaladie" localSheetId="3">Janvier!#REF!</definedName>
    <definedName name="CléMaladie" localSheetId="11">Janvier!#REF!</definedName>
    <definedName name="CléMaladie" localSheetId="1">Janvier!#REF!</definedName>
    <definedName name="CléMaladie" localSheetId="6">Janvier!#REF!</definedName>
    <definedName name="CléMaladie" localSheetId="5">Janvier!#REF!</definedName>
    <definedName name="CléMaladie" localSheetId="4">Janvier!#REF!</definedName>
    <definedName name="CléMaladie" localSheetId="2">Janvier!#REF!</definedName>
    <definedName name="CléMaladie" localSheetId="10">Janvier!#REF!</definedName>
    <definedName name="CléMaladie" localSheetId="9">Janvier!#REF!</definedName>
    <definedName name="CléMaladie" localSheetId="8">Janvier!#REF!</definedName>
    <definedName name="CléMaladie">Janvier!$S$3</definedName>
    <definedName name="CléNonTravaillé">Janvier!$Z$2</definedName>
    <definedName name="CléPrésenceExceptionnelle">Janvier!$P$2</definedName>
    <definedName name="CléRécupération">Janvier!$I$3</definedName>
    <definedName name="CléRTT">Janvier!$F$3</definedName>
    <definedName name="CléTélétravail">Janvier!$P$3</definedName>
    <definedName name="Enfant_malade">Juin!$AF$3</definedName>
    <definedName name="Entrez_l’année">Janvier!$AK$5</definedName>
    <definedName name="ÉtiquetteCléAbsenceJustifiée">Janvier!$AA$3</definedName>
    <definedName name="ÉtiquetteCléCongé">Janvier!$D$3</definedName>
    <definedName name="EtiquetteCléCongéMaladie">Janvier!$T$3</definedName>
    <definedName name="ÉtiquetteCléCongéSpécial">Janvier!$D$2</definedName>
    <definedName name="EtiquetteCléDemiCompteEpargneTemps">Janvier!$AE$2</definedName>
    <definedName name="ÉtiquetteCléDemiEnfantMalade">Janvier!$W$2</definedName>
    <definedName name="ÉtiquetteCléDemiRécupération">Janvier!$J$2</definedName>
    <definedName name="ÉtiquetteCléDemiRTT">Janvier!$G$2</definedName>
    <definedName name="ÉtiquetteCléEnfantMalade">Janvier!$W$3</definedName>
    <definedName name="EtiquetteCléEpargneTemps">Janvier!$AE$3</definedName>
    <definedName name="ÉtiquetteCléFormation">Janvier!$N$3</definedName>
    <definedName name="ÉtiquetteCléNontravaillé">Janvier!$AA$2</definedName>
    <definedName name="ÉtiquetteCléPrésenceExceptionnelle">Janvier!$Q$2</definedName>
    <definedName name="ÉtiquetteCléRécupération">Janvier!$J$3</definedName>
    <definedName name="ÉtiquetteCléRTT">Janvier!$G$3</definedName>
    <definedName name="EtiquetteCléTélétravail">Janvier!$Q$3</definedName>
    <definedName name="_xlnm.Print_Titles" localSheetId="7">Août!$5:$7</definedName>
    <definedName name="_xlnm.Print_Titles" localSheetId="3">Avril!$5:$7</definedName>
    <definedName name="_xlnm.Print_Titles" localSheetId="11">Décembre!$5:$7</definedName>
    <definedName name="_xlnm.Print_Titles" localSheetId="1">Février!$5:$7</definedName>
    <definedName name="_xlnm.Print_Titles" localSheetId="0">Janvier!$5:$7</definedName>
    <definedName name="_xlnm.Print_Titles" localSheetId="6">Juillet!$5:$7</definedName>
    <definedName name="_xlnm.Print_Titles" localSheetId="5">Juin!$5:$7</definedName>
    <definedName name="_xlnm.Print_Titles" localSheetId="4">Mai!$5:$7</definedName>
    <definedName name="_xlnm.Print_Titles" localSheetId="2">Mars!$5:$7</definedName>
    <definedName name="_xlnm.Print_Titles" localSheetId="10">Novembre!$5:$7</definedName>
    <definedName name="_xlnm.Print_Titles" localSheetId="9">Octobre!$5:$7</definedName>
    <definedName name="_xlnm.Print_Titles" localSheetId="8">Septembre!$5:$7</definedName>
    <definedName name="Nom_clé">Janvier!$B$3</definedName>
    <definedName name="NomMois" localSheetId="7">Août!$B$5</definedName>
    <definedName name="NomMois" localSheetId="3">Avril!$B$5</definedName>
    <definedName name="NomMois" localSheetId="11">Décembre!$B$5</definedName>
    <definedName name="NomMois" localSheetId="1">Février!$B$5</definedName>
    <definedName name="NomMois" localSheetId="0">Janvier!$B$5</definedName>
    <definedName name="NomMois" localSheetId="6">Juillet!$B$5</definedName>
    <definedName name="NomMois" localSheetId="5">Juin!$B$5</definedName>
    <definedName name="NomMois" localSheetId="4">Mai!$B$5</definedName>
    <definedName name="NomMois" localSheetId="2">Mars!$B$5</definedName>
    <definedName name="NomMois" localSheetId="10">Novembre!$B$5</definedName>
    <definedName name="NomMois" localSheetId="9">Octobre!$B$5</definedName>
    <definedName name="NomMois" localSheetId="8">Septembre!$B$5</definedName>
    <definedName name="Titre_Absence_Employé" localSheetId="7">Janvier!$B$1</definedName>
    <definedName name="Titre_Absence_Employé" localSheetId="3">Janvier!$B$1</definedName>
    <definedName name="Titre_Absence_Employé" localSheetId="11">Janvier!$B$1</definedName>
    <definedName name="Titre_Absence_Employé" localSheetId="1">Janvier!$B$1</definedName>
    <definedName name="Titre_Absence_Employé" localSheetId="6">Janvier!$B$1</definedName>
    <definedName name="Titre_Absence_Employé" localSheetId="5">Janvier!$B$1</definedName>
    <definedName name="Titre_Absence_Employé" localSheetId="4">Janvier!$B$1</definedName>
    <definedName name="Titre_Absence_Employé" localSheetId="2">Janvier!$B$1</definedName>
    <definedName name="Titre_Absence_Employé" localSheetId="10">Janvier!$B$1</definedName>
    <definedName name="Titre_Absence_Employé" localSheetId="9">Janvier!$B$1</definedName>
    <definedName name="Titre_Absence_Employé" localSheetId="8">Janvier!$B$1</definedName>
    <definedName name="Titre_Absence_Employé">Janvier!$B$1</definedName>
    <definedName name="Titre1" localSheetId="7">Janvier[[#Headers],[Nom de l’employé]]</definedName>
    <definedName name="Titre1" localSheetId="3">Janvier[[#Headers],[Nom de l’employé]]</definedName>
    <definedName name="Titre1" localSheetId="11">Janvier[[#Headers],[Nom de l’employé]]</definedName>
    <definedName name="Titre1" localSheetId="1">Janvier[[#Headers],[Nom de l’employé]]</definedName>
    <definedName name="Titre1" localSheetId="6">Janvier[[#Headers],[Nom de l’employé]]</definedName>
    <definedName name="Titre1" localSheetId="5">Janvier[[#Headers],[Nom de l’employé]]</definedName>
    <definedName name="Titre1" localSheetId="4">Janvier[[#Headers],[Nom de l’employé]]</definedName>
    <definedName name="Titre1" localSheetId="2">Janvier[[#Headers],[Nom de l’employé]]</definedName>
    <definedName name="Titre1" localSheetId="10">Janvier[[#Headers],[Nom de l’employé]]</definedName>
    <definedName name="Titre1" localSheetId="9">Janvier[[#Headers],[Nom de l’employé]]</definedName>
    <definedName name="Titre1" localSheetId="8">Janvier[[#Headers],[Nom de l’employé]]</definedName>
    <definedName name="Titre1">Janvier[[#Headers],[Nom de l’employé]]</definedName>
    <definedName name="Titre10" localSheetId="7">Octobre[[#Headers],[Nom de l’employé]]</definedName>
    <definedName name="Titre10" localSheetId="3">Octobre[[#Headers],[Nom de l’employé]]</definedName>
    <definedName name="Titre10" localSheetId="11">Octobre[[#Headers],[Nom de l’employé]]</definedName>
    <definedName name="Titre10" localSheetId="1">Octobre[[#Headers],[Nom de l’employé]]</definedName>
    <definedName name="Titre10" localSheetId="6">Octobre[[#Headers],[Nom de l’employé]]</definedName>
    <definedName name="Titre10" localSheetId="5">Octobre[[#Headers],[Nom de l’employé]]</definedName>
    <definedName name="Titre10" localSheetId="4">Octobre[[#Headers],[Nom de l’employé]]</definedName>
    <definedName name="Titre10" localSheetId="2">Octobre[[#Headers],[Nom de l’employé]]</definedName>
    <definedName name="Titre10" localSheetId="10">Octobre[[#Headers],[Nom de l’employé]]</definedName>
    <definedName name="Titre10" localSheetId="9">Octobre[[#Headers],[Nom de l’employé]]</definedName>
    <definedName name="Titre10" localSheetId="8">Octobre[[#Headers],[Nom de l’employé]]</definedName>
    <definedName name="Titre10">#REF!</definedName>
    <definedName name="Titre11" localSheetId="7">Novembre[[#Headers],[Nom de l’employé]]</definedName>
    <definedName name="Titre11" localSheetId="3">Novembre[[#Headers],[Nom de l’employé]]</definedName>
    <definedName name="Titre11" localSheetId="11">Novembre[[#Headers],[Nom de l’employé]]</definedName>
    <definedName name="Titre11" localSheetId="1">Novembre[[#Headers],[Nom de l’employé]]</definedName>
    <definedName name="Titre11" localSheetId="6">Novembre[[#Headers],[Nom de l’employé]]</definedName>
    <definedName name="Titre11" localSheetId="5">Novembre[[#Headers],[Nom de l’employé]]</definedName>
    <definedName name="Titre11" localSheetId="4">Novembre[[#Headers],[Nom de l’employé]]</definedName>
    <definedName name="Titre11" localSheetId="2">Novembre[[#Headers],[Nom de l’employé]]</definedName>
    <definedName name="Titre11" localSheetId="10">Novembre[[#Headers],[Nom de l’employé]]</definedName>
    <definedName name="Titre11" localSheetId="9">Novembre[[#Headers],[Nom de l’employé]]</definedName>
    <definedName name="Titre11" localSheetId="8">Novembre[[#Headers],[Nom de l’employé]]</definedName>
    <definedName name="Titre11">#REF!</definedName>
    <definedName name="Titre12" localSheetId="7">Décembre[[#Headers],[Nom de l’employé]]</definedName>
    <definedName name="Titre12" localSheetId="3">Décembre[[#Headers],[Nom de l’employé]]</definedName>
    <definedName name="Titre12" localSheetId="11">Décembre[[#Headers],[Nom de l’employé]]</definedName>
    <definedName name="Titre12" localSheetId="1">Décembre[[#Headers],[Nom de l’employé]]</definedName>
    <definedName name="Titre12" localSheetId="6">Décembre[[#Headers],[Nom de l’employé]]</definedName>
    <definedName name="Titre12" localSheetId="5">Décembre[[#Headers],[Nom de l’employé]]</definedName>
    <definedName name="Titre12" localSheetId="4">Décembre[[#Headers],[Nom de l’employé]]</definedName>
    <definedName name="Titre12" localSheetId="2">Décembre[[#Headers],[Nom de l’employé]]</definedName>
    <definedName name="Titre12" localSheetId="10">Décembre[[#Headers],[Nom de l’employé]]</definedName>
    <definedName name="Titre12" localSheetId="9">Décembre[[#Headers],[Nom de l’employé]]</definedName>
    <definedName name="Titre12" localSheetId="8">Décembre[[#Headers],[Nom de l’employé]]</definedName>
    <definedName name="Titre12">#REF!</definedName>
    <definedName name="Titre2" localSheetId="7">Février[[#Headers],[Nom de l’employé]]</definedName>
    <definedName name="Titre2" localSheetId="3">Février[[#Headers],[Nom de l’employé]]</definedName>
    <definedName name="Titre2" localSheetId="11">Février[[#Headers],[Nom de l’employé]]</definedName>
    <definedName name="Titre2" localSheetId="1">Février[[#Headers],[Nom de l’employé]]</definedName>
    <definedName name="Titre2" localSheetId="6">Février[[#Headers],[Nom de l’employé]]</definedName>
    <definedName name="Titre2" localSheetId="5">Février[[#Headers],[Nom de l’employé]]</definedName>
    <definedName name="Titre2" localSheetId="4">Février[[#Headers],[Nom de l’employé]]</definedName>
    <definedName name="Titre2" localSheetId="2">Février[[#Headers],[Nom de l’employé]]</definedName>
    <definedName name="Titre2" localSheetId="10">Février[[#Headers],[Nom de l’employé]]</definedName>
    <definedName name="Titre2" localSheetId="9">Février[[#Headers],[Nom de l’employé]]</definedName>
    <definedName name="Titre2" localSheetId="8">Février[[#Headers],[Nom de l’employé]]</definedName>
    <definedName name="Titre2">#REF!</definedName>
    <definedName name="Titre3" localSheetId="7">Mars[[#Headers],[Nom de l’employé]]</definedName>
    <definedName name="Titre3" localSheetId="3">Mars[[#Headers],[Nom de l’employé]]</definedName>
    <definedName name="Titre3" localSheetId="11">Mars[[#Headers],[Nom de l’employé]]</definedName>
    <definedName name="Titre3" localSheetId="1">Mars[[#Headers],[Nom de l’employé]]</definedName>
    <definedName name="Titre3" localSheetId="6">Mars[[#Headers],[Nom de l’employé]]</definedName>
    <definedName name="Titre3" localSheetId="5">Mars[[#Headers],[Nom de l’employé]]</definedName>
    <definedName name="Titre3" localSheetId="4">Mars[[#Headers],[Nom de l’employé]]</definedName>
    <definedName name="Titre3" localSheetId="2">Mars[[#Headers],[Nom de l’employé]]</definedName>
    <definedName name="Titre3" localSheetId="10">Mars[[#Headers],[Nom de l’employé]]</definedName>
    <definedName name="Titre3" localSheetId="9">Mars[[#Headers],[Nom de l’employé]]</definedName>
    <definedName name="Titre3" localSheetId="8">Mars[[#Headers],[Nom de l’employé]]</definedName>
    <definedName name="Titre3">#REF!</definedName>
    <definedName name="Titre4" localSheetId="7">Avril[[#Headers],[Nom de l’employé]]</definedName>
    <definedName name="Titre4" localSheetId="3">Avril[[#Headers],[Nom de l’employé]]</definedName>
    <definedName name="Titre4" localSheetId="11">Avril[[#Headers],[Nom de l’employé]]</definedName>
    <definedName name="Titre4" localSheetId="1">Avril[[#Headers],[Nom de l’employé]]</definedName>
    <definedName name="Titre4" localSheetId="6">Avril[[#Headers],[Nom de l’employé]]</definedName>
    <definedName name="Titre4" localSheetId="5">Avril[[#Headers],[Nom de l’employé]]</definedName>
    <definedName name="Titre4" localSheetId="4">Avril[[#Headers],[Nom de l’employé]]</definedName>
    <definedName name="Titre4" localSheetId="2">Avril[[#Headers],[Nom de l’employé]]</definedName>
    <definedName name="Titre4" localSheetId="10">Avril[[#Headers],[Nom de l’employé]]</definedName>
    <definedName name="Titre4" localSheetId="9">Avril[[#Headers],[Nom de l’employé]]</definedName>
    <definedName name="Titre4" localSheetId="8">Avril[[#Headers],[Nom de l’employé]]</definedName>
    <definedName name="Titre4">#REF!</definedName>
    <definedName name="Titre5" localSheetId="7">Mai[[#Headers],[Nom de l’employé]]</definedName>
    <definedName name="Titre5" localSheetId="3">Mai[[#Headers],[Nom de l’employé]]</definedName>
    <definedName name="Titre5" localSheetId="11">Mai[[#Headers],[Nom de l’employé]]</definedName>
    <definedName name="Titre5" localSheetId="1">Mai[[#Headers],[Nom de l’employé]]</definedName>
    <definedName name="Titre5" localSheetId="6">Mai[[#Headers],[Nom de l’employé]]</definedName>
    <definedName name="Titre5" localSheetId="5">Mai[[#Headers],[Nom de l’employé]]</definedName>
    <definedName name="Titre5" localSheetId="4">Mai[[#Headers],[Nom de l’employé]]</definedName>
    <definedName name="Titre5" localSheetId="2">Mai[[#Headers],[Nom de l’employé]]</definedName>
    <definedName name="Titre5" localSheetId="10">Mai[[#Headers],[Nom de l’employé]]</definedName>
    <definedName name="Titre5" localSheetId="9">Mai[[#Headers],[Nom de l’employé]]</definedName>
    <definedName name="Titre5" localSheetId="8">Mai[[#Headers],[Nom de l’employé]]</definedName>
    <definedName name="Titre5">#REF!</definedName>
    <definedName name="Titre6" localSheetId="7">Juin[[#Headers],[Nom de l’employé]]</definedName>
    <definedName name="Titre6" localSheetId="3">Juin[[#Headers],[Nom de l’employé]]</definedName>
    <definedName name="Titre6" localSheetId="11">Juin[[#Headers],[Nom de l’employé]]</definedName>
    <definedName name="Titre6" localSheetId="1">Juin[[#Headers],[Nom de l’employé]]</definedName>
    <definedName name="Titre6" localSheetId="6">Juin[[#Headers],[Nom de l’employé]]</definedName>
    <definedName name="Titre6" localSheetId="5">Juin[[#Headers],[Nom de l’employé]]</definedName>
    <definedName name="Titre6" localSheetId="4">Juin[[#Headers],[Nom de l’employé]]</definedName>
    <definedName name="Titre6" localSheetId="2">Juin[[#Headers],[Nom de l’employé]]</definedName>
    <definedName name="Titre6" localSheetId="10">Juin[[#Headers],[Nom de l’employé]]</definedName>
    <definedName name="Titre6" localSheetId="9">Juin[[#Headers],[Nom de l’employé]]</definedName>
    <definedName name="Titre6" localSheetId="8">Juin[[#Headers],[Nom de l’employé]]</definedName>
    <definedName name="Titre6">#REF!</definedName>
    <definedName name="Titre7" localSheetId="7">Juillet[[#Headers],[Nom de l’employé]]</definedName>
    <definedName name="Titre7" localSheetId="3">Juillet[[#Headers],[Nom de l’employé]]</definedName>
    <definedName name="Titre7" localSheetId="11">Juillet[[#Headers],[Nom de l’employé]]</definedName>
    <definedName name="Titre7" localSheetId="1">Juillet[[#Headers],[Nom de l’employé]]</definedName>
    <definedName name="Titre7" localSheetId="6">Juillet[[#Headers],[Nom de l’employé]]</definedName>
    <definedName name="Titre7" localSheetId="5">Juillet[[#Headers],[Nom de l’employé]]</definedName>
    <definedName name="Titre7" localSheetId="4">Juillet[[#Headers],[Nom de l’employé]]</definedName>
    <definedName name="Titre7" localSheetId="2">Juillet[[#Headers],[Nom de l’employé]]</definedName>
    <definedName name="Titre7" localSheetId="10">Juillet[[#Headers],[Nom de l’employé]]</definedName>
    <definedName name="Titre7" localSheetId="9">Juillet[[#Headers],[Nom de l’employé]]</definedName>
    <definedName name="Titre7" localSheetId="8">Juillet[[#Headers],[Nom de l’employé]]</definedName>
    <definedName name="Titre7">#REF!</definedName>
    <definedName name="Titre8" localSheetId="7">Août[[#Headers],[Nom de l’employé]]</definedName>
    <definedName name="Titre8" localSheetId="3">Août[[#Headers],[Nom de l’employé]]</definedName>
    <definedName name="Titre8" localSheetId="11">Août[[#Headers],[Nom de l’employé]]</definedName>
    <definedName name="Titre8" localSheetId="1">Août[[#Headers],[Nom de l’employé]]</definedName>
    <definedName name="Titre8" localSheetId="6">Août[[#Headers],[Nom de l’employé]]</definedName>
    <definedName name="Titre8" localSheetId="5">Août[[#Headers],[Nom de l’employé]]</definedName>
    <definedName name="Titre8" localSheetId="4">Août[[#Headers],[Nom de l’employé]]</definedName>
    <definedName name="Titre8" localSheetId="2">Août[[#Headers],[Nom de l’employé]]</definedName>
    <definedName name="Titre8" localSheetId="10">Août[[#Headers],[Nom de l’employé]]</definedName>
    <definedName name="Titre8" localSheetId="9">Août[[#Headers],[Nom de l’employé]]</definedName>
    <definedName name="Titre8" localSheetId="8">Août[[#Headers],[Nom de l’employé]]</definedName>
    <definedName name="Titre8">#REF!</definedName>
    <definedName name="Titre9" localSheetId="7">Septembre[[#Headers],[Nom de l’employé]]</definedName>
    <definedName name="Titre9" localSheetId="3">Septembre[[#Headers],[Nom de l’employé]]</definedName>
    <definedName name="Titre9" localSheetId="11">Septembre[[#Headers],[Nom de l’employé]]</definedName>
    <definedName name="Titre9" localSheetId="1">Septembre[[#Headers],[Nom de l’employé]]</definedName>
    <definedName name="Titre9" localSheetId="6">Septembre[[#Headers],[Nom de l’employé]]</definedName>
    <definedName name="Titre9" localSheetId="5">Septembre[[#Headers],[Nom de l’employé]]</definedName>
    <definedName name="Titre9" localSheetId="4">Septembre[[#Headers],[Nom de l’employé]]</definedName>
    <definedName name="Titre9" localSheetId="2">Septembre[[#Headers],[Nom de l’employé]]</definedName>
    <definedName name="Titre9" localSheetId="10">Septembre[[#Headers],[Nom de l’employé]]</definedName>
    <definedName name="Titre9" localSheetId="9">Septembre[[#Headers],[Nom de l’employé]]</definedName>
    <definedName name="Titre9" localSheetId="8">Septembre[[#Headers],[Nom de l’employé]]</definedName>
    <definedName name="Titre9">#REF!</definedName>
    <definedName name="TitreColonne13" localSheetId="7">NomEmployé[[#Headers],[Noms des employés]]</definedName>
    <definedName name="TitreColonne13" localSheetId="3">NomEmployé[[#Headers],[Noms des employés]]</definedName>
    <definedName name="TitreColonne13" localSheetId="11">NomEmployé[[#Headers],[Noms des employés]]</definedName>
    <definedName name="TitreColonne13" localSheetId="1">NomEmployé[[#Headers],[Noms des employés]]</definedName>
    <definedName name="TitreColonne13" localSheetId="6">NomEmployé[[#Headers],[Noms des employés]]</definedName>
    <definedName name="TitreColonne13" localSheetId="5">NomEmployé[[#Headers],[Noms des employés]]</definedName>
    <definedName name="TitreColonne13" localSheetId="4">NomEmployé[[#Headers],[Noms des employés]]</definedName>
    <definedName name="TitreColonne13" localSheetId="2">NomEmployé[[#Headers],[Noms des employés]]</definedName>
    <definedName name="TitreColonne13" localSheetId="10">NomEmployé[[#Headers],[Noms des employés]]</definedName>
    <definedName name="TitreColonne13" localSheetId="9">NomEmployé[[#Headers],[Noms des employés]]</definedName>
    <definedName name="TitreColonne13" localSheetId="8">NomEmployé[[#Headers],[Noms des employés]]</definedName>
    <definedName name="TitreColonne13">NomEmployé[[#Headers],[Noms des employés]]</definedName>
  </definedNames>
  <calcPr calcId="181029" concurrentCalc="0"/>
</workbook>
</file>

<file path=xl/calcChain.xml><?xml version="1.0" encoding="utf-8"?>
<calcChain xmlns="http://schemas.openxmlformats.org/spreadsheetml/2006/main">
  <c r="B1" i="39" l="1"/>
  <c r="B1" i="38"/>
  <c r="B1" i="37"/>
  <c r="B1" i="36"/>
  <c r="B1" i="35"/>
  <c r="B1" i="34"/>
  <c r="B1" i="33"/>
  <c r="B1" i="32"/>
  <c r="B1" i="31"/>
  <c r="B22" i="37"/>
  <c r="C22" i="37"/>
  <c r="D22" i="37"/>
  <c r="E22" i="37"/>
  <c r="F22" i="37"/>
  <c r="G22" i="37"/>
  <c r="H22" i="37"/>
  <c r="I22" i="37"/>
  <c r="J22" i="37"/>
  <c r="K22" i="37"/>
  <c r="L22" i="37"/>
  <c r="M22" i="37"/>
  <c r="N22" i="37"/>
  <c r="O22" i="37"/>
  <c r="P22" i="37"/>
  <c r="Q22" i="37"/>
  <c r="R22" i="37"/>
  <c r="S22" i="37"/>
  <c r="T22" i="37"/>
  <c r="U22" i="37"/>
  <c r="V22" i="37"/>
  <c r="W22" i="37"/>
  <c r="X22" i="37"/>
  <c r="Y22" i="37"/>
  <c r="Z22" i="37"/>
  <c r="AA22" i="37"/>
  <c r="AB22" i="37"/>
  <c r="AC22" i="37"/>
  <c r="AD22" i="37"/>
  <c r="AE22" i="37"/>
  <c r="AF22" i="37"/>
  <c r="AG22" i="37"/>
  <c r="AH8" i="37"/>
  <c r="AH9" i="37"/>
  <c r="AH10" i="37"/>
  <c r="AH11" i="37"/>
  <c r="AH12" i="37"/>
  <c r="AH13" i="37"/>
  <c r="AH14" i="37"/>
  <c r="AH15" i="37"/>
  <c r="AH16" i="37"/>
  <c r="AH17" i="37"/>
  <c r="AH18" i="37"/>
  <c r="AH19" i="37"/>
  <c r="AH20" i="37"/>
  <c r="AH21" i="37"/>
  <c r="AH22" i="37"/>
  <c r="AI8" i="37"/>
  <c r="AI9" i="37"/>
  <c r="AI10" i="37"/>
  <c r="AI11" i="37"/>
  <c r="AI12" i="37"/>
  <c r="AI13" i="37"/>
  <c r="AI14" i="37"/>
  <c r="AI15" i="37"/>
  <c r="AI16" i="37"/>
  <c r="AI17" i="37"/>
  <c r="AI18" i="37"/>
  <c r="AI19" i="37"/>
  <c r="AI20" i="37"/>
  <c r="AI21" i="37"/>
  <c r="AI22" i="37"/>
  <c r="AJ8" i="37"/>
  <c r="AJ9" i="37"/>
  <c r="AJ10" i="37"/>
  <c r="AJ11" i="37"/>
  <c r="AJ12" i="37"/>
  <c r="AJ13" i="37"/>
  <c r="AJ14" i="37"/>
  <c r="AJ15" i="37"/>
  <c r="AJ16" i="37"/>
  <c r="AJ17" i="37"/>
  <c r="AJ18" i="37"/>
  <c r="AJ19" i="37"/>
  <c r="AJ20" i="37"/>
  <c r="AJ21" i="37"/>
  <c r="AJ22" i="37"/>
  <c r="AJ21" i="39"/>
  <c r="AJ20" i="39"/>
  <c r="AJ19" i="39"/>
  <c r="AJ21" i="38"/>
  <c r="AJ20" i="38"/>
  <c r="AJ19" i="38"/>
  <c r="AH19" i="39"/>
  <c r="AH20" i="39"/>
  <c r="AH21" i="39"/>
  <c r="AI19" i="39"/>
  <c r="AI20" i="39"/>
  <c r="AI21" i="39"/>
  <c r="C22" i="39"/>
  <c r="D22" i="39"/>
  <c r="E22" i="39"/>
  <c r="F22" i="39"/>
  <c r="G22" i="39"/>
  <c r="H22" i="39"/>
  <c r="I22" i="39"/>
  <c r="J22" i="39"/>
  <c r="K22" i="39"/>
  <c r="L22" i="39"/>
  <c r="M22" i="39"/>
  <c r="N22" i="39"/>
  <c r="O22" i="39"/>
  <c r="P22" i="39"/>
  <c r="Q22" i="39"/>
  <c r="R22" i="39"/>
  <c r="S22" i="39"/>
  <c r="T22" i="39"/>
  <c r="U22" i="39"/>
  <c r="V22" i="39"/>
  <c r="W22" i="39"/>
  <c r="X22" i="39"/>
  <c r="Y22" i="39"/>
  <c r="Z22" i="39"/>
  <c r="AA22" i="39"/>
  <c r="AB22" i="39"/>
  <c r="AC22" i="39"/>
  <c r="AD22" i="39"/>
  <c r="AE22" i="39"/>
  <c r="AF22" i="39"/>
  <c r="AG22" i="39"/>
  <c r="AH19" i="38"/>
  <c r="AH20" i="38"/>
  <c r="AH21" i="38"/>
  <c r="AI19" i="38"/>
  <c r="AI20" i="38"/>
  <c r="AI21" i="38"/>
  <c r="C22" i="38"/>
  <c r="D22" i="38"/>
  <c r="E22" i="38"/>
  <c r="F22" i="38"/>
  <c r="G22" i="38"/>
  <c r="H22" i="38"/>
  <c r="I22" i="38"/>
  <c r="J22" i="38"/>
  <c r="K22" i="38"/>
  <c r="L22" i="38"/>
  <c r="M22" i="38"/>
  <c r="N22" i="38"/>
  <c r="O22" i="38"/>
  <c r="P22" i="38"/>
  <c r="Q22" i="38"/>
  <c r="R22" i="38"/>
  <c r="S22" i="38"/>
  <c r="T22" i="38"/>
  <c r="U22" i="38"/>
  <c r="V22" i="38"/>
  <c r="W22" i="38"/>
  <c r="X22" i="38"/>
  <c r="Y22" i="38"/>
  <c r="Z22" i="38"/>
  <c r="AA22" i="38"/>
  <c r="AB22" i="38"/>
  <c r="AC22" i="38"/>
  <c r="AD22" i="38"/>
  <c r="AE22" i="38"/>
  <c r="AF22" i="38"/>
  <c r="AG22" i="38"/>
  <c r="AK5" i="29"/>
  <c r="AK5" i="33"/>
  <c r="AK5" i="34"/>
  <c r="AK5" i="35"/>
  <c r="AK5" i="36"/>
  <c r="AK5" i="37"/>
  <c r="AK5" i="38"/>
  <c r="AK5" i="39"/>
  <c r="AK5" i="30"/>
  <c r="AK5" i="32"/>
  <c r="AK5" i="31"/>
  <c r="C19" i="29"/>
  <c r="D19" i="29"/>
  <c r="E19" i="29"/>
  <c r="F19" i="29"/>
  <c r="G19" i="29"/>
  <c r="H19" i="29"/>
  <c r="I19" i="29"/>
  <c r="J19" i="29"/>
  <c r="K19" i="29"/>
  <c r="L19" i="29"/>
  <c r="M19" i="29"/>
  <c r="N19" i="29"/>
  <c r="O19" i="29"/>
  <c r="P19" i="29"/>
  <c r="Q19" i="29"/>
  <c r="R19" i="29"/>
  <c r="S19" i="29"/>
  <c r="T19" i="29"/>
  <c r="U19" i="29"/>
  <c r="V19" i="29"/>
  <c r="W19" i="29"/>
  <c r="X19" i="29"/>
  <c r="Y19" i="29"/>
  <c r="Z19" i="29"/>
  <c r="AA19" i="29"/>
  <c r="AB19" i="29"/>
  <c r="AC19" i="29"/>
  <c r="AD19" i="29"/>
  <c r="AE19" i="29"/>
  <c r="AF19" i="29"/>
  <c r="AG19" i="29"/>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AG19" i="4"/>
  <c r="C19" i="33"/>
  <c r="D19" i="33"/>
  <c r="E19" i="33"/>
  <c r="F19" i="33"/>
  <c r="G19" i="33"/>
  <c r="H19" i="33"/>
  <c r="I19" i="33"/>
  <c r="J19" i="33"/>
  <c r="K19" i="33"/>
  <c r="L19" i="33"/>
  <c r="M19" i="33"/>
  <c r="N19" i="33"/>
  <c r="O19" i="33"/>
  <c r="P19" i="33"/>
  <c r="Q19" i="33"/>
  <c r="R19" i="33"/>
  <c r="S19" i="33"/>
  <c r="T19" i="33"/>
  <c r="U19" i="33"/>
  <c r="V19" i="33"/>
  <c r="W19" i="33"/>
  <c r="X19" i="33"/>
  <c r="Y19" i="33"/>
  <c r="Z19" i="33"/>
  <c r="AA19" i="33"/>
  <c r="AB19" i="33"/>
  <c r="AC19" i="33"/>
  <c r="AD19" i="33"/>
  <c r="AE19" i="33"/>
  <c r="AF19" i="33"/>
  <c r="AG19" i="33"/>
  <c r="C19" i="35"/>
  <c r="D19" i="35"/>
  <c r="E19" i="35"/>
  <c r="F19" i="35"/>
  <c r="G19" i="35"/>
  <c r="H19" i="35"/>
  <c r="I19" i="35"/>
  <c r="J19" i="35"/>
  <c r="K19" i="35"/>
  <c r="L19" i="35"/>
  <c r="M19" i="35"/>
  <c r="N19" i="35"/>
  <c r="O19" i="35"/>
  <c r="P19" i="35"/>
  <c r="Q19" i="35"/>
  <c r="R19" i="35"/>
  <c r="S19" i="35"/>
  <c r="T19" i="35"/>
  <c r="U19" i="35"/>
  <c r="V19" i="35"/>
  <c r="W19" i="35"/>
  <c r="X19" i="35"/>
  <c r="Y19" i="35"/>
  <c r="Z19" i="35"/>
  <c r="AA19" i="35"/>
  <c r="AB19" i="35"/>
  <c r="AC19" i="35"/>
  <c r="AD19" i="35"/>
  <c r="AE19" i="35"/>
  <c r="AF19" i="35"/>
  <c r="AG19" i="35"/>
  <c r="AI9" i="29"/>
  <c r="AI9" i="4"/>
  <c r="AK9" i="4"/>
  <c r="AK9" i="29"/>
  <c r="AI9" i="30"/>
  <c r="AK9" i="30"/>
  <c r="AI9" i="31"/>
  <c r="AK9" i="31"/>
  <c r="AI9" i="32"/>
  <c r="AK9" i="32"/>
  <c r="AI9" i="33"/>
  <c r="AK9" i="33"/>
  <c r="AI9" i="34"/>
  <c r="AK9" i="34"/>
  <c r="AI9" i="35"/>
  <c r="AK9" i="35"/>
  <c r="AI10" i="29"/>
  <c r="AI10" i="4"/>
  <c r="AK10" i="4"/>
  <c r="AK10" i="29"/>
  <c r="AI10" i="30"/>
  <c r="AK10" i="30"/>
  <c r="AI10" i="31"/>
  <c r="AK10" i="31"/>
  <c r="AI10" i="32"/>
  <c r="AK10" i="32"/>
  <c r="AI10" i="33"/>
  <c r="AK10" i="33"/>
  <c r="AI10" i="34"/>
  <c r="AK10" i="34"/>
  <c r="AI10" i="35"/>
  <c r="AK10" i="35"/>
  <c r="AI13" i="29"/>
  <c r="AI13" i="4"/>
  <c r="AK13" i="4"/>
  <c r="AK13" i="29"/>
  <c r="AI13" i="30"/>
  <c r="AK13" i="30"/>
  <c r="AI13" i="31"/>
  <c r="AK13" i="31"/>
  <c r="AI13" i="32"/>
  <c r="AK13" i="32"/>
  <c r="AI13" i="33"/>
  <c r="AK13" i="33"/>
  <c r="AI13" i="34"/>
  <c r="AK13" i="34"/>
  <c r="AI13" i="35"/>
  <c r="AK13" i="35"/>
  <c r="AI14" i="29"/>
  <c r="AI14" i="4"/>
  <c r="AK14" i="4"/>
  <c r="AK14" i="29"/>
  <c r="AI14" i="30"/>
  <c r="AK14" i="30"/>
  <c r="AI14" i="31"/>
  <c r="AK14" i="31"/>
  <c r="AI14" i="32"/>
  <c r="AK14" i="32"/>
  <c r="AI14" i="33"/>
  <c r="AK14" i="33"/>
  <c r="AI14" i="34"/>
  <c r="AK14" i="34"/>
  <c r="AI14" i="35"/>
  <c r="AK14" i="35"/>
  <c r="AI15" i="29"/>
  <c r="AI15" i="4"/>
  <c r="AK15" i="4"/>
  <c r="AK15" i="29"/>
  <c r="AI15" i="30"/>
  <c r="AK15" i="30"/>
  <c r="AI15" i="31"/>
  <c r="AK15" i="31"/>
  <c r="AI15" i="32"/>
  <c r="AK15" i="32"/>
  <c r="AI15" i="33"/>
  <c r="AK15" i="33"/>
  <c r="AI15" i="34"/>
  <c r="AK15" i="34"/>
  <c r="AI15" i="35"/>
  <c r="AK15" i="35"/>
  <c r="AI16" i="29"/>
  <c r="AI16" i="4"/>
  <c r="AK16" i="4"/>
  <c r="AK16" i="29"/>
  <c r="AI16" i="30"/>
  <c r="AK16" i="30"/>
  <c r="AI16" i="31"/>
  <c r="AK16" i="31"/>
  <c r="AI16" i="32"/>
  <c r="AK16" i="32"/>
  <c r="AI16" i="33"/>
  <c r="AK16" i="33"/>
  <c r="AI16" i="34"/>
  <c r="AK16" i="34"/>
  <c r="AI16" i="35"/>
  <c r="AK16" i="35"/>
  <c r="AI17" i="29"/>
  <c r="AI17" i="4"/>
  <c r="AK17" i="4"/>
  <c r="AK17" i="29"/>
  <c r="AI17" i="30"/>
  <c r="AK17" i="30"/>
  <c r="AI17" i="31"/>
  <c r="AK17" i="31"/>
  <c r="AI17" i="32"/>
  <c r="AK17" i="32"/>
  <c r="AI17" i="33"/>
  <c r="AK17" i="33"/>
  <c r="AI17" i="34"/>
  <c r="AK17" i="34"/>
  <c r="AI17" i="35"/>
  <c r="AK17" i="35"/>
  <c r="AI18" i="29"/>
  <c r="AI18" i="4"/>
  <c r="AK18" i="4"/>
  <c r="AK18" i="29"/>
  <c r="AI18" i="30"/>
  <c r="AK18" i="30"/>
  <c r="AI18" i="31"/>
  <c r="AK18" i="31"/>
  <c r="AI18" i="32"/>
  <c r="AK18" i="32"/>
  <c r="AI18" i="33"/>
  <c r="AK18" i="33"/>
  <c r="AI18" i="34"/>
  <c r="AK18" i="34"/>
  <c r="AI18" i="35"/>
  <c r="AK18" i="35"/>
  <c r="AH8" i="35"/>
  <c r="AH9" i="35"/>
  <c r="AH10" i="35"/>
  <c r="AH11" i="35"/>
  <c r="AH12" i="35"/>
  <c r="AH13" i="35"/>
  <c r="AH14" i="35"/>
  <c r="AH15" i="35"/>
  <c r="AH16" i="35"/>
  <c r="AH17" i="35"/>
  <c r="AH18" i="35"/>
  <c r="AH19" i="35"/>
  <c r="AI8" i="35"/>
  <c r="AI11" i="35"/>
  <c r="AI12" i="35"/>
  <c r="AI19" i="35"/>
  <c r="AJ8" i="35"/>
  <c r="AJ9" i="35"/>
  <c r="AJ10" i="35"/>
  <c r="AJ11" i="35"/>
  <c r="AJ12" i="35"/>
  <c r="AJ13" i="35"/>
  <c r="AJ14" i="35"/>
  <c r="AJ15" i="35"/>
  <c r="AJ16" i="35"/>
  <c r="AJ17" i="35"/>
  <c r="AJ18" i="35"/>
  <c r="AJ19" i="35"/>
  <c r="AH8" i="34"/>
  <c r="AH9" i="34"/>
  <c r="AH10" i="34"/>
  <c r="AH11" i="34"/>
  <c r="AH12" i="34"/>
  <c r="AH13" i="34"/>
  <c r="AH14" i="34"/>
  <c r="AH15" i="34"/>
  <c r="AH16" i="34"/>
  <c r="AH17" i="34"/>
  <c r="AH18" i="34"/>
  <c r="AH19" i="34"/>
  <c r="AI8" i="34"/>
  <c r="AI11" i="34"/>
  <c r="AI12" i="34"/>
  <c r="AI19" i="34"/>
  <c r="AJ8" i="34"/>
  <c r="AJ9" i="34"/>
  <c r="AJ10" i="34"/>
  <c r="AJ11" i="34"/>
  <c r="AJ12" i="34"/>
  <c r="AJ13" i="34"/>
  <c r="AJ14" i="34"/>
  <c r="AJ15" i="34"/>
  <c r="AJ16" i="34"/>
  <c r="AJ17" i="34"/>
  <c r="AJ18" i="34"/>
  <c r="AJ19" i="34"/>
  <c r="AJ8" i="39"/>
  <c r="AJ9" i="39"/>
  <c r="AJ10" i="39"/>
  <c r="AJ11" i="39"/>
  <c r="AJ12" i="39"/>
  <c r="AJ13" i="39"/>
  <c r="AJ14" i="39"/>
  <c r="AJ15" i="39"/>
  <c r="AJ16" i="39"/>
  <c r="AJ17" i="39"/>
  <c r="AJ18" i="39"/>
  <c r="AJ22" i="39"/>
  <c r="AJ8" i="38"/>
  <c r="AJ9" i="38"/>
  <c r="AJ10" i="38"/>
  <c r="AJ11" i="38"/>
  <c r="AJ12" i="38"/>
  <c r="AJ13" i="38"/>
  <c r="AJ14" i="38"/>
  <c r="AJ15" i="38"/>
  <c r="AJ16" i="38"/>
  <c r="AJ17" i="38"/>
  <c r="AJ18" i="38"/>
  <c r="AJ22" i="38"/>
  <c r="AJ8" i="36"/>
  <c r="AJ9" i="36"/>
  <c r="AJ10" i="36"/>
  <c r="AJ11" i="36"/>
  <c r="AJ12" i="36"/>
  <c r="AJ13" i="36"/>
  <c r="AJ14" i="36"/>
  <c r="AJ15" i="36"/>
  <c r="AJ16" i="36"/>
  <c r="AJ17" i="36"/>
  <c r="AJ18" i="36"/>
  <c r="AJ19" i="36"/>
  <c r="AH8" i="36"/>
  <c r="AH9" i="36"/>
  <c r="AH10" i="36"/>
  <c r="AH11" i="36"/>
  <c r="AH12" i="36"/>
  <c r="AH13" i="36"/>
  <c r="AH14" i="36"/>
  <c r="AH15" i="36"/>
  <c r="AH16" i="36"/>
  <c r="AH17" i="36"/>
  <c r="AH18" i="36"/>
  <c r="AH19" i="36"/>
  <c r="AI8" i="36"/>
  <c r="AI9" i="36"/>
  <c r="AI10" i="36"/>
  <c r="AI11" i="36"/>
  <c r="AI12" i="36"/>
  <c r="AI13" i="36"/>
  <c r="AI14" i="36"/>
  <c r="AI15" i="36"/>
  <c r="AI16" i="36"/>
  <c r="AI17" i="36"/>
  <c r="AI18" i="36"/>
  <c r="AI19" i="36"/>
  <c r="AJ8" i="33"/>
  <c r="AJ9" i="33"/>
  <c r="AJ10" i="33"/>
  <c r="AJ11" i="33"/>
  <c r="AJ12" i="33"/>
  <c r="AJ13" i="33"/>
  <c r="AJ14" i="33"/>
  <c r="AJ15" i="33"/>
  <c r="AJ16" i="33"/>
  <c r="AJ17" i="33"/>
  <c r="AJ18" i="33"/>
  <c r="AJ19" i="33"/>
  <c r="AJ8" i="32"/>
  <c r="AJ9" i="32"/>
  <c r="AJ10" i="32"/>
  <c r="AJ11" i="32"/>
  <c r="AJ12" i="32"/>
  <c r="AJ13" i="32"/>
  <c r="AJ14" i="32"/>
  <c r="AJ15" i="32"/>
  <c r="AJ16" i="32"/>
  <c r="AJ17" i="32"/>
  <c r="AJ18" i="32"/>
  <c r="AJ19" i="32"/>
  <c r="AJ8" i="29"/>
  <c r="AJ9" i="29"/>
  <c r="AJ10" i="29"/>
  <c r="AJ11" i="29"/>
  <c r="AJ12" i="29"/>
  <c r="AJ13" i="29"/>
  <c r="AJ14" i="29"/>
  <c r="AJ15" i="29"/>
  <c r="AJ16" i="29"/>
  <c r="AJ17" i="29"/>
  <c r="AJ18" i="29"/>
  <c r="AJ19" i="29"/>
  <c r="AJ8" i="30"/>
  <c r="AJ9" i="30"/>
  <c r="AJ10" i="30"/>
  <c r="AJ11" i="30"/>
  <c r="AJ12" i="30"/>
  <c r="AJ13" i="30"/>
  <c r="AJ14" i="30"/>
  <c r="AJ15" i="30"/>
  <c r="AJ16" i="30"/>
  <c r="AJ17" i="30"/>
  <c r="AJ18" i="30"/>
  <c r="AJ19" i="30"/>
  <c r="AJ8" i="31"/>
  <c r="AJ9" i="31"/>
  <c r="AJ10" i="31"/>
  <c r="AJ11" i="31"/>
  <c r="AJ12" i="31"/>
  <c r="AJ13" i="31"/>
  <c r="AJ14" i="31"/>
  <c r="AJ15" i="31"/>
  <c r="AJ16" i="31"/>
  <c r="AJ17" i="31"/>
  <c r="AJ18" i="31"/>
  <c r="AJ19" i="31"/>
  <c r="AJ13" i="4"/>
  <c r="AJ8" i="4"/>
  <c r="AJ10" i="4"/>
  <c r="AJ14" i="4"/>
  <c r="AJ9" i="4"/>
  <c r="AJ11" i="4"/>
  <c r="AJ12" i="4"/>
  <c r="AJ15" i="4"/>
  <c r="AJ16" i="4"/>
  <c r="AJ17" i="4"/>
  <c r="AJ18" i="4"/>
  <c r="AJ19" i="4"/>
  <c r="AH18" i="39"/>
  <c r="AH17" i="39"/>
  <c r="AH16" i="39"/>
  <c r="AH15" i="39"/>
  <c r="AH14" i="39"/>
  <c r="AH13" i="39"/>
  <c r="AH12" i="39"/>
  <c r="AH11" i="39"/>
  <c r="AH10" i="39"/>
  <c r="AH9" i="39"/>
  <c r="AH8" i="39"/>
  <c r="AH18" i="38"/>
  <c r="AH17" i="38"/>
  <c r="AH16" i="38"/>
  <c r="AH15" i="38"/>
  <c r="AH14" i="38"/>
  <c r="AH13" i="38"/>
  <c r="AH12" i="38"/>
  <c r="AH11" i="38"/>
  <c r="AH10" i="38"/>
  <c r="AH9" i="38"/>
  <c r="AH8" i="38"/>
  <c r="AH18" i="33"/>
  <c r="AH17" i="33"/>
  <c r="AH16" i="33"/>
  <c r="AH15" i="33"/>
  <c r="AH14" i="33"/>
  <c r="AH13" i="33"/>
  <c r="AH12" i="33"/>
  <c r="AH11" i="33"/>
  <c r="AH10" i="33"/>
  <c r="AH9" i="33"/>
  <c r="AH8" i="33"/>
  <c r="AH18" i="32"/>
  <c r="AH17" i="32"/>
  <c r="AH16" i="32"/>
  <c r="AH15" i="32"/>
  <c r="AH14" i="32"/>
  <c r="AH13" i="32"/>
  <c r="AH12" i="32"/>
  <c r="AH11" i="32"/>
  <c r="AH10" i="32"/>
  <c r="AH9" i="32"/>
  <c r="AH18" i="31"/>
  <c r="AH17" i="31"/>
  <c r="AH16" i="31"/>
  <c r="AH15" i="31"/>
  <c r="AH14" i="31"/>
  <c r="AH13" i="31"/>
  <c r="AH12" i="31"/>
  <c r="AH11" i="31"/>
  <c r="AH10" i="31"/>
  <c r="AH9" i="31"/>
  <c r="AH8" i="31"/>
  <c r="AH18" i="29"/>
  <c r="AH17" i="29"/>
  <c r="AH16" i="29"/>
  <c r="AH15" i="29"/>
  <c r="AH14" i="29"/>
  <c r="AH13" i="29"/>
  <c r="AH12" i="29"/>
  <c r="AH11" i="29"/>
  <c r="AH10" i="29"/>
  <c r="AH9" i="29"/>
  <c r="AH8" i="29"/>
  <c r="AH18" i="4"/>
  <c r="AH17" i="4"/>
  <c r="AH16" i="4"/>
  <c r="AH15" i="4"/>
  <c r="AH14" i="4"/>
  <c r="AH13" i="4"/>
  <c r="AH12" i="4"/>
  <c r="AH11" i="4"/>
  <c r="AH10" i="4"/>
  <c r="AH9" i="4"/>
  <c r="AH8" i="4"/>
  <c r="AH8" i="32"/>
  <c r="AH18" i="30"/>
  <c r="AH17" i="30"/>
  <c r="AH16" i="30"/>
  <c r="AH15" i="30"/>
  <c r="AH14" i="30"/>
  <c r="AH13" i="30"/>
  <c r="AH12" i="30"/>
  <c r="AH11" i="30"/>
  <c r="AH10" i="30"/>
  <c r="AH9" i="30"/>
  <c r="AH8" i="30"/>
  <c r="AG19" i="36"/>
  <c r="AF19" i="36"/>
  <c r="AE19" i="36"/>
  <c r="AD19" i="36"/>
  <c r="AC19" i="36"/>
  <c r="AB19" i="36"/>
  <c r="AA19" i="36"/>
  <c r="Z19" i="36"/>
  <c r="Y19" i="36"/>
  <c r="X19" i="36"/>
  <c r="W19" i="36"/>
  <c r="V19" i="36"/>
  <c r="U19" i="36"/>
  <c r="T19" i="36"/>
  <c r="S19" i="36"/>
  <c r="R19" i="36"/>
  <c r="Q19" i="36"/>
  <c r="P19" i="36"/>
  <c r="O19" i="36"/>
  <c r="N19" i="36"/>
  <c r="M19" i="36"/>
  <c r="L19" i="36"/>
  <c r="K19" i="36"/>
  <c r="J19" i="36"/>
  <c r="I19" i="36"/>
  <c r="H19" i="36"/>
  <c r="G19" i="36"/>
  <c r="F19" i="36"/>
  <c r="E19" i="36"/>
  <c r="D19" i="36"/>
  <c r="C19" i="36"/>
  <c r="AG19" i="34"/>
  <c r="AF19" i="34"/>
  <c r="AE19" i="34"/>
  <c r="AD19" i="34"/>
  <c r="AC19" i="34"/>
  <c r="AB19" i="34"/>
  <c r="AA19" i="34"/>
  <c r="Z19" i="34"/>
  <c r="Y19" i="34"/>
  <c r="X19" i="34"/>
  <c r="W19" i="34"/>
  <c r="V19" i="34"/>
  <c r="U19" i="34"/>
  <c r="T19" i="34"/>
  <c r="S19" i="34"/>
  <c r="R19" i="34"/>
  <c r="Q19" i="34"/>
  <c r="P19" i="34"/>
  <c r="O19" i="34"/>
  <c r="N19" i="34"/>
  <c r="M19" i="34"/>
  <c r="L19" i="34"/>
  <c r="K19" i="34"/>
  <c r="J19" i="34"/>
  <c r="I19" i="34"/>
  <c r="H19" i="34"/>
  <c r="G19" i="34"/>
  <c r="F19" i="34"/>
  <c r="E19" i="34"/>
  <c r="D19" i="34"/>
  <c r="C19" i="34"/>
  <c r="AG19" i="32"/>
  <c r="AF19" i="32"/>
  <c r="AE19" i="32"/>
  <c r="AD19" i="32"/>
  <c r="AC19" i="32"/>
  <c r="AB19" i="32"/>
  <c r="AA19" i="32"/>
  <c r="Z19" i="32"/>
  <c r="Y19" i="32"/>
  <c r="X19" i="32"/>
  <c r="W19" i="32"/>
  <c r="V19" i="32"/>
  <c r="U19" i="32"/>
  <c r="T19" i="32"/>
  <c r="S19" i="32"/>
  <c r="R19" i="32"/>
  <c r="Q19" i="32"/>
  <c r="P19" i="32"/>
  <c r="O19" i="32"/>
  <c r="N19" i="32"/>
  <c r="M19" i="32"/>
  <c r="L19" i="32"/>
  <c r="K19" i="32"/>
  <c r="J19" i="32"/>
  <c r="I19" i="32"/>
  <c r="H19" i="32"/>
  <c r="G19" i="32"/>
  <c r="F19" i="32"/>
  <c r="E19" i="32"/>
  <c r="D19" i="32"/>
  <c r="C19" i="32"/>
  <c r="AG19" i="31"/>
  <c r="AF19" i="31"/>
  <c r="AE19" i="31"/>
  <c r="AD19" i="31"/>
  <c r="AC19" i="31"/>
  <c r="AB19" i="31"/>
  <c r="AA19" i="31"/>
  <c r="Z19" i="31"/>
  <c r="Y19" i="31"/>
  <c r="X19" i="31"/>
  <c r="W19" i="31"/>
  <c r="V19" i="31"/>
  <c r="U19" i="31"/>
  <c r="T19" i="31"/>
  <c r="S19" i="31"/>
  <c r="R19" i="31"/>
  <c r="Q19" i="31"/>
  <c r="P19" i="31"/>
  <c r="O19" i="31"/>
  <c r="N19" i="31"/>
  <c r="M19" i="31"/>
  <c r="L19" i="31"/>
  <c r="K19" i="31"/>
  <c r="J19" i="31"/>
  <c r="I19" i="31"/>
  <c r="H19" i="31"/>
  <c r="G19" i="31"/>
  <c r="F19" i="31"/>
  <c r="E19" i="31"/>
  <c r="D19" i="31"/>
  <c r="C19" i="31"/>
  <c r="AG19" i="30"/>
  <c r="AF19" i="30"/>
  <c r="AE19" i="30"/>
  <c r="AD19" i="30"/>
  <c r="AC19" i="30"/>
  <c r="AB19" i="30"/>
  <c r="AA19" i="30"/>
  <c r="Z19" i="30"/>
  <c r="Y19" i="30"/>
  <c r="X19" i="30"/>
  <c r="W19" i="30"/>
  <c r="V19" i="30"/>
  <c r="U19" i="30"/>
  <c r="T19" i="30"/>
  <c r="S19" i="30"/>
  <c r="R19" i="30"/>
  <c r="Q19" i="30"/>
  <c r="P19" i="30"/>
  <c r="O19" i="30"/>
  <c r="N19" i="30"/>
  <c r="M19" i="30"/>
  <c r="L19" i="30"/>
  <c r="K19" i="30"/>
  <c r="J19" i="30"/>
  <c r="I19" i="30"/>
  <c r="H19" i="30"/>
  <c r="G19" i="30"/>
  <c r="F19" i="30"/>
  <c r="E19" i="30"/>
  <c r="D19" i="30"/>
  <c r="C19" i="30"/>
  <c r="AI8" i="33"/>
  <c r="AI11" i="33"/>
  <c r="AI12" i="33"/>
  <c r="AI19" i="33"/>
  <c r="AI8" i="38"/>
  <c r="AI9" i="38"/>
  <c r="AI10" i="38"/>
  <c r="AI11" i="38"/>
  <c r="AI12" i="38"/>
  <c r="AI13" i="38"/>
  <c r="AI14" i="38"/>
  <c r="AI15" i="38"/>
  <c r="AI16" i="38"/>
  <c r="AI17" i="38"/>
  <c r="AI18" i="38"/>
  <c r="AI22" i="38"/>
  <c r="AI8" i="39"/>
  <c r="AI9" i="39"/>
  <c r="AI10" i="39"/>
  <c r="AI11" i="39"/>
  <c r="AI12" i="39"/>
  <c r="AI13" i="39"/>
  <c r="AI14" i="39"/>
  <c r="AI15" i="39"/>
  <c r="AI16" i="39"/>
  <c r="AI17" i="39"/>
  <c r="AI18" i="39"/>
  <c r="AI22" i="39"/>
  <c r="AI8" i="31"/>
  <c r="AI11" i="31"/>
  <c r="AI12" i="31"/>
  <c r="AI19" i="31"/>
  <c r="AI8" i="30"/>
  <c r="AI11" i="30"/>
  <c r="AI12" i="30"/>
  <c r="AI19" i="30"/>
  <c r="AI8" i="29"/>
  <c r="AI11" i="29"/>
  <c r="AI12" i="29"/>
  <c r="AI19" i="29"/>
  <c r="AI8" i="32"/>
  <c r="AI11" i="32"/>
  <c r="AI12" i="32"/>
  <c r="AI19" i="32"/>
  <c r="AK18" i="36"/>
  <c r="AK18" i="37"/>
  <c r="AK18" i="38"/>
  <c r="AK18" i="39"/>
  <c r="AK17" i="36"/>
  <c r="AK17" i="37"/>
  <c r="AK17" i="38"/>
  <c r="AK17" i="39"/>
  <c r="AK16" i="36"/>
  <c r="AK16" i="37"/>
  <c r="AK16" i="38"/>
  <c r="AK16" i="39"/>
  <c r="AK15" i="36"/>
  <c r="AK15" i="37"/>
  <c r="AK15" i="38"/>
  <c r="AK15" i="39"/>
  <c r="AK14" i="36"/>
  <c r="AK14" i="37"/>
  <c r="AK14" i="38"/>
  <c r="AK14" i="39"/>
  <c r="AK13" i="36"/>
  <c r="AK13" i="37"/>
  <c r="AK13" i="38"/>
  <c r="AK13" i="39"/>
  <c r="AK10" i="36"/>
  <c r="AK10" i="37"/>
  <c r="AK10" i="38"/>
  <c r="AK10" i="39"/>
  <c r="AK9" i="36"/>
  <c r="AK9" i="37"/>
  <c r="AK9" i="38"/>
  <c r="AK9" i="39"/>
  <c r="AI12" i="4"/>
  <c r="AI11" i="4"/>
  <c r="AI8" i="4"/>
  <c r="AH22" i="38"/>
  <c r="AH19" i="33"/>
  <c r="AH19" i="32"/>
  <c r="AH19" i="31"/>
  <c r="AH19" i="30"/>
  <c r="AH19" i="29"/>
  <c r="AH22" i="39"/>
  <c r="B22" i="39"/>
  <c r="AG6" i="39"/>
  <c r="AF6" i="39"/>
  <c r="AE6" i="39"/>
  <c r="AD6" i="39"/>
  <c r="AC6" i="39"/>
  <c r="AB6" i="39"/>
  <c r="AA6" i="39"/>
  <c r="Z6" i="39"/>
  <c r="Y6" i="39"/>
  <c r="X6" i="39"/>
  <c r="W6" i="39"/>
  <c r="V6" i="39"/>
  <c r="U6" i="39"/>
  <c r="T6" i="39"/>
  <c r="S6" i="39"/>
  <c r="R6" i="39"/>
  <c r="Q6" i="39"/>
  <c r="P6" i="39"/>
  <c r="O6" i="39"/>
  <c r="N6" i="39"/>
  <c r="M6" i="39"/>
  <c r="L6" i="39"/>
  <c r="K6" i="39"/>
  <c r="J6" i="39"/>
  <c r="I6" i="39"/>
  <c r="H6" i="39"/>
  <c r="G6" i="39"/>
  <c r="F6" i="39"/>
  <c r="E6" i="39"/>
  <c r="D6" i="39"/>
  <c r="C6" i="39"/>
  <c r="B22" i="38"/>
  <c r="AF6" i="38"/>
  <c r="AE6" i="38"/>
  <c r="AD6" i="38"/>
  <c r="AC6" i="38"/>
  <c r="AB6" i="38"/>
  <c r="AA6" i="38"/>
  <c r="Z6" i="38"/>
  <c r="Y6" i="38"/>
  <c r="X6" i="38"/>
  <c r="W6" i="38"/>
  <c r="V6" i="38"/>
  <c r="U6" i="38"/>
  <c r="T6" i="38"/>
  <c r="S6" i="38"/>
  <c r="R6" i="38"/>
  <c r="Q6" i="38"/>
  <c r="P6" i="38"/>
  <c r="O6" i="38"/>
  <c r="N6" i="38"/>
  <c r="M6" i="38"/>
  <c r="L6" i="38"/>
  <c r="K6" i="38"/>
  <c r="J6" i="38"/>
  <c r="I6" i="38"/>
  <c r="H6" i="38"/>
  <c r="G6" i="38"/>
  <c r="F6" i="38"/>
  <c r="E6" i="38"/>
  <c r="D6" i="38"/>
  <c r="C6" i="38"/>
  <c r="AG6" i="37"/>
  <c r="AF6" i="37"/>
  <c r="AE6" i="37"/>
  <c r="AD6" i="37"/>
  <c r="AC6" i="37"/>
  <c r="AB6" i="37"/>
  <c r="AA6" i="37"/>
  <c r="Z6" i="37"/>
  <c r="Y6" i="37"/>
  <c r="X6" i="37"/>
  <c r="W6" i="37"/>
  <c r="V6" i="37"/>
  <c r="U6" i="37"/>
  <c r="T6" i="37"/>
  <c r="S6" i="37"/>
  <c r="R6" i="37"/>
  <c r="Q6" i="37"/>
  <c r="P6" i="37"/>
  <c r="O6" i="37"/>
  <c r="N6" i="37"/>
  <c r="M6" i="37"/>
  <c r="L6" i="37"/>
  <c r="K6" i="37"/>
  <c r="J6" i="37"/>
  <c r="I6" i="37"/>
  <c r="H6" i="37"/>
  <c r="G6" i="37"/>
  <c r="F6" i="37"/>
  <c r="E6" i="37"/>
  <c r="D6" i="37"/>
  <c r="C6" i="37"/>
  <c r="B19" i="36"/>
  <c r="AF6" i="36"/>
  <c r="AE6" i="36"/>
  <c r="AD6" i="36"/>
  <c r="AC6" i="36"/>
  <c r="AB6" i="36"/>
  <c r="AA6" i="36"/>
  <c r="Z6" i="36"/>
  <c r="Y6" i="36"/>
  <c r="X6" i="36"/>
  <c r="W6" i="36"/>
  <c r="V6" i="36"/>
  <c r="U6" i="36"/>
  <c r="T6" i="36"/>
  <c r="S6" i="36"/>
  <c r="R6" i="36"/>
  <c r="Q6" i="36"/>
  <c r="P6" i="36"/>
  <c r="O6" i="36"/>
  <c r="N6" i="36"/>
  <c r="M6" i="36"/>
  <c r="L6" i="36"/>
  <c r="K6" i="36"/>
  <c r="J6" i="36"/>
  <c r="I6" i="36"/>
  <c r="H6" i="36"/>
  <c r="G6" i="36"/>
  <c r="F6" i="36"/>
  <c r="E6" i="36"/>
  <c r="D6" i="36"/>
  <c r="C6" i="36"/>
  <c r="B19" i="35"/>
  <c r="AG6" i="35"/>
  <c r="AF6" i="35"/>
  <c r="AE6" i="35"/>
  <c r="AD6" i="35"/>
  <c r="AC6" i="35"/>
  <c r="AB6" i="35"/>
  <c r="AA6" i="35"/>
  <c r="Z6" i="35"/>
  <c r="Y6" i="35"/>
  <c r="X6" i="35"/>
  <c r="W6" i="35"/>
  <c r="V6" i="35"/>
  <c r="U6" i="35"/>
  <c r="T6" i="35"/>
  <c r="S6" i="35"/>
  <c r="R6" i="35"/>
  <c r="Q6" i="35"/>
  <c r="P6" i="35"/>
  <c r="O6" i="35"/>
  <c r="N6" i="35"/>
  <c r="M6" i="35"/>
  <c r="L6" i="35"/>
  <c r="K6" i="35"/>
  <c r="J6" i="35"/>
  <c r="I6" i="35"/>
  <c r="H6" i="35"/>
  <c r="G6" i="35"/>
  <c r="F6" i="35"/>
  <c r="E6" i="35"/>
  <c r="D6" i="35"/>
  <c r="C6" i="35"/>
  <c r="B19" i="34"/>
  <c r="AG6" i="34"/>
  <c r="AF6" i="34"/>
  <c r="AE6" i="34"/>
  <c r="AD6" i="34"/>
  <c r="AC6" i="34"/>
  <c r="AB6" i="34"/>
  <c r="AA6" i="34"/>
  <c r="Z6" i="34"/>
  <c r="Y6" i="34"/>
  <c r="X6" i="34"/>
  <c r="W6" i="34"/>
  <c r="V6" i="34"/>
  <c r="U6" i="34"/>
  <c r="T6" i="34"/>
  <c r="S6" i="34"/>
  <c r="R6" i="34"/>
  <c r="Q6" i="34"/>
  <c r="P6" i="34"/>
  <c r="O6" i="34"/>
  <c r="N6" i="34"/>
  <c r="M6" i="34"/>
  <c r="L6" i="34"/>
  <c r="K6" i="34"/>
  <c r="J6" i="34"/>
  <c r="I6" i="34"/>
  <c r="H6" i="34"/>
  <c r="G6" i="34"/>
  <c r="F6" i="34"/>
  <c r="E6" i="34"/>
  <c r="D6" i="34"/>
  <c r="C6" i="34"/>
  <c r="B19" i="33"/>
  <c r="AF6" i="33"/>
  <c r="AE6" i="33"/>
  <c r="AD6" i="33"/>
  <c r="AC6" i="33"/>
  <c r="AB6" i="33"/>
  <c r="AA6" i="33"/>
  <c r="Z6" i="33"/>
  <c r="Y6" i="33"/>
  <c r="X6" i="33"/>
  <c r="W6" i="33"/>
  <c r="V6" i="33"/>
  <c r="U6" i="33"/>
  <c r="T6" i="33"/>
  <c r="S6" i="33"/>
  <c r="R6" i="33"/>
  <c r="Q6" i="33"/>
  <c r="P6" i="33"/>
  <c r="O6" i="33"/>
  <c r="N6" i="33"/>
  <c r="M6" i="33"/>
  <c r="L6" i="33"/>
  <c r="K6" i="33"/>
  <c r="J6" i="33"/>
  <c r="I6" i="33"/>
  <c r="H6" i="33"/>
  <c r="G6" i="33"/>
  <c r="F6" i="33"/>
  <c r="E6" i="33"/>
  <c r="D6" i="33"/>
  <c r="C6" i="33"/>
  <c r="B19" i="32"/>
  <c r="AG6" i="32"/>
  <c r="AF6" i="32"/>
  <c r="AE6" i="32"/>
  <c r="AD6" i="32"/>
  <c r="AC6" i="32"/>
  <c r="AB6" i="32"/>
  <c r="AA6" i="32"/>
  <c r="Z6" i="32"/>
  <c r="Y6" i="32"/>
  <c r="X6" i="32"/>
  <c r="W6" i="32"/>
  <c r="V6" i="32"/>
  <c r="U6" i="32"/>
  <c r="T6" i="32"/>
  <c r="S6" i="32"/>
  <c r="R6" i="32"/>
  <c r="Q6" i="32"/>
  <c r="P6" i="32"/>
  <c r="O6" i="32"/>
  <c r="N6" i="32"/>
  <c r="M6" i="32"/>
  <c r="L6" i="32"/>
  <c r="K6" i="32"/>
  <c r="J6" i="32"/>
  <c r="I6" i="32"/>
  <c r="H6" i="32"/>
  <c r="G6" i="32"/>
  <c r="F6" i="32"/>
  <c r="E6" i="32"/>
  <c r="D6" i="32"/>
  <c r="C6" i="32"/>
  <c r="B19" i="31"/>
  <c r="AF6" i="31"/>
  <c r="AE6" i="31"/>
  <c r="AD6" i="31"/>
  <c r="AC6" i="31"/>
  <c r="AB6" i="31"/>
  <c r="AA6" i="31"/>
  <c r="Z6" i="31"/>
  <c r="Y6" i="31"/>
  <c r="X6" i="31"/>
  <c r="W6" i="31"/>
  <c r="V6" i="31"/>
  <c r="U6" i="31"/>
  <c r="T6" i="31"/>
  <c r="S6" i="31"/>
  <c r="R6" i="31"/>
  <c r="Q6" i="31"/>
  <c r="P6" i="31"/>
  <c r="O6" i="31"/>
  <c r="N6" i="31"/>
  <c r="M6" i="31"/>
  <c r="L6" i="31"/>
  <c r="K6" i="31"/>
  <c r="J6" i="31"/>
  <c r="I6" i="31"/>
  <c r="H6" i="31"/>
  <c r="G6" i="31"/>
  <c r="F6" i="31"/>
  <c r="E6" i="31"/>
  <c r="D6" i="31"/>
  <c r="C6" i="31"/>
  <c r="B19" i="30"/>
  <c r="AG6" i="30"/>
  <c r="AF6" i="30"/>
  <c r="AE6" i="30"/>
  <c r="AD6" i="30"/>
  <c r="AC6" i="30"/>
  <c r="AB6" i="30"/>
  <c r="AA6" i="30"/>
  <c r="Z6" i="30"/>
  <c r="Y6" i="30"/>
  <c r="X6" i="30"/>
  <c r="W6" i="30"/>
  <c r="V6" i="30"/>
  <c r="U6" i="30"/>
  <c r="T6" i="30"/>
  <c r="S6" i="30"/>
  <c r="R6" i="30"/>
  <c r="Q6" i="30"/>
  <c r="P6" i="30"/>
  <c r="O6" i="30"/>
  <c r="N6" i="30"/>
  <c r="M6" i="30"/>
  <c r="L6" i="30"/>
  <c r="K6" i="30"/>
  <c r="J6" i="30"/>
  <c r="I6" i="30"/>
  <c r="H6" i="30"/>
  <c r="G6" i="30"/>
  <c r="F6" i="30"/>
  <c r="E6" i="30"/>
  <c r="D6" i="30"/>
  <c r="C6" i="30"/>
  <c r="B1" i="30"/>
  <c r="B19" i="29"/>
  <c r="B1" i="29"/>
  <c r="B19" i="4"/>
  <c r="AH19" i="4"/>
  <c r="AI19" i="4"/>
  <c r="AG6" i="4"/>
  <c r="AF6" i="4"/>
  <c r="AE6" i="4"/>
  <c r="AD6" i="4"/>
  <c r="AC6" i="4"/>
  <c r="AB6" i="4"/>
  <c r="AA6" i="4"/>
  <c r="Z6" i="4"/>
  <c r="Y6" i="4"/>
  <c r="X6" i="4"/>
  <c r="W6" i="4"/>
  <c r="V6" i="4"/>
  <c r="U6" i="4"/>
  <c r="T6" i="4"/>
  <c r="S6" i="4"/>
  <c r="R6" i="4"/>
  <c r="Q6" i="4"/>
  <c r="P6" i="4"/>
  <c r="O6" i="4"/>
  <c r="N6" i="4"/>
  <c r="M6" i="4"/>
  <c r="L6" i="4"/>
  <c r="K6" i="4"/>
  <c r="J6" i="4"/>
  <c r="I6" i="4"/>
  <c r="H6" i="4"/>
  <c r="G6" i="4"/>
  <c r="F6" i="4"/>
  <c r="E6" i="4"/>
  <c r="D6" i="4"/>
  <c r="C6" i="4"/>
  <c r="C6" i="29"/>
  <c r="D6" i="29"/>
  <c r="E6" i="29"/>
  <c r="F6" i="29"/>
  <c r="G6" i="29"/>
  <c r="H6" i="29"/>
  <c r="I6" i="29"/>
  <c r="J6" i="29"/>
  <c r="K6" i="29"/>
  <c r="L6" i="29"/>
  <c r="M6" i="29"/>
  <c r="N6" i="29"/>
  <c r="O6" i="29"/>
  <c r="P6" i="29"/>
  <c r="Q6" i="29"/>
  <c r="R6" i="29"/>
  <c r="S6" i="29"/>
  <c r="T6" i="29"/>
  <c r="U6" i="29"/>
  <c r="V6" i="29"/>
  <c r="W6" i="29"/>
  <c r="X6" i="29"/>
  <c r="Y6" i="29"/>
  <c r="Z6" i="29"/>
  <c r="AA6" i="29"/>
  <c r="AB6" i="29"/>
  <c r="AC6" i="29"/>
  <c r="AD6" i="29"/>
  <c r="AE6" i="29"/>
</calcChain>
</file>

<file path=xl/sharedStrings.xml><?xml version="1.0" encoding="utf-8"?>
<sst xmlns="http://schemas.openxmlformats.org/spreadsheetml/2006/main" count="924" uniqueCount="127">
  <si>
    <t>Calendrier des absences des employés</t>
  </si>
  <si>
    <t>Clé de motif d’absence</t>
  </si>
  <si>
    <t>Janvier</t>
  </si>
  <si>
    <t>Nom de l’employé</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</si>
  <si>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</si>
  <si>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</si>
  <si>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</si>
  <si>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</si>
  <si>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</si>
  <si>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</si>
  <si>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</si>
  <si>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</si>
  <si>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</si>
  <si>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</si>
  <si>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</si>
  <si>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</si>
  <si>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</si>
  <si>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</si>
  <si>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</si>
  <si>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</si>
  <si>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</si>
  <si>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</si>
  <si>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</si>
  <si>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</si>
  <si>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</si>
  <si>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</si>
  <si>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</si>
  <si>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</si>
  <si>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</si>
  <si>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</si>
  <si>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</si>
  <si>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</si>
  <si>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</si>
  <si>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</si>
  <si>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</si>
  <si>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</si>
  <si>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</si>
  <si>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</si>
  <si>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</si>
  <si>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</si>
  <si>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</si>
  <si>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Février</t>
  </si>
  <si>
    <t xml:space="preserve"> </t>
  </si>
  <si>
    <t xml:space="preserve">  </t>
  </si>
  <si>
    <t>Mars</t>
  </si>
  <si>
    <t>Avril</t>
  </si>
  <si>
    <t>Mai</t>
  </si>
  <si>
    <t>Juin</t>
  </si>
  <si>
    <t>Juillet</t>
  </si>
  <si>
    <t>Août</t>
  </si>
  <si>
    <t>Septembre</t>
  </si>
  <si>
    <t>Octobre</t>
  </si>
  <si>
    <t>Novembre</t>
  </si>
  <si>
    <t>Décembre</t>
  </si>
  <si>
    <t>Noms des employés</t>
  </si>
  <si>
    <t>Rec</t>
  </si>
  <si>
    <t>Récupération</t>
  </si>
  <si>
    <t>RTT</t>
  </si>
  <si>
    <t>F</t>
  </si>
  <si>
    <t>Formation</t>
  </si>
  <si>
    <t>Charlotte Rogic</t>
  </si>
  <si>
    <t>Laure Narzabal</t>
  </si>
  <si>
    <t>Etienne Bonduelle</t>
  </si>
  <si>
    <t>Marie Stutz</t>
  </si>
  <si>
    <t>Bruno Dieudonné</t>
  </si>
  <si>
    <t>Laurent Geniller</t>
  </si>
  <si>
    <t>Paul Thouny</t>
  </si>
  <si>
    <t>Ernesto Islas</t>
  </si>
  <si>
    <t>Juliette Vatel</t>
  </si>
  <si>
    <t>Hasna Idouska</t>
  </si>
  <si>
    <t>Myriam Cassan</t>
  </si>
  <si>
    <t>TT</t>
  </si>
  <si>
    <t>Télétravail</t>
  </si>
  <si>
    <t>Type d'absence</t>
  </si>
  <si>
    <t>Motif</t>
  </si>
  <si>
    <t>Solde RTT disponible au 01/02/2021</t>
  </si>
  <si>
    <t>Solde RTT disponible au 01/03/2021</t>
  </si>
  <si>
    <t>Demi RTT</t>
  </si>
  <si>
    <t>Total absence</t>
  </si>
  <si>
    <t>Enfant malade</t>
  </si>
  <si>
    <t>EM</t>
  </si>
  <si>
    <t>DEM</t>
  </si>
  <si>
    <t>DREC</t>
  </si>
  <si>
    <t>DRTT</t>
  </si>
  <si>
    <t>Demi journée EM</t>
  </si>
  <si>
    <t>Demi récup</t>
  </si>
  <si>
    <t>Solde RTT disponible au 01/04/2021</t>
  </si>
  <si>
    <t>Solde RTT disponible au 01/05/2021</t>
  </si>
  <si>
    <t>Solde RTT disponible au 01/06/2021</t>
  </si>
  <si>
    <t>Dont RTT</t>
  </si>
  <si>
    <t>Solde RTT disponible au 01/08/2021</t>
  </si>
  <si>
    <t>Solde RTT disponible au 01/01/2022</t>
  </si>
  <si>
    <t>Solde RTT disponible au 01/12/2021</t>
  </si>
  <si>
    <t>Solde RTT disponible au 01/11/2021</t>
  </si>
  <si>
    <t>Solde RTT disponible au 01/10/2021</t>
  </si>
  <si>
    <t>Solde RTT disponible au 01/09/2021</t>
  </si>
  <si>
    <t>Solde RTT disponible au 01/07/2021</t>
  </si>
  <si>
    <t>Solde cp disponible au 1er janvier 2021</t>
  </si>
  <si>
    <t>PE</t>
  </si>
  <si>
    <t>Présence exceptionnelle</t>
  </si>
  <si>
    <t>CS</t>
  </si>
  <si>
    <t>Congé spéc.</t>
  </si>
  <si>
    <t>Total</t>
  </si>
  <si>
    <t>Demi récupération</t>
  </si>
  <si>
    <t>Demi Enfant Malade</t>
  </si>
  <si>
    <t>Congé spécial</t>
  </si>
  <si>
    <t>Descriptif</t>
  </si>
  <si>
    <t>NT</t>
  </si>
  <si>
    <t>Non travaillé</t>
  </si>
  <si>
    <t>Dont MALADIE</t>
  </si>
  <si>
    <t>Séréna Deguette</t>
  </si>
  <si>
    <t>Eulalie Chatain</t>
  </si>
  <si>
    <t xml:space="preserve">Gaëtan </t>
  </si>
  <si>
    <t>Commentaires</t>
  </si>
  <si>
    <t>AJ</t>
  </si>
  <si>
    <t>Absence justifiée</t>
  </si>
  <si>
    <t>Solde rtt disponible au 1er janvier 2022</t>
  </si>
  <si>
    <t>CET</t>
  </si>
  <si>
    <t>DCET</t>
  </si>
  <si>
    <t>Compte épargne temps</t>
  </si>
  <si>
    <t>Demi épargne temps</t>
  </si>
  <si>
    <t>Employés 01</t>
  </si>
  <si>
    <t>Employés 02</t>
  </si>
  <si>
    <t>Employés 03</t>
  </si>
  <si>
    <t>Employés 04</t>
  </si>
  <si>
    <t>rtt</t>
  </si>
  <si>
    <t>rec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</si>
</sst>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_(* #,##0_);_(* \(#,##0\);_(* &quot;-&quot;_);_(@_)"/>
    <numFmt numFmtId="165" formatCode="_(* #,##0.00_);_(* \(#,##0.00\);_(* &quot;-&quot;??_);_(@_)"/>
    <numFmt numFmtId="166" formatCode="_-* #,##0\ &quot;€&quot;_-;\-* #,##0\ &quot;€&quot;_-;_-* &quot;-&quot;\ &quot;€&quot;_-;_-@_-"/>
    <numFmt numFmtId="167" formatCode="_-* #,##0.00\ &quot;€&quot;_-;\-* #,##0.00\ &quot;€&quot;_-;_-* &quot;-&quot;??\ &quot;€&quot;_-;_-@_-"/>
    <numFmt numFmtId="168" formatCode="0;0;"/>
    <numFmt numFmtId="169" formatCode="0.0"/>
    <numFmt numFmtId="170" formatCode="0.0;0.0;"/>
  </numFmts>
  <fonts count="2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8"/>
      <color theme="1"/>
      <name val="Calibri"/>
      <family val="2"/>
      <scheme val="minor"/>
    </font>
    <font>
      <b/>
      <sz val="18"/>
      <color rgb="FF941651"/>
      <name val="Calibri"/>
      <family val="2"/>
      <scheme val="minor"/>
    </font>
    <font>
      <b/>
      <sz val="18"/>
      <color rgb="FF941651"/>
      <name val="Calibri (Corps)_x0000_"/>
    </font>
  </fonts>
  <fills count="57">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bgColor indexed="64"/>
      </patternFill>
    </fill>
    <fill>
      <patternFill patternType="solid">
        <fgColor theme="8" tint="0.79998168889431442"/>
        <bgColor indexed="64"/>
      </patternFill>
    </fill>
    <fill>
      <patternFill patternType="solid">
        <fgColor rgb="FFFFC00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rgb="FFFF7E79"/>
        <bgColor indexed="64"/>
      </patternFill>
    </fill>
    <fill>
      <patternFill patternType="solid">
        <fgColor rgb="FF00B0F0"/>
        <bgColor indexed="64"/>
      </patternFill>
    </fill>
    <fill>
      <patternFill patternType="solid">
        <fgColor rgb="FF941651"/>
        <bgColor indexed="64"/>
      </patternFill>
    </fill>
    <fill>
      <patternFill patternType="solid">
        <fgColor rgb="FFFF0000"/>
        <bgColor indexed="64"/>
      </patternFill>
    </fill>
    <fill>
      <patternFill patternType="solid">
        <fgColor rgb="FFD883FF"/>
        <bgColor indexed="64"/>
      </patternFill>
    </fill>
    <fill>
      <patternFill patternType="solid">
        <fgColor rgb="FF76D6FF"/>
        <bgColor indexed="64"/>
      </patternFill>
    </fill>
    <fill>
      <patternFill patternType="solid">
        <fgColor theme="6" tint="0.39994506668294322"/>
        <bgColor indexed="64"/>
      </patternFill>
    </fill>
    <fill>
      <patternFill patternType="solid">
        <fgColor rgb="FFFFB8D8"/>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0" tint="-4.9989318521683403E-2"/>
        <bgColor theme="4" tint="0.79992065187536243"/>
      </patternFill>
    </fill>
    <fill>
      <patternFill patternType="solid">
        <fgColor rgb="FFFF2F92"/>
        <bgColor indexed="64"/>
      </patternFill>
    </fill>
    <fill>
      <patternFill patternType="solid">
        <fgColor rgb="FFDCE1EF"/>
        <bgColor rgb="FF000000"/>
      </patternFill>
    </fill>
    <fill>
      <patternFill patternType="solid">
        <fgColor theme="1" tint="0.499984740745262"/>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theme="0"/>
      </left>
      <right/>
      <top/>
      <bottom style="thin">
        <color indexed="64"/>
      </bottom>
      <diagonal/>
    </border>
    <border>
      <left/>
      <right style="thin">
        <color theme="0"/>
      </right>
      <top/>
      <bottom style="thin">
        <color indexed="64"/>
      </bottom>
      <diagonal/>
    </border>
    <border>
      <left style="thin">
        <color theme="0"/>
      </left>
      <right style="thin">
        <color theme="0"/>
      </right>
      <top/>
      <bottom/>
      <diagonal/>
    </border>
    <border>
      <left style="thin">
        <color theme="0"/>
      </left>
      <right style="thin">
        <color theme="0"/>
      </right>
      <top/>
      <bottom style="thin">
        <color indexed="64"/>
      </bottom>
      <diagonal/>
    </border>
    <border>
      <left/>
      <right style="thin">
        <color theme="0"/>
      </right>
      <top/>
      <bottom/>
      <diagonal/>
    </border>
    <border>
      <left style="thin">
        <color theme="0"/>
      </left>
      <right/>
      <top/>
      <bottom/>
      <diagonal/>
    </border>
  </borders>
  <cellStyleXfs count="49">
    <xf numFmtId="2"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8">
    <xf numFmtId="2" fontId="0" fillId="0" borderId="0" xfId="0">
      <alignment horizontal="left" vertical="center"/>
    </xf>
    <xf numFmtId="0" fontId="1" fillId="0" borderId="0" xfId="26">
      <alignment horizontal="left" vertical="center" wrapText="1" indent="2"/>
    </xf>
    <xf numFmtId="2" fontId="0" fillId="0" borderId="0" xfId="0" applyAlignment="1" applyProtection="1">
      <alignment horizontal="center" vertical="center"/>
    </xf>
    <xf numFmtId="0" fontId="1" fillId="0" borderId="0" xfId="26" applyFill="1" applyBorder="1">
      <alignment horizontal="left" vertical="center" wrapText="1" indent="2"/>
    </xf>
    <xf numFmtId="2" fontId="0" fillId="0" borderId="0" xfId="0" applyProtection="1">
      <alignment horizontal="left" vertical="center"/>
    </xf>
    <xf numFmtId="0" fontId="6" fillId="0" borderId="0" xfId="1" applyAlignment="1" applyProtection="1">
      <alignment vertical="top"/>
    </xf>
    <xf numFmtId="2" fontId="0" fillId="0" borderId="0" xfId="0" applyAlignment="1" applyProtection="1">
      <alignment horizontal="left" vertical="center" wrapText="1"/>
    </xf>
    <xf numFmtId="0" fontId="6" fillId="0" borderId="0" xfId="1">
      <alignment vertical="top"/>
    </xf>
    <xf numFmtId="0" fontId="0" fillId="0" borderId="0" xfId="26" applyFont="1">
      <alignment horizontal="left" vertical="center" wrapText="1" indent="2"/>
    </xf>
    <xf numFmtId="0" fontId="1" fillId="0" borderId="0" xfId="26" applyFill="1">
      <alignment horizontal="left" vertical="center" wrapText="1" indent="2"/>
    </xf>
    <xf numFmtId="0" fontId="0" fillId="0" borderId="0" xfId="26" applyFont="1" applyFill="1" applyBorder="1">
      <alignment horizontal="left" vertical="center" wrapText="1" indent="2"/>
    </xf>
    <xf numFmtId="0" fontId="2" fillId="33" borderId="0" xfId="4" applyFill="1" applyProtection="1">
      <alignment horizontal="right" vertical="center" indent="1"/>
    </xf>
    <xf numFmtId="0" fontId="5" fillId="34" borderId="0" xfId="3" applyFill="1" applyProtection="1">
      <alignment horizontal="center" vertical="center"/>
    </xf>
    <xf numFmtId="0" fontId="1" fillId="34" borderId="0" xfId="21" applyFill="1" applyBorder="1" applyAlignment="1" applyProtection="1">
      <alignment horizontal="left" vertical="center" indent="1"/>
    </xf>
    <xf numFmtId="2" fontId="0" fillId="35" borderId="0" xfId="0" applyFont="1" applyFill="1" applyBorder="1" applyAlignment="1" applyProtection="1">
      <alignment horizontal="center" vertical="center"/>
    </xf>
    <xf numFmtId="0" fontId="5" fillId="36" borderId="0" xfId="3" applyFill="1" applyProtection="1">
      <alignment horizontal="center" vertical="center"/>
    </xf>
    <xf numFmtId="168" fontId="2" fillId="37" borderId="0" xfId="24" applyNumberFormat="1" applyFont="1" applyFill="1" applyAlignment="1" applyProtection="1">
      <alignment horizontal="center" vertical="center"/>
    </xf>
    <xf numFmtId="2" fontId="2" fillId="0" borderId="0" xfId="0" applyFont="1" applyFill="1" applyBorder="1" applyAlignment="1" applyProtection="1">
      <alignment horizontal="center" vertical="center"/>
    </xf>
    <xf numFmtId="168" fontId="2" fillId="38" borderId="0" xfId="24" applyNumberFormat="1" applyFont="1" applyFill="1" applyAlignment="1" applyProtection="1">
      <alignment horizontal="center" vertical="center"/>
    </xf>
    <xf numFmtId="0" fontId="2" fillId="39" borderId="0" xfId="12" applyFill="1" applyAlignment="1" applyProtection="1">
      <alignment horizontal="center" vertical="center"/>
    </xf>
    <xf numFmtId="0" fontId="2" fillId="40" borderId="0" xfId="19" applyFill="1" applyAlignment="1" applyProtection="1">
      <alignment horizontal="center" vertical="center"/>
    </xf>
    <xf numFmtId="0" fontId="18" fillId="36" borderId="0" xfId="3" applyFont="1" applyFill="1" applyProtection="1">
      <alignment horizontal="center" vertical="center"/>
    </xf>
    <xf numFmtId="0" fontId="2" fillId="41" borderId="0" xfId="23" applyFont="1" applyFill="1" applyAlignment="1" applyProtection="1">
      <alignment horizontal="center" vertical="center"/>
    </xf>
    <xf numFmtId="168" fontId="2" fillId="42" borderId="0" xfId="8" applyNumberFormat="1" applyFont="1" applyFill="1" applyAlignment="1" applyProtection="1">
      <alignment horizontal="center" vertical="center"/>
    </xf>
    <xf numFmtId="2" fontId="2" fillId="0" borderId="0" xfId="0" applyFont="1" applyAlignment="1" applyProtection="1">
      <alignment horizontal="center" vertical="center"/>
    </xf>
    <xf numFmtId="0" fontId="19" fillId="36" borderId="0" xfId="3" applyFont="1" applyFill="1" applyAlignment="1" applyProtection="1">
      <alignment vertical="center"/>
    </xf>
    <xf numFmtId="0" fontId="0" fillId="43" borderId="0" xfId="21" applyFont="1" applyFill="1" applyBorder="1" applyAlignment="1" applyProtection="1">
      <alignment horizontal="center" vertical="center"/>
    </xf>
    <xf numFmtId="0" fontId="3" fillId="43" borderId="0" xfId="21" applyFont="1" applyFill="1" applyBorder="1" applyAlignment="1" applyProtection="1">
      <alignment horizontal="center" vertical="center"/>
    </xf>
    <xf numFmtId="168" fontId="2" fillId="17" borderId="6" xfId="0" applyNumberFormat="1" applyFont="1" applyFill="1" applyBorder="1" applyAlignment="1" applyProtection="1">
      <alignment horizontal="center" vertical="center"/>
    </xf>
    <xf numFmtId="168" fontId="2" fillId="17" borderId="8" xfId="0" applyNumberFormat="1" applyFont="1" applyFill="1" applyBorder="1" applyAlignment="1" applyProtection="1">
      <alignment horizontal="center" vertical="center"/>
    </xf>
    <xf numFmtId="2" fontId="2" fillId="36" borderId="8" xfId="0" applyFont="1" applyFill="1" applyBorder="1" applyAlignment="1" applyProtection="1">
      <alignment horizontal="left" vertical="center" indent="1"/>
    </xf>
    <xf numFmtId="168" fontId="0" fillId="17" borderId="6" xfId="0" applyNumberFormat="1" applyFont="1" applyFill="1" applyBorder="1" applyAlignment="1" applyProtection="1">
      <alignment horizontal="center" vertical="center"/>
    </xf>
    <xf numFmtId="2" fontId="0" fillId="36" borderId="6" xfId="0" applyFont="1" applyFill="1" applyBorder="1" applyAlignment="1" applyProtection="1">
      <alignment horizontal="center" vertical="center"/>
    </xf>
    <xf numFmtId="169" fontId="1" fillId="0" borderId="0" xfId="25" applyNumberFormat="1" applyFill="1" applyBorder="1" applyProtection="1">
      <alignment horizontal="center" vertical="center"/>
    </xf>
    <xf numFmtId="2" fontId="3" fillId="44" borderId="0" xfId="0" applyFont="1" applyFill="1" applyAlignment="1" applyProtection="1">
      <alignment horizontal="center" vertical="center" wrapText="1"/>
    </xf>
    <xf numFmtId="170" fontId="0" fillId="36" borderId="7" xfId="0" applyNumberFormat="1" applyFont="1" applyFill="1" applyBorder="1" applyAlignment="1" applyProtection="1">
      <alignment horizontal="center" vertical="center"/>
    </xf>
    <xf numFmtId="170" fontId="0" fillId="36" borderId="6" xfId="0" applyNumberFormat="1" applyFont="1" applyFill="1" applyBorder="1" applyAlignment="1" applyProtection="1">
      <alignment horizontal="center" vertical="center"/>
    </xf>
    <xf numFmtId="170" fontId="2" fillId="17" borderId="6" xfId="0" applyNumberFormat="1" applyFont="1" applyFill="1" applyBorder="1" applyAlignment="1" applyProtection="1">
      <alignment horizontal="center" vertical="center"/>
    </xf>
    <xf numFmtId="2" fontId="2" fillId="45" borderId="0" xfId="0" applyFont="1" applyFill="1" applyProtection="1">
      <alignment horizontal="left" vertical="center"/>
    </xf>
    <xf numFmtId="2" fontId="0" fillId="44" borderId="0" xfId="0" applyFill="1" applyAlignment="1" applyProtection="1">
      <alignment horizontal="center" vertical="center" wrapText="1"/>
    </xf>
    <xf numFmtId="170" fontId="2" fillId="46" borderId="0" xfId="8" applyNumberFormat="1" applyFont="1" applyFill="1" applyAlignment="1" applyProtection="1">
      <alignment horizontal="center" vertical="center"/>
    </xf>
    <xf numFmtId="2" fontId="2" fillId="47" borderId="0" xfId="0" applyFont="1" applyFill="1" applyProtection="1">
      <alignment horizontal="left" vertical="center"/>
    </xf>
    <xf numFmtId="2" fontId="2" fillId="48" borderId="0" xfId="0" applyFont="1" applyFill="1" applyProtection="1">
      <alignment horizontal="left" vertical="center"/>
    </xf>
    <xf numFmtId="2" fontId="0" fillId="36" borderId="7" xfId="0" applyFont="1" applyFill="1" applyBorder="1" applyAlignment="1" applyProtection="1">
      <alignment horizontal="center" vertical="center"/>
    </xf>
    <xf numFmtId="0" fontId="2" fillId="34" borderId="0" xfId="21" applyFont="1" applyFill="1" applyBorder="1" applyAlignment="1" applyProtection="1">
      <alignment horizontal="left" vertical="center" indent="1"/>
    </xf>
    <xf numFmtId="2" fontId="2" fillId="47" borderId="0" xfId="0" applyFont="1" applyFill="1" applyAlignment="1" applyProtection="1">
      <alignment horizontal="center" vertical="center"/>
    </xf>
    <xf numFmtId="2" fontId="2" fillId="48" borderId="0" xfId="0" applyFont="1" applyFill="1" applyAlignment="1" applyProtection="1">
      <alignment horizontal="center" vertical="center"/>
    </xf>
    <xf numFmtId="2" fontId="2" fillId="45" borderId="0" xfId="0" applyFont="1" applyFill="1" applyAlignment="1" applyProtection="1">
      <alignment horizontal="center" vertical="center"/>
    </xf>
    <xf numFmtId="2" fontId="1" fillId="0" borderId="0" xfId="26" applyNumberFormat="1">
      <alignment horizontal="left" vertical="center" wrapText="1" indent="2"/>
    </xf>
    <xf numFmtId="2" fontId="2" fillId="49" borderId="0" xfId="0" applyFont="1" applyFill="1" applyAlignment="1" applyProtection="1">
      <alignment horizontal="center" vertical="center"/>
    </xf>
    <xf numFmtId="2" fontId="2" fillId="50" borderId="0" xfId="0" applyFont="1" applyFill="1" applyAlignment="1" applyProtection="1">
      <alignment horizontal="center" vertical="center"/>
    </xf>
    <xf numFmtId="2" fontId="0" fillId="51" borderId="0" xfId="0" applyFont="1" applyFill="1" applyBorder="1" applyAlignment="1" applyProtection="1">
      <alignment horizontal="center" vertical="center"/>
    </xf>
    <xf numFmtId="0" fontId="0" fillId="43" borderId="0" xfId="21" applyFont="1" applyFill="1" applyBorder="1" applyAlignment="1" applyProtection="1">
      <alignment horizontal="center" vertical="center" wrapText="1"/>
    </xf>
    <xf numFmtId="2" fontId="2" fillId="52" borderId="0" xfId="0" applyFont="1" applyFill="1" applyAlignment="1" applyProtection="1">
      <alignment horizontal="center" vertical="center"/>
    </xf>
    <xf numFmtId="2" fontId="0" fillId="17" borderId="0" xfId="0" applyFont="1" applyFill="1" applyBorder="1" applyAlignment="1" applyProtection="1">
      <alignment horizontal="center" vertical="center"/>
    </xf>
    <xf numFmtId="170" fontId="0" fillId="17" borderId="7" xfId="0" applyNumberFormat="1" applyFont="1" applyFill="1" applyBorder="1" applyAlignment="1" applyProtection="1">
      <alignment horizontal="center" vertical="center"/>
    </xf>
    <xf numFmtId="2" fontId="2" fillId="53" borderId="9" xfId="0" applyFont="1" applyFill="1" applyBorder="1" applyAlignment="1">
      <alignment horizontal="center" vertical="center"/>
    </xf>
    <xf numFmtId="0" fontId="16" fillId="34" borderId="0" xfId="21" applyFont="1" applyFill="1" applyBorder="1" applyAlignment="1" applyProtection="1">
      <alignment horizontal="left" vertical="center" indent="1"/>
    </xf>
    <xf numFmtId="2" fontId="0" fillId="0" borderId="6" xfId="0" applyBorder="1" applyAlignment="1" applyProtection="1">
      <alignment horizontal="center" vertical="center"/>
    </xf>
    <xf numFmtId="2" fontId="0" fillId="0" borderId="0" xfId="0" applyBorder="1" applyAlignment="1" applyProtection="1">
      <alignment horizontal="center" vertical="center"/>
    </xf>
    <xf numFmtId="0" fontId="7" fillId="0" borderId="0" xfId="27" applyAlignment="1" applyProtection="1">
      <alignment horizontal="right"/>
    </xf>
    <xf numFmtId="2" fontId="0" fillId="0" borderId="0" xfId="26" applyNumberFormat="1" applyFont="1">
      <alignment horizontal="left" vertical="center" wrapText="1" indent="2"/>
    </xf>
    <xf numFmtId="0" fontId="1" fillId="0" borderId="0" xfId="26" applyNumberFormat="1" applyFill="1" applyProtection="1">
      <alignment horizontal="left" vertical="center" wrapText="1" indent="2"/>
    </xf>
    <xf numFmtId="2" fontId="2" fillId="0" borderId="0" xfId="0" applyFont="1" applyFill="1" applyAlignment="1" applyProtection="1">
      <alignment horizontal="center" vertical="center"/>
    </xf>
    <xf numFmtId="169" fontId="1" fillId="0" borderId="0" xfId="25" applyNumberFormat="1" applyFill="1" applyProtection="1">
      <alignment horizontal="center" vertical="center"/>
    </xf>
    <xf numFmtId="169" fontId="1" fillId="0" borderId="0" xfId="25" applyNumberFormat="1" applyFill="1" applyAlignment="1" applyProtection="1">
      <alignment horizontal="center" vertical="center"/>
    </xf>
    <xf numFmtId="168" fontId="0" fillId="36" borderId="0" xfId="0" applyNumberFormat="1" applyFont="1" applyFill="1" applyAlignment="1" applyProtection="1">
      <alignment horizontal="center" vertical="center"/>
    </xf>
    <xf numFmtId="2" fontId="0" fillId="36" borderId="10" xfId="0" applyFont="1" applyFill="1" applyBorder="1" applyAlignment="1" applyProtection="1">
      <alignment horizontal="center" vertical="center"/>
    </xf>
    <xf numFmtId="169" fontId="1" fillId="0" borderId="0" xfId="25" applyNumberFormat="1" applyFill="1" applyAlignment="1" applyProtection="1">
      <alignment horizontal="center" vertical="center" wrapText="1"/>
    </xf>
    <xf numFmtId="2" fontId="2" fillId="0" borderId="11" xfId="0" applyFont="1" applyFill="1" applyBorder="1" applyAlignment="1" applyProtection="1">
      <alignment horizontal="center" vertical="center"/>
    </xf>
    <xf numFmtId="0" fontId="1" fillId="43" borderId="0" xfId="21" applyFont="1" applyFill="1" applyBorder="1" applyAlignment="1" applyProtection="1">
      <alignment horizontal="center" vertical="center"/>
    </xf>
    <xf numFmtId="0" fontId="18" fillId="55" borderId="0" xfId="0" applyNumberFormat="1" applyFont="1" applyFill="1" applyAlignment="1">
      <alignment vertical="center"/>
    </xf>
    <xf numFmtId="0" fontId="18" fillId="36" borderId="0" xfId="3" applyFont="1" applyFill="1" applyAlignment="1" applyProtection="1">
      <alignment vertical="center"/>
    </xf>
    <xf numFmtId="0" fontId="18" fillId="34" borderId="0" xfId="3" applyFont="1" applyFill="1" applyProtection="1">
      <alignment horizontal="center" vertical="center"/>
    </xf>
    <xf numFmtId="2" fontId="3" fillId="56" borderId="0" xfId="0" applyFont="1" applyFill="1" applyAlignment="1" applyProtection="1">
      <alignment horizontal="center" vertical="center"/>
    </xf>
    <xf numFmtId="2" fontId="3" fillId="44" borderId="11" xfId="0" applyFont="1" applyFill="1" applyBorder="1" applyAlignment="1" applyProtection="1">
      <alignment horizontal="center" vertical="center" wrapText="1"/>
    </xf>
    <xf numFmtId="2" fontId="2" fillId="54" borderId="0" xfId="0" applyFont="1" applyFill="1" applyAlignment="1" applyProtection="1">
      <alignment horizontal="center" vertical="center"/>
    </xf>
    <xf numFmtId="2" fontId="2" fillId="0" borderId="0" xfId="0" applyFont="1" applyAlignment="1">
      <alignment horizontal="center" vertical="center"/>
    </xf>
    <xf numFmtId="2" fontId="0" fillId="0" borderId="0" xfId="0" applyAlignment="1" applyProtection="1">
      <alignment horizontal="center" vertical="center"/>
    </xf>
    <xf numFmtId="0" fontId="0" fillId="33" borderId="0" xfId="21" applyFont="1" applyFill="1" applyAlignment="1" applyProtection="1">
      <alignment horizontal="left" vertical="center"/>
    </xf>
    <xf numFmtId="0" fontId="20" fillId="36" borderId="0" xfId="3" applyFont="1" applyFill="1" applyProtection="1">
      <alignment horizontal="center" vertical="center"/>
    </xf>
    <xf numFmtId="0" fontId="19" fillId="36" borderId="0" xfId="3" applyFont="1" applyFill="1" applyProtection="1">
      <alignment horizontal="center" vertical="center"/>
    </xf>
    <xf numFmtId="0" fontId="1" fillId="33" borderId="0" xfId="21" applyFill="1" applyAlignment="1" applyProtection="1">
      <alignment horizontal="left" vertical="center"/>
    </xf>
    <xf numFmtId="0" fontId="0" fillId="33" borderId="11" xfId="21" applyFont="1" applyFill="1" applyBorder="1" applyAlignment="1" applyProtection="1">
      <alignment horizontal="left" vertical="center"/>
    </xf>
    <xf numFmtId="0" fontId="0" fillId="33" borderId="12" xfId="21" applyFont="1" applyFill="1" applyBorder="1" applyAlignment="1" applyProtection="1">
      <alignment horizontal="left" vertical="center"/>
    </xf>
    <xf numFmtId="2" fontId="0" fillId="33" borderId="0" xfId="0" applyFill="1" applyAlignment="1" applyProtection="1">
      <alignment horizontal="left" vertical="center"/>
    </xf>
    <xf numFmtId="2" fontId="0" fillId="33" borderId="0" xfId="0" applyFill="1" applyAlignment="1" applyProtection="1">
      <alignment horizontal="center" vertical="center"/>
    </xf>
    <xf numFmtId="0" fontId="0" fillId="33" borderId="0" xfId="21" applyFont="1" applyFill="1" applyAlignment="1" applyProtection="1">
      <alignment horizontal="center"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3000000}"/>
    <cellStyle name="Entrée" xfId="36" builtinId="20" customBuiltin="1"/>
    <cellStyle name="Étiquette" xfId="27" xr:uid="{00000000-0005-0000-0000-000018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421">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numFmt numFmtId="169"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style="thin">
          <color theme="0"/>
        </right>
        <top/>
        <bottom style="thin">
          <color indexed="64"/>
        </bottom>
      </border>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fill>
        <patternFill patternType="none">
          <fgColor indexed="64"/>
          <bgColor indexed="65"/>
        </patternFill>
      </fill>
      <protection locked="1" hidden="0"/>
    </dxf>
    <dxf>
      <protection locked="1" hidden="0"/>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style="thin">
          <color theme="0"/>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solid">
          <fgColor indexed="64"/>
          <bgColor theme="4" tint="0.5999938962981048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theme="4"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theme="9"/>
      </font>
      <fill>
        <patternFill patternType="none">
          <bgColor auto="1"/>
        </patternFill>
      </fill>
    </dxf>
    <dxf>
      <font>
        <color theme="9"/>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i val="0"/>
        <strike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protection locked="1" hidden="0"/>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169" formatCode="0.0"/>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68" formatCode="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numFmt numFmtId="168" formatCode="0;0;"/>
      <fill>
        <patternFill patternType="solid">
          <fgColor indexed="64"/>
          <bgColor theme="8" tint="0.79998168889431442"/>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fill>
        <patternFill patternType="solid">
          <fgColor indexed="64"/>
          <bgColor theme="8"/>
        </patternFill>
      </fill>
      <alignment horizontal="center" vertical="center" textRotation="0" wrapText="0" indent="0" justifyLastLine="0" shrinkToFit="0" readingOrder="0"/>
      <protection locked="1" hidden="0"/>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color theme="9"/>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9"/>
      </font>
      <fill>
        <patternFill patternType="none">
          <bgColor auto="1"/>
        </patternFill>
      </fill>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font>
        <b/>
      </font>
      <numFmt numFmtId="2" formatCode="0.00"/>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i val="0"/>
        <strike val="0"/>
        <condense val="0"/>
        <extend val="0"/>
        <outline val="0"/>
        <shadow val="0"/>
        <u val="none"/>
        <vertAlign val="baseline"/>
        <sz val="11"/>
        <color theme="1"/>
        <name val="Calibri"/>
        <family val="2"/>
        <scheme val="minor"/>
      </font>
      <numFmt numFmtId="170" formatCode="0.0;0.0;"/>
      <fill>
        <patternFill patternType="solid">
          <fgColor indexed="64"/>
          <bgColor theme="4" tint="0.79998168889431442"/>
        </patternFill>
      </fill>
      <alignment horizontal="center" vertical="center" textRotation="0" wrapText="0" indent="0" justifyLastLine="0" shrinkToFit="0" readingOrder="0"/>
      <border diagonalUp="0" diagonalDown="0" outline="0">
        <left/>
        <right/>
        <top/>
        <bottom style="thin">
          <color indexed="64"/>
        </bottom>
      </border>
      <protection locked="1" hidden="0"/>
    </dxf>
    <dxf>
      <numFmt numFmtId="169" formatCode="0.0"/>
      <fill>
        <patternFill patternType="none">
          <fgColor indexed="64"/>
          <bgColor indexed="65"/>
        </patternFill>
      </fill>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fill>
        <patternFill patternType="none">
          <fgColor indexed="64"/>
          <bgColor indexed="65"/>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theme="1"/>
        <name val="Calibri"/>
        <family val="2"/>
        <scheme val="minor"/>
      </font>
      <numFmt numFmtId="170" formatCode="0.0;0.0;"/>
      <fill>
        <patternFill patternType="solid">
          <fgColor indexed="64"/>
          <bgColor theme="8" tint="0.79998168889431442"/>
        </patternFill>
      </fill>
      <alignment horizontal="center" vertical="center" textRotation="0" wrapText="0" indent="0" justifyLastLine="0" shrinkToFit="0" readingOrder="0"/>
      <border diagonalUp="0" diagonalDown="0" outline="0">
        <left style="thin">
          <color theme="0"/>
        </left>
        <right/>
        <top/>
        <bottom style="thin">
          <color indexed="64"/>
        </bottom>
      </border>
      <protection locked="1" hidden="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protection locked="1" hidden="0"/>
    </dxf>
    <dxf>
      <font>
        <b/>
        <i val="0"/>
        <strike val="0"/>
        <condense val="0"/>
        <extend val="0"/>
        <outline val="0"/>
        <shadow val="0"/>
        <u val="none"/>
        <vertAlign val="baseline"/>
        <sz val="11"/>
        <color theme="1"/>
        <name val="Calibri"/>
        <family val="2"/>
        <scheme val="minor"/>
      </font>
      <fill>
        <patternFill patternType="solid">
          <fgColor indexed="64"/>
          <bgColor theme="8" tint="0.79998168889431442"/>
        </patternFill>
      </fill>
      <alignment horizontal="left" vertical="center" textRotation="0" wrapText="0" indent="1" justifyLastLine="0" shrinkToFit="0" readingOrder="0"/>
      <border diagonalUp="0" diagonalDown="0" outline="0">
        <left/>
        <right style="thin">
          <color theme="0"/>
        </right>
        <top/>
        <bottom style="thin">
          <color indexed="64"/>
        </bottom>
      </border>
      <protection locked="1" hidden="0"/>
    </dxf>
    <dxf>
      <fill>
        <patternFill patternType="none">
          <fgColor indexed="64"/>
          <bgColor indexed="65"/>
        </patternFill>
      </fill>
    </dxf>
    <dxf>
      <fill>
        <patternFill patternType="solid">
          <fgColor indexed="64"/>
          <bgColor theme="8" tint="0.79998168889431442"/>
        </patternFill>
      </fill>
      <protection locked="1" hidden="0"/>
    </dxf>
    <dxf>
      <protection locked="1" hidden="0"/>
    </dxf>
    <dxf>
      <protection locked="1" hidden="0"/>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theme="0" tint="-0.24994659260841701"/>
      </font>
      <fill>
        <patternFill patternType="none">
          <bgColor auto="1"/>
        </patternFill>
      </fill>
    </dxf>
    <dxf>
      <font>
        <color auto="1"/>
      </font>
      <fill>
        <patternFill>
          <bgColor rgb="FF73FDD6"/>
        </patternFill>
      </fill>
    </dxf>
    <dxf>
      <font>
        <color theme="1"/>
      </font>
      <fill>
        <patternFill>
          <bgColor rgb="FF92D050"/>
        </patternFill>
      </fill>
    </dxf>
    <dxf>
      <font>
        <color theme="1"/>
      </font>
      <fill>
        <patternFill>
          <bgColor rgb="FFFFC000"/>
        </patternFill>
      </fill>
    </dxf>
    <dxf>
      <font>
        <color auto="1"/>
      </font>
      <fill>
        <patternFill>
          <bgColor rgb="FF00B0F0"/>
        </patternFill>
      </fill>
      <border>
        <left/>
        <right/>
        <top/>
        <bottom/>
      </border>
    </dxf>
    <dxf>
      <font>
        <color theme="1"/>
      </font>
      <fill>
        <patternFill>
          <bgColor rgb="FFFFFF00"/>
        </patternFill>
      </fill>
    </dxf>
    <dxf>
      <font>
        <color auto="1"/>
      </font>
      <fill>
        <patternFill>
          <bgColor rgb="FFFF7E79"/>
        </patternFill>
      </fill>
    </dxf>
    <dxf>
      <font>
        <color auto="1"/>
      </font>
      <fill>
        <patternFill>
          <bgColor theme="6" tint="0.39994506668294322"/>
        </patternFill>
      </fill>
    </dxf>
    <dxf>
      <font>
        <color auto="1"/>
      </font>
      <fill>
        <patternFill>
          <bgColor rgb="FFD883FF"/>
        </patternFill>
      </fill>
    </dxf>
    <dxf>
      <font>
        <color auto="1"/>
      </font>
      <fill>
        <patternFill>
          <bgColor rgb="FFFFB8D8"/>
        </patternFill>
      </fill>
    </dxf>
    <dxf>
      <font>
        <color auto="1"/>
      </font>
      <fill>
        <patternFill>
          <bgColor rgb="FF76D6FF"/>
        </patternFill>
      </fill>
    </dxf>
    <dxf>
      <font>
        <color auto="1"/>
      </font>
      <fill>
        <patternFill>
          <bgColor rgb="FFFFC000"/>
        </patternFill>
      </fill>
    </dxf>
    <dxf>
      <font>
        <color auto="1"/>
      </font>
      <fill>
        <patternFill>
          <bgColor rgb="FF00B050"/>
        </patternFill>
      </fill>
    </dxf>
    <dxf>
      <font>
        <color theme="1"/>
      </font>
      <fill>
        <patternFill>
          <bgColor theme="9" tint="-0.24994659260841701"/>
        </patternFill>
      </fill>
    </dxf>
    <dxf>
      <font>
        <color auto="1"/>
      </font>
      <fill>
        <patternFill>
          <bgColor rgb="FFFF2F92"/>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1420"/>
      <tableStyleElement type="headerRow" dxfId="1419"/>
      <tableStyleElement type="totalRow" dxfId="1418"/>
      <tableStyleElement type="firstColumn" dxfId="1417"/>
      <tableStyleElement type="lastColumn" dxfId="1416"/>
      <tableStyleElement type="firstRowStripe" dxfId="1415"/>
      <tableStyleElement type="secondRowStripe" dxfId="1414"/>
      <tableStyleElement type="firstColumnStripe" dxfId="1413"/>
      <tableStyleElement type="secondColumnStripe" dxfId="1412"/>
      <tableStyleElement type="firstHeaderCell" dxfId="1411"/>
      <tableStyleElement type="lastHeaderCell" dxfId="1410"/>
      <tableStyleElement type="firstTotalCell" dxfId="1409"/>
      <tableStyleElement type="lastTotalCell" dxfId="1408"/>
    </tableStyle>
  </tableStyles>
  <colors>
    <mruColors>
      <color rgb="FFFF2F92"/>
      <color rgb="FF92D0BA"/>
      <color rgb="FF941651"/>
      <color rgb="FF8EFA00"/>
      <color rgb="FF5EB0F0"/>
      <color rgb="FFD883FF"/>
      <color rgb="FFFF7E79"/>
      <color rgb="FF76D6FF"/>
      <color rgb="FFFFB8D8"/>
      <color rgb="FF73FD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7:AK19" totalsRowCount="1" headerRowDxfId="1357" dataDxfId="1356" totalsRowDxfId="1355">
  <autoFilter ref="B7:AK18"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6">
    <tableColumn id="1" xr3:uid="{00000000-0010-0000-0000-000001000000}" name="Nom de l’employé" totalsRowFunction="custom" dataDxfId="1354" totalsRowDxfId="1353" dataCellStyle="Employé">
      <totalsRowFormula>NomMois&amp;" Total"</totalsRowFormula>
    </tableColumn>
    <tableColumn id="2" xr3:uid="{00000000-0010-0000-0000-000002000000}" name="1" totalsRowFunction="custom" dataDxfId="1352" totalsRowDxfId="1351">
      <totalsRowFormula>(COUNTIF(C8:C18,"C")+(COUNTIF(C8:C18,"CS")+COUNTIF(C8:C18,"RTT")+(COUNTIF(C8:C18,"DRTT")/2)+COUNTIF(C8:C18,"M")+COUNTIF(C8:C18,"Rec")+(COUNTIF(C8:C18,"Drec")/2)+COUNTIF(C8:C18,"F")+(COUNTIF(C8:C18,"EM")+(COUNTIF(C8:C18,"DEM")/2))))</totalsRowFormula>
    </tableColumn>
    <tableColumn id="3" xr3:uid="{00000000-0010-0000-0000-000003000000}" name="2" totalsRowFunction="custom" dataDxfId="1350" totalsRowDxfId="1349">
      <totalsRowFormula>(COUNTIF(D8:D18,"C")+(COUNTIF(D8:D18,"CS")+COUNTIF(D8:D18,"RTT")+(COUNTIF(D8:D18,"DRTT")/2)+COUNTIF(D8:D18,"M")+COUNTIF(D8:D18,"Rec")+(COUNTIF(D8:D18,"Drec")/2)+COUNTIF(D8:D18,"F")+(COUNTIF(D8:D18,"EM")+(COUNTIF(D8:D18,"DEM")/2))))</totalsRowFormula>
    </tableColumn>
    <tableColumn id="4" xr3:uid="{00000000-0010-0000-0000-000004000000}" name="3" totalsRowFunction="custom" dataDxfId="1348" totalsRowDxfId="1347">
      <totalsRowFormula>(COUNTIF(E8:E18,"C")+(COUNTIF(E8:E18,"CS")+COUNTIF(E8:E18,"RTT")+(COUNTIF(E8:E18,"DRTT")/2)+COUNTIF(E8:E18,"M")+COUNTIF(E8:E18,"Rec")+(COUNTIF(E8:E18,"Drec")/2)+COUNTIF(E8:E18,"F")+(COUNTIF(E8:E18,"EM")+(COUNTIF(E8:E18,"DEM")/2))))</totalsRowFormula>
    </tableColumn>
    <tableColumn id="5" xr3:uid="{00000000-0010-0000-0000-000005000000}" name="4" totalsRowFunction="custom" dataDxfId="1346" totalsRowDxfId="1345">
      <totalsRowFormula>(COUNTIF(F8:F18,"C")+(COUNTIF(F8:F18,"CS")+COUNTIF(F8:F18,"RTT")+(COUNTIF(F8:F18,"DRTT")/2)+COUNTIF(F8:F18,"M")+COUNTIF(F8:F18,"Rec")+(COUNTIF(F8:F18,"Drec")/2)+COUNTIF(F8:F18,"F")+(COUNTIF(F8:F18,"EM")+(COUNTIF(F8:F18,"DEM")/2))))</totalsRowFormula>
    </tableColumn>
    <tableColumn id="6" xr3:uid="{00000000-0010-0000-0000-000006000000}" name="5" totalsRowFunction="custom" dataDxfId="1344" totalsRowDxfId="1343">
      <totalsRowFormula>(COUNTIF(G8:G18,"C")+(COUNTIF(G8:G18,"CS")+COUNTIF(G8:G18,"RTT")+(COUNTIF(G8:G18,"DRTT")/2)+COUNTIF(G8:G18,"M")+COUNTIF(G8:G18,"Rec")+(COUNTIF(G8:G18,"Drec")/2)+COUNTIF(G8:G18,"F")+(COUNTIF(G8:G18,"EM")+(COUNTIF(G8:G18,"DEM")/2))))</totalsRowFormula>
    </tableColumn>
    <tableColumn id="7" xr3:uid="{00000000-0010-0000-0000-000007000000}" name="6" totalsRowFunction="custom" dataDxfId="1342" totalsRowDxfId="1341">
      <totalsRowFormula>(COUNTIF(H8:H18,"C")+(COUNTIF(H8:H18,"CS")+COUNTIF(H8:H18,"RTT")+(COUNTIF(H8:H18,"DRTT")/2)+COUNTIF(H8:H18,"M")+COUNTIF(H8:H18,"Rec")+(COUNTIF(H8:H18,"Drec")/2)+COUNTIF(H8:H18,"F")+(COUNTIF(H8:H18,"EM")+(COUNTIF(H8:H18,"DEM")/2))))</totalsRowFormula>
    </tableColumn>
    <tableColumn id="8" xr3:uid="{00000000-0010-0000-0000-000008000000}" name="7" totalsRowFunction="custom" dataDxfId="1340" totalsRowDxfId="1339">
      <totalsRowFormula>(COUNTIF(I8:I18,"C")+(COUNTIF(I8:I18,"CS")+COUNTIF(I8:I18,"RTT")+(COUNTIF(I8:I18,"DRTT")/2)+COUNTIF(I8:I18,"M")+COUNTIF(I8:I18,"Rec")+(COUNTIF(I8:I18,"Drec")/2)+COUNTIF(I8:I18,"F")+(COUNTIF(I8:I18,"EM")+(COUNTIF(I8:I18,"DEM")/2))))</totalsRowFormula>
    </tableColumn>
    <tableColumn id="9" xr3:uid="{00000000-0010-0000-0000-000009000000}" name="8" totalsRowFunction="custom" dataDxfId="1338" totalsRowDxfId="1337">
      <totalsRowFormula>(COUNTIF(J8:J18,"C")+(COUNTIF(J8:J18,"CS")+COUNTIF(J8:J18,"RTT")+(COUNTIF(J8:J18,"DRTT")/2)+COUNTIF(J8:J18,"M")+COUNTIF(J8:J18,"Rec")+(COUNTIF(J8:J18,"Drec")/2)+COUNTIF(J8:J18,"F")+(COUNTIF(J8:J18,"EM")+(COUNTIF(J8:J18,"DEM")/2))))</totalsRowFormula>
    </tableColumn>
    <tableColumn id="10" xr3:uid="{00000000-0010-0000-0000-00000A000000}" name="9" totalsRowFunction="custom" dataDxfId="1336" totalsRowDxfId="1335">
      <totalsRowFormula>(COUNTIF(K8:K18,"C")+(COUNTIF(K8:K18,"CS")+COUNTIF(K8:K18,"RTT")+(COUNTIF(K8:K18,"DRTT")/2)+COUNTIF(K8:K18,"M")+COUNTIF(K8:K18,"Rec")+(COUNTIF(K8:K18,"Drec")/2)+COUNTIF(K8:K18,"F")+(COUNTIF(K8:K18,"EM")+(COUNTIF(K8:K18,"DEM")/2))))</totalsRowFormula>
    </tableColumn>
    <tableColumn id="11" xr3:uid="{00000000-0010-0000-0000-00000B000000}" name="10" totalsRowFunction="custom" dataDxfId="1334" totalsRowDxfId="1333">
      <totalsRowFormula>(COUNTIF(L8:L18,"C")+(COUNTIF(L8:L18,"CS")+COUNTIF(L8:L18,"RTT")+(COUNTIF(L8:L18,"DRTT")/2)+COUNTIF(L8:L18,"M")+COUNTIF(L8:L18,"Rec")+(COUNTIF(L8:L18,"Drec")/2)+COUNTIF(L8:L18,"F")+(COUNTIF(L8:L18,"EM")+(COUNTIF(L8:L18,"DEM")/2))))</totalsRowFormula>
    </tableColumn>
    <tableColumn id="12" xr3:uid="{00000000-0010-0000-0000-00000C000000}" name="11" totalsRowFunction="custom" dataDxfId="1332" totalsRowDxfId="1331">
      <totalsRowFormula>(COUNTIF(M8:M18,"C")+(COUNTIF(M8:M18,"CS")+COUNTIF(M8:M18,"RTT")+(COUNTIF(M8:M18,"DRTT")/2)+COUNTIF(M8:M18,"M")+COUNTIF(M8:M18,"Rec")+(COUNTIF(M8:M18,"Drec")/2)+COUNTIF(M8:M18,"F")+(COUNTIF(M8:M18,"EM")+(COUNTIF(M8:M18,"DEM")/2))))</totalsRowFormula>
    </tableColumn>
    <tableColumn id="13" xr3:uid="{00000000-0010-0000-0000-00000D000000}" name="12" totalsRowFunction="custom" dataDxfId="1330" totalsRowDxfId="1329">
      <totalsRowFormula>(COUNTIF(N8:N18,"C")+(COUNTIF(N8:N18,"CS")+COUNTIF(N8:N18,"RTT")+(COUNTIF(N8:N18,"DRTT")/2)+COUNTIF(N8:N18,"M")+COUNTIF(N8:N18,"Rec")+(COUNTIF(N8:N18,"Drec")/2)+COUNTIF(N8:N18,"F")+(COUNTIF(N8:N18,"EM")+(COUNTIF(N8:N18,"DEM")/2))))</totalsRowFormula>
    </tableColumn>
    <tableColumn id="14" xr3:uid="{00000000-0010-0000-0000-00000E000000}" name="13" totalsRowFunction="custom" dataDxfId="1328" totalsRowDxfId="1327">
      <totalsRowFormula>(COUNTIF(O8:O18,"C")+(COUNTIF(O8:O18,"CS")+COUNTIF(O8:O18,"RTT")+(COUNTIF(O8:O18,"DRTT")/2)+COUNTIF(O8:O18,"M")+COUNTIF(O8:O18,"Rec")+(COUNTIF(O8:O18,"Drec")/2)+COUNTIF(O8:O18,"F")+(COUNTIF(O8:O18,"EM")+(COUNTIF(O8:O18,"DEM")/2))))</totalsRowFormula>
    </tableColumn>
    <tableColumn id="15" xr3:uid="{00000000-0010-0000-0000-00000F000000}" name="14" totalsRowFunction="custom" dataDxfId="1326" totalsRowDxfId="1325">
      <totalsRowFormula>(COUNTIF(P8:P18,"C")+(COUNTIF(P8:P18,"CS")+COUNTIF(P8:P18,"RTT")+(COUNTIF(P8:P18,"DRTT")/2)+COUNTIF(P8:P18,"M")+COUNTIF(P8:P18,"Rec")+(COUNTIF(P8:P18,"Drec")/2)+COUNTIF(P8:P18,"F")+(COUNTIF(P8:P18,"EM")+(COUNTIF(P8:P18,"DEM")/2))))</totalsRowFormula>
    </tableColumn>
    <tableColumn id="16" xr3:uid="{00000000-0010-0000-0000-000010000000}" name="15" totalsRowFunction="custom" dataDxfId="1324" totalsRowDxfId="1323">
      <totalsRowFormula>(COUNTIF(Q8:Q18,"C")+(COUNTIF(Q8:Q18,"CS")+COUNTIF(Q8:Q18,"RTT")+(COUNTIF(Q8:Q18,"DRTT")/2)+COUNTIF(Q8:Q18,"M")+COUNTIF(Q8:Q18,"Rec")+(COUNTIF(Q8:Q18,"Drec")/2)+COUNTIF(Q8:Q18,"F")+(COUNTIF(Q8:Q18,"EM")+(COUNTIF(Q8:Q18,"DEM")/2))))</totalsRowFormula>
    </tableColumn>
    <tableColumn id="17" xr3:uid="{00000000-0010-0000-0000-000011000000}" name="16" totalsRowFunction="custom" dataDxfId="1322" totalsRowDxfId="1321">
      <totalsRowFormula>(COUNTIF(R8:R18,"C")+(COUNTIF(R8:R18,"CS")+COUNTIF(R8:R18,"RTT")+(COUNTIF(R8:R18,"DRTT")/2)+COUNTIF(R8:R18,"M")+COUNTIF(R8:R18,"Rec")+(COUNTIF(R8:R18,"Drec")/2)+COUNTIF(R8:R18,"F")+(COUNTIF(R8:R18,"EM")+(COUNTIF(R8:R18,"DEM")/2))))</totalsRowFormula>
    </tableColumn>
    <tableColumn id="18" xr3:uid="{00000000-0010-0000-0000-000012000000}" name="17" totalsRowFunction="custom" dataDxfId="1320" totalsRowDxfId="1319">
      <totalsRowFormula>(COUNTIF(S8:S18,"C")+(COUNTIF(S8:S18,"CS")+COUNTIF(S8:S18,"RTT")+(COUNTIF(S8:S18,"DRTT")/2)+COUNTIF(S8:S18,"M")+COUNTIF(S8:S18,"Rec")+(COUNTIF(S8:S18,"Drec")/2)+COUNTIF(S8:S18,"F")+(COUNTIF(S8:S18,"EM")+(COUNTIF(S8:S18,"DEM")/2))))</totalsRowFormula>
    </tableColumn>
    <tableColumn id="19" xr3:uid="{00000000-0010-0000-0000-000013000000}" name="18" totalsRowFunction="custom" dataDxfId="1318" totalsRowDxfId="1317">
      <totalsRowFormula>(COUNTIF(T8:T18,"C")+(COUNTIF(T8:T18,"CS")+COUNTIF(T8:T18,"RTT")+(COUNTIF(T8:T18,"DRTT")/2)+COUNTIF(T8:T18,"M")+COUNTIF(T8:T18,"Rec")+(COUNTIF(T8:T18,"Drec")/2)+COUNTIF(T8:T18,"F")+(COUNTIF(T8:T18,"EM")+(COUNTIF(T8:T18,"DEM")/2))))</totalsRowFormula>
    </tableColumn>
    <tableColumn id="20" xr3:uid="{00000000-0010-0000-0000-000014000000}" name="19" totalsRowFunction="custom" dataDxfId="1316" totalsRowDxfId="1315">
      <totalsRowFormula>(COUNTIF(U8:U18,"C")+(COUNTIF(U8:U18,"CS")+COUNTIF(U8:U18,"RTT")+(COUNTIF(U8:U18,"DRTT")/2)+COUNTIF(U8:U18,"M")+COUNTIF(U8:U18,"Rec")+(COUNTIF(U8:U18,"Drec")/2)+COUNTIF(U8:U18,"F")+(COUNTIF(U8:U18,"EM")+(COUNTIF(U8:U18,"DEM")/2))))</totalsRowFormula>
    </tableColumn>
    <tableColumn id="21" xr3:uid="{00000000-0010-0000-0000-000015000000}" name="20" totalsRowFunction="custom" dataDxfId="1314" totalsRowDxfId="1313">
      <totalsRowFormula>(COUNTIF(V8:V18,"C")+(COUNTIF(V8:V18,"CS")+COUNTIF(V8:V18,"RTT")+(COUNTIF(V8:V18,"DRTT")/2)+COUNTIF(V8:V18,"M")+COUNTIF(V8:V18,"Rec")+(COUNTIF(V8:V18,"Drec")/2)+COUNTIF(V8:V18,"F")+(COUNTIF(V8:V18,"EM")+(COUNTIF(V8:V18,"DEM")/2))))</totalsRowFormula>
    </tableColumn>
    <tableColumn id="22" xr3:uid="{00000000-0010-0000-0000-000016000000}" name="21" totalsRowFunction="custom" dataDxfId="1312" totalsRowDxfId="1311">
      <totalsRowFormula>(COUNTIF(W8:W18,"C")+(COUNTIF(W8:W18,"CS")+COUNTIF(W8:W18,"RTT")+(COUNTIF(W8:W18,"DRTT")/2)+COUNTIF(W8:W18,"M")+COUNTIF(W8:W18,"Rec")+(COUNTIF(W8:W18,"Drec")/2)+COUNTIF(W8:W18,"F")+(COUNTIF(W8:W18,"EM")+(COUNTIF(W8:W18,"DEM")/2))))</totalsRowFormula>
    </tableColumn>
    <tableColumn id="23" xr3:uid="{00000000-0010-0000-0000-000017000000}" name="22" totalsRowFunction="custom" dataDxfId="1310" totalsRowDxfId="1309">
      <totalsRowFormula>(COUNTIF(X8:X18,"C")+(COUNTIF(X8:X18,"CS")+COUNTIF(X8:X18,"RTT")+(COUNTIF(X8:X18,"DRTT")/2)+COUNTIF(X8:X18,"M")+COUNTIF(X8:X18,"Rec")+(COUNTIF(X8:X18,"Drec")/2)+COUNTIF(X8:X18,"F")+(COUNTIF(X8:X18,"EM")+(COUNTIF(X8:X18,"DEM")/2))))</totalsRowFormula>
    </tableColumn>
    <tableColumn id="24" xr3:uid="{00000000-0010-0000-0000-000018000000}" name="23" totalsRowFunction="custom" dataDxfId="1308" totalsRowDxfId="1307">
      <totalsRowFormula>(COUNTIF(Y8:Y18,"C")+(COUNTIF(Y8:Y18,"CS")+COUNTIF(Y8:Y18,"RTT")+(COUNTIF(Y8:Y18,"DRTT")/2)+COUNTIF(Y8:Y18,"M")+COUNTIF(Y8:Y18,"Rec")+(COUNTIF(Y8:Y18,"Drec")/2)+COUNTIF(Y8:Y18,"F")+(COUNTIF(Y8:Y18,"EM")+(COUNTIF(Y8:Y18,"DEM")/2))))</totalsRowFormula>
    </tableColumn>
    <tableColumn id="25" xr3:uid="{00000000-0010-0000-0000-000019000000}" name="24" totalsRowFunction="custom" dataDxfId="1306" totalsRowDxfId="1305">
      <totalsRowFormula>(COUNTIF(Z8:Z18,"C")+(COUNTIF(Z8:Z18,"CS")+COUNTIF(Z8:Z18,"RTT")+(COUNTIF(Z8:Z18,"DRTT")/2)+COUNTIF(Z8:Z18,"M")+COUNTIF(Z8:Z18,"Rec")+(COUNTIF(Z8:Z18,"Drec")/2)+COUNTIF(Z8:Z18,"F")+(COUNTIF(Z8:Z18,"EM")+(COUNTIF(Z8:Z18,"DEM")/2))))</totalsRowFormula>
    </tableColumn>
    <tableColumn id="26" xr3:uid="{00000000-0010-0000-0000-00001A000000}" name="25" totalsRowFunction="custom" dataDxfId="1304" totalsRowDxfId="1303">
      <totalsRowFormula>(COUNTIF(AA8:AA18,"C")+(COUNTIF(AA8:AA18,"CS")+COUNTIF(AA8:AA18,"RTT")+(COUNTIF(AA8:AA18,"DRTT")/2)+COUNTIF(AA8:AA18,"M")+COUNTIF(AA8:AA18,"Rec")+(COUNTIF(AA8:AA18,"Drec")/2)+COUNTIF(AA8:AA18,"F")+(COUNTIF(AA8:AA18,"EM")+(COUNTIF(AA8:AA18,"DEM")/2))))</totalsRowFormula>
    </tableColumn>
    <tableColumn id="27" xr3:uid="{00000000-0010-0000-0000-00001B000000}" name="26" totalsRowFunction="custom" dataDxfId="1302" totalsRowDxfId="1301">
      <totalsRowFormula>(COUNTIF(AB8:AB18,"C")+(COUNTIF(AB8:AB18,"CS")+COUNTIF(AB8:AB18,"RTT")+(COUNTIF(AB8:AB18,"DRTT")/2)+COUNTIF(AB8:AB18,"M")+COUNTIF(AB8:AB18,"Rec")+(COUNTIF(AB8:AB18,"Drec")/2)+COUNTIF(AB8:AB18,"F")+(COUNTIF(AB8:AB18,"EM")+(COUNTIF(AB8:AB18,"DEM")/2))))</totalsRowFormula>
    </tableColumn>
    <tableColumn id="28" xr3:uid="{00000000-0010-0000-0000-00001C000000}" name="27" totalsRowFunction="custom" dataDxfId="1300" totalsRowDxfId="1299">
      <totalsRowFormula>(COUNTIF(AC8:AC18,"C")+(COUNTIF(AC8:AC18,"CS")+COUNTIF(AC8:AC18,"RTT")+(COUNTIF(AC8:AC18,"DRTT")/2)+COUNTIF(AC8:AC18,"M")+COUNTIF(AC8:AC18,"Rec")+(COUNTIF(AC8:AC18,"Drec")/2)+COUNTIF(AC8:AC18,"F")+(COUNTIF(AC8:AC18,"EM")+(COUNTIF(AC8:AC18,"DEM")/2))))</totalsRowFormula>
    </tableColumn>
    <tableColumn id="29" xr3:uid="{00000000-0010-0000-0000-00001D000000}" name="28" totalsRowFunction="custom" dataDxfId="1298" totalsRowDxfId="1297">
      <totalsRowFormula>(COUNTIF(AD8:AD18,"C")+(COUNTIF(AD8:AD18,"CS")+COUNTIF(AD8:AD18,"RTT")+(COUNTIF(AD8:AD18,"DRTT")/2)+COUNTIF(AD8:AD18,"M")+COUNTIF(AD8:AD18,"Rec")+(COUNTIF(AD8:AD18,"Drec")/2)+COUNTIF(AD8:AD18,"F")+(COUNTIF(AD8:AD18,"EM")+(COUNTIF(AD8:AD18,"DEM")/2))))</totalsRowFormula>
    </tableColumn>
    <tableColumn id="30" xr3:uid="{00000000-0010-0000-0000-00001E000000}" name="29" totalsRowFunction="custom" dataDxfId="1296" totalsRowDxfId="1295">
      <totalsRowFormula>(COUNTIF(AE8:AE18,"C")+(COUNTIF(AE8:AE18,"CS")+COUNTIF(AE8:AE18,"RTT")+(COUNTIF(AE8:AE18,"DRTT")/2)+COUNTIF(AE8:AE18,"M")+COUNTIF(AE8:AE18,"Rec")+(COUNTIF(AE8:AE18,"Drec")/2)+COUNTIF(AE8:AE18,"F")+(COUNTIF(AE8:AE18,"EM")+(COUNTIF(AE8:AE18,"DEM")/2))))</totalsRowFormula>
    </tableColumn>
    <tableColumn id="31" xr3:uid="{00000000-0010-0000-0000-00001F000000}" name="30" totalsRowFunction="custom" dataDxfId="1294" totalsRowDxfId="1293">
      <totalsRowFormula>(COUNTIF(AF8:AF18,"C")+(COUNTIF(AF8:AF18,"CS")+COUNTIF(AF8:AF18,"RTT")+(COUNTIF(AF8:AF18,"DRTT")/2)+COUNTIF(AF8:AF18,"M")+COUNTIF(AF8:AF18,"Rec")+(COUNTIF(AF8:AF18,"Drec")/2)+COUNTIF(AF8:AF18,"F")+(COUNTIF(AF8:AF18,"EM")+(COUNTIF(AF8:AF18,"DEM")/2))))</totalsRowFormula>
    </tableColumn>
    <tableColumn id="32" xr3:uid="{00000000-0010-0000-0000-000020000000}" name="31" totalsRowFunction="custom" dataDxfId="1292" totalsRowDxfId="1291">
      <totalsRowFormula>(COUNTIF(AG8:AG18,"C")+(COUNTIF(AG8:AG18,"CS")+COUNTIF(AG8:AG18,"RTT")+(COUNTIF(AG8:AG18,"DRTT")/2)+COUNTIF(AG8:AG18,"M")+COUNTIF(AG8:AG18,"Rec")+(COUNTIF(AG8:AG18,"Drec")/2)+COUNTIF(AG8:AG18,"F")+(COUNTIF(AG8:AG18,"EM")+(COUNTIF(AG8:AG18,"DEM")/2))))</totalsRowFormula>
    </tableColumn>
    <tableColumn id="33" xr3:uid="{00000000-0010-0000-0000-000021000000}" name="Total absence" totalsRowFunction="sum" dataDxfId="1290" totalsRowDxfId="1289" dataCellStyle="Total">
      <calculatedColumnFormula>(COUNTIF(C8:AG8,"C")+(COUNTIF(C8:AG8,"EM")+COUNTIF(C8:AG8,"RTT")+COUNTIF(C8:AG8,"M")+COUNTIF(C8:AG8,"Rec")+COUNTIF(C8:AG8,"F")+COUNTIF(C8:AG8,"TT"-1)+COUNTIF(C8:AG8,"CS")+COUNTIF(C8:AG8,"PE"-1)+COUNTIF(C8:AG8,"DRTT")/2)+COUNTIF(C8:AG8,"DREC")/2)+COUNTIF(C8:AG8,"DEM")/2</calculatedColumnFormula>
    </tableColumn>
    <tableColumn id="35" xr3:uid="{1501D1C5-CF1C-FB4A-AAB7-8ED3609F1E87}" name="Dont RTT" totalsRowFunction="sum" dataDxfId="1288" totalsRowDxfId="1287" dataCellStyle="Total">
      <calculatedColumnFormula>COUNTIF(C8:AG8,"RTT")</calculatedColumnFormula>
    </tableColumn>
    <tableColumn id="36" xr3:uid="{880671E3-A277-B844-82F5-51EBB132B155}" name="Dont MALADIE" totalsRowFunction="sum" dataDxfId="1286" totalsRowDxfId="1285" dataCellStyle="Total"/>
    <tableColumn id="34" xr3:uid="{31B1AA76-8025-7A41-A5B7-C57B67FCBD74}" name="Solde RTT disponible au 01/02/2021" dataDxfId="1284" totalsRowDxfId="1283">
      <calculatedColumnFormula>2-Janvier[[#This Row],[Dont RTT]]</calculatedColumnFormula>
    </tableColumn>
  </tableColumns>
  <tableStyleInfo name="Tableau des absences des employés" showFirstColumn="1" showLastColumn="0" showRowStripes="1" showColumnStripes="1"/>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A4EEAD-DADF-3B46-ABE3-BFDA1D52EA63}" name="Février" displayName="Février" ref="B7:AK19" totalsRowCount="1" headerRowDxfId="1242" totalsRowDxfId="1241">
  <tableColumns count="36">
    <tableColumn id="1" xr3:uid="{CFB5A5A9-A7F3-CB42-A954-310B79E54FDF}" name="Nom de l’employé" totalsRowFunction="custom" dataDxfId="1240" totalsRowDxfId="1239" dataCellStyle="Employé">
      <totalsRowFormula>NomMois&amp;" Total"</totalsRowFormula>
    </tableColumn>
    <tableColumn id="2" xr3:uid="{A31BB429-AC95-224A-ACF6-B5B43B4D2112}" name="1" totalsRowFunction="custom" dataDxfId="1238" totalsRowDxfId="1237">
      <totalsRowFormula>(COUNTIF(C8:C18,"C")+(COUNTIF(C8:C18,"CS")+COUNTIF(C8:C18,"RTT")+(COUNTIF(C8:C18,"DRTT")/2)+COUNTIF(C8:C18,"M")+COUNTIF(C8:C18,"Rec")+(COUNTIF(C8:C18,"Drec")/2)+COUNTIF(C8:C18,"F")+(COUNTIF(C8:C18,"EM")+(COUNTIF(C8:C18,"DEM")/2))))</totalsRowFormula>
    </tableColumn>
    <tableColumn id="3" xr3:uid="{68866173-CECF-3E46-A567-BCB1D3FBAD37}" name="2" totalsRowFunction="custom" dataDxfId="1236" totalsRowDxfId="1235">
      <totalsRowFormula>(COUNTIF(D8:D18,"C")+(COUNTIF(D8:D18,"CS")+COUNTIF(D8:D18,"RTT")+(COUNTIF(D8:D18,"DRTT")/2)+COUNTIF(D8:D18,"M")+COUNTIF(D8:D18,"Rec")+(COUNTIF(D8:D18,"Drec")/2)+COUNTIF(D8:D18,"F")+(COUNTIF(D8:D18,"EM")+(COUNTIF(D8:D18,"DEM")/2))))</totalsRowFormula>
    </tableColumn>
    <tableColumn id="4" xr3:uid="{36C362AF-A9A4-4B41-A287-F5DE8C57553A}" name="3" totalsRowFunction="custom" dataDxfId="1234" totalsRowDxfId="1233">
      <totalsRowFormula>(COUNTIF(E8:E18,"C")+(COUNTIF(E8:E18,"CS")+COUNTIF(E8:E18,"RTT")+(COUNTIF(E8:E18,"DRTT")/2)+COUNTIF(E8:E18,"M")+COUNTIF(E8:E18,"Rec")+(COUNTIF(E8:E18,"Drec")/2)+COUNTIF(E8:E18,"F")+(COUNTIF(E8:E18,"EM")+(COUNTIF(E8:E18,"DEM")/2))))</totalsRowFormula>
    </tableColumn>
    <tableColumn id="5" xr3:uid="{757BF8F4-EF68-1240-B3A5-ACC1C4C83D1E}" name="4" totalsRowFunction="custom" dataDxfId="1232" totalsRowDxfId="1231">
      <totalsRowFormula>(COUNTIF(F8:F18,"C")+(COUNTIF(F8:F18,"CS")+COUNTIF(F8:F18,"RTT")+(COUNTIF(F8:F18,"DRTT")/2)+COUNTIF(F8:F18,"M")+COUNTIF(F8:F18,"Rec")+(COUNTIF(F8:F18,"Drec")/2)+COUNTIF(F8:F18,"F")+(COUNTIF(F8:F18,"EM")+(COUNTIF(F8:F18,"DEM")/2))))</totalsRowFormula>
    </tableColumn>
    <tableColumn id="6" xr3:uid="{7D1F361D-94D4-8844-875F-31C2C6116182}" name="5" totalsRowFunction="custom" dataDxfId="1230" totalsRowDxfId="1229">
      <totalsRowFormula>(COUNTIF(G8:G18,"C")+(COUNTIF(G8:G18,"CS")+COUNTIF(G8:G18,"RTT")+(COUNTIF(G8:G18,"DRTT")/2)+COUNTIF(G8:G18,"M")+COUNTIF(G8:G18,"Rec")+(COUNTIF(G8:G18,"Drec")/2)+COUNTIF(G8:G18,"F")+(COUNTIF(G8:G18,"EM")+(COUNTIF(G8:G18,"DEM")/2))))</totalsRowFormula>
    </tableColumn>
    <tableColumn id="7" xr3:uid="{30189CE6-95EF-924A-A0CB-9EF4138040C5}" name="6" totalsRowFunction="custom" dataDxfId="1228" totalsRowDxfId="1227">
      <totalsRowFormula>(COUNTIF(H8:H18,"C")+(COUNTIF(H8:H18,"CS")+COUNTIF(H8:H18,"RTT")+(COUNTIF(H8:H18,"DRTT")/2)+COUNTIF(H8:H18,"M")+COUNTIF(H8:H18,"Rec")+(COUNTIF(H8:H18,"Drec")/2)+COUNTIF(H8:H18,"F")+(COUNTIF(H8:H18,"EM")+(COUNTIF(H8:H18,"DEM")/2))))</totalsRowFormula>
    </tableColumn>
    <tableColumn id="8" xr3:uid="{5A7C92BF-D50B-3C4F-85CD-FD139253FA9C}" name="7" totalsRowFunction="custom" dataDxfId="1226" totalsRowDxfId="1225">
      <totalsRowFormula>(COUNTIF(I8:I18,"C")+(COUNTIF(I8:I18,"CS")+COUNTIF(I8:I18,"RTT")+(COUNTIF(I8:I18,"DRTT")/2)+COUNTIF(I8:I18,"M")+COUNTIF(I8:I18,"Rec")+(COUNTIF(I8:I18,"Drec")/2)+COUNTIF(I8:I18,"F")+(COUNTIF(I8:I18,"EM")+(COUNTIF(I8:I18,"DEM")/2))))</totalsRowFormula>
    </tableColumn>
    <tableColumn id="9" xr3:uid="{BA0FBFF2-4A37-C54A-98CE-4869CDCA8DFC}" name="8" totalsRowFunction="custom" dataDxfId="1224" totalsRowDxfId="1223">
      <totalsRowFormula>(COUNTIF(J8:J18,"C")+(COUNTIF(J8:J18,"CS")+COUNTIF(J8:J18,"RTT")+(COUNTIF(J8:J18,"DRTT")/2)+COUNTIF(J8:J18,"M")+COUNTIF(J8:J18,"Rec")+(COUNTIF(J8:J18,"Drec")/2)+COUNTIF(J8:J18,"F")+(COUNTIF(J8:J18,"EM")+(COUNTIF(J8:J18,"DEM")/2))))</totalsRowFormula>
    </tableColumn>
    <tableColumn id="10" xr3:uid="{C725040C-A0C3-2142-BFF0-7B4D3432D8B6}" name="9" totalsRowFunction="custom" dataDxfId="1222" totalsRowDxfId="1221">
      <totalsRowFormula>(COUNTIF(K8:K18,"C")+(COUNTIF(K8:K18,"CS")+COUNTIF(K8:K18,"RTT")+(COUNTIF(K8:K18,"DRTT")/2)+COUNTIF(K8:K18,"M")+COUNTIF(K8:K18,"Rec")+(COUNTIF(K8:K18,"Drec")/2)+COUNTIF(K8:K18,"F")+(COUNTIF(K8:K18,"EM")+(COUNTIF(K8:K18,"DEM")/2))))</totalsRowFormula>
    </tableColumn>
    <tableColumn id="11" xr3:uid="{F7F0DC8C-7360-014D-AE5D-49A059B40C63}" name="10" totalsRowFunction="custom" dataDxfId="1220" totalsRowDxfId="1219">
      <totalsRowFormula>(COUNTIF(L8:L18,"C")+(COUNTIF(L8:L18,"CS")+COUNTIF(L8:L18,"RTT")+(COUNTIF(L8:L18,"DRTT")/2)+COUNTIF(L8:L18,"M")+COUNTIF(L8:L18,"Rec")+(COUNTIF(L8:L18,"Drec")/2)+COUNTIF(L8:L18,"F")+(COUNTIF(L8:L18,"EM")+(COUNTIF(L8:L18,"DEM")/2))))</totalsRowFormula>
    </tableColumn>
    <tableColumn id="12" xr3:uid="{2485F7DB-CA2C-0446-8471-8EA7B7945A99}" name="11" totalsRowFunction="custom" dataDxfId="1218" totalsRowDxfId="1217">
      <totalsRowFormula>(COUNTIF(M8:M18,"C")+(COUNTIF(M8:M18,"CS")+COUNTIF(M8:M18,"RTT")+(COUNTIF(M8:M18,"DRTT")/2)+COUNTIF(M8:M18,"M")+COUNTIF(M8:M18,"Rec")+(COUNTIF(M8:M18,"Drec")/2)+COUNTIF(M8:M18,"F")+(COUNTIF(M8:M18,"EM")+(COUNTIF(M8:M18,"DEM")/2))))</totalsRowFormula>
    </tableColumn>
    <tableColumn id="13" xr3:uid="{65074964-D5AD-0445-9F6A-C49DD7375813}" name="12" totalsRowFunction="custom" dataDxfId="1216" totalsRowDxfId="1215">
      <totalsRowFormula>(COUNTIF(N8:N18,"C")+(COUNTIF(N8:N18,"CS")+COUNTIF(N8:N18,"RTT")+(COUNTIF(N8:N18,"DRTT")/2)+COUNTIF(N8:N18,"M")+COUNTIF(N8:N18,"Rec")+(COUNTIF(N8:N18,"Drec")/2)+COUNTIF(N8:N18,"F")+(COUNTIF(N8:N18,"EM")+(COUNTIF(N8:N18,"DEM")/2))))</totalsRowFormula>
    </tableColumn>
    <tableColumn id="14" xr3:uid="{EBD50154-E7EB-354E-AD7E-899400007FC7}" name="13" totalsRowFunction="custom" dataDxfId="1214" totalsRowDxfId="1213">
      <totalsRowFormula>(COUNTIF(O8:O18,"C")+(COUNTIF(O8:O18,"CS")+COUNTIF(O8:O18,"RTT")+(COUNTIF(O8:O18,"DRTT")/2)+COUNTIF(O8:O18,"M")+COUNTIF(O8:O18,"Rec")+(COUNTIF(O8:O18,"Drec")/2)+COUNTIF(O8:O18,"F")+(COUNTIF(O8:O18,"EM")+(COUNTIF(O8:O18,"DEM")/2))))</totalsRowFormula>
    </tableColumn>
    <tableColumn id="15" xr3:uid="{100F3A07-880C-C34F-A20D-414977CB29D9}" name="14" totalsRowFunction="custom" dataDxfId="1212" totalsRowDxfId="1211">
      <totalsRowFormula>(COUNTIF(P8:P18,"C")+(COUNTIF(P8:P18,"CS")+COUNTIF(P8:P18,"RTT")+(COUNTIF(P8:P18,"DRTT")/2)+COUNTIF(P8:P18,"M")+COUNTIF(P8:P18,"Rec")+(COUNTIF(P8:P18,"Drec")/2)+COUNTIF(P8:P18,"F")+(COUNTIF(P8:P18,"EM")+(COUNTIF(P8:P18,"DEM")/2))))</totalsRowFormula>
    </tableColumn>
    <tableColumn id="16" xr3:uid="{ADBA2D14-1C3C-7645-9ADF-872C84CA7EF8}" name="15" totalsRowFunction="custom" dataDxfId="1210" totalsRowDxfId="1209">
      <totalsRowFormula>(COUNTIF(Q8:Q18,"C")+(COUNTIF(Q8:Q18,"CS")+COUNTIF(Q8:Q18,"RTT")+(COUNTIF(Q8:Q18,"DRTT")/2)+COUNTIF(Q8:Q18,"M")+COUNTIF(Q8:Q18,"Rec")+(COUNTIF(Q8:Q18,"Drec")/2)+COUNTIF(Q8:Q18,"F")+(COUNTIF(Q8:Q18,"EM")+(COUNTIF(Q8:Q18,"DEM")/2))))</totalsRowFormula>
    </tableColumn>
    <tableColumn id="17" xr3:uid="{4BFC2E26-E6F2-2D40-A09F-F06CD93FD71E}" name="16" totalsRowFunction="custom" dataDxfId="1208" totalsRowDxfId="1207">
      <totalsRowFormula>(COUNTIF(R8:R18,"C")+(COUNTIF(R8:R18,"CS")+COUNTIF(R8:R18,"RTT")+(COUNTIF(R8:R18,"DRTT")/2)+COUNTIF(R8:R18,"M")+COUNTIF(R8:R18,"Rec")+(COUNTIF(R8:R18,"Drec")/2)+COUNTIF(R8:R18,"F")+(COUNTIF(R8:R18,"EM")+(COUNTIF(R8:R18,"DEM")/2))))</totalsRowFormula>
    </tableColumn>
    <tableColumn id="18" xr3:uid="{99DA6BC2-A27D-9A4F-BBAC-CAB7283E9FAC}" name="17" totalsRowFunction="custom" dataDxfId="1206" totalsRowDxfId="1205">
      <totalsRowFormula>(COUNTIF(S8:S18,"C")+(COUNTIF(S8:S18,"CS")+COUNTIF(S8:S18,"RTT")+(COUNTIF(S8:S18,"DRTT")/2)+COUNTIF(S8:S18,"M")+COUNTIF(S8:S18,"Rec")+(COUNTIF(S8:S18,"Drec")/2)+COUNTIF(S8:S18,"F")+(COUNTIF(S8:S18,"EM")+(COUNTIF(S8:S18,"DEM")/2))))</totalsRowFormula>
    </tableColumn>
    <tableColumn id="19" xr3:uid="{E14C7C31-2226-C942-9EDA-BA21E60A2937}" name="18" totalsRowFunction="custom" dataDxfId="1204" totalsRowDxfId="1203">
      <totalsRowFormula>(COUNTIF(T8:T18,"C")+(COUNTIF(T8:T18,"CS")+COUNTIF(T8:T18,"RTT")+(COUNTIF(T8:T18,"DRTT")/2)+COUNTIF(T8:T18,"M")+COUNTIF(T8:T18,"Rec")+(COUNTIF(T8:T18,"Drec")/2)+COUNTIF(T8:T18,"F")+(COUNTIF(T8:T18,"EM")+(COUNTIF(T8:T18,"DEM")/2))))</totalsRowFormula>
    </tableColumn>
    <tableColumn id="20" xr3:uid="{E5770883-C5AC-6046-A488-985722FD5C5F}" name="19" totalsRowFunction="custom" dataDxfId="1202" totalsRowDxfId="1201">
      <totalsRowFormula>(COUNTIF(U8:U18,"C")+(COUNTIF(U8:U18,"CS")+COUNTIF(U8:U18,"RTT")+(COUNTIF(U8:U18,"DRTT")/2)+COUNTIF(U8:U18,"M")+COUNTIF(U8:U18,"Rec")+(COUNTIF(U8:U18,"Drec")/2)+COUNTIF(U8:U18,"F")+(COUNTIF(U8:U18,"EM")+(COUNTIF(U8:U18,"DEM")/2))))</totalsRowFormula>
    </tableColumn>
    <tableColumn id="21" xr3:uid="{D20747AD-87D3-BC43-9498-DDBD80A03149}" name="20" totalsRowFunction="custom" dataDxfId="1200" totalsRowDxfId="1199">
      <totalsRowFormula>(COUNTIF(V8:V18,"C")+(COUNTIF(V8:V18,"CS")+COUNTIF(V8:V18,"RTT")+(COUNTIF(V8:V18,"DRTT")/2)+COUNTIF(V8:V18,"M")+COUNTIF(V8:V18,"Rec")+(COUNTIF(V8:V18,"Drec")/2)+COUNTIF(V8:V18,"F")+(COUNTIF(V8:V18,"EM")+(COUNTIF(V8:V18,"DEM")/2))))</totalsRowFormula>
    </tableColumn>
    <tableColumn id="22" xr3:uid="{C1DDBB26-1BA2-3A43-B3B2-CE22C712DB94}" name="21" totalsRowFunction="custom" dataDxfId="1198" totalsRowDxfId="1197">
      <totalsRowFormula>(COUNTIF(W8:W18,"C")+(COUNTIF(W8:W18,"CS")+COUNTIF(W8:W18,"RTT")+(COUNTIF(W8:W18,"DRTT")/2)+COUNTIF(W8:W18,"M")+COUNTIF(W8:W18,"Rec")+(COUNTIF(W8:W18,"Drec")/2)+COUNTIF(W8:W18,"F")+(COUNTIF(W8:W18,"EM")+(COUNTIF(W8:W18,"DEM")/2))))</totalsRowFormula>
    </tableColumn>
    <tableColumn id="23" xr3:uid="{D81E68AC-8FEA-924E-B445-62F81BDAE31B}" name="22" totalsRowFunction="custom" dataDxfId="1196" totalsRowDxfId="1195">
      <totalsRowFormula>(COUNTIF(X8:X18,"C")+(COUNTIF(X8:X18,"CS")+COUNTIF(X8:X18,"RTT")+(COUNTIF(X8:X18,"DRTT")/2)+COUNTIF(X8:X18,"M")+COUNTIF(X8:X18,"Rec")+(COUNTIF(X8:X18,"Drec")/2)+COUNTIF(X8:X18,"F")+(COUNTIF(X8:X18,"EM")+(COUNTIF(X8:X18,"DEM")/2))))</totalsRowFormula>
    </tableColumn>
    <tableColumn id="24" xr3:uid="{DEF2C5B8-1C82-A94E-BAA2-D79BDD01EA58}" name="23" totalsRowFunction="custom" dataDxfId="1194" totalsRowDxfId="1193">
      <totalsRowFormula>(COUNTIF(Y8:Y18,"C")+(COUNTIF(Y8:Y18,"CS")+COUNTIF(Y8:Y18,"RTT")+(COUNTIF(Y8:Y18,"DRTT")/2)+COUNTIF(Y8:Y18,"M")+COUNTIF(Y8:Y18,"Rec")+(COUNTIF(Y8:Y18,"Drec")/2)+COUNTIF(Y8:Y18,"F")+(COUNTIF(Y8:Y18,"EM")+(COUNTIF(Y8:Y18,"DEM")/2))))</totalsRowFormula>
    </tableColumn>
    <tableColumn id="25" xr3:uid="{AB62CC5B-7B99-8649-8A2D-27BD42F57362}" name="24" totalsRowFunction="custom" dataDxfId="1192" totalsRowDxfId="1191">
      <totalsRowFormula>(COUNTIF(Z8:Z18,"C")+(COUNTIF(Z8:Z18,"CS")+COUNTIF(Z8:Z18,"RTT")+(COUNTIF(Z8:Z18,"DRTT")/2)+COUNTIF(Z8:Z18,"M")+COUNTIF(Z8:Z18,"Rec")+(COUNTIF(Z8:Z18,"Drec")/2)+COUNTIF(Z8:Z18,"F")+(COUNTIF(Z8:Z18,"EM")+(COUNTIF(Z8:Z18,"DEM")/2))))</totalsRowFormula>
    </tableColumn>
    <tableColumn id="26" xr3:uid="{0E0C8B94-8FAB-A94C-9D21-AE65CF468A26}" name="25" totalsRowFunction="custom" dataDxfId="1190" totalsRowDxfId="1189">
      <totalsRowFormula>(COUNTIF(AA8:AA18,"C")+(COUNTIF(AA8:AA18,"CS")+COUNTIF(AA8:AA18,"RTT")+(COUNTIF(AA8:AA18,"DRTT")/2)+COUNTIF(AA8:AA18,"M")+COUNTIF(AA8:AA18,"Rec")+(COUNTIF(AA8:AA18,"Drec")/2)+COUNTIF(AA8:AA18,"F")+(COUNTIF(AA8:AA18,"EM")+(COUNTIF(AA8:AA18,"DEM")/2))))</totalsRowFormula>
    </tableColumn>
    <tableColumn id="27" xr3:uid="{01DA8280-84CE-664B-91C7-291698605C32}" name="26" totalsRowFunction="custom" dataDxfId="1188" totalsRowDxfId="1187">
      <totalsRowFormula>(COUNTIF(AB8:AB18,"C")+(COUNTIF(AB8:AB18,"CS")+COUNTIF(AB8:AB18,"RTT")+(COUNTIF(AB8:AB18,"DRTT")/2)+COUNTIF(AB8:AB18,"M")+COUNTIF(AB8:AB18,"Rec")+(COUNTIF(AB8:AB18,"Drec")/2)+COUNTIF(AB8:AB18,"F")+(COUNTIF(AB8:AB18,"EM")+(COUNTIF(AB8:AB18,"DEM")/2))))</totalsRowFormula>
    </tableColumn>
    <tableColumn id="28" xr3:uid="{B26BD0B2-581A-344E-81CB-1CDEF539E8AE}" name="27" totalsRowFunction="custom" dataDxfId="1186" totalsRowDxfId="1185">
      <totalsRowFormula>(COUNTIF(AC8:AC18,"C")+(COUNTIF(AC8:AC18,"CS")+COUNTIF(AC8:AC18,"RTT")+(COUNTIF(AC8:AC18,"DRTT")/2)+COUNTIF(AC8:AC18,"M")+COUNTIF(AC8:AC18,"Rec")+(COUNTIF(AC8:AC18,"Drec")/2)+COUNTIF(AC8:AC18,"F")+(COUNTIF(AC8:AC18,"EM")+(COUNTIF(AC8:AC18,"DEM")/2))))</totalsRowFormula>
    </tableColumn>
    <tableColumn id="29" xr3:uid="{C63552BC-2E66-5B4F-93A7-51376C48828E}" name="28" totalsRowFunction="custom" dataDxfId="1184" totalsRowDxfId="1183">
      <totalsRowFormula>(COUNTIF(AD8:AD18,"C")+(COUNTIF(AD8:AD18,"CS")+COUNTIF(AD8:AD18,"RTT")+(COUNTIF(AD8:AD18,"DRTT")/2)+COUNTIF(AD8:AD18,"M")+COUNTIF(AD8:AD18,"Rec")+(COUNTIF(AD8:AD18,"Drec")/2)+COUNTIF(AD8:AD18,"F")+(COUNTIF(AD8:AD18,"EM")+(COUNTIF(AD8:AD18,"DEM")/2))))</totalsRowFormula>
    </tableColumn>
    <tableColumn id="30" xr3:uid="{28E20B4B-4204-2E4D-B38F-369329F4542B}" name="29" totalsRowFunction="custom" dataDxfId="1182" totalsRowDxfId="1181">
      <totalsRowFormula>(COUNTIF(AE8:AE18,"C")+(COUNTIF(AE8:AE18,"CS")+COUNTIF(AE8:AE18,"RTT")+(COUNTIF(AE8:AE18,"DRTT")/2)+COUNTIF(AE8:AE18,"M")+COUNTIF(AE8:AE18,"Rec")+(COUNTIF(AE8:AE18,"Drec")/2)+COUNTIF(AE8:AE18,"F")+(COUNTIF(AE8:AE18,"EM")+(COUNTIF(AE8:AE18,"DEM")/2))))</totalsRowFormula>
    </tableColumn>
    <tableColumn id="31" xr3:uid="{9F61DF43-5D91-CE42-B3ED-616F9D9777C1}" name=" " totalsRowFunction="custom" dataDxfId="1180" totalsRowDxfId="1179">
      <totalsRowFormula>(COUNTIF(AF8:AF18,"C")+(COUNTIF(AF8:AF18,"CS")+COUNTIF(AF8:AF18,"RTT")+(COUNTIF(AF8:AF18,"DRTT")/2)+COUNTIF(AF8:AF18,"M")+COUNTIF(AF8:AF18,"Rec")+(COUNTIF(AF8:AF18,"Drec")/2)+COUNTIF(AF8:AF18,"F")+(COUNTIF(AF8:AF18,"EM")+(COUNTIF(AF8:AF18,"DEM")/2))))</totalsRowFormula>
    </tableColumn>
    <tableColumn id="32" xr3:uid="{8CCCDFCE-D257-0F49-82A3-8EEC36A3AB91}" name="  " totalsRowFunction="custom" dataDxfId="1178" totalsRowDxfId="1177">
      <totalsRowFormula>(COUNTIF(AG8:AG18,"C")+(COUNTIF(AG8:AG18,"CS")+COUNTIF(AG8:AG18,"RTT")+(COUNTIF(AG8:AG18,"DRTT")/2)+COUNTIF(AG8:AG18,"M")+COUNTIF(AG8:AG18,"Rec")+(COUNTIF(AG8:AG18,"Drec")/2)+COUNTIF(AG8:AG18,"F")+(COUNTIF(AG8:AG18,"EM")+(COUNTIF(AG8:AG18,"DEM")/2))))</totalsRowFormula>
    </tableColumn>
    <tableColumn id="33" xr3:uid="{0A2561EF-3A5E-2149-A2CE-09CD44FE012F}" name="Total" totalsRowFunction="sum" dataDxfId="1176" totalsRowDxfId="117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A729B12A-A5B0-C749-8971-9FB4D659B71D}" name="Dont RTT" totalsRowFunction="sum" dataDxfId="1174" totalsRowDxfId="1173" dataCellStyle="Total">
      <calculatedColumnFormula>COUNTIF(C8:AG8,"RTT")+COUNTIF(C8:AG8,"DRTT")/2</calculatedColumnFormula>
    </tableColumn>
    <tableColumn id="36" xr3:uid="{350D18E8-0987-DD4C-AE5A-B5E68007CEEF}" name="Dont MALADIE" totalsRowFunction="sum" dataDxfId="1172" totalsRowDxfId="1171" dataCellStyle="Total">
      <calculatedColumnFormula>COUNTIF(C8:AG8,"M")</calculatedColumnFormula>
    </tableColumn>
    <tableColumn id="35" xr3:uid="{D778077B-3BAD-7042-9688-4A7BA9CC87E4}" name="Solde RTT disponible au 01/03/2021" dataDxfId="1170" totalsRowDxfId="1169"/>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F8CA628-1BA2-6C46-BD41-CAAC7FE622D3}" name="Mars" displayName="Mars" ref="B7:AK19" totalsRowCount="1" headerRowDxfId="1127" totalsRowDxfId="1126">
  <tableColumns count="36">
    <tableColumn id="1" xr3:uid="{152738C2-0613-1F42-A616-2A5CE1CFE81F}" name="Nom de l’employé" totalsRowFunction="custom" dataDxfId="1125" totalsRowDxfId="1124" dataCellStyle="Employé">
      <totalsRowFormula>NomMois&amp;" Total"</totalsRowFormula>
    </tableColumn>
    <tableColumn id="2" xr3:uid="{F880DC0A-239D-2B44-A162-B226BEA4765D}" name="1" totalsRowFunction="custom" dataDxfId="1123" totalsRowDxfId="1122">
      <totalsRowFormula>(COUNTIF(C8:C18,"C")+(COUNTIF(C8:C18,"CS")+COUNTIF(C8:C18,"RTT")+(COUNTIF(C8:C18,"DRTT")/2)+COUNTIF(C8:C18,"M")+COUNTIF(C8:C18,"Rec")+(COUNTIF(C8:C18,"Drec")/2)+COUNTIF(C8:C18,"F")+(COUNTIF(C8:C18,"EM")+(COUNTIF(C8:C18,"DEM")/2))))</totalsRowFormula>
    </tableColumn>
    <tableColumn id="3" xr3:uid="{7A8B6238-6C88-A24A-9540-F7948EEEF66F}" name="2" totalsRowFunction="custom" dataDxfId="1121" totalsRowDxfId="1120">
      <totalsRowFormula>(COUNTIF(D8:D18,"C")+(COUNTIF(D8:D18,"CS")+COUNTIF(D8:D18,"RTT")+(COUNTIF(D8:D18,"DRTT")/2)+COUNTIF(D8:D18,"M")+COUNTIF(D8:D18,"Rec")+(COUNTIF(D8:D18,"Drec")/2)+COUNTIF(D8:D18,"F")+(COUNTIF(D8:D18,"EM")+(COUNTIF(D8:D18,"DEM")/2))))</totalsRowFormula>
    </tableColumn>
    <tableColumn id="4" xr3:uid="{F930C49E-FA82-D04D-8C94-9CAC47146F26}" name="3" totalsRowFunction="custom" dataDxfId="1119" totalsRowDxfId="1118">
      <totalsRowFormula>(COUNTIF(E8:E18,"C")+(COUNTIF(E8:E18,"CS")+COUNTIF(E8:E18,"RTT")+(COUNTIF(E8:E18,"DRTT")/2)+COUNTIF(E8:E18,"M")+COUNTIF(E8:E18,"Rec")+(COUNTIF(E8:E18,"Drec")/2)+COUNTIF(E8:E18,"F")+(COUNTIF(E8:E18,"EM")+(COUNTIF(E8:E18,"DEM")/2))))</totalsRowFormula>
    </tableColumn>
    <tableColumn id="5" xr3:uid="{C21BD32D-030C-8D4B-92F3-7293D4D8D872}" name="4" totalsRowFunction="custom" dataDxfId="1117" totalsRowDxfId="1116">
      <totalsRowFormula>(COUNTIF(F8:F18,"C")+(COUNTIF(F8:F18,"CS")+COUNTIF(F8:F18,"RTT")+(COUNTIF(F8:F18,"DRTT")/2)+COUNTIF(F8:F18,"M")+COUNTIF(F8:F18,"Rec")+(COUNTIF(F8:F18,"Drec")/2)+COUNTIF(F8:F18,"F")+(COUNTIF(F8:F18,"EM")+(COUNTIF(F8:F18,"DEM")/2))))</totalsRowFormula>
    </tableColumn>
    <tableColumn id="6" xr3:uid="{64C7AF61-DD7D-2544-959B-5BCCC0AB6695}" name="5" totalsRowFunction="custom" dataDxfId="1115" totalsRowDxfId="1114">
      <totalsRowFormula>(COUNTIF(G8:G18,"C")+(COUNTIF(G8:G18,"CS")+COUNTIF(G8:G18,"RTT")+(COUNTIF(G8:G18,"DRTT")/2)+COUNTIF(G8:G18,"M")+COUNTIF(G8:G18,"Rec")+(COUNTIF(G8:G18,"Drec")/2)+COUNTIF(G8:G18,"F")+(COUNTIF(G8:G18,"EM")+(COUNTIF(G8:G18,"DEM")/2))))</totalsRowFormula>
    </tableColumn>
    <tableColumn id="7" xr3:uid="{74115991-FED9-3640-B435-D23AAD8FBBB2}" name="6" totalsRowFunction="custom" dataDxfId="1113" totalsRowDxfId="1112">
      <totalsRowFormula>(COUNTIF(H8:H18,"C")+(COUNTIF(H8:H18,"CS")+COUNTIF(H8:H18,"RTT")+(COUNTIF(H8:H18,"DRTT")/2)+COUNTIF(H8:H18,"M")+COUNTIF(H8:H18,"Rec")+(COUNTIF(H8:H18,"Drec")/2)+COUNTIF(H8:H18,"F")+(COUNTIF(H8:H18,"EM")+(COUNTIF(H8:H18,"DEM")/2))))</totalsRowFormula>
    </tableColumn>
    <tableColumn id="8" xr3:uid="{306A828D-5B5D-674D-8C5F-A54277FDF231}" name="7" totalsRowFunction="custom" dataDxfId="1111" totalsRowDxfId="1110">
      <totalsRowFormula>(COUNTIF(I8:I18,"C")+(COUNTIF(I8:I18,"CS")+COUNTIF(I8:I18,"RTT")+(COUNTIF(I8:I18,"DRTT")/2)+COUNTIF(I8:I18,"M")+COUNTIF(I8:I18,"Rec")+(COUNTIF(I8:I18,"Drec")/2)+COUNTIF(I8:I18,"F")+(COUNTIF(I8:I18,"EM")+(COUNTIF(I8:I18,"DEM")/2))))</totalsRowFormula>
    </tableColumn>
    <tableColumn id="9" xr3:uid="{8C3470D2-ACC1-084C-ADE4-02E4331090FE}" name="8" totalsRowFunction="custom" dataDxfId="1109" totalsRowDxfId="1108">
      <totalsRowFormula>(COUNTIF(J8:J18,"C")+(COUNTIF(J8:J18,"CS")+COUNTIF(J8:J18,"RTT")+(COUNTIF(J8:J18,"DRTT")/2)+COUNTIF(J8:J18,"M")+COUNTIF(J8:J18,"Rec")+(COUNTIF(J8:J18,"Drec")/2)+COUNTIF(J8:J18,"F")+(COUNTIF(J8:J18,"EM")+(COUNTIF(J8:J18,"DEM")/2))))</totalsRowFormula>
    </tableColumn>
    <tableColumn id="10" xr3:uid="{30848532-7DC0-9341-B433-36282FF68F81}" name="9" totalsRowFunction="custom" dataDxfId="1107" totalsRowDxfId="1106">
      <totalsRowFormula>(COUNTIF(K8:K18,"C")+(COUNTIF(K8:K18,"CS")+COUNTIF(K8:K18,"RTT")+(COUNTIF(K8:K18,"DRTT")/2)+COUNTIF(K8:K18,"M")+COUNTIF(K8:K18,"Rec")+(COUNTIF(K8:K18,"Drec")/2)+COUNTIF(K8:K18,"F")+(COUNTIF(K8:K18,"EM")+(COUNTIF(K8:K18,"DEM")/2))))</totalsRowFormula>
    </tableColumn>
    <tableColumn id="11" xr3:uid="{AC33F068-C677-3641-A266-A4BFD500A0E1}" name="10" totalsRowFunction="custom" dataDxfId="1105" totalsRowDxfId="1104">
      <totalsRowFormula>(COUNTIF(L8:L18,"C")+(COUNTIF(L8:L18,"CS")+COUNTIF(L8:L18,"RTT")+(COUNTIF(L8:L18,"DRTT")/2)+COUNTIF(L8:L18,"M")+COUNTIF(L8:L18,"Rec")+(COUNTIF(L8:L18,"Drec")/2)+COUNTIF(L8:L18,"F")+(COUNTIF(L8:L18,"EM")+(COUNTIF(L8:L18,"DEM")/2))))</totalsRowFormula>
    </tableColumn>
    <tableColumn id="12" xr3:uid="{2AD3400A-4DC0-6644-A533-DA79F29F6975}" name="11" totalsRowFunction="custom" dataDxfId="1103" totalsRowDxfId="1102">
      <totalsRowFormula>(COUNTIF(M8:M18,"C")+(COUNTIF(M8:M18,"CS")+COUNTIF(M8:M18,"RTT")+(COUNTIF(M8:M18,"DRTT")/2)+COUNTIF(M8:M18,"M")+COUNTIF(M8:M18,"Rec")+(COUNTIF(M8:M18,"Drec")/2)+COUNTIF(M8:M18,"F")+(COUNTIF(M8:M18,"EM")+(COUNTIF(M8:M18,"DEM")/2))))</totalsRowFormula>
    </tableColumn>
    <tableColumn id="13" xr3:uid="{81C677E6-C11E-FD44-8347-C941E8F52281}" name="12" totalsRowFunction="custom" dataDxfId="1101" totalsRowDxfId="1100">
      <totalsRowFormula>(COUNTIF(N8:N18,"C")+(COUNTIF(N8:N18,"CS")+COUNTIF(N8:N18,"RTT")+(COUNTIF(N8:N18,"DRTT")/2)+COUNTIF(N8:N18,"M")+COUNTIF(N8:N18,"Rec")+(COUNTIF(N8:N18,"Drec")/2)+COUNTIF(N8:N18,"F")+(COUNTIF(N8:N18,"EM")+(COUNTIF(N8:N18,"DEM")/2))))</totalsRowFormula>
    </tableColumn>
    <tableColumn id="14" xr3:uid="{E0A37303-B211-984E-A545-2109245E415C}" name="13" totalsRowFunction="custom" dataDxfId="1099" totalsRowDxfId="1098">
      <totalsRowFormula>(COUNTIF(O8:O18,"C")+(COUNTIF(O8:O18,"CS")+COUNTIF(O8:O18,"RTT")+(COUNTIF(O8:O18,"DRTT")/2)+COUNTIF(O8:O18,"M")+COUNTIF(O8:O18,"Rec")+(COUNTIF(O8:O18,"Drec")/2)+COUNTIF(O8:O18,"F")+(COUNTIF(O8:O18,"EM")+(COUNTIF(O8:O18,"DEM")/2))))</totalsRowFormula>
    </tableColumn>
    <tableColumn id="15" xr3:uid="{C6560E5C-C565-5848-AD6A-6E21E7D5FFF0}" name="14" totalsRowFunction="custom" dataDxfId="1097" totalsRowDxfId="1096">
      <totalsRowFormula>(COUNTIF(P8:P18,"C")+(COUNTIF(P8:P18,"CS")+COUNTIF(P8:P18,"RTT")+(COUNTIF(P8:P18,"DRTT")/2)+COUNTIF(P8:P18,"M")+COUNTIF(P8:P18,"Rec")+(COUNTIF(P8:P18,"Drec")/2)+COUNTIF(P8:P18,"F")+(COUNTIF(P8:P18,"EM")+(COUNTIF(P8:P18,"DEM")/2))))</totalsRowFormula>
    </tableColumn>
    <tableColumn id="16" xr3:uid="{F7B0B56A-5C6F-EC4D-BBF4-14B2E95B2923}" name="15" totalsRowFunction="custom" dataDxfId="1095" totalsRowDxfId="1094">
      <totalsRowFormula>(COUNTIF(Q8:Q18,"C")+(COUNTIF(Q8:Q18,"CS")+COUNTIF(Q8:Q18,"RTT")+(COUNTIF(Q8:Q18,"DRTT")/2)+COUNTIF(Q8:Q18,"M")+COUNTIF(Q8:Q18,"Rec")+(COUNTIF(Q8:Q18,"Drec")/2)+COUNTIF(Q8:Q18,"F")+(COUNTIF(Q8:Q18,"EM")+(COUNTIF(Q8:Q18,"DEM")/2))))</totalsRowFormula>
    </tableColumn>
    <tableColumn id="17" xr3:uid="{613EC742-A8F2-7649-AD15-BA1A42159DCF}" name="16" totalsRowFunction="custom" dataDxfId="1093" totalsRowDxfId="1092">
      <totalsRowFormula>(COUNTIF(R8:R18,"C")+(COUNTIF(R8:R18,"CS")+COUNTIF(R8:R18,"RTT")+(COUNTIF(R8:R18,"DRTT")/2)+COUNTIF(R8:R18,"M")+COUNTIF(R8:R18,"Rec")+(COUNTIF(R8:R18,"Drec")/2)+COUNTIF(R8:R18,"F")+(COUNTIF(R8:R18,"EM")+(COUNTIF(R8:R18,"DEM")/2))))</totalsRowFormula>
    </tableColumn>
    <tableColumn id="18" xr3:uid="{F2DC6F13-7712-B243-9545-C0AEF7BFEF1D}" name="17" totalsRowFunction="custom" dataDxfId="1091" totalsRowDxfId="1090">
      <totalsRowFormula>(COUNTIF(S8:S18,"C")+(COUNTIF(S8:S18,"CS")+COUNTIF(S8:S18,"RTT")+(COUNTIF(S8:S18,"DRTT")/2)+COUNTIF(S8:S18,"M")+COUNTIF(S8:S18,"Rec")+(COUNTIF(S8:S18,"Drec")/2)+COUNTIF(S8:S18,"F")+(COUNTIF(S8:S18,"EM")+(COUNTIF(S8:S18,"DEM")/2))))</totalsRowFormula>
    </tableColumn>
    <tableColumn id="19" xr3:uid="{911E6ABB-BE1D-F445-B8E4-BBD2B4687ABF}" name="18" totalsRowFunction="custom" dataDxfId="1089" totalsRowDxfId="1088">
      <totalsRowFormula>(COUNTIF(T8:T18,"C")+(COUNTIF(T8:T18,"CS")+COUNTIF(T8:T18,"RTT")+(COUNTIF(T8:T18,"DRTT")/2)+COUNTIF(T8:T18,"M")+COUNTIF(T8:T18,"Rec")+(COUNTIF(T8:T18,"Drec")/2)+COUNTIF(T8:T18,"F")+(COUNTIF(T8:T18,"EM")+(COUNTIF(T8:T18,"DEM")/2))))</totalsRowFormula>
    </tableColumn>
    <tableColumn id="20" xr3:uid="{D8EA91E9-4331-9D49-9EA1-57DFA941D83C}" name="19" totalsRowFunction="custom" dataDxfId="1087" totalsRowDxfId="1086">
      <totalsRowFormula>(COUNTIF(U8:U18,"C")+(COUNTIF(U8:U18,"CS")+COUNTIF(U8:U18,"RTT")+(COUNTIF(U8:U18,"DRTT")/2)+COUNTIF(U8:U18,"M")+COUNTIF(U8:U18,"Rec")+(COUNTIF(U8:U18,"Drec")/2)+COUNTIF(U8:U18,"F")+(COUNTIF(U8:U18,"EM")+(COUNTIF(U8:U18,"DEM")/2))))</totalsRowFormula>
    </tableColumn>
    <tableColumn id="21" xr3:uid="{C0A35A2F-2079-5141-A45F-984968467D41}" name="20" totalsRowFunction="custom" dataDxfId="1085" totalsRowDxfId="1084">
      <totalsRowFormula>(COUNTIF(V8:V18,"C")+(COUNTIF(V8:V18,"CS")+COUNTIF(V8:V18,"RTT")+(COUNTIF(V8:V18,"DRTT")/2)+COUNTIF(V8:V18,"M")+COUNTIF(V8:V18,"Rec")+(COUNTIF(V8:V18,"Drec")/2)+COUNTIF(V8:V18,"F")+(COUNTIF(V8:V18,"EM")+(COUNTIF(V8:V18,"DEM")/2))))</totalsRowFormula>
    </tableColumn>
    <tableColumn id="22" xr3:uid="{73299A0E-3D14-EE42-95B1-F8B3297B5C8F}" name="21" totalsRowFunction="custom" dataDxfId="1083" totalsRowDxfId="1082">
      <totalsRowFormula>(COUNTIF(W8:W18,"C")+(COUNTIF(W8:W18,"CS")+COUNTIF(W8:W18,"RTT")+(COUNTIF(W8:W18,"DRTT")/2)+COUNTIF(W8:W18,"M")+COUNTIF(W8:W18,"Rec")+(COUNTIF(W8:W18,"Drec")/2)+COUNTIF(W8:W18,"F")+(COUNTIF(W8:W18,"EM")+(COUNTIF(W8:W18,"DEM")/2))))</totalsRowFormula>
    </tableColumn>
    <tableColumn id="23" xr3:uid="{C1710E7F-4353-0845-8712-A23B17DFCD54}" name="22" totalsRowFunction="custom" dataDxfId="1081" totalsRowDxfId="1080">
      <totalsRowFormula>(COUNTIF(X8:X18,"C")+(COUNTIF(X8:X18,"CS")+COUNTIF(X8:X18,"RTT")+(COUNTIF(X8:X18,"DRTT")/2)+COUNTIF(X8:X18,"M")+COUNTIF(X8:X18,"Rec")+(COUNTIF(X8:X18,"Drec")/2)+COUNTIF(X8:X18,"F")+(COUNTIF(X8:X18,"EM")+(COUNTIF(X8:X18,"DEM")/2))))</totalsRowFormula>
    </tableColumn>
    <tableColumn id="24" xr3:uid="{904831CC-2C3E-B54E-991F-CB395B2FBC70}" name="23" totalsRowFunction="custom" dataDxfId="1079" totalsRowDxfId="1078">
      <totalsRowFormula>(COUNTIF(Y8:Y18,"C")+(COUNTIF(Y8:Y18,"CS")+COUNTIF(Y8:Y18,"RTT")+(COUNTIF(Y8:Y18,"DRTT")/2)+COUNTIF(Y8:Y18,"M")+COUNTIF(Y8:Y18,"Rec")+(COUNTIF(Y8:Y18,"Drec")/2)+COUNTIF(Y8:Y18,"F")+(COUNTIF(Y8:Y18,"EM")+(COUNTIF(Y8:Y18,"DEM")/2))))</totalsRowFormula>
    </tableColumn>
    <tableColumn id="25" xr3:uid="{BD919E81-550C-C24A-81D7-342F078C81ED}" name="24" totalsRowFunction="custom" dataDxfId="1077" totalsRowDxfId="1076">
      <totalsRowFormula>(COUNTIF(Z8:Z18,"C")+(COUNTIF(Z8:Z18,"CS")+COUNTIF(Z8:Z18,"RTT")+(COUNTIF(Z8:Z18,"DRTT")/2)+COUNTIF(Z8:Z18,"M")+COUNTIF(Z8:Z18,"Rec")+(COUNTIF(Z8:Z18,"Drec")/2)+COUNTIF(Z8:Z18,"F")+(COUNTIF(Z8:Z18,"EM")+(COUNTIF(Z8:Z18,"DEM")/2))))</totalsRowFormula>
    </tableColumn>
    <tableColumn id="26" xr3:uid="{DB7A1B1C-229C-484D-9A59-2E92CC51B8BA}" name="25" totalsRowFunction="custom" dataDxfId="1075" totalsRowDxfId="1074">
      <totalsRowFormula>(COUNTIF(AA8:AA18,"C")+(COUNTIF(AA8:AA18,"CS")+COUNTIF(AA8:AA18,"RTT")+(COUNTIF(AA8:AA18,"DRTT")/2)+COUNTIF(AA8:AA18,"M")+COUNTIF(AA8:AA18,"Rec")+(COUNTIF(AA8:AA18,"Drec")/2)+COUNTIF(AA8:AA18,"F")+(COUNTIF(AA8:AA18,"EM")+(COUNTIF(AA8:AA18,"DEM")/2))))</totalsRowFormula>
    </tableColumn>
    <tableColumn id="27" xr3:uid="{0743D737-F2B8-4543-BC07-9ADF8E6357B9}" name="26" totalsRowFunction="custom" dataDxfId="1073" totalsRowDxfId="1072">
      <totalsRowFormula>(COUNTIF(AB8:AB18,"C")+(COUNTIF(AB8:AB18,"CS")+COUNTIF(AB8:AB18,"RTT")+(COUNTIF(AB8:AB18,"DRTT")/2)+COUNTIF(AB8:AB18,"M")+COUNTIF(AB8:AB18,"Rec")+(COUNTIF(AB8:AB18,"Drec")/2)+COUNTIF(AB8:AB18,"F")+(COUNTIF(AB8:AB18,"EM")+(COUNTIF(AB8:AB18,"DEM")/2))))</totalsRowFormula>
    </tableColumn>
    <tableColumn id="28" xr3:uid="{EC541492-B8F2-5D44-ACA2-597A40F4B12F}" name="27" totalsRowFunction="custom" dataDxfId="1071" totalsRowDxfId="1070">
      <totalsRowFormula>(COUNTIF(AC8:AC18,"C")+(COUNTIF(AC8:AC18,"CS")+COUNTIF(AC8:AC18,"RTT")+(COUNTIF(AC8:AC18,"DRTT")/2)+COUNTIF(AC8:AC18,"M")+COUNTIF(AC8:AC18,"Rec")+(COUNTIF(AC8:AC18,"Drec")/2)+COUNTIF(AC8:AC18,"F")+(COUNTIF(AC8:AC18,"EM")+(COUNTIF(AC8:AC18,"DEM")/2))))</totalsRowFormula>
    </tableColumn>
    <tableColumn id="29" xr3:uid="{0D0034C5-B703-3745-A105-9B84109CAD31}" name="28" totalsRowFunction="custom" dataDxfId="1069" totalsRowDxfId="1068">
      <totalsRowFormula>(COUNTIF(AD8:AD18,"C")+(COUNTIF(AD8:AD18,"CS")+COUNTIF(AD8:AD18,"RTT")+(COUNTIF(AD8:AD18,"DRTT")/2)+COUNTIF(AD8:AD18,"M")+COUNTIF(AD8:AD18,"Rec")+(COUNTIF(AD8:AD18,"Drec")/2)+COUNTIF(AD8:AD18,"F")+(COUNTIF(AD8:AD18,"EM")+(COUNTIF(AD8:AD18,"DEM")/2))))</totalsRowFormula>
    </tableColumn>
    <tableColumn id="30" xr3:uid="{1371F79D-E8C7-9144-9277-8247163598E1}" name="29" totalsRowFunction="custom" dataDxfId="1067" totalsRowDxfId="1066">
      <totalsRowFormula>(COUNTIF(AE8:AE18,"C")+(COUNTIF(AE8:AE18,"CS")+COUNTIF(AE8:AE18,"RTT")+(COUNTIF(AE8:AE18,"DRTT")/2)+COUNTIF(AE8:AE18,"M")+COUNTIF(AE8:AE18,"Rec")+(COUNTIF(AE8:AE18,"Drec")/2)+COUNTIF(AE8:AE18,"F")+(COUNTIF(AE8:AE18,"EM")+(COUNTIF(AE8:AE18,"DEM")/2))))</totalsRowFormula>
    </tableColumn>
    <tableColumn id="31" xr3:uid="{62E18731-AA4A-2248-B45A-F8B14BF1813F}" name="30" totalsRowFunction="custom" dataDxfId="1065" totalsRowDxfId="1064">
      <totalsRowFormula>(COUNTIF(AF8:AF18,"C")+(COUNTIF(AF8:AF18,"CS")+COUNTIF(AF8:AF18,"RTT")+(COUNTIF(AF8:AF18,"DRTT")/2)+COUNTIF(AF8:AF18,"M")+COUNTIF(AF8:AF18,"Rec")+(COUNTIF(AF8:AF18,"Drec")/2)+COUNTIF(AF8:AF18,"F")+(COUNTIF(AF8:AF18,"EM")+(COUNTIF(AF8:AF18,"DEM")/2))))</totalsRowFormula>
    </tableColumn>
    <tableColumn id="32" xr3:uid="{B0502221-B291-9946-950C-BB5683CF3F8C}" name="31" totalsRowFunction="custom" dataDxfId="1063" totalsRowDxfId="1062">
      <totalsRowFormula>(COUNTIF(AG8:AG18,"C")+(COUNTIF(AG8:AG18,"CS")+COUNTIF(AG8:AG18,"RTT")+(COUNTIF(AG8:AG18,"DRTT")/2)+COUNTIF(AG8:AG18,"M")+COUNTIF(AG8:AG18,"Rec")+(COUNTIF(AG8:AG18,"Drec")/2)+COUNTIF(AG8:AG18,"F")+(COUNTIF(AG8:AG18,"EM")+(COUNTIF(AG8:AG18,"DEM")/2))))</totalsRowFormula>
    </tableColumn>
    <tableColumn id="33" xr3:uid="{F1356D2A-4421-A649-AB5A-AEC5648B4C72}" name="Total absence" totalsRowFunction="sum" dataDxfId="1061" totalsRowDxfId="1060" dataCellStyle="Total">
      <calculatedColumnFormula>(COUNTIF(C8:AG8,"C")+(COUNTIF(C8:AG8,"EM")+COUNTIF(C8:AG8,"RTT")+COUNTIF(C8:AG8,"M")+COUNTIF(C8:AG8,"Rec")+COUNTIF(C8:AG8,"F")+COUNTIF(C8:AG8,"TT")+COUNTIF(C8:AG8,"CS")+COUNTIF(C8:AG8,"PE"-1)+COUNTIF(C8:AG8,"DRTT")/2)+COUNTIF(C8:AG8,"DREC")/2)+COUNTIF(C8:AG8,"DEM")/2</calculatedColumnFormula>
    </tableColumn>
    <tableColumn id="34" xr3:uid="{09DB58C6-4A9C-1D47-A960-6774690F9D8C}" name="Dont RTT" totalsRowFunction="sum" dataDxfId="1059" totalsRowDxfId="1058" dataCellStyle="Total">
      <calculatedColumnFormula>COUNTIF(C8:AG8,"RTT")+COUNTIF(C8:AG8,"DRTT")/2</calculatedColumnFormula>
    </tableColumn>
    <tableColumn id="36" xr3:uid="{C2AB5EC8-7C2C-1544-83BA-75CEF824FB34}" name="Dont MALADIE" totalsRowFunction="sum" dataDxfId="1057" totalsRowDxfId="1056" dataCellStyle="Total">
      <calculatedColumnFormula>COUNTIF(C8:AG8,"MALADIE")</calculatedColumnFormula>
    </tableColumn>
    <tableColumn id="35" xr3:uid="{7AD89CCB-9B42-444F-A20D-5BCDC6F9B1A6}" name="Solde RTT disponible au 01/04/2021" dataDxfId="1055" totalsRowDxfId="1054"/>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91EDC7F-6D47-824D-8AE4-FBEAE1F5AA92}" name="Avril" displayName="Avril" ref="B7:AK19" totalsRowCount="1" headerRowDxfId="1012" totalsRowDxfId="1011">
  <tableColumns count="36">
    <tableColumn id="1" xr3:uid="{9CA65CA1-BECD-5444-8228-E0E01D9777D9}" name="Nom de l’employé" totalsRowFunction="custom" dataDxfId="1010" totalsRowDxfId="1009" dataCellStyle="Employé">
      <totalsRowFormula>NomMois&amp;" Total"</totalsRowFormula>
    </tableColumn>
    <tableColumn id="2" xr3:uid="{45B4EF7A-41AA-6744-A981-2B3534F8792C}" name="1" totalsRowFunction="custom" dataDxfId="1008" totalsRowDxfId="1007">
      <totalsRowFormula>(COUNTIF(C8:C18,"C")+(COUNTIF(C8:C18,"CS")+COUNTIF(C8:C18,"RTT")+(COUNTIF(C8:C18,"DRTT")/2)+COUNTIF(C8:C18,"M")+COUNTIF(C8:C18,"Rec")+(COUNTIF(C8:C18,"Drec")/2)+COUNTIF(C8:C18,"F")+(COUNTIF(C8:C18,"EM")+(COUNTIF(C8:C18,"DEM")/2))))</totalsRowFormula>
    </tableColumn>
    <tableColumn id="3" xr3:uid="{D0435F98-4EFC-EC4B-9716-45DC6233879F}" name="2" totalsRowFunction="custom" dataDxfId="1006" totalsRowDxfId="1005">
      <totalsRowFormula>(COUNTIF(D8:D18,"C")+(COUNTIF(D8:D18,"CS")+COUNTIF(D8:D18,"RTT")+(COUNTIF(D8:D18,"DRTT")/2)+COUNTIF(D8:D18,"M")+COUNTIF(D8:D18,"Rec")+(COUNTIF(D8:D18,"Drec")/2)+COUNTIF(D8:D18,"F")+(COUNTIF(D8:D18,"EM")+(COUNTIF(D8:D18,"DEM")/2))))</totalsRowFormula>
    </tableColumn>
    <tableColumn id="4" xr3:uid="{00A68C54-BFC9-804D-B234-0D5EDC91708B}" name="3" totalsRowFunction="custom" dataDxfId="1004" totalsRowDxfId="1003">
      <totalsRowFormula>(COUNTIF(E8:E18,"C")+(COUNTIF(E8:E18,"CS")+COUNTIF(E8:E18,"RTT")+(COUNTIF(E8:E18,"DRTT")/2)+COUNTIF(E8:E18,"M")+COUNTIF(E8:E18,"Rec")+(COUNTIF(E8:E18,"Drec")/2)+COUNTIF(E8:E18,"F")+(COUNTIF(E8:E18,"EM")+(COUNTIF(E8:E18,"DEM")/2))))</totalsRowFormula>
    </tableColumn>
    <tableColumn id="5" xr3:uid="{61EDFD00-5F02-2248-8E90-5029F5E3B294}" name="4" totalsRowFunction="custom" dataDxfId="1002" totalsRowDxfId="1001">
      <totalsRowFormula>(COUNTIF(F8:F18,"C")+(COUNTIF(F8:F18,"CS")+COUNTIF(F8:F18,"RTT")+(COUNTIF(F8:F18,"DRTT")/2)+COUNTIF(F8:F18,"M")+COUNTIF(F8:F18,"Rec")+(COUNTIF(F8:F18,"Drec")/2)+COUNTIF(F8:F18,"F")+(COUNTIF(F8:F18,"EM")+(COUNTIF(F8:F18,"DEM")/2))))</totalsRowFormula>
    </tableColumn>
    <tableColumn id="6" xr3:uid="{E4EBF784-45C3-464E-9F32-CBD35D392B36}" name="5" totalsRowFunction="custom" dataDxfId="1000" totalsRowDxfId="999">
      <totalsRowFormula>(COUNTIF(G8:G18,"C")+(COUNTIF(G8:G18,"CS")+COUNTIF(G8:G18,"RTT")+(COUNTIF(G8:G18,"DRTT")/2)+COUNTIF(G8:G18,"M")+COUNTIF(G8:G18,"Rec")+(COUNTIF(G8:G18,"Drec")/2)+COUNTIF(G8:G18,"F")+(COUNTIF(G8:G18,"EM")+(COUNTIF(G8:G18,"DEM")/2))))</totalsRowFormula>
    </tableColumn>
    <tableColumn id="7" xr3:uid="{1E8170AB-5333-544A-86B3-9694D143303E}" name="6" totalsRowFunction="custom" dataDxfId="998" totalsRowDxfId="997">
      <totalsRowFormula>(COUNTIF(H8:H18,"C")+(COUNTIF(H8:H18,"CS")+COUNTIF(H8:H18,"RTT")+(COUNTIF(H8:H18,"DRTT")/2)+COUNTIF(H8:H18,"M")+COUNTIF(H8:H18,"Rec")+(COUNTIF(H8:H18,"Drec")/2)+COUNTIF(H8:H18,"F")+(COUNTIF(H8:H18,"EM")+(COUNTIF(H8:H18,"DEM")/2))))</totalsRowFormula>
    </tableColumn>
    <tableColumn id="8" xr3:uid="{B2F3828B-BEFF-3949-8C60-F5AEC718C668}" name="7" totalsRowFunction="custom" dataDxfId="996" totalsRowDxfId="995">
      <totalsRowFormula>(COUNTIF(I8:I18,"C")+(COUNTIF(I8:I18,"CS")+COUNTIF(I8:I18,"RTT")+(COUNTIF(I8:I18,"DRTT")/2)+COUNTIF(I8:I18,"M")+COUNTIF(I8:I18,"Rec")+(COUNTIF(I8:I18,"Drec")/2)+COUNTIF(I8:I18,"F")+(COUNTIF(I8:I18,"EM")+(COUNTIF(I8:I18,"DEM")/2))))</totalsRowFormula>
    </tableColumn>
    <tableColumn id="9" xr3:uid="{4CD828FC-1328-FA41-B111-5C9DFE0128D3}" name="8" totalsRowFunction="custom" dataDxfId="994" totalsRowDxfId="993">
      <totalsRowFormula>(COUNTIF(J8:J18,"C")+(COUNTIF(J8:J18,"CS")+COUNTIF(J8:J18,"RTT")+(COUNTIF(J8:J18,"DRTT")/2)+COUNTIF(J8:J18,"M")+COUNTIF(J8:J18,"Rec")+(COUNTIF(J8:J18,"Drec")/2)+COUNTIF(J8:J18,"F")+(COUNTIF(J8:J18,"EM")+(COUNTIF(J8:J18,"DEM")/2))))</totalsRowFormula>
    </tableColumn>
    <tableColumn id="10" xr3:uid="{8F64A164-E1E9-4C42-839F-CA4395610AD7}" name="9" totalsRowFunction="custom" dataDxfId="992" totalsRowDxfId="991">
      <totalsRowFormula>(COUNTIF(K8:K18,"C")+(COUNTIF(K8:K18,"CS")+COUNTIF(K8:K18,"RTT")+(COUNTIF(K8:K18,"DRTT")/2)+COUNTIF(K8:K18,"M")+COUNTIF(K8:K18,"Rec")+(COUNTIF(K8:K18,"Drec")/2)+COUNTIF(K8:K18,"F")+(COUNTIF(K8:K18,"EM")+(COUNTIF(K8:K18,"DEM")/2))))</totalsRowFormula>
    </tableColumn>
    <tableColumn id="11" xr3:uid="{1C43D3AF-7290-B34B-93D5-BB7BEA995EF7}" name="10" totalsRowFunction="custom" dataDxfId="990" totalsRowDxfId="989">
      <totalsRowFormula>(COUNTIF(L8:L18,"C")+(COUNTIF(L8:L18,"CS")+COUNTIF(L8:L18,"RTT")+(COUNTIF(L8:L18,"DRTT")/2)+COUNTIF(L8:L18,"M")+COUNTIF(L8:L18,"Rec")+(COUNTIF(L8:L18,"Drec")/2)+COUNTIF(L8:L18,"F")+(COUNTIF(L8:L18,"EM")+(COUNTIF(L8:L18,"DEM")/2))))</totalsRowFormula>
    </tableColumn>
    <tableColumn id="12" xr3:uid="{7B138B67-DE92-064A-A105-D6B4110BB6C7}" name="11" totalsRowFunction="custom" dataDxfId="988" totalsRowDxfId="987">
      <totalsRowFormula>(COUNTIF(M8:M18,"C")+(COUNTIF(M8:M18,"CS")+COUNTIF(M8:M18,"RTT")+(COUNTIF(M8:M18,"DRTT")/2)+COUNTIF(M8:M18,"M")+COUNTIF(M8:M18,"Rec")+(COUNTIF(M8:M18,"Drec")/2)+COUNTIF(M8:M18,"F")+(COUNTIF(M8:M18,"EM")+(COUNTIF(M8:M18,"DEM")/2))))</totalsRowFormula>
    </tableColumn>
    <tableColumn id="13" xr3:uid="{062A2994-87E4-B640-9F90-B165D7E5ED69}" name="12" totalsRowFunction="custom" dataDxfId="986" totalsRowDxfId="985">
      <totalsRowFormula>(COUNTIF(N8:N18,"C")+(COUNTIF(N8:N18,"CS")+COUNTIF(N8:N18,"RTT")+(COUNTIF(N8:N18,"DRTT")/2)+COUNTIF(N8:N18,"M")+COUNTIF(N8:N18,"Rec")+(COUNTIF(N8:N18,"Drec")/2)+COUNTIF(N8:N18,"F")+(COUNTIF(N8:N18,"EM")+(COUNTIF(N8:N18,"DEM")/2))))</totalsRowFormula>
    </tableColumn>
    <tableColumn id="14" xr3:uid="{C71ACA55-B20B-DF49-A57F-D8BB73239F6F}" name="13" totalsRowFunction="custom" dataDxfId="984" totalsRowDxfId="983">
      <totalsRowFormula>(COUNTIF(O8:O18,"C")+(COUNTIF(O8:O18,"CS")+COUNTIF(O8:O18,"RTT")+(COUNTIF(O8:O18,"DRTT")/2)+COUNTIF(O8:O18,"M")+COUNTIF(O8:O18,"Rec")+(COUNTIF(O8:O18,"Drec")/2)+COUNTIF(O8:O18,"F")+(COUNTIF(O8:O18,"EM")+(COUNTIF(O8:O18,"DEM")/2))))</totalsRowFormula>
    </tableColumn>
    <tableColumn id="15" xr3:uid="{A10371EC-CAC8-B34A-B382-CDCD9FC4FE13}" name="14" totalsRowFunction="custom" dataDxfId="982" totalsRowDxfId="981">
      <totalsRowFormula>(COUNTIF(P8:P18,"C")+(COUNTIF(P8:P18,"CS")+COUNTIF(P8:P18,"RTT")+(COUNTIF(P8:P18,"DRTT")/2)+COUNTIF(P8:P18,"M")+COUNTIF(P8:P18,"Rec")+(COUNTIF(P8:P18,"Drec")/2)+COUNTIF(P8:P18,"F")+(COUNTIF(P8:P18,"EM")+(COUNTIF(P8:P18,"DEM")/2))))</totalsRowFormula>
    </tableColumn>
    <tableColumn id="16" xr3:uid="{A0ABF739-0A2C-684D-8695-B63CD14B0F07}" name="15" totalsRowFunction="custom" dataDxfId="980" totalsRowDxfId="979">
      <totalsRowFormula>(COUNTIF(Q8:Q18,"C")+(COUNTIF(Q8:Q18,"CS")+COUNTIF(Q8:Q18,"RTT")+(COUNTIF(Q8:Q18,"DRTT")/2)+COUNTIF(Q8:Q18,"M")+COUNTIF(Q8:Q18,"Rec")+(COUNTIF(Q8:Q18,"Drec")/2)+COUNTIF(Q8:Q18,"F")+(COUNTIF(Q8:Q18,"EM")+(COUNTIF(Q8:Q18,"DEM")/2))))</totalsRowFormula>
    </tableColumn>
    <tableColumn id="17" xr3:uid="{A1384DF6-0FF8-3648-B143-A2C65B333630}" name="16" totalsRowFunction="custom" dataDxfId="978" totalsRowDxfId="977">
      <totalsRowFormula>(COUNTIF(R8:R18,"C")+(COUNTIF(R8:R18,"CS")+COUNTIF(R8:R18,"RTT")+(COUNTIF(R8:R18,"DRTT")/2)+COUNTIF(R8:R18,"M")+COUNTIF(R8:R18,"Rec")+(COUNTIF(R8:R18,"Drec")/2)+COUNTIF(R8:R18,"F")+(COUNTIF(R8:R18,"EM")+(COUNTIF(R8:R18,"DEM")/2))))</totalsRowFormula>
    </tableColumn>
    <tableColumn id="18" xr3:uid="{A47C6C61-E74F-EE44-BA89-254F42E9D634}" name="17" totalsRowFunction="custom" dataDxfId="976" totalsRowDxfId="975">
      <totalsRowFormula>(COUNTIF(S8:S18,"C")+(COUNTIF(S8:S18,"CS")+COUNTIF(S8:S18,"RTT")+(COUNTIF(S8:S18,"DRTT")/2)+COUNTIF(S8:S18,"M")+COUNTIF(S8:S18,"Rec")+(COUNTIF(S8:S18,"Drec")/2)+COUNTIF(S8:S18,"F")+(COUNTIF(S8:S18,"EM")+(COUNTIF(S8:S18,"DEM")/2))))</totalsRowFormula>
    </tableColumn>
    <tableColumn id="19" xr3:uid="{8F21111F-59DE-E140-8CED-D0036C69FCE5}" name="18" totalsRowFunction="custom" dataDxfId="974" totalsRowDxfId="973">
      <totalsRowFormula>(COUNTIF(T8:T18,"C")+(COUNTIF(T8:T18,"CS")+COUNTIF(T8:T18,"RTT")+(COUNTIF(T8:T18,"DRTT")/2)+COUNTIF(T8:T18,"M")+COUNTIF(T8:T18,"Rec")+(COUNTIF(T8:T18,"Drec")/2)+COUNTIF(T8:T18,"F")+(COUNTIF(T8:T18,"EM")+(COUNTIF(T8:T18,"DEM")/2))))</totalsRowFormula>
    </tableColumn>
    <tableColumn id="20" xr3:uid="{4DBF88FC-E75F-5C4B-9692-E1D9BA5E8D99}" name="19" totalsRowFunction="custom" dataDxfId="972" totalsRowDxfId="971">
      <totalsRowFormula>(COUNTIF(U8:U18,"C")+(COUNTIF(U8:U18,"CS")+COUNTIF(U8:U18,"RTT")+(COUNTIF(U8:U18,"DRTT")/2)+COUNTIF(U8:U18,"M")+COUNTIF(U8:U18,"Rec")+(COUNTIF(U8:U18,"Drec")/2)+COUNTIF(U8:U18,"F")+(COUNTIF(U8:U18,"EM")+(COUNTIF(U8:U18,"DEM")/2))))</totalsRowFormula>
    </tableColumn>
    <tableColumn id="21" xr3:uid="{C2DE251A-4A56-6244-8E9B-ACFF06895D03}" name="20" totalsRowFunction="custom" dataDxfId="970" totalsRowDxfId="969">
      <totalsRowFormula>(COUNTIF(V8:V18,"C")+(COUNTIF(V8:V18,"CS")+COUNTIF(V8:V18,"RTT")+(COUNTIF(V8:V18,"DRTT")/2)+COUNTIF(V8:V18,"M")+COUNTIF(V8:V18,"Rec")+(COUNTIF(V8:V18,"Drec")/2)+COUNTIF(V8:V18,"F")+(COUNTIF(V8:V18,"EM")+(COUNTIF(V8:V18,"DEM")/2))))</totalsRowFormula>
    </tableColumn>
    <tableColumn id="22" xr3:uid="{5B95F092-DDEF-6748-AB12-A4EADDCBC7A0}" name="21" totalsRowFunction="custom" dataDxfId="968" totalsRowDxfId="967">
      <totalsRowFormula>(COUNTIF(W8:W18,"C")+(COUNTIF(W8:W18,"CS")+COUNTIF(W8:W18,"RTT")+(COUNTIF(W8:W18,"DRTT")/2)+COUNTIF(W8:W18,"M")+COUNTIF(W8:W18,"Rec")+(COUNTIF(W8:W18,"Drec")/2)+COUNTIF(W8:W18,"F")+(COUNTIF(W8:W18,"EM")+(COUNTIF(W8:W18,"DEM")/2))))</totalsRowFormula>
    </tableColumn>
    <tableColumn id="23" xr3:uid="{B781CF50-B69D-1542-8FAF-187B840D9A7A}" name="22" totalsRowFunction="custom" dataDxfId="966" totalsRowDxfId="965">
      <totalsRowFormula>(COUNTIF(X8:X18,"C")+(COUNTIF(X8:X18,"CS")+COUNTIF(X8:X18,"RTT")+(COUNTIF(X8:X18,"DRTT")/2)+COUNTIF(X8:X18,"M")+COUNTIF(X8:X18,"Rec")+(COUNTIF(X8:X18,"Drec")/2)+COUNTIF(X8:X18,"F")+(COUNTIF(X8:X18,"EM")+(COUNTIF(X8:X18,"DEM")/2))))</totalsRowFormula>
    </tableColumn>
    <tableColumn id="24" xr3:uid="{51CCF0E7-5573-3A46-98C7-5F5B542D05C5}" name="23" totalsRowFunction="custom" dataDxfId="964" totalsRowDxfId="963">
      <totalsRowFormula>(COUNTIF(Y8:Y18,"C")+(COUNTIF(Y8:Y18,"CS")+COUNTIF(Y8:Y18,"RTT")+(COUNTIF(Y8:Y18,"DRTT")/2)+COUNTIF(Y8:Y18,"M")+COUNTIF(Y8:Y18,"Rec")+(COUNTIF(Y8:Y18,"Drec")/2)+COUNTIF(Y8:Y18,"F")+(COUNTIF(Y8:Y18,"EM")+(COUNTIF(Y8:Y18,"DEM")/2))))</totalsRowFormula>
    </tableColumn>
    <tableColumn id="25" xr3:uid="{5D850AC2-FCE5-CB4D-873E-E3ED130F5D97}" name="24" totalsRowFunction="custom" dataDxfId="962" totalsRowDxfId="961">
      <totalsRowFormula>(COUNTIF(Z8:Z18,"C")+(COUNTIF(Z8:Z18,"CS")+COUNTIF(Z8:Z18,"RTT")+(COUNTIF(Z8:Z18,"DRTT")/2)+COUNTIF(Z8:Z18,"M")+COUNTIF(Z8:Z18,"Rec")+(COUNTIF(Z8:Z18,"Drec")/2)+COUNTIF(Z8:Z18,"F")+(COUNTIF(Z8:Z18,"EM")+(COUNTIF(Z8:Z18,"DEM")/2))))</totalsRowFormula>
    </tableColumn>
    <tableColumn id="26" xr3:uid="{9DAC898E-4971-454A-975A-38A8F354B6FE}" name="25" totalsRowFunction="custom" dataDxfId="960" totalsRowDxfId="959">
      <totalsRowFormula>(COUNTIF(AA8:AA18,"C")+(COUNTIF(AA8:AA18,"CS")+COUNTIF(AA8:AA18,"RTT")+(COUNTIF(AA8:AA18,"DRTT")/2)+COUNTIF(AA8:AA18,"M")+COUNTIF(AA8:AA18,"Rec")+(COUNTIF(AA8:AA18,"Drec")/2)+COUNTIF(AA8:AA18,"F")+(COUNTIF(AA8:AA18,"EM")+(COUNTIF(AA8:AA18,"DEM")/2))))</totalsRowFormula>
    </tableColumn>
    <tableColumn id="27" xr3:uid="{467C37D0-2B24-4648-BC1C-C126A5FB0C5F}" name="26" totalsRowFunction="custom" dataDxfId="958" totalsRowDxfId="957">
      <totalsRowFormula>(COUNTIF(AB8:AB18,"C")+(COUNTIF(AB8:AB18,"CS")+COUNTIF(AB8:AB18,"RTT")+(COUNTIF(AB8:AB18,"DRTT")/2)+COUNTIF(AB8:AB18,"M")+COUNTIF(AB8:AB18,"Rec")+(COUNTIF(AB8:AB18,"Drec")/2)+COUNTIF(AB8:AB18,"F")+(COUNTIF(AB8:AB18,"EM")+(COUNTIF(AB8:AB18,"DEM")/2))))</totalsRowFormula>
    </tableColumn>
    <tableColumn id="28" xr3:uid="{8B6D06CB-EA41-1A41-825C-2219DBDC3726}" name="27" totalsRowFunction="custom" dataDxfId="956" totalsRowDxfId="955">
      <totalsRowFormula>(COUNTIF(AC8:AC18,"C")+(COUNTIF(AC8:AC18,"CS")+COUNTIF(AC8:AC18,"RTT")+(COUNTIF(AC8:AC18,"DRTT")/2)+COUNTIF(AC8:AC18,"M")+COUNTIF(AC8:AC18,"Rec")+(COUNTIF(AC8:AC18,"Drec")/2)+COUNTIF(AC8:AC18,"F")+(COUNTIF(AC8:AC18,"EM")+(COUNTIF(AC8:AC18,"DEM")/2))))</totalsRowFormula>
    </tableColumn>
    <tableColumn id="29" xr3:uid="{C64CE4BC-77EA-DC4F-AD2A-AC6102E5B036}" name="28" totalsRowFunction="custom" dataDxfId="954" totalsRowDxfId="953">
      <totalsRowFormula>(COUNTIF(AD8:AD18,"C")+(COUNTIF(AD8:AD18,"CS")+COUNTIF(AD8:AD18,"RTT")+(COUNTIF(AD8:AD18,"DRTT")/2)+COUNTIF(AD8:AD18,"M")+COUNTIF(AD8:AD18,"Rec")+(COUNTIF(AD8:AD18,"Drec")/2)+COUNTIF(AD8:AD18,"F")+(COUNTIF(AD8:AD18,"EM")+(COUNTIF(AD8:AD18,"DEM")/2))))</totalsRowFormula>
    </tableColumn>
    <tableColumn id="30" xr3:uid="{0630DB41-1ABF-0848-807C-4B56F3E10783}" name="29" totalsRowFunction="custom" dataDxfId="952" totalsRowDxfId="951">
      <totalsRowFormula>(COUNTIF(AE8:AE18,"C")+(COUNTIF(AE8:AE18,"CS")+COUNTIF(AE8:AE18,"RTT")+(COUNTIF(AE8:AE18,"DRTT")/2)+COUNTIF(AE8:AE18,"M")+COUNTIF(AE8:AE18,"Rec")+(COUNTIF(AE8:AE18,"Drec")/2)+COUNTIF(AE8:AE18,"F")+(COUNTIF(AE8:AE18,"EM")+(COUNTIF(AE8:AE18,"DEM")/2))))</totalsRowFormula>
    </tableColumn>
    <tableColumn id="31" xr3:uid="{C60BB255-641D-E547-900C-B98B4ABC9A06}" name="30" totalsRowFunction="custom" dataDxfId="950" totalsRowDxfId="949">
      <totalsRowFormula>(COUNTIF(AF8:AF18,"C")+(COUNTIF(AF8:AF18,"CS")+COUNTIF(AF8:AF18,"RTT")+(COUNTIF(AF8:AF18,"DRTT")/2)+COUNTIF(AF8:AF18,"M")+COUNTIF(AF8:AF18,"Rec")+(COUNTIF(AF8:AF18,"Drec")/2)+COUNTIF(AF8:AF18,"F")+(COUNTIF(AF8:AF18,"EM")+(COUNTIF(AF8:AF18,"DEM")/2))))</totalsRowFormula>
    </tableColumn>
    <tableColumn id="32" xr3:uid="{238CF7AA-387C-8C46-AFB0-BB0CB7BDCF2C}" name=" " totalsRowFunction="custom" dataDxfId="948" totalsRowDxfId="947">
      <totalsRowFormula>(COUNTIF(AG8:AG18,"C")+(COUNTIF(AG8:AG18,"CS")+COUNTIF(AG8:AG18,"RTT")+(COUNTIF(AG8:AG18,"DRTT")/2)+COUNTIF(AG8:AG18,"M")+COUNTIF(AG8:AG18,"Rec")+(COUNTIF(AG8:AG18,"Drec")/2)+COUNTIF(AG8:AG18,"F")+(COUNTIF(AG8:AG18,"EM")+(COUNTIF(AG8:AG18,"DEM")/2))))</totalsRowFormula>
    </tableColumn>
    <tableColumn id="33" xr3:uid="{E58BA157-E637-E14F-8A96-31B248DE3B49}" name="Total absence" totalsRowFunction="sum" dataDxfId="946" totalsRowDxfId="94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2B60855F-8D20-4140-889B-3C10C29F4571}" name="Dont RTT" totalsRowFunction="sum" dataDxfId="944" totalsRowDxfId="943" dataCellStyle="Total">
      <calculatedColumnFormula>COUNTIF(C8:AG8,"RTT")+COUNTIF(C8:AG8,"DRTT")/2</calculatedColumnFormula>
    </tableColumn>
    <tableColumn id="36" xr3:uid="{D0B81199-B486-0A45-9E65-C110A05DA69E}" name="Dont MALADIE" totalsRowFunction="sum" dataDxfId="942" totalsRowDxfId="941" dataCellStyle="Total"/>
    <tableColumn id="35" xr3:uid="{CC72EE0F-3B4D-D947-BCD7-36D0EF43EBE8}" name="Solde RTT disponible au 01/05/2021" dataDxfId="940" totalsRowDxfId="939">
      <calculatedColumnFormula>Février!AK8-Mars[[#This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501CCB3-9FBA-9046-AD29-A9D5CF20D6D0}" name="Mai" displayName="Mai" ref="B7:AK19" totalsRowCount="1" headerRowDxfId="897" totalsRowDxfId="896">
  <tableColumns count="36">
    <tableColumn id="1" xr3:uid="{A487B09C-1203-7242-85FD-7D5F1D19EB7A}" name="Nom de l’employé" totalsRowFunction="custom" dataDxfId="895" totalsRowDxfId="894" dataCellStyle="Employé">
      <totalsRowFormula>NomMois&amp;" Total"</totalsRowFormula>
    </tableColumn>
    <tableColumn id="2" xr3:uid="{BDFAA776-6AF9-0E4E-AA3B-2894D425BFBA}" name="1" totalsRowFunction="custom" dataDxfId="893" totalsRowDxfId="892">
      <totalsRowFormula>(COUNTIF(C8:C18,"C")+(COUNTIF(C8:C18,"CS")+COUNTIF(C8:C18,"RTT")+(COUNTIF(C8:C18,"DRTT")/2)+COUNTIF(C8:C18,"M")+COUNTIF(C8:C18,"Rec")+(COUNTIF(C8:C18,"Drec")/2)+COUNTIF(C8:C18,"F")+(COUNTIF(C8:C18,"EM")+(COUNTIF(C8:C18,"DEM")/2))))</totalsRowFormula>
    </tableColumn>
    <tableColumn id="3" xr3:uid="{B3EA5EFD-A7BE-BB4B-9538-AB7F2F59CCB9}" name="2" totalsRowFunction="custom" dataDxfId="891" totalsRowDxfId="890">
      <totalsRowFormula>(COUNTIF(D8:D18,"C")+(COUNTIF(D8:D18,"CS")+COUNTIF(D8:D18,"RTT")+(COUNTIF(D8:D18,"DRTT")/2)+COUNTIF(D8:D18,"M")+COUNTIF(D8:D18,"Rec")+(COUNTIF(D8:D18,"Drec")/2)+COUNTIF(D8:D18,"F")+(COUNTIF(D8:D18,"EM")+(COUNTIF(D8:D18,"DEM")/2))))</totalsRowFormula>
    </tableColumn>
    <tableColumn id="4" xr3:uid="{746017AA-418A-2647-A9CA-8AC8272791B0}" name="3" totalsRowFunction="custom" dataDxfId="889" totalsRowDxfId="888">
      <totalsRowFormula>(COUNTIF(E8:E18,"C")+(COUNTIF(E8:E18,"CS")+COUNTIF(E8:E18,"RTT")+(COUNTIF(E8:E18,"DRTT")/2)+COUNTIF(E8:E18,"M")+COUNTIF(E8:E18,"Rec")+(COUNTIF(E8:E18,"Drec")/2)+COUNTIF(E8:E18,"F")+(COUNTIF(E8:E18,"EM")+(COUNTIF(E8:E18,"DEM")/2))))</totalsRowFormula>
    </tableColumn>
    <tableColumn id="5" xr3:uid="{3738A34A-F40F-FA46-93F2-A8E13304B84E}" name="4" totalsRowFunction="custom" dataDxfId="887" totalsRowDxfId="886">
      <totalsRowFormula>(COUNTIF(F8:F18,"C")+(COUNTIF(F8:F18,"CS")+COUNTIF(F8:F18,"RTT")+(COUNTIF(F8:F18,"DRTT")/2)+COUNTIF(F8:F18,"M")+COUNTIF(F8:F18,"Rec")+(COUNTIF(F8:F18,"Drec")/2)+COUNTIF(F8:F18,"F")+(COUNTIF(F8:F18,"EM")+(COUNTIF(F8:F18,"DEM")/2))))</totalsRowFormula>
    </tableColumn>
    <tableColumn id="6" xr3:uid="{1C9245C3-FBC7-6344-8F34-E608A7E0AC48}" name="5" totalsRowFunction="custom" dataDxfId="885" totalsRowDxfId="884">
      <totalsRowFormula>(COUNTIF(G8:G18,"C")+(COUNTIF(G8:G18,"CS")+COUNTIF(G8:G18,"RTT")+(COUNTIF(G8:G18,"DRTT")/2)+COUNTIF(G8:G18,"M")+COUNTIF(G8:G18,"Rec")+(COUNTIF(G8:G18,"Drec")/2)+COUNTIF(G8:G18,"F")+(COUNTIF(G8:G18,"EM")+(COUNTIF(G8:G18,"DEM")/2))))</totalsRowFormula>
    </tableColumn>
    <tableColumn id="7" xr3:uid="{6D4B2E9E-64C4-0942-B7DA-2DFCEF050944}" name="6" totalsRowFunction="custom" dataDxfId="883" totalsRowDxfId="882">
      <totalsRowFormula>(COUNTIF(H8:H18,"C")+(COUNTIF(H8:H18,"CS")+COUNTIF(H8:H18,"RTT")+(COUNTIF(H8:H18,"DRTT")/2)+COUNTIF(H8:H18,"M")+COUNTIF(H8:H18,"Rec")+(COUNTIF(H8:H18,"Drec")/2)+COUNTIF(H8:H18,"F")+(COUNTIF(H8:H18,"EM")+(COUNTIF(H8:H18,"DEM")/2))))</totalsRowFormula>
    </tableColumn>
    <tableColumn id="8" xr3:uid="{6ABBDFBA-DBC8-2D41-B0F4-A52D76B4643E}" name="7" totalsRowFunction="custom" dataDxfId="881" totalsRowDxfId="880">
      <totalsRowFormula>(COUNTIF(I8:I18,"C")+(COUNTIF(I8:I18,"CS")+COUNTIF(I8:I18,"RTT")+(COUNTIF(I8:I18,"DRTT")/2)+COUNTIF(I8:I18,"M")+COUNTIF(I8:I18,"Rec")+(COUNTIF(I8:I18,"Drec")/2)+COUNTIF(I8:I18,"F")+(COUNTIF(I8:I18,"EM")+(COUNTIF(I8:I18,"DEM")/2))))</totalsRowFormula>
    </tableColumn>
    <tableColumn id="9" xr3:uid="{45CFC1ED-5D6C-C048-B5D3-6F234C016FA6}" name="8" totalsRowFunction="custom" dataDxfId="879" totalsRowDxfId="878">
      <totalsRowFormula>(COUNTIF(J8:J18,"C")+(COUNTIF(J8:J18,"CS")+COUNTIF(J8:J18,"RTT")+(COUNTIF(J8:J18,"DRTT")/2)+COUNTIF(J8:J18,"M")+COUNTIF(J8:J18,"Rec")+(COUNTIF(J8:J18,"Drec")/2)+COUNTIF(J8:J18,"F")+(COUNTIF(J8:J18,"EM")+(COUNTIF(J8:J18,"DEM")/2))))</totalsRowFormula>
    </tableColumn>
    <tableColumn id="10" xr3:uid="{7219529E-EA76-F043-A920-9881BFB3D365}" name="9" totalsRowFunction="custom" dataDxfId="877" totalsRowDxfId="876">
      <totalsRowFormula>(COUNTIF(K8:K18,"C")+(COUNTIF(K8:K18,"CS")+COUNTIF(K8:K18,"RTT")+(COUNTIF(K8:K18,"DRTT")/2)+COUNTIF(K8:K18,"M")+COUNTIF(K8:K18,"Rec")+(COUNTIF(K8:K18,"Drec")/2)+COUNTIF(K8:K18,"F")+(COUNTIF(K8:K18,"EM")+(COUNTIF(K8:K18,"DEM")/2))))</totalsRowFormula>
    </tableColumn>
    <tableColumn id="11" xr3:uid="{C5BB23E7-1DF6-CB4F-87A1-40616FDB2BE6}" name="10" totalsRowFunction="custom" dataDxfId="875" totalsRowDxfId="874">
      <totalsRowFormula>(COUNTIF(L8:L18,"C")+(COUNTIF(L8:L18,"CS")+COUNTIF(L8:L18,"RTT")+(COUNTIF(L8:L18,"DRTT")/2)+COUNTIF(L8:L18,"M")+COUNTIF(L8:L18,"Rec")+(COUNTIF(L8:L18,"Drec")/2)+COUNTIF(L8:L18,"F")+(COUNTIF(L8:L18,"EM")+(COUNTIF(L8:L18,"DEM")/2))))</totalsRowFormula>
    </tableColumn>
    <tableColumn id="12" xr3:uid="{8AD664E6-1A00-844A-B05D-3DD8AB509CF5}" name="11" totalsRowFunction="custom" dataDxfId="873" totalsRowDxfId="872">
      <totalsRowFormula>(COUNTIF(M8:M18,"C")+(COUNTIF(M8:M18,"CS")+COUNTIF(M8:M18,"RTT")+(COUNTIF(M8:M18,"DRTT")/2)+COUNTIF(M8:M18,"M")+COUNTIF(M8:M18,"Rec")+(COUNTIF(M8:M18,"Drec")/2)+COUNTIF(M8:M18,"F")+(COUNTIF(M8:M18,"EM")+(COUNTIF(M8:M18,"DEM")/2))))</totalsRowFormula>
    </tableColumn>
    <tableColumn id="13" xr3:uid="{A023D3D9-5743-A44F-9BE8-FED8654462F2}" name="12" totalsRowFunction="custom" dataDxfId="871" totalsRowDxfId="870">
      <totalsRowFormula>(COUNTIF(N8:N18,"C")+(COUNTIF(N8:N18,"CS")+COUNTIF(N8:N18,"RTT")+(COUNTIF(N8:N18,"DRTT")/2)+COUNTIF(N8:N18,"M")+COUNTIF(N8:N18,"Rec")+(COUNTIF(N8:N18,"Drec")/2)+COUNTIF(N8:N18,"F")+(COUNTIF(N8:N18,"EM")+(COUNTIF(N8:N18,"DEM")/2))))</totalsRowFormula>
    </tableColumn>
    <tableColumn id="14" xr3:uid="{F95752B8-9696-074B-90E1-6AB7BE30B961}" name="13" totalsRowFunction="custom" dataDxfId="869" totalsRowDxfId="868">
      <totalsRowFormula>(COUNTIF(O8:O18,"C")+(COUNTIF(O8:O18,"CS")+COUNTIF(O8:O18,"RTT")+(COUNTIF(O8:O18,"DRTT")/2)+COUNTIF(O8:O18,"M")+COUNTIF(O8:O18,"Rec")+(COUNTIF(O8:O18,"Drec")/2)+COUNTIF(O8:O18,"F")+(COUNTIF(O8:O18,"EM")+(COUNTIF(O8:O18,"DEM")/2))))</totalsRowFormula>
    </tableColumn>
    <tableColumn id="15" xr3:uid="{B955CE80-8072-7149-BDF3-E67C3EDBCD4E}" name="14" totalsRowFunction="custom" dataDxfId="867" totalsRowDxfId="866">
      <totalsRowFormula>(COUNTIF(P8:P18,"C")+(COUNTIF(P8:P18,"CS")+COUNTIF(P8:P18,"RTT")+(COUNTIF(P8:P18,"DRTT")/2)+COUNTIF(P8:P18,"M")+COUNTIF(P8:P18,"Rec")+(COUNTIF(P8:P18,"Drec")/2)+COUNTIF(P8:P18,"F")+(COUNTIF(P8:P18,"EM")+(COUNTIF(P8:P18,"DEM")/2))))</totalsRowFormula>
    </tableColumn>
    <tableColumn id="16" xr3:uid="{900FAE64-04E7-D946-9C6F-51A525B18143}" name="15" totalsRowFunction="custom" dataDxfId="865" totalsRowDxfId="864">
      <totalsRowFormula>(COUNTIF(Q8:Q18,"C")+(COUNTIF(Q8:Q18,"CS")+COUNTIF(Q8:Q18,"RTT")+(COUNTIF(Q8:Q18,"DRTT")/2)+COUNTIF(Q8:Q18,"M")+COUNTIF(Q8:Q18,"Rec")+(COUNTIF(Q8:Q18,"Drec")/2)+COUNTIF(Q8:Q18,"F")+(COUNTIF(Q8:Q18,"EM")+(COUNTIF(Q8:Q18,"DEM")/2))))</totalsRowFormula>
    </tableColumn>
    <tableColumn id="17" xr3:uid="{AFE1B3DE-9EE3-194C-83CF-059F51A17559}" name="16" totalsRowFunction="custom" dataDxfId="863" totalsRowDxfId="862">
      <totalsRowFormula>(COUNTIF(R8:R18,"C")+(COUNTIF(R8:R18,"CS")+COUNTIF(R8:R18,"RTT")+(COUNTIF(R8:R18,"DRTT")/2)+COUNTIF(R8:R18,"M")+COUNTIF(R8:R18,"Rec")+(COUNTIF(R8:R18,"Drec")/2)+COUNTIF(R8:R18,"F")+(COUNTIF(R8:R18,"EM")+(COUNTIF(R8:R18,"DEM")/2))))</totalsRowFormula>
    </tableColumn>
    <tableColumn id="18" xr3:uid="{BEDB06EB-0F53-C84A-95D1-4EAA23A4B2A9}" name="17" totalsRowFunction="custom" dataDxfId="861" totalsRowDxfId="860">
      <totalsRowFormula>(COUNTIF(S8:S18,"C")+(COUNTIF(S8:S18,"CS")+COUNTIF(S8:S18,"RTT")+(COUNTIF(S8:S18,"DRTT")/2)+COUNTIF(S8:S18,"M")+COUNTIF(S8:S18,"Rec")+(COUNTIF(S8:S18,"Drec")/2)+COUNTIF(S8:S18,"F")+(COUNTIF(S8:S18,"EM")+(COUNTIF(S8:S18,"DEM")/2))))</totalsRowFormula>
    </tableColumn>
    <tableColumn id="19" xr3:uid="{F770A182-72F1-D043-A3BD-9DF445C04318}" name="18" totalsRowFunction="custom" dataDxfId="859" totalsRowDxfId="858">
      <totalsRowFormula>(COUNTIF(T8:T18,"C")+(COUNTIF(T8:T18,"CS")+COUNTIF(T8:T18,"RTT")+(COUNTIF(T8:T18,"DRTT")/2)+COUNTIF(T8:T18,"M")+COUNTIF(T8:T18,"Rec")+(COUNTIF(T8:T18,"Drec")/2)+COUNTIF(T8:T18,"F")+(COUNTIF(T8:T18,"EM")+(COUNTIF(T8:T18,"DEM")/2))))</totalsRowFormula>
    </tableColumn>
    <tableColumn id="20" xr3:uid="{6B8F1CCC-BAB1-9041-AF46-742F96A29E60}" name="19" totalsRowFunction="custom" dataDxfId="857" totalsRowDxfId="856">
      <totalsRowFormula>(COUNTIF(U8:U18,"C")+(COUNTIF(U8:U18,"CS")+COUNTIF(U8:U18,"RTT")+(COUNTIF(U8:U18,"DRTT")/2)+COUNTIF(U8:U18,"M")+COUNTIF(U8:U18,"Rec")+(COUNTIF(U8:U18,"Drec")/2)+COUNTIF(U8:U18,"F")+(COUNTIF(U8:U18,"EM")+(COUNTIF(U8:U18,"DEM")/2))))</totalsRowFormula>
    </tableColumn>
    <tableColumn id="21" xr3:uid="{86791F1B-82AA-BF46-B500-83B6FB1058FA}" name="20" totalsRowFunction="custom" dataDxfId="855" totalsRowDxfId="854">
      <totalsRowFormula>(COUNTIF(V8:V18,"C")+(COUNTIF(V8:V18,"CS")+COUNTIF(V8:V18,"RTT")+(COUNTIF(V8:V18,"DRTT")/2)+COUNTIF(V8:V18,"M")+COUNTIF(V8:V18,"Rec")+(COUNTIF(V8:V18,"Drec")/2)+COUNTIF(V8:V18,"F")+(COUNTIF(V8:V18,"EM")+(COUNTIF(V8:V18,"DEM")/2))))</totalsRowFormula>
    </tableColumn>
    <tableColumn id="22" xr3:uid="{4CA2FFE3-B164-474E-A9D9-072F4DD269E4}" name="21" totalsRowFunction="custom" dataDxfId="853" totalsRowDxfId="852">
      <totalsRowFormula>(COUNTIF(W8:W18,"C")+(COUNTIF(W8:W18,"CS")+COUNTIF(W8:W18,"RTT")+(COUNTIF(W8:W18,"DRTT")/2)+COUNTIF(W8:W18,"M")+COUNTIF(W8:W18,"Rec")+(COUNTIF(W8:W18,"Drec")/2)+COUNTIF(W8:W18,"F")+(COUNTIF(W8:W18,"EM")+(COUNTIF(W8:W18,"DEM")/2))))</totalsRowFormula>
    </tableColumn>
    <tableColumn id="23" xr3:uid="{0AC8C250-B63F-BE4A-A15E-3217E6B76580}" name="22" totalsRowFunction="custom" dataDxfId="851" totalsRowDxfId="850">
      <totalsRowFormula>(COUNTIF(X8:X18,"C")+(COUNTIF(X8:X18,"CS")+COUNTIF(X8:X18,"RTT")+(COUNTIF(X8:X18,"DRTT")/2)+COUNTIF(X8:X18,"M")+COUNTIF(X8:X18,"Rec")+(COUNTIF(X8:X18,"Drec")/2)+COUNTIF(X8:X18,"F")+(COUNTIF(X8:X18,"EM")+(COUNTIF(X8:X18,"DEM")/2))))</totalsRowFormula>
    </tableColumn>
    <tableColumn id="24" xr3:uid="{1D0C59A6-1FC2-9741-B3CA-B28C7B130C59}" name="23" totalsRowFunction="custom" dataDxfId="849" totalsRowDxfId="848">
      <totalsRowFormula>(COUNTIF(Y8:Y18,"C")+(COUNTIF(Y8:Y18,"CS")+COUNTIF(Y8:Y18,"RTT")+(COUNTIF(Y8:Y18,"DRTT")/2)+COUNTIF(Y8:Y18,"M")+COUNTIF(Y8:Y18,"Rec")+(COUNTIF(Y8:Y18,"Drec")/2)+COUNTIF(Y8:Y18,"F")+(COUNTIF(Y8:Y18,"EM")+(COUNTIF(Y8:Y18,"DEM")/2))))</totalsRowFormula>
    </tableColumn>
    <tableColumn id="25" xr3:uid="{09399692-8EB1-E448-8E19-471DA2633D2D}" name="24" totalsRowFunction="custom" dataDxfId="847" totalsRowDxfId="846">
      <totalsRowFormula>(COUNTIF(Z8:Z18,"C")+(COUNTIF(Z8:Z18,"CS")+COUNTIF(Z8:Z18,"RTT")+(COUNTIF(Z8:Z18,"DRTT")/2)+COUNTIF(Z8:Z18,"M")+COUNTIF(Z8:Z18,"Rec")+(COUNTIF(Z8:Z18,"Drec")/2)+COUNTIF(Z8:Z18,"F")+(COUNTIF(Z8:Z18,"EM")+(COUNTIF(Z8:Z18,"DEM")/2))))</totalsRowFormula>
    </tableColumn>
    <tableColumn id="26" xr3:uid="{89C2AA7A-D694-B34C-9419-F3D8CAA7F107}" name="25" totalsRowFunction="custom" dataDxfId="845" totalsRowDxfId="844">
      <totalsRowFormula>(COUNTIF(AA8:AA18,"C")+(COUNTIF(AA8:AA18,"CS")+COUNTIF(AA8:AA18,"RTT")+(COUNTIF(AA8:AA18,"DRTT")/2)+COUNTIF(AA8:AA18,"M")+COUNTIF(AA8:AA18,"Rec")+(COUNTIF(AA8:AA18,"Drec")/2)+COUNTIF(AA8:AA18,"F")+(COUNTIF(AA8:AA18,"EM")+(COUNTIF(AA8:AA18,"DEM")/2))))</totalsRowFormula>
    </tableColumn>
    <tableColumn id="27" xr3:uid="{94D8CA31-E8CA-8A44-A6E7-0BF6DA99F370}" name="26" totalsRowFunction="custom" dataDxfId="843" totalsRowDxfId="842">
      <totalsRowFormula>(COUNTIF(AB8:AB18,"C")+(COUNTIF(AB8:AB18,"CS")+COUNTIF(AB8:AB18,"RTT")+(COUNTIF(AB8:AB18,"DRTT")/2)+COUNTIF(AB8:AB18,"M")+COUNTIF(AB8:AB18,"Rec")+(COUNTIF(AB8:AB18,"Drec")/2)+COUNTIF(AB8:AB18,"F")+(COUNTIF(AB8:AB18,"EM")+(COUNTIF(AB8:AB18,"DEM")/2))))</totalsRowFormula>
    </tableColumn>
    <tableColumn id="28" xr3:uid="{AF81227E-151B-5C4B-98E3-BE9836F801AF}" name="27" totalsRowFunction="custom" dataDxfId="841" totalsRowDxfId="840">
      <totalsRowFormula>(COUNTIF(AC8:AC18,"C")+(COUNTIF(AC8:AC18,"CS")+COUNTIF(AC8:AC18,"RTT")+(COUNTIF(AC8:AC18,"DRTT")/2)+COUNTIF(AC8:AC18,"M")+COUNTIF(AC8:AC18,"Rec")+(COUNTIF(AC8:AC18,"Drec")/2)+COUNTIF(AC8:AC18,"F")+(COUNTIF(AC8:AC18,"EM")+(COUNTIF(AC8:AC18,"DEM")/2))))</totalsRowFormula>
    </tableColumn>
    <tableColumn id="29" xr3:uid="{776D0630-3718-8645-AA48-F3FBB3ABABF2}" name="28" totalsRowFunction="custom" dataDxfId="839" totalsRowDxfId="838">
      <totalsRowFormula>(COUNTIF(AD8:AD18,"C")+(COUNTIF(AD8:AD18,"CS")+COUNTIF(AD8:AD18,"RTT")+(COUNTIF(AD8:AD18,"DRTT")/2)+COUNTIF(AD8:AD18,"M")+COUNTIF(AD8:AD18,"Rec")+(COUNTIF(AD8:AD18,"Drec")/2)+COUNTIF(AD8:AD18,"F")+(COUNTIF(AD8:AD18,"EM")+(COUNTIF(AD8:AD18,"DEM")/2))))</totalsRowFormula>
    </tableColumn>
    <tableColumn id="30" xr3:uid="{5E85958A-4214-DE49-8F73-1B66B00AD72B}" name="29" totalsRowFunction="custom" dataDxfId="837" totalsRowDxfId="836">
      <totalsRowFormula>(COUNTIF(AE8:AE18,"C")+(COUNTIF(AE8:AE18,"CS")+COUNTIF(AE8:AE18,"RTT")+(COUNTIF(AE8:AE18,"DRTT")/2)+COUNTIF(AE8:AE18,"M")+COUNTIF(AE8:AE18,"Rec")+(COUNTIF(AE8:AE18,"Drec")/2)+COUNTIF(AE8:AE18,"F")+(COUNTIF(AE8:AE18,"EM")+(COUNTIF(AE8:AE18,"DEM")/2))))</totalsRowFormula>
    </tableColumn>
    <tableColumn id="31" xr3:uid="{CFF4172B-CC9B-B24F-9B40-E24DACBFDF28}" name="30" totalsRowFunction="custom" dataDxfId="835" totalsRowDxfId="834">
      <totalsRowFormula>(COUNTIF(AF8:AF18,"C")+(COUNTIF(AF8:AF18,"CS")+COUNTIF(AF8:AF18,"RTT")+(COUNTIF(AF8:AF18,"DRTT")/2)+COUNTIF(AF8:AF18,"M")+COUNTIF(AF8:AF18,"Rec")+(COUNTIF(AF8:AF18,"Drec")/2)+COUNTIF(AF8:AF18,"F")+(COUNTIF(AF8:AF18,"EM")+(COUNTIF(AF8:AF18,"DEM")/2))))</totalsRowFormula>
    </tableColumn>
    <tableColumn id="32" xr3:uid="{BF7D3C48-C3A0-CE4B-8F3F-174D113528B1}" name="31" totalsRowFunction="custom" dataDxfId="833" totalsRowDxfId="832">
      <totalsRowFormula>(COUNTIF(AG8:AG18,"C")+(COUNTIF(AG8:AG18,"CS")+COUNTIF(AG8:AG18,"RTT")+(COUNTIF(AG8:AG18,"DRTT")/2)+COUNTIF(AG8:AG18,"M")+COUNTIF(AG8:AG18,"Rec")+(COUNTIF(AG8:AG18,"Drec")/2)+COUNTIF(AG8:AG18,"F")+(COUNTIF(AG8:AG18,"EM")+(COUNTIF(AG8:AG18,"DEM")/2))))</totalsRowFormula>
    </tableColumn>
    <tableColumn id="33" xr3:uid="{065B31B4-0E12-F04F-8FD3-192CC575535B}" name="Total absence" totalsRowFunction="sum" dataDxfId="831" totalsRowDxfId="830" dataCellStyle="Total">
      <calculatedColumnFormula>(COUNTIF(C8:AG8,"C")+(COUNTIF(C8:AG8,"EM")+COUNTIF(C8:AG8,"RTT")+COUNTIF(C8:AG8,"M")+COUNTIF(C8:AG8,"Rec")+COUNTIF(C8:AG8,"F")+COUNTIF(C8:AG8,"TT"-1)+COUNTIF(C8:AG8,"CS")+COUNTIF(C8:AG8,"PE"-1)+COUNTIF(C8:AG8,"DRTT")/2)+COUNTIF(C8:AG8,"DREC")/2)+COUNTIF(C8:AG8,"DEM")/2</calculatedColumnFormula>
    </tableColumn>
    <tableColumn id="34" xr3:uid="{51AA5CBA-36BB-C94F-B469-D74A6BE0D334}" name="Dont RTT" totalsRowFunction="sum" dataDxfId="829" totalsRowDxfId="828" dataCellStyle="Total">
      <calculatedColumnFormula>COUNTIF(C8:AG8,"RTT")+COUNTIF(C8:AG8,"DRTT")/2</calculatedColumnFormula>
    </tableColumn>
    <tableColumn id="36" xr3:uid="{75558809-1126-3140-A9D4-7D2C56F650E4}" name="Dont MALADIE" totalsRowFunction="sum" dataDxfId="827" totalsRowDxfId="826" dataCellStyle="Total"/>
    <tableColumn id="35" xr3:uid="{6352C8C6-B4CA-1746-8524-0D306825629A}" name="Solde RTT disponible au 01/06/2021" dataDxfId="825" totalsRowDxfId="824">
      <calculatedColumnFormula>Mars!AK8-Mars[[#This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7E7F423-26CE-364E-937D-BB6A7B76F269}" name="Juin" displayName="Juin" ref="B7:AK19" totalsRowCount="1" headerRowDxfId="782" totalsRowDxfId="781">
  <tableColumns count="36">
    <tableColumn id="1" xr3:uid="{BBE1B690-2F32-9142-9CF5-992A824D6D4D}" name="Nom de l’employé" totalsRowFunction="custom" dataDxfId="780" totalsRowDxfId="779" dataCellStyle="Employé">
      <totalsRowFormula>NomMois&amp;" Total"</totalsRowFormula>
    </tableColumn>
    <tableColumn id="2" xr3:uid="{414109F0-E0A9-E84A-BC48-0B86230F6F91}" name="1" totalsRowFunction="custom" dataDxfId="778" totalsRowDxfId="777">
      <totalsRowFormula>(COUNTIF(C8:C18,"C")+(COUNTIF(C8:C18,"CS")+COUNTIF(C8:C18,"RTT")+(COUNTIF(C8:C18,"DRTT")/2)+COUNTIF(C8:C18,"M")+COUNTIF(C8:C18,"Rec")+(COUNTIF(C8:C18,"Drec")/2)+COUNTIF(C8:C18,"F")+(COUNTIF(C8:C18,"EM")+(COUNTIF(C8:C18,"DEM")/2))))</totalsRowFormula>
    </tableColumn>
    <tableColumn id="3" xr3:uid="{0EBD3E6F-0B8A-A64A-B3B6-16691675766E}" name="2" totalsRowFunction="custom" dataDxfId="776" totalsRowDxfId="775">
      <totalsRowFormula>(COUNTIF(D8:D18,"C")+(COUNTIF(D8:D18,"CS")+COUNTIF(D8:D18,"RTT")+(COUNTIF(D8:D18,"DRTT")/2)+COUNTIF(D8:D18,"M")+COUNTIF(D8:D18,"Rec")+(COUNTIF(D8:D18,"Drec")/2)+COUNTIF(D8:D18,"F")+(COUNTIF(D8:D18,"EM")+(COUNTIF(D8:D18,"DEM")/2))))</totalsRowFormula>
    </tableColumn>
    <tableColumn id="4" xr3:uid="{D798D532-8D54-8C43-B71C-1F1E80F517FE}" name="3" totalsRowFunction="custom" dataDxfId="774" totalsRowDxfId="773">
      <totalsRowFormula>(COUNTIF(E8:E18,"C")+(COUNTIF(E8:E18,"CS")+COUNTIF(E8:E18,"RTT")+(COUNTIF(E8:E18,"DRTT")/2)+COUNTIF(E8:E18,"M")+COUNTIF(E8:E18,"Rec")+(COUNTIF(E8:E18,"Drec")/2)+COUNTIF(E8:E18,"F")+(COUNTIF(E8:E18,"EM")+(COUNTIF(E8:E18,"DEM")/2))))</totalsRowFormula>
    </tableColumn>
    <tableColumn id="5" xr3:uid="{3F0AA438-DF6E-7340-BEFA-CE4A05127ABE}" name="4" totalsRowFunction="custom" dataDxfId="772" totalsRowDxfId="771">
      <totalsRowFormula>(COUNTIF(F8:F18,"C")+(COUNTIF(F8:F18,"CS")+COUNTIF(F8:F18,"RTT")+(COUNTIF(F8:F18,"DRTT")/2)+COUNTIF(F8:F18,"M")+COUNTIF(F8:F18,"Rec")+(COUNTIF(F8:F18,"Drec")/2)+COUNTIF(F8:F18,"F")+(COUNTIF(F8:F18,"EM")+(COUNTIF(F8:F18,"DEM")/2))))</totalsRowFormula>
    </tableColumn>
    <tableColumn id="6" xr3:uid="{162B6CE1-94F2-6D43-B633-2D8021BED9B3}" name="5" totalsRowFunction="custom" dataDxfId="770" totalsRowDxfId="769">
      <totalsRowFormula>(COUNTIF(G8:G18,"C")+(COUNTIF(G8:G18,"CS")+COUNTIF(G8:G18,"RTT")+(COUNTIF(G8:G18,"DRTT")/2)+COUNTIF(G8:G18,"M")+COUNTIF(G8:G18,"Rec")+(COUNTIF(G8:G18,"Drec")/2)+COUNTIF(G8:G18,"F")+(COUNTIF(G8:G18,"EM")+(COUNTIF(G8:G18,"DEM")/2))))</totalsRowFormula>
    </tableColumn>
    <tableColumn id="7" xr3:uid="{81757E57-653B-DD4B-BE16-94EC69B5B8A3}" name="6" totalsRowFunction="custom" dataDxfId="768" totalsRowDxfId="767">
      <totalsRowFormula>(COUNTIF(H8:H18,"C")+(COUNTIF(H8:H18,"CS")+COUNTIF(H8:H18,"RTT")+(COUNTIF(H8:H18,"DRTT")/2)+COUNTIF(H8:H18,"M")+COUNTIF(H8:H18,"Rec")+(COUNTIF(H8:H18,"Drec")/2)+COUNTIF(H8:H18,"F")+(COUNTIF(H8:H18,"EM")+(COUNTIF(H8:H18,"DEM")/2))))</totalsRowFormula>
    </tableColumn>
    <tableColumn id="8" xr3:uid="{557BE4AC-8552-F141-AA35-5239C06C962F}" name="7" totalsRowFunction="custom" dataDxfId="766" totalsRowDxfId="765">
      <totalsRowFormula>(COUNTIF(I8:I18,"C")+(COUNTIF(I8:I18,"CS")+COUNTIF(I8:I18,"RTT")+(COUNTIF(I8:I18,"DRTT")/2)+COUNTIF(I8:I18,"M")+COUNTIF(I8:I18,"Rec")+(COUNTIF(I8:I18,"Drec")/2)+COUNTIF(I8:I18,"F")+(COUNTIF(I8:I18,"EM")+(COUNTIF(I8:I18,"DEM")/2))))</totalsRowFormula>
    </tableColumn>
    <tableColumn id="9" xr3:uid="{FDDB64D8-6BC5-BC47-A811-3D55EE78DF41}" name="8" totalsRowFunction="custom" dataDxfId="764" totalsRowDxfId="763">
      <totalsRowFormula>(COUNTIF(J8:J18,"C")+(COUNTIF(J8:J18,"CS")+COUNTIF(J8:J18,"RTT")+(COUNTIF(J8:J18,"DRTT")/2)+COUNTIF(J8:J18,"M")+COUNTIF(J8:J18,"Rec")+(COUNTIF(J8:J18,"Drec")/2)+COUNTIF(J8:J18,"F")+(COUNTIF(J8:J18,"EM")+(COUNTIF(J8:J18,"DEM")/2))))</totalsRowFormula>
    </tableColumn>
    <tableColumn id="10" xr3:uid="{FBE78315-2BB0-B54E-81FA-7370CF9F8C08}" name="9" totalsRowFunction="custom" dataDxfId="762" totalsRowDxfId="761">
      <totalsRowFormula>(COUNTIF(K8:K18,"C")+(COUNTIF(K8:K18,"CS")+COUNTIF(K8:K18,"RTT")+(COUNTIF(K8:K18,"DRTT")/2)+COUNTIF(K8:K18,"M")+COUNTIF(K8:K18,"Rec")+(COUNTIF(K8:K18,"Drec")/2)+COUNTIF(K8:K18,"F")+(COUNTIF(K8:K18,"EM")+(COUNTIF(K8:K18,"DEM")/2))))</totalsRowFormula>
    </tableColumn>
    <tableColumn id="11" xr3:uid="{B1B0E122-58E0-6547-AC57-CDEABBE85135}" name="10" totalsRowFunction="custom" dataDxfId="760" totalsRowDxfId="759">
      <totalsRowFormula>(COUNTIF(L8:L18,"C")+(COUNTIF(L8:L18,"CS")+COUNTIF(L8:L18,"RTT")+(COUNTIF(L8:L18,"DRTT")/2)+COUNTIF(L8:L18,"M")+COUNTIF(L8:L18,"Rec")+(COUNTIF(L8:L18,"Drec")/2)+COUNTIF(L8:L18,"F")+(COUNTIF(L8:L18,"EM")+(COUNTIF(L8:L18,"DEM")/2))))</totalsRowFormula>
    </tableColumn>
    <tableColumn id="12" xr3:uid="{0165C23A-E1C9-EA43-B96C-C313D099B9D1}" name="11" totalsRowFunction="custom" dataDxfId="758" totalsRowDxfId="757">
      <totalsRowFormula>(COUNTIF(M8:M18,"C")+(COUNTIF(M8:M18,"CS")+COUNTIF(M8:M18,"RTT")+(COUNTIF(M8:M18,"DRTT")/2)+COUNTIF(M8:M18,"M")+COUNTIF(M8:M18,"Rec")+(COUNTIF(M8:M18,"Drec")/2)+COUNTIF(M8:M18,"F")+(COUNTIF(M8:M18,"EM")+(COUNTIF(M8:M18,"DEM")/2))))</totalsRowFormula>
    </tableColumn>
    <tableColumn id="13" xr3:uid="{7D301F2F-B1A5-4949-8303-5B7372637AAB}" name="12" totalsRowFunction="custom" dataDxfId="756" totalsRowDxfId="755">
      <totalsRowFormula>(COUNTIF(N8:N18,"C")+(COUNTIF(N8:N18,"CS")+COUNTIF(N8:N18,"RTT")+(COUNTIF(N8:N18,"DRTT")/2)+COUNTIF(N8:N18,"M")+COUNTIF(N8:N18,"Rec")+(COUNTIF(N8:N18,"Drec")/2)+COUNTIF(N8:N18,"F")+(COUNTIF(N8:N18,"EM")+(COUNTIF(N8:N18,"DEM")/2))))</totalsRowFormula>
    </tableColumn>
    <tableColumn id="14" xr3:uid="{0AE47255-DFFE-784A-B309-9ABF09D05810}" name="13" totalsRowFunction="custom" dataDxfId="754" totalsRowDxfId="753">
      <totalsRowFormula>(COUNTIF(O8:O18,"C")+(COUNTIF(O8:O18,"CS")+COUNTIF(O8:O18,"RTT")+(COUNTIF(O8:O18,"DRTT")/2)+COUNTIF(O8:O18,"M")+COUNTIF(O8:O18,"Rec")+(COUNTIF(O8:O18,"Drec")/2)+COUNTIF(O8:O18,"F")+(COUNTIF(O8:O18,"EM")+(COUNTIF(O8:O18,"DEM")/2))))</totalsRowFormula>
    </tableColumn>
    <tableColumn id="15" xr3:uid="{94100DEF-F3AC-CB4F-A102-9CF434979205}" name="14" totalsRowFunction="custom" dataDxfId="752" totalsRowDxfId="751">
      <totalsRowFormula>(COUNTIF(P8:P18,"C")+(COUNTIF(P8:P18,"CS")+COUNTIF(P8:P18,"RTT")+(COUNTIF(P8:P18,"DRTT")/2)+COUNTIF(P8:P18,"M")+COUNTIF(P8:P18,"Rec")+(COUNTIF(P8:P18,"Drec")/2)+COUNTIF(P8:P18,"F")+(COUNTIF(P8:P18,"EM")+(COUNTIF(P8:P18,"DEM")/2))))</totalsRowFormula>
    </tableColumn>
    <tableColumn id="16" xr3:uid="{3C303AFF-A8C7-FB42-BEA3-0F9D01F38977}" name="15" totalsRowFunction="custom" dataDxfId="750" totalsRowDxfId="749">
      <totalsRowFormula>(COUNTIF(Q8:Q18,"C")+(COUNTIF(Q8:Q18,"CS")+COUNTIF(Q8:Q18,"RTT")+(COUNTIF(Q8:Q18,"DRTT")/2)+COUNTIF(Q8:Q18,"M")+COUNTIF(Q8:Q18,"Rec")+(COUNTIF(Q8:Q18,"Drec")/2)+COUNTIF(Q8:Q18,"F")+(COUNTIF(Q8:Q18,"EM")+(COUNTIF(Q8:Q18,"DEM")/2))))</totalsRowFormula>
    </tableColumn>
    <tableColumn id="17" xr3:uid="{1126E297-4358-BC49-A193-803EAABA8EBB}" name="16" totalsRowFunction="custom" dataDxfId="748" totalsRowDxfId="747">
      <totalsRowFormula>(COUNTIF(R8:R18,"C")+(COUNTIF(R8:R18,"CS")+COUNTIF(R8:R18,"RTT")+(COUNTIF(R8:R18,"DRTT")/2)+COUNTIF(R8:R18,"M")+COUNTIF(R8:R18,"Rec")+(COUNTIF(R8:R18,"Drec")/2)+COUNTIF(R8:R18,"F")+(COUNTIF(R8:R18,"EM")+(COUNTIF(R8:R18,"DEM")/2))))</totalsRowFormula>
    </tableColumn>
    <tableColumn id="18" xr3:uid="{80134871-3B7C-2D4F-A5A2-2D222D1814FB}" name="17" totalsRowFunction="custom" dataDxfId="746" totalsRowDxfId="745">
      <totalsRowFormula>(COUNTIF(S8:S18,"C")+(COUNTIF(S8:S18,"CS")+COUNTIF(S8:S18,"RTT")+(COUNTIF(S8:S18,"DRTT")/2)+COUNTIF(S8:S18,"M")+COUNTIF(S8:S18,"Rec")+(COUNTIF(S8:S18,"Drec")/2)+COUNTIF(S8:S18,"F")+(COUNTIF(S8:S18,"EM")+(COUNTIF(S8:S18,"DEM")/2))))</totalsRowFormula>
    </tableColumn>
    <tableColumn id="19" xr3:uid="{F1E27FE2-F52F-E141-859B-961E7AE0E388}" name="18" totalsRowFunction="custom" dataDxfId="744" totalsRowDxfId="743">
      <totalsRowFormula>(COUNTIF(T8:T18,"C")+(COUNTIF(T8:T18,"CS")+COUNTIF(T8:T18,"RTT")+(COUNTIF(T8:T18,"DRTT")/2)+COUNTIF(T8:T18,"M")+COUNTIF(T8:T18,"Rec")+(COUNTIF(T8:T18,"Drec")/2)+COUNTIF(T8:T18,"F")+(COUNTIF(T8:T18,"EM")+(COUNTIF(T8:T18,"DEM")/2))))</totalsRowFormula>
    </tableColumn>
    <tableColumn id="20" xr3:uid="{6CFAD673-5522-2549-878F-14353B3DFF0F}" name="19" totalsRowFunction="custom" dataDxfId="742" totalsRowDxfId="741">
      <totalsRowFormula>(COUNTIF(U8:U18,"C")+(COUNTIF(U8:U18,"CS")+COUNTIF(U8:U18,"RTT")+(COUNTIF(U8:U18,"DRTT")/2)+COUNTIF(U8:U18,"M")+COUNTIF(U8:U18,"Rec")+(COUNTIF(U8:U18,"Drec")/2)+COUNTIF(U8:U18,"F")+(COUNTIF(U8:U18,"EM")+(COUNTIF(U8:U18,"DEM")/2))))</totalsRowFormula>
    </tableColumn>
    <tableColumn id="21" xr3:uid="{DD9CD347-1500-CF45-8A3A-E7E18F036750}" name="20" totalsRowFunction="custom" dataDxfId="740" totalsRowDxfId="739">
      <totalsRowFormula>(COUNTIF(V8:V18,"C")+(COUNTIF(V8:V18,"CS")+COUNTIF(V8:V18,"RTT")+(COUNTIF(V8:V18,"DRTT")/2)+COUNTIF(V8:V18,"M")+COUNTIF(V8:V18,"Rec")+(COUNTIF(V8:V18,"Drec")/2)+COUNTIF(V8:V18,"F")+(COUNTIF(V8:V18,"EM")+(COUNTIF(V8:V18,"DEM")/2))))</totalsRowFormula>
    </tableColumn>
    <tableColumn id="22" xr3:uid="{780CCB78-2CB2-464D-86B7-65957E8C1092}" name="21" totalsRowFunction="custom" dataDxfId="738" totalsRowDxfId="737">
      <totalsRowFormula>(COUNTIF(W8:W18,"C")+(COUNTIF(W8:W18,"CS")+COUNTIF(W8:W18,"RTT")+(COUNTIF(W8:W18,"DRTT")/2)+COUNTIF(W8:W18,"M")+COUNTIF(W8:W18,"Rec")+(COUNTIF(W8:W18,"Drec")/2)+COUNTIF(W8:W18,"F")+(COUNTIF(W8:W18,"EM")+(COUNTIF(W8:W18,"DEM")/2))))</totalsRowFormula>
    </tableColumn>
    <tableColumn id="23" xr3:uid="{89FFD094-885E-DD40-8BA6-8AEB298B9490}" name="22" totalsRowFunction="custom" dataDxfId="736" totalsRowDxfId="735">
      <totalsRowFormula>(COUNTIF(X8:X18,"C")+(COUNTIF(X8:X18,"CS")+COUNTIF(X8:X18,"RTT")+(COUNTIF(X8:X18,"DRTT")/2)+COUNTIF(X8:X18,"M")+COUNTIF(X8:X18,"Rec")+(COUNTIF(X8:X18,"Drec")/2)+COUNTIF(X8:X18,"F")+(COUNTIF(X8:X18,"EM")+(COUNTIF(X8:X18,"DEM")/2))))</totalsRowFormula>
    </tableColumn>
    <tableColumn id="24" xr3:uid="{1D873E68-DE4F-BF45-BAE1-B2C81A51C721}" name="23" totalsRowFunction="custom" dataDxfId="734" totalsRowDxfId="733">
      <totalsRowFormula>(COUNTIF(Y8:Y18,"C")+(COUNTIF(Y8:Y18,"CS")+COUNTIF(Y8:Y18,"RTT")+(COUNTIF(Y8:Y18,"DRTT")/2)+COUNTIF(Y8:Y18,"M")+COUNTIF(Y8:Y18,"Rec")+(COUNTIF(Y8:Y18,"Drec")/2)+COUNTIF(Y8:Y18,"F")+(COUNTIF(Y8:Y18,"EM")+(COUNTIF(Y8:Y18,"DEM")/2))))</totalsRowFormula>
    </tableColumn>
    <tableColumn id="25" xr3:uid="{82ADA974-B713-5A4D-9778-4C19B5D24A22}" name="24" totalsRowFunction="custom" dataDxfId="732" totalsRowDxfId="731">
      <totalsRowFormula>(COUNTIF(Z8:Z18,"C")+(COUNTIF(Z8:Z18,"CS")+COUNTIF(Z8:Z18,"RTT")+(COUNTIF(Z8:Z18,"DRTT")/2)+COUNTIF(Z8:Z18,"M")+COUNTIF(Z8:Z18,"Rec")+(COUNTIF(Z8:Z18,"Drec")/2)+COUNTIF(Z8:Z18,"F")+(COUNTIF(Z8:Z18,"EM")+(COUNTIF(Z8:Z18,"DEM")/2))))</totalsRowFormula>
    </tableColumn>
    <tableColumn id="26" xr3:uid="{7DB125C3-D664-EA47-AD6E-FFDC7A4F51C5}" name="25" totalsRowFunction="custom" dataDxfId="730" totalsRowDxfId="729">
      <totalsRowFormula>(COUNTIF(AA8:AA18,"C")+(COUNTIF(AA8:AA18,"CS")+COUNTIF(AA8:AA18,"RTT")+(COUNTIF(AA8:AA18,"DRTT")/2)+COUNTIF(AA8:AA18,"M")+COUNTIF(AA8:AA18,"Rec")+(COUNTIF(AA8:AA18,"Drec")/2)+COUNTIF(AA8:AA18,"F")+(COUNTIF(AA8:AA18,"EM")+(COUNTIF(AA8:AA18,"DEM")/2))))</totalsRowFormula>
    </tableColumn>
    <tableColumn id="27" xr3:uid="{10AF2B54-21C5-CE4D-B7DD-7BD9E48E08A6}" name="26" totalsRowFunction="custom" dataDxfId="728" totalsRowDxfId="727">
      <totalsRowFormula>(COUNTIF(AB8:AB18,"C")+(COUNTIF(AB8:AB18,"CS")+COUNTIF(AB8:AB18,"RTT")+(COUNTIF(AB8:AB18,"DRTT")/2)+COUNTIF(AB8:AB18,"M")+COUNTIF(AB8:AB18,"Rec")+(COUNTIF(AB8:AB18,"Drec")/2)+COUNTIF(AB8:AB18,"F")+(COUNTIF(AB8:AB18,"EM")+(COUNTIF(AB8:AB18,"DEM")/2))))</totalsRowFormula>
    </tableColumn>
    <tableColumn id="28" xr3:uid="{4E22D9BB-0E5A-7045-AC5D-327DE1FA1B97}" name="27" totalsRowFunction="custom" dataDxfId="726" totalsRowDxfId="725">
      <totalsRowFormula>(COUNTIF(AC8:AC18,"C")+(COUNTIF(AC8:AC18,"CS")+COUNTIF(AC8:AC18,"RTT")+(COUNTIF(AC8:AC18,"DRTT")/2)+COUNTIF(AC8:AC18,"M")+COUNTIF(AC8:AC18,"Rec")+(COUNTIF(AC8:AC18,"Drec")/2)+COUNTIF(AC8:AC18,"F")+(COUNTIF(AC8:AC18,"EM")+(COUNTIF(AC8:AC18,"DEM")/2))))</totalsRowFormula>
    </tableColumn>
    <tableColumn id="29" xr3:uid="{F89645D3-214F-AF41-8B9D-A1A7D81720D2}" name="28" totalsRowFunction="custom" dataDxfId="724" totalsRowDxfId="723">
      <totalsRowFormula>(COUNTIF(AD8:AD18,"C")+(COUNTIF(AD8:AD18,"CS")+COUNTIF(AD8:AD18,"RTT")+(COUNTIF(AD8:AD18,"DRTT")/2)+COUNTIF(AD8:AD18,"M")+COUNTIF(AD8:AD18,"Rec")+(COUNTIF(AD8:AD18,"Drec")/2)+COUNTIF(AD8:AD18,"F")+(COUNTIF(AD8:AD18,"EM")+(COUNTIF(AD8:AD18,"DEM")/2))))</totalsRowFormula>
    </tableColumn>
    <tableColumn id="30" xr3:uid="{EB8E00CC-F321-CA44-94FB-5469D8A897E4}" name="29" totalsRowFunction="custom" dataDxfId="722" totalsRowDxfId="721">
      <totalsRowFormula>(COUNTIF(AE8:AE18,"C")+(COUNTIF(AE8:AE18,"CS")+COUNTIF(AE8:AE18,"RTT")+(COUNTIF(AE8:AE18,"DRTT")/2)+COUNTIF(AE8:AE18,"M")+COUNTIF(AE8:AE18,"Rec")+(COUNTIF(AE8:AE18,"Drec")/2)+COUNTIF(AE8:AE18,"F")+(COUNTIF(AE8:AE18,"EM")+(COUNTIF(AE8:AE18,"DEM")/2))))</totalsRowFormula>
    </tableColumn>
    <tableColumn id="31" xr3:uid="{CCA8757F-A1D3-9841-9C4D-9282042D6C32}" name="30" totalsRowFunction="custom" dataDxfId="720" totalsRowDxfId="719">
      <totalsRowFormula>(COUNTIF(AF8:AF18,"C")+(COUNTIF(AF8:AF18,"CS")+COUNTIF(AF8:AF18,"RTT")+(COUNTIF(AF8:AF18,"DRTT")/2)+COUNTIF(AF8:AF18,"M")+COUNTIF(AF8:AF18,"Rec")+(COUNTIF(AF8:AF18,"Drec")/2)+COUNTIF(AF8:AF18,"F")+(COUNTIF(AF8:AF18,"EM")+(COUNTIF(AF8:AF18,"DEM")/2))))</totalsRowFormula>
    </tableColumn>
    <tableColumn id="32" xr3:uid="{434280A0-1E91-FD40-9437-ABB70B5D9925}" name=" " totalsRowFunction="custom" dataDxfId="718" totalsRowDxfId="717">
      <totalsRowFormula>(COUNTIF(AG8:AG18,"C")+(COUNTIF(AG8:AG18,"CS")+COUNTIF(AG8:AG18,"RTT")+(COUNTIF(AG8:AG18,"DRTT")/2)+COUNTIF(AG8:AG18,"M")+COUNTIF(AG8:AG18,"Rec")+(COUNTIF(AG8:AG18,"Drec")/2)+COUNTIF(AG8:AG18,"F")+(COUNTIF(AG8:AG18,"EM")+(COUNTIF(AG8:AG18,"DEM")/2))))</totalsRowFormula>
    </tableColumn>
    <tableColumn id="33" xr3:uid="{0285AA83-3103-5643-AFC9-ACBC20804575}" name="Total absence" totalsRowFunction="sum" dataDxfId="716" totalsRowDxfId="71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655CB3F2-0102-B648-A1C0-FF41D04DD3C7}" name="Dont RTT" totalsRowFunction="sum" dataDxfId="714" totalsRowDxfId="713" dataCellStyle="Total">
      <calculatedColumnFormula>COUNTIF(C8:AG8,"RTT")+COUNTIF(C8:AG8,"DRTT")/2</calculatedColumnFormula>
    </tableColumn>
    <tableColumn id="36" xr3:uid="{FDBF039B-457B-2047-A272-8A3AAD603983}" name="Dont MALADIE" totalsRowFunction="sum" dataDxfId="712" totalsRowDxfId="711" dataCellStyle="Total"/>
    <tableColumn id="35" xr3:uid="{66BD0BB5-F47B-8F4B-A5F5-86B37E082B9F}" name="Solde RTT disponible au 01/07/2021" dataDxfId="710" totalsRowDxfId="709"/>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CD86791-45B2-C340-8B0A-40B1A423C979}" name="Juillet" displayName="Juillet" ref="B7:AK19" totalsRowCount="1" headerRowDxfId="667" totalsRowDxfId="666">
  <tableColumns count="36">
    <tableColumn id="1" xr3:uid="{99E487D3-76D9-6F43-8E9D-BBAF2A48B3AF}" name="Nom de l’employé" totalsRowFunction="custom" dataDxfId="665" totalsRowDxfId="664" dataCellStyle="Employé">
      <totalsRowFormula>NomMois&amp;" Total"</totalsRowFormula>
    </tableColumn>
    <tableColumn id="2" xr3:uid="{ABC0623B-97F5-7144-B18E-69EA2258EA91}" name="1" totalsRowFunction="custom" dataDxfId="663" totalsRowDxfId="662">
      <totalsRowFormula>(COUNTIF(C8:C18,"C")+(COUNTIF(C8:C18,"CS")+COUNTIF(C8:C18,"RTT")+(COUNTIF(C8:C18,"DRTT")/2)+COUNTIF(C8:C18,"M")+COUNTIF(C8:C18,"Rec")+(COUNTIF(C8:C18,"Drec")/2)+COUNTIF(C8:C18,"F")+(COUNTIF(C8:C18,"EM")+(COUNTIF(C8:C18,"DEM")/2))))</totalsRowFormula>
    </tableColumn>
    <tableColumn id="3" xr3:uid="{3A43B68B-1522-7240-88B3-F05922C932E2}" name="2" totalsRowFunction="custom" dataDxfId="661" totalsRowDxfId="660">
      <totalsRowFormula>(COUNTIF(D8:D18,"C")+(COUNTIF(D8:D18,"CS")+COUNTIF(D8:D18,"RTT")+(COUNTIF(D8:D18,"DRTT")/2)+COUNTIF(D8:D18,"M")+COUNTIF(D8:D18,"Rec")+(COUNTIF(D8:D18,"Drec")/2)+COUNTIF(D8:D18,"F")+(COUNTIF(D8:D18,"EM")+(COUNTIF(D8:D18,"DEM")/2))))</totalsRowFormula>
    </tableColumn>
    <tableColumn id="4" xr3:uid="{44B723B4-42CC-C24B-8D06-346227F27CA1}" name="3" totalsRowFunction="custom" dataDxfId="659" totalsRowDxfId="658">
      <totalsRowFormula>(COUNTIF(E8:E18,"C")+(COUNTIF(E8:E18,"CS")+COUNTIF(E8:E18,"RTT")+(COUNTIF(E8:E18,"DRTT")/2)+COUNTIF(E8:E18,"M")+COUNTIF(E8:E18,"Rec")+(COUNTIF(E8:E18,"Drec")/2)+COUNTIF(E8:E18,"F")+(COUNTIF(E8:E18,"EM")+(COUNTIF(E8:E18,"DEM")/2))))</totalsRowFormula>
    </tableColumn>
    <tableColumn id="5" xr3:uid="{7179ED0E-4DFD-0B47-8DAB-B5B0C0F4B1D2}" name="4" totalsRowFunction="custom" dataDxfId="657" totalsRowDxfId="656">
      <totalsRowFormula>(COUNTIF(F8:F18,"C")+(COUNTIF(F8:F18,"CS")+COUNTIF(F8:F18,"RTT")+(COUNTIF(F8:F18,"DRTT")/2)+COUNTIF(F8:F18,"M")+COUNTIF(F8:F18,"Rec")+(COUNTIF(F8:F18,"Drec")/2)+COUNTIF(F8:F18,"F")+(COUNTIF(F8:F18,"EM")+(COUNTIF(F8:F18,"DEM")/2))))</totalsRowFormula>
    </tableColumn>
    <tableColumn id="6" xr3:uid="{75464038-29B1-0F4D-8583-C44DF2028F6A}" name="5" totalsRowFunction="custom" dataDxfId="655" totalsRowDxfId="654">
      <totalsRowFormula>(COUNTIF(G8:G18,"C")+(COUNTIF(G8:G18,"CS")+COUNTIF(G8:G18,"RTT")+(COUNTIF(G8:G18,"DRTT")/2)+COUNTIF(G8:G18,"M")+COUNTIF(G8:G18,"Rec")+(COUNTIF(G8:G18,"Drec")/2)+COUNTIF(G8:G18,"F")+(COUNTIF(G8:G18,"EM")+(COUNTIF(G8:G18,"DEM")/2))))</totalsRowFormula>
    </tableColumn>
    <tableColumn id="7" xr3:uid="{816FAEA7-AC01-4E4B-97FD-5BE50D147701}" name="6" totalsRowFunction="custom" dataDxfId="653" totalsRowDxfId="652">
      <totalsRowFormula>(COUNTIF(H8:H18,"C")+(COUNTIF(H8:H18,"CS")+COUNTIF(H8:H18,"RTT")+(COUNTIF(H8:H18,"DRTT")/2)+COUNTIF(H8:H18,"M")+COUNTIF(H8:H18,"Rec")+(COUNTIF(H8:H18,"Drec")/2)+COUNTIF(H8:H18,"F")+(COUNTIF(H8:H18,"EM")+(COUNTIF(H8:H18,"DEM")/2))))</totalsRowFormula>
    </tableColumn>
    <tableColumn id="8" xr3:uid="{96749761-FC94-8E4E-ABBC-93620975F4FB}" name="7" totalsRowFunction="custom" dataDxfId="651" totalsRowDxfId="650">
      <totalsRowFormula>(COUNTIF(I8:I18,"C")+(COUNTIF(I8:I18,"CS")+COUNTIF(I8:I18,"RTT")+(COUNTIF(I8:I18,"DRTT")/2)+COUNTIF(I8:I18,"M")+COUNTIF(I8:I18,"Rec")+(COUNTIF(I8:I18,"Drec")/2)+COUNTIF(I8:I18,"F")+(COUNTIF(I8:I18,"EM")+(COUNTIF(I8:I18,"DEM")/2))))</totalsRowFormula>
    </tableColumn>
    <tableColumn id="9" xr3:uid="{9A1316D5-FA3E-5D42-8555-53BD2AE1BD9A}" name="8" totalsRowFunction="custom" dataDxfId="649" totalsRowDxfId="648">
      <totalsRowFormula>(COUNTIF(J8:J18,"C")+(COUNTIF(J8:J18,"CS")+COUNTIF(J8:J18,"RTT")+(COUNTIF(J8:J18,"DRTT")/2)+COUNTIF(J8:J18,"M")+COUNTIF(J8:J18,"Rec")+(COUNTIF(J8:J18,"Drec")/2)+COUNTIF(J8:J18,"F")+(COUNTIF(J8:J18,"EM")+(COUNTIF(J8:J18,"DEM")/2))))</totalsRowFormula>
    </tableColumn>
    <tableColumn id="10" xr3:uid="{7FBBE8B5-F866-4F46-A842-D05D00B080BB}" name="9" totalsRowFunction="custom" dataDxfId="647" totalsRowDxfId="646">
      <totalsRowFormula>(COUNTIF(K8:K18,"C")+(COUNTIF(K8:K18,"CS")+COUNTIF(K8:K18,"RTT")+(COUNTIF(K8:K18,"DRTT")/2)+COUNTIF(K8:K18,"M")+COUNTIF(K8:K18,"Rec")+(COUNTIF(K8:K18,"Drec")/2)+COUNTIF(K8:K18,"F")+(COUNTIF(K8:K18,"EM")+(COUNTIF(K8:K18,"DEM")/2))))</totalsRowFormula>
    </tableColumn>
    <tableColumn id="11" xr3:uid="{C1714D56-12B4-8A46-B19F-156EAACA2886}" name="10" totalsRowFunction="custom" dataDxfId="645" totalsRowDxfId="644">
      <totalsRowFormula>(COUNTIF(L8:L18,"C")+(COUNTIF(L8:L18,"CS")+COUNTIF(L8:L18,"RTT")+(COUNTIF(L8:L18,"DRTT")/2)+COUNTIF(L8:L18,"M")+COUNTIF(L8:L18,"Rec")+(COUNTIF(L8:L18,"Drec")/2)+COUNTIF(L8:L18,"F")+(COUNTIF(L8:L18,"EM")+(COUNTIF(L8:L18,"DEM")/2))))</totalsRowFormula>
    </tableColumn>
    <tableColumn id="12" xr3:uid="{AC1E1FD1-6E8E-4149-A68D-5A8E4DA6245F}" name="11" totalsRowFunction="custom" dataDxfId="643" totalsRowDxfId="642">
      <totalsRowFormula>(COUNTIF(M8:M18,"C")+(COUNTIF(M8:M18,"CS")+COUNTIF(M8:M18,"RTT")+(COUNTIF(M8:M18,"DRTT")/2)+COUNTIF(M8:M18,"M")+COUNTIF(M8:M18,"Rec")+(COUNTIF(M8:M18,"Drec")/2)+COUNTIF(M8:M18,"F")+(COUNTIF(M8:M18,"EM")+(COUNTIF(M8:M18,"DEM")/2))))</totalsRowFormula>
    </tableColumn>
    <tableColumn id="13" xr3:uid="{A31B320B-1BD0-7642-A778-95EB148B9EE8}" name="12" totalsRowFunction="custom" dataDxfId="641" totalsRowDxfId="640">
      <totalsRowFormula>(COUNTIF(N8:N18,"C")+(COUNTIF(N8:N18,"CS")+COUNTIF(N8:N18,"RTT")+(COUNTIF(N8:N18,"DRTT")/2)+COUNTIF(N8:N18,"M")+COUNTIF(N8:N18,"Rec")+(COUNTIF(N8:N18,"Drec")/2)+COUNTIF(N8:N18,"F")+(COUNTIF(N8:N18,"EM")+(COUNTIF(N8:N18,"DEM")/2))))</totalsRowFormula>
    </tableColumn>
    <tableColumn id="14" xr3:uid="{FD959D4D-1043-D644-B0CF-E6006D54676D}" name="13" totalsRowFunction="custom" dataDxfId="639" totalsRowDxfId="638">
      <totalsRowFormula>(COUNTIF(O8:O18,"C")+(COUNTIF(O8:O18,"CS")+COUNTIF(O8:O18,"RTT")+(COUNTIF(O8:O18,"DRTT")/2)+COUNTIF(O8:O18,"M")+COUNTIF(O8:O18,"Rec")+(COUNTIF(O8:O18,"Drec")/2)+COUNTIF(O8:O18,"F")+(COUNTIF(O8:O18,"EM")+(COUNTIF(O8:O18,"DEM")/2))))</totalsRowFormula>
    </tableColumn>
    <tableColumn id="15" xr3:uid="{21F53E45-7961-354A-8B01-3223F1AFC9C5}" name="14" totalsRowFunction="custom" dataDxfId="637" totalsRowDxfId="636">
      <totalsRowFormula>(COUNTIF(P8:P18,"C")+(COUNTIF(P8:P18,"CS")+COUNTIF(P8:P18,"RTT")+(COUNTIF(P8:P18,"DRTT")/2)+COUNTIF(P8:P18,"M")+COUNTIF(P8:P18,"Rec")+(COUNTIF(P8:P18,"Drec")/2)+COUNTIF(P8:P18,"F")+(COUNTIF(P8:P18,"EM")+(COUNTIF(P8:P18,"DEM")/2))))</totalsRowFormula>
    </tableColumn>
    <tableColumn id="16" xr3:uid="{DC85D97E-9CBE-6D48-8FA4-E9F4058E06CA}" name="15" totalsRowFunction="custom" dataDxfId="635" totalsRowDxfId="634">
      <totalsRowFormula>(COUNTIF(Q8:Q18,"C")+(COUNTIF(Q8:Q18,"CS")+COUNTIF(Q8:Q18,"RTT")+(COUNTIF(Q8:Q18,"DRTT")/2)+COUNTIF(Q8:Q18,"M")+COUNTIF(Q8:Q18,"Rec")+(COUNTIF(Q8:Q18,"Drec")/2)+COUNTIF(Q8:Q18,"F")+(COUNTIF(Q8:Q18,"EM")+(COUNTIF(Q8:Q18,"DEM")/2))))</totalsRowFormula>
    </tableColumn>
    <tableColumn id="17" xr3:uid="{C5195567-D349-7B4E-A734-924B3D576119}" name="16" totalsRowFunction="custom" dataDxfId="633" totalsRowDxfId="632">
      <totalsRowFormula>(COUNTIF(R8:R18,"C")+(COUNTIF(R8:R18,"CS")+COUNTIF(R8:R18,"RTT")+(COUNTIF(R8:R18,"DRTT")/2)+COUNTIF(R8:R18,"M")+COUNTIF(R8:R18,"Rec")+(COUNTIF(R8:R18,"Drec")/2)+COUNTIF(R8:R18,"F")+(COUNTIF(R8:R18,"EM")+(COUNTIF(R8:R18,"DEM")/2))))</totalsRowFormula>
    </tableColumn>
    <tableColumn id="18" xr3:uid="{59E210ED-A76E-FB4E-9D66-C549BC1610DC}" name="17" totalsRowFunction="custom" dataDxfId="631" totalsRowDxfId="630">
      <totalsRowFormula>(COUNTIF(S8:S18,"C")+(COUNTIF(S8:S18,"CS")+COUNTIF(S8:S18,"RTT")+(COUNTIF(S8:S18,"DRTT")/2)+COUNTIF(S8:S18,"M")+COUNTIF(S8:S18,"Rec")+(COUNTIF(S8:S18,"Drec")/2)+COUNTIF(S8:S18,"F")+(COUNTIF(S8:S18,"EM")+(COUNTIF(S8:S18,"DEM")/2))))</totalsRowFormula>
    </tableColumn>
    <tableColumn id="19" xr3:uid="{F65F9CE0-0AAC-4446-A87D-5C5D4116AB4C}" name="18" totalsRowFunction="custom" dataDxfId="629" totalsRowDxfId="628">
      <totalsRowFormula>(COUNTIF(T8:T18,"C")+(COUNTIF(T8:T18,"CS")+COUNTIF(T8:T18,"RTT")+(COUNTIF(T8:T18,"DRTT")/2)+COUNTIF(T8:T18,"M")+COUNTIF(T8:T18,"Rec")+(COUNTIF(T8:T18,"Drec")/2)+COUNTIF(T8:T18,"F")+(COUNTIF(T8:T18,"EM")+(COUNTIF(T8:T18,"DEM")/2))))</totalsRowFormula>
    </tableColumn>
    <tableColumn id="20" xr3:uid="{6F78AEAE-8997-7E49-807B-561422B9D64E}" name="19" totalsRowFunction="custom" dataDxfId="627" totalsRowDxfId="626">
      <totalsRowFormula>(COUNTIF(U8:U18,"C")+(COUNTIF(U8:U18,"CS")+COUNTIF(U8:U18,"RTT")+(COUNTIF(U8:U18,"DRTT")/2)+COUNTIF(U8:U18,"M")+COUNTIF(U8:U18,"Rec")+(COUNTIF(U8:U18,"Drec")/2)+COUNTIF(U8:U18,"F")+(COUNTIF(U8:U18,"EM")+(COUNTIF(U8:U18,"DEM")/2))))</totalsRowFormula>
    </tableColumn>
    <tableColumn id="21" xr3:uid="{BB0BFA1E-FEF5-394E-B402-1BD5683F4766}" name="20" totalsRowFunction="custom" dataDxfId="625" totalsRowDxfId="624">
      <totalsRowFormula>(COUNTIF(V8:V18,"C")+(COUNTIF(V8:V18,"CS")+COUNTIF(V8:V18,"RTT")+(COUNTIF(V8:V18,"DRTT")/2)+COUNTIF(V8:V18,"M")+COUNTIF(V8:V18,"Rec")+(COUNTIF(V8:V18,"Drec")/2)+COUNTIF(V8:V18,"F")+(COUNTIF(V8:V18,"EM")+(COUNTIF(V8:V18,"DEM")/2))))</totalsRowFormula>
    </tableColumn>
    <tableColumn id="22" xr3:uid="{8B359BDA-2D06-1448-87BB-930CA5A22614}" name="21" totalsRowFunction="custom" dataDxfId="623" totalsRowDxfId="622">
      <totalsRowFormula>(COUNTIF(W8:W18,"C")+(COUNTIF(W8:W18,"CS")+COUNTIF(W8:W18,"RTT")+(COUNTIF(W8:W18,"DRTT")/2)+COUNTIF(W8:W18,"M")+COUNTIF(W8:W18,"Rec")+(COUNTIF(W8:W18,"Drec")/2)+COUNTIF(W8:W18,"F")+(COUNTIF(W8:W18,"EM")+(COUNTIF(W8:W18,"DEM")/2))))</totalsRowFormula>
    </tableColumn>
    <tableColumn id="23" xr3:uid="{C0C68C8E-EE1A-974D-9A71-6621F950A8B3}" name="22" totalsRowFunction="custom" dataDxfId="621" totalsRowDxfId="620">
      <totalsRowFormula>(COUNTIF(X8:X18,"C")+(COUNTIF(X8:X18,"CS")+COUNTIF(X8:X18,"RTT")+(COUNTIF(X8:X18,"DRTT")/2)+COUNTIF(X8:X18,"M")+COUNTIF(X8:X18,"Rec")+(COUNTIF(X8:X18,"Drec")/2)+COUNTIF(X8:X18,"F")+(COUNTIF(X8:X18,"EM")+(COUNTIF(X8:X18,"DEM")/2))))</totalsRowFormula>
    </tableColumn>
    <tableColumn id="24" xr3:uid="{433D5AD2-BE40-374A-83E2-4987C85C39A4}" name="23" totalsRowFunction="custom" dataDxfId="619" totalsRowDxfId="618">
      <totalsRowFormula>(COUNTIF(Y8:Y18,"C")+(COUNTIF(Y8:Y18,"CS")+COUNTIF(Y8:Y18,"RTT")+(COUNTIF(Y8:Y18,"DRTT")/2)+COUNTIF(Y8:Y18,"M")+COUNTIF(Y8:Y18,"Rec")+(COUNTIF(Y8:Y18,"Drec")/2)+COUNTIF(Y8:Y18,"F")+(COUNTIF(Y8:Y18,"EM")+(COUNTIF(Y8:Y18,"DEM")/2))))</totalsRowFormula>
    </tableColumn>
    <tableColumn id="25" xr3:uid="{037C9488-982F-4C4A-9093-963AC8654089}" name="24" totalsRowFunction="custom" dataDxfId="617" totalsRowDxfId="616">
      <totalsRowFormula>(COUNTIF(Z8:Z18,"C")+(COUNTIF(Z8:Z18,"CS")+COUNTIF(Z8:Z18,"RTT")+(COUNTIF(Z8:Z18,"DRTT")/2)+COUNTIF(Z8:Z18,"M")+COUNTIF(Z8:Z18,"Rec")+(COUNTIF(Z8:Z18,"Drec")/2)+COUNTIF(Z8:Z18,"F")+(COUNTIF(Z8:Z18,"EM")+(COUNTIF(Z8:Z18,"DEM")/2))))</totalsRowFormula>
    </tableColumn>
    <tableColumn id="26" xr3:uid="{93CE990F-E2AA-DC47-A97A-06F53450E1F8}" name="25" totalsRowFunction="custom" dataDxfId="615" totalsRowDxfId="614">
      <totalsRowFormula>(COUNTIF(AA8:AA18,"C")+(COUNTIF(AA8:AA18,"CS")+COUNTIF(AA8:AA18,"RTT")+(COUNTIF(AA8:AA18,"DRTT")/2)+COUNTIF(AA8:AA18,"M")+COUNTIF(AA8:AA18,"Rec")+(COUNTIF(AA8:AA18,"Drec")/2)+COUNTIF(AA8:AA18,"F")+(COUNTIF(AA8:AA18,"EM")+(COUNTIF(AA8:AA18,"DEM")/2))))</totalsRowFormula>
    </tableColumn>
    <tableColumn id="27" xr3:uid="{5EBAFA2F-96F0-9543-904F-55B93A252A78}" name="26" totalsRowFunction="custom" dataDxfId="613" totalsRowDxfId="612">
      <totalsRowFormula>(COUNTIF(AB8:AB18,"C")+(COUNTIF(AB8:AB18,"CS")+COUNTIF(AB8:AB18,"RTT")+(COUNTIF(AB8:AB18,"DRTT")/2)+COUNTIF(AB8:AB18,"M")+COUNTIF(AB8:AB18,"Rec")+(COUNTIF(AB8:AB18,"Drec")/2)+COUNTIF(AB8:AB18,"F")+(COUNTIF(AB8:AB18,"EM")+(COUNTIF(AB8:AB18,"DEM")/2))))</totalsRowFormula>
    </tableColumn>
    <tableColumn id="28" xr3:uid="{C1C646B6-35BC-D44E-B5A6-CAD61E0F794D}" name="27" totalsRowFunction="custom" dataDxfId="611" totalsRowDxfId="610">
      <totalsRowFormula>(COUNTIF(AC8:AC18,"C")+(COUNTIF(AC8:AC18,"CS")+COUNTIF(AC8:AC18,"RTT")+(COUNTIF(AC8:AC18,"DRTT")/2)+COUNTIF(AC8:AC18,"M")+COUNTIF(AC8:AC18,"Rec")+(COUNTIF(AC8:AC18,"Drec")/2)+COUNTIF(AC8:AC18,"F")+(COUNTIF(AC8:AC18,"EM")+(COUNTIF(AC8:AC18,"DEM")/2))))</totalsRowFormula>
    </tableColumn>
    <tableColumn id="29" xr3:uid="{8A60CC26-ABDA-0741-8319-1AAE6FAD19A6}" name="28" totalsRowFunction="custom" dataDxfId="609" totalsRowDxfId="608">
      <totalsRowFormula>(COUNTIF(AD8:AD18,"C")+(COUNTIF(AD8:AD18,"CS")+COUNTIF(AD8:AD18,"RTT")+(COUNTIF(AD8:AD18,"DRTT")/2)+COUNTIF(AD8:AD18,"M")+COUNTIF(AD8:AD18,"Rec")+(COUNTIF(AD8:AD18,"Drec")/2)+COUNTIF(AD8:AD18,"F")+(COUNTIF(AD8:AD18,"EM")+(COUNTIF(AD8:AD18,"DEM")/2))))</totalsRowFormula>
    </tableColumn>
    <tableColumn id="30" xr3:uid="{62B7F060-18C6-FD4B-BB38-7AA4B47103A3}" name="29" totalsRowFunction="custom" dataDxfId="607" totalsRowDxfId="606">
      <totalsRowFormula>(COUNTIF(AE8:AE18,"C")+(COUNTIF(AE8:AE18,"CS")+COUNTIF(AE8:AE18,"RTT")+(COUNTIF(AE8:AE18,"DRTT")/2)+COUNTIF(AE8:AE18,"M")+COUNTIF(AE8:AE18,"Rec")+(COUNTIF(AE8:AE18,"Drec")/2)+COUNTIF(AE8:AE18,"F")+(COUNTIF(AE8:AE18,"EM")+(COUNTIF(AE8:AE18,"DEM")/2))))</totalsRowFormula>
    </tableColumn>
    <tableColumn id="31" xr3:uid="{C69A5674-745B-DC4D-82F5-0314C9ADEB6C}" name="30" totalsRowFunction="custom" dataDxfId="605" totalsRowDxfId="604">
      <totalsRowFormula>(COUNTIF(AF8:AF18,"C")+(COUNTIF(AF8:AF18,"CS")+COUNTIF(AF8:AF18,"RTT")+(COUNTIF(AF8:AF18,"DRTT")/2)+COUNTIF(AF8:AF18,"M")+COUNTIF(AF8:AF18,"Rec")+(COUNTIF(AF8:AF18,"Drec")/2)+COUNTIF(AF8:AF18,"F")+(COUNTIF(AF8:AF18,"EM")+(COUNTIF(AF8:AF18,"DEM")/2))))</totalsRowFormula>
    </tableColumn>
    <tableColumn id="32" xr3:uid="{F0C101E5-AC98-7D4C-AD5C-B00E679CB14A}" name="31" totalsRowFunction="custom" dataDxfId="603" totalsRowDxfId="602">
      <totalsRowFormula>(COUNTIF(AG8:AG18,"C")+(COUNTIF(AG8:AG18,"CS")+COUNTIF(AG8:AG18,"RTT")+(COUNTIF(AG8:AG18,"DRTT")/2)+COUNTIF(AG8:AG18,"M")+COUNTIF(AG8:AG18,"Rec")+(COUNTIF(AG8:AG18,"Drec")/2)+COUNTIF(AG8:AG18,"F")+(COUNTIF(AG8:AG18,"EM")+(COUNTIF(AG8:AG18,"DEM")/2))))</totalsRowFormula>
    </tableColumn>
    <tableColumn id="33" xr3:uid="{907E066C-2C1A-2C41-A4E3-B0F0B0EFA38A}" name="Total absence" totalsRowFunction="sum" dataDxfId="601" totalsRowDxfId="600" dataCellStyle="Total">
      <calculatedColumnFormula>(COUNTIF(C8:AG8,"C")+(COUNTIF(C8:AG8,"EM")+COUNTIF(C8:AG8,"RTT")+COUNTIF(C8:AG8,"M")+COUNTIF(C8:AG8,"Rec")+COUNTIF(C8:AG8,"F")+COUNTIF(C8:AG8,"TT"-1)+COUNTIF(C8:AG8,"CS")+COUNTIF(C8:AG8,"PE"-1)+COUNTIF(C8:AG8,"DRTT")/2)+COUNTIF(C8:AG8,"DREC")/2)+COUNTIF(C8:AG8,"DEM")/2</calculatedColumnFormula>
    </tableColumn>
    <tableColumn id="34" xr3:uid="{EC350DA7-ECF0-2746-95E5-5A862A0F0BC1}" name="Dont RTT" totalsRowFunction="sum" dataDxfId="599" totalsRowDxfId="598" dataCellStyle="Total">
      <calculatedColumnFormula>COUNTIF(C8:AG8,"RTT")+COUNTIF(C8:AG8,"DRTT")/2</calculatedColumnFormula>
    </tableColumn>
    <tableColumn id="36" xr3:uid="{06DA45EC-9356-1F45-B959-C77D7217B85E}" name="Dont MALADIE" totalsRowFunction="sum" dataDxfId="597" totalsRowDxfId="596" dataCellStyle="Total"/>
    <tableColumn id="35" xr3:uid="{9583C070-246A-C244-9977-BDA2451B179A}" name="Solde RTT disponible au 01/08/2021" dataDxfId="595" totalsRowDxfId="594">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F9683A5-D878-8E47-A7AF-B85155773763}" name="Août" displayName="Août" ref="B7:AK19" totalsRowCount="1" headerRowDxfId="552" totalsRowDxfId="551">
  <tableColumns count="36">
    <tableColumn id="1" xr3:uid="{94173B31-3C6A-1F48-9FF3-90A0B378BD7A}" name="Nom de l’employé" totalsRowFunction="custom" dataDxfId="550" totalsRowDxfId="549" dataCellStyle="Employé">
      <totalsRowFormula>NomMois&amp;" Total"</totalsRowFormula>
    </tableColumn>
    <tableColumn id="2" xr3:uid="{B46EEB0B-D880-924D-97E0-79AD0AB6BF37}" name="1" totalsRowFunction="custom" dataDxfId="548" totalsRowDxfId="547">
      <totalsRowFormula>(COUNTIF(C8:C18,"C")+(COUNTIF(C8:C18,"CS")+COUNTIF(C8:C18,"RTT")+(COUNTIF(C8:C18,"DRTT")/2)+COUNTIF(C8:C18,"M")+COUNTIF(C8:C18,"Rec")+(COUNTIF(C8:C18,"Drec")/2)+COUNTIF(C8:C18,"F")+(COUNTIF(C8:C18,"EM")+(COUNTIF(C8:C18,"DEM")/2))))</totalsRowFormula>
    </tableColumn>
    <tableColumn id="3" xr3:uid="{72AFEFF5-4751-7343-8E25-FA10DE33F59F}" name="2" totalsRowFunction="custom" dataDxfId="546" totalsRowDxfId="545">
      <totalsRowFormula>(COUNTIF(D8:D18,"C")+(COUNTIF(D8:D18,"CS")+COUNTIF(D8:D18,"RTT")+(COUNTIF(D8:D18,"DRTT")/2)+COUNTIF(D8:D18,"M")+COUNTIF(D8:D18,"Rec")+(COUNTIF(D8:D18,"Drec")/2)+COUNTIF(D8:D18,"F")+(COUNTIF(D8:D18,"EM")+(COUNTIF(D8:D18,"DEM")/2))))</totalsRowFormula>
    </tableColumn>
    <tableColumn id="4" xr3:uid="{0C1447F5-7033-E04C-A884-E46BF67B8971}" name="3" totalsRowFunction="custom" dataDxfId="544" totalsRowDxfId="543">
      <totalsRowFormula>(COUNTIF(E8:E18,"C")+(COUNTIF(E8:E18,"CS")+COUNTIF(E8:E18,"RTT")+(COUNTIF(E8:E18,"DRTT")/2)+COUNTIF(E8:E18,"M")+COUNTIF(E8:E18,"Rec")+(COUNTIF(E8:E18,"Drec")/2)+COUNTIF(E8:E18,"F")+(COUNTIF(E8:E18,"EM")+(COUNTIF(E8:E18,"DEM")/2))))</totalsRowFormula>
    </tableColumn>
    <tableColumn id="5" xr3:uid="{B61905F8-8BCE-7B47-88CD-703D9316115C}" name="4" totalsRowFunction="custom" dataDxfId="542" totalsRowDxfId="541">
      <totalsRowFormula>(COUNTIF(F8:F18,"C")+(COUNTIF(F8:F18,"CS")+COUNTIF(F8:F18,"RTT")+(COUNTIF(F8:F18,"DRTT")/2)+COUNTIF(F8:F18,"M")+COUNTIF(F8:F18,"Rec")+(COUNTIF(F8:F18,"Drec")/2)+COUNTIF(F8:F18,"F")+(COUNTIF(F8:F18,"EM")+(COUNTIF(F8:F18,"DEM")/2))))</totalsRowFormula>
    </tableColumn>
    <tableColumn id="6" xr3:uid="{AB1CBD73-2E6B-114D-A93C-BEC1F8B56E8B}" name="5" totalsRowFunction="custom" dataDxfId="540" totalsRowDxfId="539">
      <totalsRowFormula>(COUNTIF(G8:G18,"C")+(COUNTIF(G8:G18,"CS")+COUNTIF(G8:G18,"RTT")+(COUNTIF(G8:G18,"DRTT")/2)+COUNTIF(G8:G18,"M")+COUNTIF(G8:G18,"Rec")+(COUNTIF(G8:G18,"Drec")/2)+COUNTIF(G8:G18,"F")+(COUNTIF(G8:G18,"EM")+(COUNTIF(G8:G18,"DEM")/2))))</totalsRowFormula>
    </tableColumn>
    <tableColumn id="7" xr3:uid="{B37E50AC-2B43-1940-BC31-47F10D6CB490}" name="6" totalsRowFunction="custom" dataDxfId="538" totalsRowDxfId="537">
      <totalsRowFormula>(COUNTIF(H8:H18,"C")+(COUNTIF(H8:H18,"CS")+COUNTIF(H8:H18,"RTT")+(COUNTIF(H8:H18,"DRTT")/2)+COUNTIF(H8:H18,"M")+COUNTIF(H8:H18,"Rec")+(COUNTIF(H8:H18,"Drec")/2)+COUNTIF(H8:H18,"F")+(COUNTIF(H8:H18,"EM")+(COUNTIF(H8:H18,"DEM")/2))))</totalsRowFormula>
    </tableColumn>
    <tableColumn id="8" xr3:uid="{54A73956-0365-F44B-8751-84A5F7665D03}" name="7" totalsRowFunction="custom" dataDxfId="536" totalsRowDxfId="535">
      <totalsRowFormula>(COUNTIF(I8:I18,"C")+(COUNTIF(I8:I18,"CS")+COUNTIF(I8:I18,"RTT")+(COUNTIF(I8:I18,"DRTT")/2)+COUNTIF(I8:I18,"M")+COUNTIF(I8:I18,"Rec")+(COUNTIF(I8:I18,"Drec")/2)+COUNTIF(I8:I18,"F")+(COUNTIF(I8:I18,"EM")+(COUNTIF(I8:I18,"DEM")/2))))</totalsRowFormula>
    </tableColumn>
    <tableColumn id="9" xr3:uid="{AE50FC7A-A89D-C747-BCD2-DE9A879FDCBC}" name="8" totalsRowFunction="custom" dataDxfId="534" totalsRowDxfId="533">
      <totalsRowFormula>(COUNTIF(J8:J18,"C")+(COUNTIF(J8:J18,"CS")+COUNTIF(J8:J18,"RTT")+(COUNTIF(J8:J18,"DRTT")/2)+COUNTIF(J8:J18,"M")+COUNTIF(J8:J18,"Rec")+(COUNTIF(J8:J18,"Drec")/2)+COUNTIF(J8:J18,"F")+(COUNTIF(J8:J18,"EM")+(COUNTIF(J8:J18,"DEM")/2))))</totalsRowFormula>
    </tableColumn>
    <tableColumn id="10" xr3:uid="{BF548718-74F0-C341-8C67-38B090F1E314}" name="9" totalsRowFunction="custom" dataDxfId="532" totalsRowDxfId="531">
      <totalsRowFormula>(COUNTIF(K8:K18,"C")+(COUNTIF(K8:K18,"CS")+COUNTIF(K8:K18,"RTT")+(COUNTIF(K8:K18,"DRTT")/2)+COUNTIF(K8:K18,"M")+COUNTIF(K8:K18,"Rec")+(COUNTIF(K8:K18,"Drec")/2)+COUNTIF(K8:K18,"F")+(COUNTIF(K8:K18,"EM")+(COUNTIF(K8:K18,"DEM")/2))))</totalsRowFormula>
    </tableColumn>
    <tableColumn id="11" xr3:uid="{28588C17-15E8-1443-81FC-5960A97A752A}" name="10" totalsRowFunction="custom" dataDxfId="530" totalsRowDxfId="529">
      <totalsRowFormula>(COUNTIF(L8:L18,"C")+(COUNTIF(L8:L18,"CS")+COUNTIF(L8:L18,"RTT")+(COUNTIF(L8:L18,"DRTT")/2)+COUNTIF(L8:L18,"M")+COUNTIF(L8:L18,"Rec")+(COUNTIF(L8:L18,"Drec")/2)+COUNTIF(L8:L18,"F")+(COUNTIF(L8:L18,"EM")+(COUNTIF(L8:L18,"DEM")/2))))</totalsRowFormula>
    </tableColumn>
    <tableColumn id="12" xr3:uid="{2CFF160B-A614-D349-83ED-19C80967F061}" name="11" totalsRowFunction="custom" dataDxfId="528" totalsRowDxfId="527">
      <totalsRowFormula>(COUNTIF(M8:M18,"C")+(COUNTIF(M8:M18,"CS")+COUNTIF(M8:M18,"RTT")+(COUNTIF(M8:M18,"DRTT")/2)+COUNTIF(M8:M18,"M")+COUNTIF(M8:M18,"Rec")+(COUNTIF(M8:M18,"Drec")/2)+COUNTIF(M8:M18,"F")+(COUNTIF(M8:M18,"EM")+(COUNTIF(M8:M18,"DEM")/2))))</totalsRowFormula>
    </tableColumn>
    <tableColumn id="13" xr3:uid="{B43A039A-9DA8-C542-A242-BFFE5CB45EAB}" name="12" totalsRowFunction="custom" dataDxfId="526" totalsRowDxfId="525">
      <totalsRowFormula>(COUNTIF(N8:N18,"C")+(COUNTIF(N8:N18,"CS")+COUNTIF(N8:N18,"RTT")+(COUNTIF(N8:N18,"DRTT")/2)+COUNTIF(N8:N18,"M")+COUNTIF(N8:N18,"Rec")+(COUNTIF(N8:N18,"Drec")/2)+COUNTIF(N8:N18,"F")+(COUNTIF(N8:N18,"EM")+(COUNTIF(N8:N18,"DEM")/2))))</totalsRowFormula>
    </tableColumn>
    <tableColumn id="14" xr3:uid="{5D7E0C25-6691-9A4E-99C2-A056F1DF21E0}" name="13" totalsRowFunction="custom" dataDxfId="524" totalsRowDxfId="523">
      <totalsRowFormula>(COUNTIF(O8:O18,"C")+(COUNTIF(O8:O18,"CS")+COUNTIF(O8:O18,"RTT")+(COUNTIF(O8:O18,"DRTT")/2)+COUNTIF(O8:O18,"M")+COUNTIF(O8:O18,"Rec")+(COUNTIF(O8:O18,"Drec")/2)+COUNTIF(O8:O18,"F")+(COUNTIF(O8:O18,"EM")+(COUNTIF(O8:O18,"DEM")/2))))</totalsRowFormula>
    </tableColumn>
    <tableColumn id="15" xr3:uid="{5A9B19C7-BB09-1049-AACC-C7856BDE6B8B}" name="14" totalsRowFunction="custom" dataDxfId="522" totalsRowDxfId="521">
      <totalsRowFormula>(COUNTIF(P8:P18,"C")+(COUNTIF(P8:P18,"CS")+COUNTIF(P8:P18,"RTT")+(COUNTIF(P8:P18,"DRTT")/2)+COUNTIF(P8:P18,"M")+COUNTIF(P8:P18,"Rec")+(COUNTIF(P8:P18,"Drec")/2)+COUNTIF(P8:P18,"F")+(COUNTIF(P8:P18,"EM")+(COUNTIF(P8:P18,"DEM")/2))))</totalsRowFormula>
    </tableColumn>
    <tableColumn id="16" xr3:uid="{690A3254-62AB-6F49-9F50-C101D7CE988D}" name="15" totalsRowFunction="custom" dataDxfId="520" totalsRowDxfId="519">
      <totalsRowFormula>(COUNTIF(Q8:Q18,"C")+(COUNTIF(Q8:Q18,"CS")+COUNTIF(Q8:Q18,"RTT")+(COUNTIF(Q8:Q18,"DRTT")/2)+COUNTIF(Q8:Q18,"M")+COUNTIF(Q8:Q18,"Rec")+(COUNTIF(Q8:Q18,"Drec")/2)+COUNTIF(Q8:Q18,"F")+(COUNTIF(Q8:Q18,"EM")+(COUNTIF(Q8:Q18,"DEM")/2))))</totalsRowFormula>
    </tableColumn>
    <tableColumn id="17" xr3:uid="{343178AD-C113-6243-A711-E3A0CD7A64A4}" name="16" totalsRowFunction="custom" dataDxfId="518" totalsRowDxfId="517">
      <totalsRowFormula>(COUNTIF(R8:R18,"C")+(COUNTIF(R8:R18,"CS")+COUNTIF(R8:R18,"RTT")+(COUNTIF(R8:R18,"DRTT")/2)+COUNTIF(R8:R18,"M")+COUNTIF(R8:R18,"Rec")+(COUNTIF(R8:R18,"Drec")/2)+COUNTIF(R8:R18,"F")+(COUNTIF(R8:R18,"EM")+(COUNTIF(R8:R18,"DEM")/2))))</totalsRowFormula>
    </tableColumn>
    <tableColumn id="18" xr3:uid="{EB4D17D9-0B23-4A41-87A7-568EA0FBF566}" name="17" totalsRowFunction="custom" dataDxfId="516" totalsRowDxfId="515">
      <totalsRowFormula>(COUNTIF(S8:S18,"C")+(COUNTIF(S8:S18,"CS")+COUNTIF(S8:S18,"RTT")+(COUNTIF(S8:S18,"DRTT")/2)+COUNTIF(S8:S18,"M")+COUNTIF(S8:S18,"Rec")+(COUNTIF(S8:S18,"Drec")/2)+COUNTIF(S8:S18,"F")+(COUNTIF(S8:S18,"EM")+(COUNTIF(S8:S18,"DEM")/2))))</totalsRowFormula>
    </tableColumn>
    <tableColumn id="19" xr3:uid="{EB7A37CB-7CD0-1241-B354-7E73A43908BD}" name="18" totalsRowFunction="custom" dataDxfId="514" totalsRowDxfId="513">
      <totalsRowFormula>(COUNTIF(T8:T18,"C")+(COUNTIF(T8:T18,"CS")+COUNTIF(T8:T18,"RTT")+(COUNTIF(T8:T18,"DRTT")/2)+COUNTIF(T8:T18,"M")+COUNTIF(T8:T18,"Rec")+(COUNTIF(T8:T18,"Drec")/2)+COUNTIF(T8:T18,"F")+(COUNTIF(T8:T18,"EM")+(COUNTIF(T8:T18,"DEM")/2))))</totalsRowFormula>
    </tableColumn>
    <tableColumn id="20" xr3:uid="{331109F3-4379-E141-9FE0-8727CCA2052F}" name="19" totalsRowFunction="custom" dataDxfId="512" totalsRowDxfId="511">
      <totalsRowFormula>(COUNTIF(U8:U18,"C")+(COUNTIF(U8:U18,"CS")+COUNTIF(U8:U18,"RTT")+(COUNTIF(U8:U18,"DRTT")/2)+COUNTIF(U8:U18,"M")+COUNTIF(U8:U18,"Rec")+(COUNTIF(U8:U18,"Drec")/2)+COUNTIF(U8:U18,"F")+(COUNTIF(U8:U18,"EM")+(COUNTIF(U8:U18,"DEM")/2))))</totalsRowFormula>
    </tableColumn>
    <tableColumn id="21" xr3:uid="{1CD6BE75-122D-DD4C-B5A3-05EE4ED77230}" name="20" totalsRowFunction="custom" dataDxfId="510" totalsRowDxfId="509">
      <totalsRowFormula>(COUNTIF(V8:V18,"C")+(COUNTIF(V8:V18,"CS")+COUNTIF(V8:V18,"RTT")+(COUNTIF(V8:V18,"DRTT")/2)+COUNTIF(V8:V18,"M")+COUNTIF(V8:V18,"Rec")+(COUNTIF(V8:V18,"Drec")/2)+COUNTIF(V8:V18,"F")+(COUNTIF(V8:V18,"EM")+(COUNTIF(V8:V18,"DEM")/2))))</totalsRowFormula>
    </tableColumn>
    <tableColumn id="22" xr3:uid="{36116F5E-066F-F344-9EA7-93E1B170B94E}" name="21" totalsRowFunction="custom" dataDxfId="508" totalsRowDxfId="507">
      <totalsRowFormula>(COUNTIF(W8:W18,"C")+(COUNTIF(W8:W18,"CS")+COUNTIF(W8:W18,"RTT")+(COUNTIF(W8:W18,"DRTT")/2)+COUNTIF(W8:W18,"M")+COUNTIF(W8:W18,"Rec")+(COUNTIF(W8:W18,"Drec")/2)+COUNTIF(W8:W18,"F")+(COUNTIF(W8:W18,"EM")+(COUNTIF(W8:W18,"DEM")/2))))</totalsRowFormula>
    </tableColumn>
    <tableColumn id="23" xr3:uid="{437FD133-1507-CA44-B379-55ACBA950A6F}" name="22" totalsRowFunction="custom" dataDxfId="506" totalsRowDxfId="505">
      <totalsRowFormula>(COUNTIF(X8:X18,"C")+(COUNTIF(X8:X18,"CS")+COUNTIF(X8:X18,"RTT")+(COUNTIF(X8:X18,"DRTT")/2)+COUNTIF(X8:X18,"M")+COUNTIF(X8:X18,"Rec")+(COUNTIF(X8:X18,"Drec")/2)+COUNTIF(X8:X18,"F")+(COUNTIF(X8:X18,"EM")+(COUNTIF(X8:X18,"DEM")/2))))</totalsRowFormula>
    </tableColumn>
    <tableColumn id="24" xr3:uid="{18BBD64C-0459-1E4C-A211-916159DFBB93}" name="23" totalsRowFunction="custom" dataDxfId="504" totalsRowDxfId="503">
      <totalsRowFormula>(COUNTIF(Y8:Y18,"C")+(COUNTIF(Y8:Y18,"CS")+COUNTIF(Y8:Y18,"RTT")+(COUNTIF(Y8:Y18,"DRTT")/2)+COUNTIF(Y8:Y18,"M")+COUNTIF(Y8:Y18,"Rec")+(COUNTIF(Y8:Y18,"Drec")/2)+COUNTIF(Y8:Y18,"F")+(COUNTIF(Y8:Y18,"EM")+(COUNTIF(Y8:Y18,"DEM")/2))))</totalsRowFormula>
    </tableColumn>
    <tableColumn id="25" xr3:uid="{A0B7866F-67F0-734C-B540-B5B770A71093}" name="24" totalsRowFunction="custom" dataDxfId="502" totalsRowDxfId="501">
      <totalsRowFormula>(COUNTIF(Z8:Z18,"C")+(COUNTIF(Z8:Z18,"CS")+COUNTIF(Z8:Z18,"RTT")+(COUNTIF(Z8:Z18,"DRTT")/2)+COUNTIF(Z8:Z18,"M")+COUNTIF(Z8:Z18,"Rec")+(COUNTIF(Z8:Z18,"Drec")/2)+COUNTIF(Z8:Z18,"F")+(COUNTIF(Z8:Z18,"EM")+(COUNTIF(Z8:Z18,"DEM")/2))))</totalsRowFormula>
    </tableColumn>
    <tableColumn id="26" xr3:uid="{68B61B62-F42E-7D44-ADA9-6D89F0BD3939}" name="25" totalsRowFunction="custom" dataDxfId="500" totalsRowDxfId="499">
      <totalsRowFormula>(COUNTIF(AA8:AA18,"C")+(COUNTIF(AA8:AA18,"CS")+COUNTIF(AA8:AA18,"RTT")+(COUNTIF(AA8:AA18,"DRTT")/2)+COUNTIF(AA8:AA18,"M")+COUNTIF(AA8:AA18,"Rec")+(COUNTIF(AA8:AA18,"Drec")/2)+COUNTIF(AA8:AA18,"F")+(COUNTIF(AA8:AA18,"EM")+(COUNTIF(AA8:AA18,"DEM")/2))))</totalsRowFormula>
    </tableColumn>
    <tableColumn id="27" xr3:uid="{683D023E-5F17-794D-BA6E-C63AA06291AB}" name="26" totalsRowFunction="custom" dataDxfId="498" totalsRowDxfId="497">
      <totalsRowFormula>(COUNTIF(AB8:AB18,"C")+(COUNTIF(AB8:AB18,"CS")+COUNTIF(AB8:AB18,"RTT")+(COUNTIF(AB8:AB18,"DRTT")/2)+COUNTIF(AB8:AB18,"M")+COUNTIF(AB8:AB18,"Rec")+(COUNTIF(AB8:AB18,"Drec")/2)+COUNTIF(AB8:AB18,"F")+(COUNTIF(AB8:AB18,"EM")+(COUNTIF(AB8:AB18,"DEM")/2))))</totalsRowFormula>
    </tableColumn>
    <tableColumn id="28" xr3:uid="{04DCE457-B3EC-394B-B4B3-B8279CCBDED9}" name="27" totalsRowFunction="custom" dataDxfId="496" totalsRowDxfId="495">
      <totalsRowFormula>(COUNTIF(AC8:AC18,"C")+(COUNTIF(AC8:AC18,"CS")+COUNTIF(AC8:AC18,"RTT")+(COUNTIF(AC8:AC18,"DRTT")/2)+COUNTIF(AC8:AC18,"M")+COUNTIF(AC8:AC18,"Rec")+(COUNTIF(AC8:AC18,"Drec")/2)+COUNTIF(AC8:AC18,"F")+(COUNTIF(AC8:AC18,"EM")+(COUNTIF(AC8:AC18,"DEM")/2))))</totalsRowFormula>
    </tableColumn>
    <tableColumn id="29" xr3:uid="{13609B8F-9488-5C40-86EF-D27064536C33}" name="28" totalsRowFunction="custom" dataDxfId="494" totalsRowDxfId="493">
      <totalsRowFormula>(COUNTIF(AD8:AD18,"C")+(COUNTIF(AD8:AD18,"CS")+COUNTIF(AD8:AD18,"RTT")+(COUNTIF(AD8:AD18,"DRTT")/2)+COUNTIF(AD8:AD18,"M")+COUNTIF(AD8:AD18,"Rec")+(COUNTIF(AD8:AD18,"Drec")/2)+COUNTIF(AD8:AD18,"F")+(COUNTIF(AD8:AD18,"EM")+(COUNTIF(AD8:AD18,"DEM")/2))))</totalsRowFormula>
    </tableColumn>
    <tableColumn id="30" xr3:uid="{24F6A684-E383-0C47-A905-EB73BD9AF2F3}" name="29" totalsRowFunction="custom" dataDxfId="492" totalsRowDxfId="491">
      <totalsRowFormula>(COUNTIF(AE8:AE18,"C")+(COUNTIF(AE8:AE18,"CS")+COUNTIF(AE8:AE18,"RTT")+(COUNTIF(AE8:AE18,"DRTT")/2)+COUNTIF(AE8:AE18,"M")+COUNTIF(AE8:AE18,"Rec")+(COUNTIF(AE8:AE18,"Drec")/2)+COUNTIF(AE8:AE18,"F")+(COUNTIF(AE8:AE18,"EM")+(COUNTIF(AE8:AE18,"DEM")/2))))</totalsRowFormula>
    </tableColumn>
    <tableColumn id="31" xr3:uid="{B251F29E-0378-8140-ACC2-34B546674498}" name="30" totalsRowFunction="custom" dataDxfId="490" totalsRowDxfId="489">
      <totalsRowFormula>(COUNTIF(AF8:AF18,"C")+(COUNTIF(AF8:AF18,"CS")+COUNTIF(AF8:AF18,"RTT")+(COUNTIF(AF8:AF18,"DRTT")/2)+COUNTIF(AF8:AF18,"M")+COUNTIF(AF8:AF18,"Rec")+(COUNTIF(AF8:AF18,"Drec")/2)+COUNTIF(AF8:AF18,"F")+(COUNTIF(AF8:AF18,"EM")+(COUNTIF(AF8:AF18,"DEM")/2))))</totalsRowFormula>
    </tableColumn>
    <tableColumn id="32" xr3:uid="{DADB19A4-B151-B34D-9090-9EFAF7C04512}" name="31" totalsRowFunction="custom" dataDxfId="488" totalsRowDxfId="487">
      <totalsRowFormula>(COUNTIF(AG8:AG18,"C")+(COUNTIF(AG8:AG18,"CS")+COUNTIF(AG8:AG18,"RTT")+(COUNTIF(AG8:AG18,"DRTT")/2)+COUNTIF(AG8:AG18,"M")+COUNTIF(AG8:AG18,"Rec")+(COUNTIF(AG8:AG18,"Drec")/2)+COUNTIF(AG8:AG18,"F")+(COUNTIF(AG8:AG18,"EM")+(COUNTIF(AG8:AG18,"DEM")/2))))</totalsRowFormula>
    </tableColumn>
    <tableColumn id="33" xr3:uid="{2493AEC6-AB58-944E-9D71-87018D7009F7}" name="Total absence" totalsRowFunction="sum" dataDxfId="486" totalsRowDxfId="485" dataCellStyle="Total">
      <calculatedColumnFormula>(COUNTIF(C8:AG8,"C")+(COUNTIF(C8:AG8,"EM")+COUNTIF(C8:AG8,"RTT")+COUNTIF(C8:AG8,"M")+COUNTIF(C8:AG8,"Rec")+COUNTIF(C8:AG8,"F")+COUNTIF(C8:AG8,"TT"-1)+COUNTIF(C8:AG8,"CS")+COUNTIF(C8:AG8,"PE"-1)+COUNTIF(C8:AG8,"DRTT")/2)+COUNTIF(C8:AG8,"DREC")/2)+COUNTIF(C8:AG8,"DEM")/2</calculatedColumnFormula>
    </tableColumn>
    <tableColumn id="34" xr3:uid="{D0A1FDED-A88F-5B49-8C32-B3DF320BCB43}" name="Dont RTT" totalsRowFunction="sum" dataDxfId="484" totalsRowDxfId="483" dataCellStyle="Total">
      <calculatedColumnFormula>COUNTIF(C8:AG8,"RTT")+COUNTIF(C8:AG8,"DRTT")/2</calculatedColumnFormula>
    </tableColumn>
    <tableColumn id="36" xr3:uid="{3AAB17DB-F1A6-4E41-A078-FFB175BBF6F1}" name="Dont MALADIE" totalsRowFunction="sum" dataDxfId="482" totalsRowDxfId="481" dataCellStyle="Total"/>
    <tableColumn id="35" xr3:uid="{A33E08EC-9168-E843-9737-65B495D64CAA}" name="Solde RTT disponible au 01/09/2021" dataDxfId="480" totalsRowDxfId="479">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64B92B8-0B33-1B49-89B6-94DE339AF266}" name="Septembre" displayName="Septembre" ref="B7:AK19" totalsRowCount="1" headerRowDxfId="437" totalsRowDxfId="436">
  <tableColumns count="36">
    <tableColumn id="1" xr3:uid="{22B2D8F5-2DF9-DA44-9679-9EEC0DEF55A8}" name="Nom de l’employé" totalsRowFunction="custom" dataDxfId="435" totalsRowDxfId="434" dataCellStyle="Employé">
      <totalsRowFormula>NomMois&amp;" Total"</totalsRowFormula>
    </tableColumn>
    <tableColumn id="2" xr3:uid="{EE4FB978-D594-3346-97A3-B8EC0247FD4A}" name="1" totalsRowFunction="custom" dataDxfId="433" totalsRowDxfId="432">
      <totalsRowFormula>(COUNTIF(C8:C18,"C")+(COUNTIF(C8:C18,"CS")+COUNTIF(C8:C18,"RTT")+(COUNTIF(C8:C18,"DRTT")/2)+COUNTIF(C8:C18,"M")+COUNTIF(C8:C18,"Rec")+(COUNTIF(C8:C18,"Drec")/2)+COUNTIF(C8:C18,"F")+(COUNTIF(C8:C18,"EM")+(COUNTIF(C8:C18,"DEM")/2))))</totalsRowFormula>
    </tableColumn>
    <tableColumn id="3" xr3:uid="{79CEE088-99E1-184D-A716-FC2F1C29868F}" name="2" totalsRowFunction="custom" dataDxfId="431" totalsRowDxfId="430">
      <totalsRowFormula>(COUNTIF(D8:D18,"C")+(COUNTIF(D8:D18,"CS")+COUNTIF(D8:D18,"RTT")+(COUNTIF(D8:D18,"DRTT")/2)+COUNTIF(D8:D18,"M")+COUNTIF(D8:D18,"Rec")+(COUNTIF(D8:D18,"Drec")/2)+COUNTIF(D8:D18,"F")+(COUNTIF(D8:D18,"EM")+(COUNTIF(D8:D18,"DEM")/2))))</totalsRowFormula>
    </tableColumn>
    <tableColumn id="4" xr3:uid="{17CC8A9E-F241-4846-BE83-567EDDC4C77C}" name="3" totalsRowFunction="custom" dataDxfId="429" totalsRowDxfId="428">
      <totalsRowFormula>(COUNTIF(E8:E18,"C")+(COUNTIF(E8:E18,"CS")+COUNTIF(E8:E18,"RTT")+(COUNTIF(E8:E18,"DRTT")/2)+COUNTIF(E8:E18,"M")+COUNTIF(E8:E18,"Rec")+(COUNTIF(E8:E18,"Drec")/2)+COUNTIF(E8:E18,"F")+(COUNTIF(E8:E18,"EM")+(COUNTIF(E8:E18,"DEM")/2))))</totalsRowFormula>
    </tableColumn>
    <tableColumn id="5" xr3:uid="{574BB39D-787B-1448-96EC-68A78CD59B23}" name="4" totalsRowFunction="custom" dataDxfId="427" totalsRowDxfId="426">
      <totalsRowFormula>(COUNTIF(F8:F18,"C")+(COUNTIF(F8:F18,"CS")+COUNTIF(F8:F18,"RTT")+(COUNTIF(F8:F18,"DRTT")/2)+COUNTIF(F8:F18,"M")+COUNTIF(F8:F18,"Rec")+(COUNTIF(F8:F18,"Drec")/2)+COUNTIF(F8:F18,"F")+(COUNTIF(F8:F18,"EM")+(COUNTIF(F8:F18,"DEM")/2))))</totalsRowFormula>
    </tableColumn>
    <tableColumn id="6" xr3:uid="{F0BB0FA7-E5E7-7245-BFAC-B78E3B5A65A8}" name="5" totalsRowFunction="custom" dataDxfId="425" totalsRowDxfId="424">
      <totalsRowFormula>(COUNTIF(G8:G18,"C")+(COUNTIF(G8:G18,"CS")+COUNTIF(G8:G18,"RTT")+(COUNTIF(G8:G18,"DRTT")/2)+COUNTIF(G8:G18,"M")+COUNTIF(G8:G18,"Rec")+(COUNTIF(G8:G18,"Drec")/2)+COUNTIF(G8:G18,"F")+(COUNTIF(G8:G18,"EM")+(COUNTIF(G8:G18,"DEM")/2))))</totalsRowFormula>
    </tableColumn>
    <tableColumn id="7" xr3:uid="{C88D11D7-3E6A-1B43-B447-C4633D6F5260}" name="6" totalsRowFunction="custom" dataDxfId="423" totalsRowDxfId="422">
      <totalsRowFormula>(COUNTIF(H8:H18,"C")+(COUNTIF(H8:H18,"CS")+COUNTIF(H8:H18,"RTT")+(COUNTIF(H8:H18,"DRTT")/2)+COUNTIF(H8:H18,"M")+COUNTIF(H8:H18,"Rec")+(COUNTIF(H8:H18,"Drec")/2)+COUNTIF(H8:H18,"F")+(COUNTIF(H8:H18,"EM")+(COUNTIF(H8:H18,"DEM")/2))))</totalsRowFormula>
    </tableColumn>
    <tableColumn id="8" xr3:uid="{48B3BFF8-1FB1-644D-A3D3-1CA627FEAFB8}" name="7" totalsRowFunction="custom" dataDxfId="421" totalsRowDxfId="420">
      <totalsRowFormula>(COUNTIF(I8:I18,"C")+(COUNTIF(I8:I18,"CS")+COUNTIF(I8:I18,"RTT")+(COUNTIF(I8:I18,"DRTT")/2)+COUNTIF(I8:I18,"M")+COUNTIF(I8:I18,"Rec")+(COUNTIF(I8:I18,"Drec")/2)+COUNTIF(I8:I18,"F")+(COUNTIF(I8:I18,"EM")+(COUNTIF(I8:I18,"DEM")/2))))</totalsRowFormula>
    </tableColumn>
    <tableColumn id="9" xr3:uid="{32D00876-731A-164F-B8E1-B464184FF060}" name="8" totalsRowFunction="custom" dataDxfId="419" totalsRowDxfId="418">
      <totalsRowFormula>(COUNTIF(J8:J18,"C")+(COUNTIF(J8:J18,"CS")+COUNTIF(J8:J18,"RTT")+(COUNTIF(J8:J18,"DRTT")/2)+COUNTIF(J8:J18,"M")+COUNTIF(J8:J18,"Rec")+(COUNTIF(J8:J18,"Drec")/2)+COUNTIF(J8:J18,"F")+(COUNTIF(J8:J18,"EM")+(COUNTIF(J8:J18,"DEM")/2))))</totalsRowFormula>
    </tableColumn>
    <tableColumn id="10" xr3:uid="{745EE7FA-5C57-584D-9562-F40AF7A0354B}" name="9" totalsRowFunction="custom" dataDxfId="417" totalsRowDxfId="416">
      <totalsRowFormula>(COUNTIF(K8:K18,"C")+(COUNTIF(K8:K18,"CS")+COUNTIF(K8:K18,"RTT")+(COUNTIF(K8:K18,"DRTT")/2)+COUNTIF(K8:K18,"M")+COUNTIF(K8:K18,"Rec")+(COUNTIF(K8:K18,"Drec")/2)+COUNTIF(K8:K18,"F")+(COUNTIF(K8:K18,"EM")+(COUNTIF(K8:K18,"DEM")/2))))</totalsRowFormula>
    </tableColumn>
    <tableColumn id="11" xr3:uid="{4C1E1A85-75E0-3141-A893-65E57F496D42}" name="10" totalsRowFunction="custom" dataDxfId="415" totalsRowDxfId="414">
      <totalsRowFormula>(COUNTIF(L8:L18,"C")+(COUNTIF(L8:L18,"CS")+COUNTIF(L8:L18,"RTT")+(COUNTIF(L8:L18,"DRTT")/2)+COUNTIF(L8:L18,"M")+COUNTIF(L8:L18,"Rec")+(COUNTIF(L8:L18,"Drec")/2)+COUNTIF(L8:L18,"F")+(COUNTIF(L8:L18,"EM")+(COUNTIF(L8:L18,"DEM")/2))))</totalsRowFormula>
    </tableColumn>
    <tableColumn id="12" xr3:uid="{C1A1B2FC-59C7-7C47-95DB-0B409BAB77F1}" name="11" totalsRowFunction="custom" dataDxfId="413" totalsRowDxfId="412">
      <totalsRowFormula>(COUNTIF(M8:M18,"C")+(COUNTIF(M8:M18,"CS")+COUNTIF(M8:M18,"RTT")+(COUNTIF(M8:M18,"DRTT")/2)+COUNTIF(M8:M18,"M")+COUNTIF(M8:M18,"Rec")+(COUNTIF(M8:M18,"Drec")/2)+COUNTIF(M8:M18,"F")+(COUNTIF(M8:M18,"EM")+(COUNTIF(M8:M18,"DEM")/2))))</totalsRowFormula>
    </tableColumn>
    <tableColumn id="13" xr3:uid="{01FFEBE7-FE90-4A42-A1C4-0C76EADD35BD}" name="12" totalsRowFunction="custom" dataDxfId="411" totalsRowDxfId="410">
      <totalsRowFormula>(COUNTIF(N8:N18,"C")+(COUNTIF(N8:N18,"CS")+COUNTIF(N8:N18,"RTT")+(COUNTIF(N8:N18,"DRTT")/2)+COUNTIF(N8:N18,"M")+COUNTIF(N8:N18,"Rec")+(COUNTIF(N8:N18,"Drec")/2)+COUNTIF(N8:N18,"F")+(COUNTIF(N8:N18,"EM")+(COUNTIF(N8:N18,"DEM")/2))))</totalsRowFormula>
    </tableColumn>
    <tableColumn id="14" xr3:uid="{E30671FC-8EAB-584F-94E4-AA49A884B7D4}" name="13" totalsRowFunction="custom" dataDxfId="409" totalsRowDxfId="408">
      <totalsRowFormula>(COUNTIF(O8:O18,"C")+(COUNTIF(O8:O18,"CS")+COUNTIF(O8:O18,"RTT")+(COUNTIF(O8:O18,"DRTT")/2)+COUNTIF(O8:O18,"M")+COUNTIF(O8:O18,"Rec")+(COUNTIF(O8:O18,"Drec")/2)+COUNTIF(O8:O18,"F")+(COUNTIF(O8:O18,"EM")+(COUNTIF(O8:O18,"DEM")/2))))</totalsRowFormula>
    </tableColumn>
    <tableColumn id="15" xr3:uid="{B943AEF9-1D14-2443-A8BF-43BC86D3CDF8}" name="14" totalsRowFunction="custom" dataDxfId="407" totalsRowDxfId="406">
      <totalsRowFormula>(COUNTIF(P8:P18,"C")+(COUNTIF(P8:P18,"CS")+COUNTIF(P8:P18,"RTT")+(COUNTIF(P8:P18,"DRTT")/2)+COUNTIF(P8:P18,"M")+COUNTIF(P8:P18,"Rec")+(COUNTIF(P8:P18,"Drec")/2)+COUNTIF(P8:P18,"F")+(COUNTIF(P8:P18,"EM")+(COUNTIF(P8:P18,"DEM")/2))))</totalsRowFormula>
    </tableColumn>
    <tableColumn id="16" xr3:uid="{E45A60C8-23BF-7D47-AF71-CB6F75A96EF7}" name="15" totalsRowFunction="custom" dataDxfId="405" totalsRowDxfId="404">
      <totalsRowFormula>(COUNTIF(Q8:Q18,"C")+(COUNTIF(Q8:Q18,"CS")+COUNTIF(Q8:Q18,"RTT")+(COUNTIF(Q8:Q18,"DRTT")/2)+COUNTIF(Q8:Q18,"M")+COUNTIF(Q8:Q18,"Rec")+(COUNTIF(Q8:Q18,"Drec")/2)+COUNTIF(Q8:Q18,"F")+(COUNTIF(Q8:Q18,"EM")+(COUNTIF(Q8:Q18,"DEM")/2))))</totalsRowFormula>
    </tableColumn>
    <tableColumn id="17" xr3:uid="{02594F17-F87B-6149-A3D7-F7E13971F07A}" name="16" totalsRowFunction="custom" dataDxfId="403" totalsRowDxfId="402">
      <totalsRowFormula>(COUNTIF(R8:R18,"C")+(COUNTIF(R8:R18,"CS")+COUNTIF(R8:R18,"RTT")+(COUNTIF(R8:R18,"DRTT")/2)+COUNTIF(R8:R18,"M")+COUNTIF(R8:R18,"Rec")+(COUNTIF(R8:R18,"Drec")/2)+COUNTIF(R8:R18,"F")+(COUNTIF(R8:R18,"EM")+(COUNTIF(R8:R18,"DEM")/2))))</totalsRowFormula>
    </tableColumn>
    <tableColumn id="18" xr3:uid="{DC0DCD7D-7040-5A4D-B68A-DDC368355B0D}" name="17" totalsRowFunction="custom" dataDxfId="401" totalsRowDxfId="400">
      <totalsRowFormula>(COUNTIF(S8:S18,"C")+(COUNTIF(S8:S18,"CS")+COUNTIF(S8:S18,"RTT")+(COUNTIF(S8:S18,"DRTT")/2)+COUNTIF(S8:S18,"M")+COUNTIF(S8:S18,"Rec")+(COUNTIF(S8:S18,"Drec")/2)+COUNTIF(S8:S18,"F")+(COUNTIF(S8:S18,"EM")+(COUNTIF(S8:S18,"DEM")/2))))</totalsRowFormula>
    </tableColumn>
    <tableColumn id="19" xr3:uid="{0CD67F39-9E66-CE4B-8FE7-C982D898D7DC}" name="18" totalsRowFunction="custom" dataDxfId="399" totalsRowDxfId="398">
      <totalsRowFormula>(COUNTIF(T8:T18,"C")+(COUNTIF(T8:T18,"CS")+COUNTIF(T8:T18,"RTT")+(COUNTIF(T8:T18,"DRTT")/2)+COUNTIF(T8:T18,"M")+COUNTIF(T8:T18,"Rec")+(COUNTIF(T8:T18,"Drec")/2)+COUNTIF(T8:T18,"F")+(COUNTIF(T8:T18,"EM")+(COUNTIF(T8:T18,"DEM")/2))))</totalsRowFormula>
    </tableColumn>
    <tableColumn id="20" xr3:uid="{E3F83270-A60E-8C4A-838E-27B6A76B3B0D}" name="19" totalsRowFunction="custom" dataDxfId="397" totalsRowDxfId="396">
      <totalsRowFormula>(COUNTIF(U8:U18,"C")+(COUNTIF(U8:U18,"CS")+COUNTIF(U8:U18,"RTT")+(COUNTIF(U8:U18,"DRTT")/2)+COUNTIF(U8:U18,"M")+COUNTIF(U8:U18,"Rec")+(COUNTIF(U8:U18,"Drec")/2)+COUNTIF(U8:U18,"F")+(COUNTIF(U8:U18,"EM")+(COUNTIF(U8:U18,"DEM")/2))))</totalsRowFormula>
    </tableColumn>
    <tableColumn id="21" xr3:uid="{F05757B9-55AA-6E4B-90E5-41E82E8BD8DF}" name="20" totalsRowFunction="custom" dataDxfId="395" totalsRowDxfId="394">
      <totalsRowFormula>(COUNTIF(V8:V18,"C")+(COUNTIF(V8:V18,"CS")+COUNTIF(V8:V18,"RTT")+(COUNTIF(V8:V18,"DRTT")/2)+COUNTIF(V8:V18,"M")+COUNTIF(V8:V18,"Rec")+(COUNTIF(V8:V18,"Drec")/2)+COUNTIF(V8:V18,"F")+(COUNTIF(V8:V18,"EM")+(COUNTIF(V8:V18,"DEM")/2))))</totalsRowFormula>
    </tableColumn>
    <tableColumn id="22" xr3:uid="{7AC199F2-AB29-124B-9176-55361C879512}" name="21" totalsRowFunction="custom" dataDxfId="393" totalsRowDxfId="392">
      <totalsRowFormula>(COUNTIF(W8:W18,"C")+(COUNTIF(W8:W18,"CS")+COUNTIF(W8:W18,"RTT")+(COUNTIF(W8:W18,"DRTT")/2)+COUNTIF(W8:W18,"M")+COUNTIF(W8:W18,"Rec")+(COUNTIF(W8:W18,"Drec")/2)+COUNTIF(W8:W18,"F")+(COUNTIF(W8:W18,"EM")+(COUNTIF(W8:W18,"DEM")/2))))</totalsRowFormula>
    </tableColumn>
    <tableColumn id="23" xr3:uid="{70050C7F-FA3B-3941-9057-6599F30CF7C6}" name="22" totalsRowFunction="custom" dataDxfId="391" totalsRowDxfId="390">
      <totalsRowFormula>(COUNTIF(X8:X18,"C")+(COUNTIF(X8:X18,"CS")+COUNTIF(X8:X18,"RTT")+(COUNTIF(X8:X18,"DRTT")/2)+COUNTIF(X8:X18,"M")+COUNTIF(X8:X18,"Rec")+(COUNTIF(X8:X18,"Drec")/2)+COUNTIF(X8:X18,"F")+(COUNTIF(X8:X18,"EM")+(COUNTIF(X8:X18,"DEM")/2))))</totalsRowFormula>
    </tableColumn>
    <tableColumn id="24" xr3:uid="{6C0D69E7-B748-3940-AC26-2262B49CB53F}" name="23" totalsRowFunction="custom" dataDxfId="389" totalsRowDxfId="388">
      <totalsRowFormula>(COUNTIF(Y8:Y18,"C")+(COUNTIF(Y8:Y18,"CS")+COUNTIF(Y8:Y18,"RTT")+(COUNTIF(Y8:Y18,"DRTT")/2)+COUNTIF(Y8:Y18,"M")+COUNTIF(Y8:Y18,"Rec")+(COUNTIF(Y8:Y18,"Drec")/2)+COUNTIF(Y8:Y18,"F")+(COUNTIF(Y8:Y18,"EM")+(COUNTIF(Y8:Y18,"DEM")/2))))</totalsRowFormula>
    </tableColumn>
    <tableColumn id="25" xr3:uid="{47178DE4-205E-6848-99DC-D8D6D260063B}" name="24" totalsRowFunction="custom" dataDxfId="387" totalsRowDxfId="386">
      <totalsRowFormula>(COUNTIF(Z8:Z18,"C")+(COUNTIF(Z8:Z18,"CS")+COUNTIF(Z8:Z18,"RTT")+(COUNTIF(Z8:Z18,"DRTT")/2)+COUNTIF(Z8:Z18,"M")+COUNTIF(Z8:Z18,"Rec")+(COUNTIF(Z8:Z18,"Drec")/2)+COUNTIF(Z8:Z18,"F")+(COUNTIF(Z8:Z18,"EM")+(COUNTIF(Z8:Z18,"DEM")/2))))</totalsRowFormula>
    </tableColumn>
    <tableColumn id="26" xr3:uid="{ABEE3A51-55B6-ED4D-A580-42970E3BAF73}" name="25" totalsRowFunction="custom" dataDxfId="385" totalsRowDxfId="384">
      <totalsRowFormula>(COUNTIF(AA8:AA18,"C")+(COUNTIF(AA8:AA18,"CS")+COUNTIF(AA8:AA18,"RTT")+(COUNTIF(AA8:AA18,"DRTT")/2)+COUNTIF(AA8:AA18,"M")+COUNTIF(AA8:AA18,"Rec")+(COUNTIF(AA8:AA18,"Drec")/2)+COUNTIF(AA8:AA18,"F")+(COUNTIF(AA8:AA18,"EM")+(COUNTIF(AA8:AA18,"DEM")/2))))</totalsRowFormula>
    </tableColumn>
    <tableColumn id="27" xr3:uid="{0E9B59C0-7C1A-B644-A617-6F1C6927D40D}" name="26" totalsRowFunction="custom" dataDxfId="383" totalsRowDxfId="382">
      <totalsRowFormula>(COUNTIF(AB8:AB18,"C")+(COUNTIF(AB8:AB18,"CS")+COUNTIF(AB8:AB18,"RTT")+(COUNTIF(AB8:AB18,"DRTT")/2)+COUNTIF(AB8:AB18,"M")+COUNTIF(AB8:AB18,"Rec")+(COUNTIF(AB8:AB18,"Drec")/2)+COUNTIF(AB8:AB18,"F")+(COUNTIF(AB8:AB18,"EM")+(COUNTIF(AB8:AB18,"DEM")/2))))</totalsRowFormula>
    </tableColumn>
    <tableColumn id="28" xr3:uid="{C1F34544-9FA8-A548-8D70-37C068A7727D}" name="27" totalsRowFunction="custom" dataDxfId="381" totalsRowDxfId="380">
      <totalsRowFormula>(COUNTIF(AC8:AC18,"C")+(COUNTIF(AC8:AC18,"CS")+COUNTIF(AC8:AC18,"RTT")+(COUNTIF(AC8:AC18,"DRTT")/2)+COUNTIF(AC8:AC18,"M")+COUNTIF(AC8:AC18,"Rec")+(COUNTIF(AC8:AC18,"Drec")/2)+COUNTIF(AC8:AC18,"F")+(COUNTIF(AC8:AC18,"EM")+(COUNTIF(AC8:AC18,"DEM")/2))))</totalsRowFormula>
    </tableColumn>
    <tableColumn id="29" xr3:uid="{C503D5AB-7BD2-7C4F-9F5A-A7EC0FFF5F33}" name="28" totalsRowFunction="custom" dataDxfId="379" totalsRowDxfId="378">
      <totalsRowFormula>(COUNTIF(AD8:AD18,"C")+(COUNTIF(AD8:AD18,"CS")+COUNTIF(AD8:AD18,"RTT")+(COUNTIF(AD8:AD18,"DRTT")/2)+COUNTIF(AD8:AD18,"M")+COUNTIF(AD8:AD18,"Rec")+(COUNTIF(AD8:AD18,"Drec")/2)+COUNTIF(AD8:AD18,"F")+(COUNTIF(AD8:AD18,"EM")+(COUNTIF(AD8:AD18,"DEM")/2))))</totalsRowFormula>
    </tableColumn>
    <tableColumn id="30" xr3:uid="{2344583A-6508-B34A-93EA-D8297DBAC2CF}" name="29" totalsRowFunction="custom" dataDxfId="377" totalsRowDxfId="376">
      <totalsRowFormula>(COUNTIF(AE8:AE18,"C")+(COUNTIF(AE8:AE18,"CS")+COUNTIF(AE8:AE18,"RTT")+(COUNTIF(AE8:AE18,"DRTT")/2)+COUNTIF(AE8:AE18,"M")+COUNTIF(AE8:AE18,"Rec")+(COUNTIF(AE8:AE18,"Drec")/2)+COUNTIF(AE8:AE18,"F")+(COUNTIF(AE8:AE18,"EM")+(COUNTIF(AE8:AE18,"DEM")/2))))</totalsRowFormula>
    </tableColumn>
    <tableColumn id="31" xr3:uid="{117AABA8-B2F3-8944-B14F-90BDDFCBDAAB}" name="30" totalsRowFunction="custom" dataDxfId="375" totalsRowDxfId="374">
      <totalsRowFormula>(COUNTIF(AF8:AF18,"C")+(COUNTIF(AF8:AF18,"CS")+COUNTIF(AF8:AF18,"RTT")+(COUNTIF(AF8:AF18,"DRTT")/2)+COUNTIF(AF8:AF18,"M")+COUNTIF(AF8:AF18,"Rec")+(COUNTIF(AF8:AF18,"Drec")/2)+COUNTIF(AF8:AF18,"F")+(COUNTIF(AF8:AF18,"EM")+(COUNTIF(AF8:AF18,"DEM")/2))))</totalsRowFormula>
    </tableColumn>
    <tableColumn id="32" xr3:uid="{08945F42-1D9D-C04A-B173-E2CE3AEA076A}" name=" " totalsRowFunction="custom" dataDxfId="373" totalsRowDxfId="372">
      <totalsRowFormula>(COUNTIF(AG8:AG18,"C")+(COUNTIF(AG8:AG18,"CS")+COUNTIF(AG8:AG18,"RTT")+(COUNTIF(AG8:AG18,"DRTT")/2)+COUNTIF(AG8:AG18,"M")+COUNTIF(AG8:AG18,"Rec")+(COUNTIF(AG8:AG18,"Drec")/2)+COUNTIF(AG8:AG18,"F")+(COUNTIF(AG8:AG18,"EM")+(COUNTIF(AG8:AG18,"DEM")/2))))</totalsRowFormula>
    </tableColumn>
    <tableColumn id="33" xr3:uid="{FE04F8E9-173D-5648-85A5-08693049DF01}" name="Total absence" totalsRowFunction="sum" dataDxfId="371" totalsRowDxfId="370" dataCellStyle="Total">
      <calculatedColumnFormula>(COUNTIF(C8:AG8,"C")+(COUNTIF(C8:AG8,"EM")+COUNTIF(C8:AG8,"RTT")+COUNTIF(C8:AG8,"M")+COUNTIF(C8:AG8,"Rec")+COUNTIF(C8:AG8,"F")+COUNTIF(C8:AG8,"TT"-1)+COUNTIF(C8:AG8,"CS")+COUNTIF(C8:AG8,"PE"-1)+COUNTIF(C8:AG8,"DRTT")/2)+COUNTIF(C8:AG8,"DREC")/2)+COUNTIF(C8:AG8,"DEM")/2</calculatedColumnFormula>
    </tableColumn>
    <tableColumn id="34" xr3:uid="{B9F531FB-6FE8-6646-9F1B-B02696110A7A}" name="Dont RTT" totalsRowFunction="sum" dataDxfId="369" totalsRowDxfId="368" dataCellStyle="Total">
      <calculatedColumnFormula>COUNTIF(C8:AG8,"RTT")+COUNTIF(C8:AG8,"DRTT")/2</calculatedColumnFormula>
    </tableColumn>
    <tableColumn id="36" xr3:uid="{0D861406-9109-1849-A021-6EF68ABA6224}" name="Dont MALADIE" totalsRowFunction="sum" dataDxfId="367" totalsRowDxfId="366" dataCellStyle="Total"/>
    <tableColumn id="35" xr3:uid="{A5B17A38-0BBA-CD4F-94BB-FD946E6459B3}" name="Solde RTT disponible au 01/10/2021" dataDxfId="365" totalsRowDxfId="364">
      <calculatedColumnFormula>Mars!AK8-Mai[[#This Row],[Dont RTT]]+2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08E6C99-FF2D-AF46-AE2A-ACE21EEAAD8F}" name="Octobre" displayName="Octobre" ref="B7:AL22" totalsRowCount="1" headerRowDxfId="321" dataDxfId="320" totalsRowDxfId="319" dataCellStyle="Total">
  <tableColumns count="37">
    <tableColumn id="1" xr3:uid="{5E9E2766-68E1-9F49-A242-EE61B97953EA}" name="Nom de l’employé" totalsRowFunction="custom" dataDxfId="318" totalsRowDxfId="317" dataCellStyle="Employé">
      <totalsRowFormula>NomMois&amp;" Total"</totalsRowFormula>
    </tableColumn>
    <tableColumn id="2" xr3:uid="{B903B4F2-7F26-614B-BDF3-7988963BB623}" name="1" totalsRowFunction="custom" dataDxfId="316" totalsRowDxfId="315">
      <totalsRowFormula>(COUNTIF(C8:C21,"C")+(COUNTIF(C8:C21,"CS")+COUNTIF(C8:C21,"RTT")+(COUNTIF(C8:C21,"DRTT")/2)+COUNTIF(C8:C21,"M")+COUNTIF(C8:C21,"Rec")+(COUNTIF(C8:C21,"Drec")/2)+COUNTIF(C8:C21,"F")+(COUNTIF(C8:C21,"EM")+(COUNTIF(C8:C21,"DEM")/2))))</totalsRowFormula>
    </tableColumn>
    <tableColumn id="3" xr3:uid="{B0BD2EF0-B284-FB41-A56D-B5228C0979C2}" name="2" totalsRowFunction="custom" dataDxfId="314" totalsRowDxfId="313">
      <totalsRowFormula>(COUNTIF(D8:D21,"C")+(COUNTIF(D8:D21,"CS")+COUNTIF(D8:D21,"RTT")+(COUNTIF(D8:D21,"DRTT")/2)+COUNTIF(D8:D21,"M")+COUNTIF(D8:D21,"Rec")+(COUNTIF(D8:D21,"Drec")/2)+COUNTIF(D8:D21,"F")+(COUNTIF(D8:D21,"EM")+(COUNTIF(D8:D21,"DEM")/2))))</totalsRowFormula>
    </tableColumn>
    <tableColumn id="4" xr3:uid="{458D3B4B-8295-A04A-8269-5CCB5BD6F850}" name="3" totalsRowFunction="custom" dataDxfId="312" totalsRowDxfId="311">
      <totalsRowFormula>(COUNTIF(E8:E21,"C")+(COUNTIF(E8:E21,"CS")+COUNTIF(E8:E21,"RTT")+(COUNTIF(E8:E21,"DRTT")/2)+COUNTIF(E8:E21,"M")+COUNTIF(E8:E21,"Rec")+(COUNTIF(E8:E21,"Drec")/2)+COUNTIF(E8:E21,"F")+(COUNTIF(E8:E21,"EM")+(COUNTIF(E8:E21,"DEM")/2))))</totalsRowFormula>
    </tableColumn>
    <tableColumn id="5" xr3:uid="{75EFCC2A-A240-FE43-AAA8-46D93A840740}" name="4" totalsRowFunction="custom" dataDxfId="310" totalsRowDxfId="309">
      <totalsRowFormula>(COUNTIF(F8:F21,"C")+(COUNTIF(F8:F21,"CS")+COUNTIF(F8:F21,"RTT")+(COUNTIF(F8:F21,"DRTT")/2)+COUNTIF(F8:F21,"M")+COUNTIF(F8:F21,"Rec")+(COUNTIF(F8:F21,"Drec")/2)+COUNTIF(F8:F21,"F")+(COUNTIF(F8:F21,"EM")+(COUNTIF(F8:F21,"DEM")/2))))</totalsRowFormula>
    </tableColumn>
    <tableColumn id="6" xr3:uid="{55721E4D-8D68-5D45-B2A5-FB9DB342F9B1}" name="5" totalsRowFunction="custom" dataDxfId="308" totalsRowDxfId="307">
      <totalsRowFormula>(COUNTIF(G8:G21,"C")+(COUNTIF(G8:G21,"CS")+COUNTIF(G8:G21,"RTT")+(COUNTIF(G8:G21,"DRTT")/2)+COUNTIF(G8:G21,"M")+COUNTIF(G8:G21,"Rec")+(COUNTIF(G8:G21,"Drec")/2)+COUNTIF(G8:G21,"F")+(COUNTIF(G8:G21,"EM")+(COUNTIF(G8:G21,"DEM")/2))))</totalsRowFormula>
    </tableColumn>
    <tableColumn id="7" xr3:uid="{B77B5437-C116-D245-854D-8C0600F332EF}" name="6" totalsRowFunction="custom" dataDxfId="306" totalsRowDxfId="305">
      <totalsRowFormula>(COUNTIF(H8:H21,"C")+(COUNTIF(H8:H21,"CS")+COUNTIF(H8:H21,"RTT")+(COUNTIF(H8:H21,"DRTT")/2)+COUNTIF(H8:H21,"M")+COUNTIF(H8:H21,"Rec")+(COUNTIF(H8:H21,"Drec")/2)+COUNTIF(H8:H21,"F")+(COUNTIF(H8:H21,"EM")+(COUNTIF(H8:H21,"DEM")/2))))</totalsRowFormula>
    </tableColumn>
    <tableColumn id="8" xr3:uid="{468D1049-156B-C341-90D8-5768AB016798}" name="7" totalsRowFunction="custom" dataDxfId="304" totalsRowDxfId="303">
      <totalsRowFormula>(COUNTIF(I8:I21,"C")+(COUNTIF(I8:I21,"CS")+COUNTIF(I8:I21,"RTT")+(COUNTIF(I8:I21,"DRTT")/2)+COUNTIF(I8:I21,"M")+COUNTIF(I8:I21,"Rec")+(COUNTIF(I8:I21,"Drec")/2)+COUNTIF(I8:I21,"F")+(COUNTIF(I8:I21,"EM")+(COUNTIF(I8:I21,"DEM")/2))))</totalsRowFormula>
    </tableColumn>
    <tableColumn id="9" xr3:uid="{F423DCA3-59F1-0945-9EC9-40E72B1A919D}" name="8" totalsRowFunction="custom" dataDxfId="302" totalsRowDxfId="301">
      <totalsRowFormula>(COUNTIF(J8:J21,"C")+(COUNTIF(J8:J21,"CS")+COUNTIF(J8:J21,"RTT")+(COUNTIF(J8:J21,"DRTT")/2)+COUNTIF(J8:J21,"M")+COUNTIF(J8:J21,"Rec")+(COUNTIF(J8:J21,"Drec")/2)+COUNTIF(J8:J21,"F")+(COUNTIF(J8:J21,"EM")+(COUNTIF(J8:J21,"DEM")/2))))</totalsRowFormula>
    </tableColumn>
    <tableColumn id="10" xr3:uid="{0AF5A35B-5E2C-8949-A869-76FEAB045897}" name="9" totalsRowFunction="custom" dataDxfId="300" totalsRowDxfId="299">
      <totalsRowFormula>(COUNTIF(K8:K21,"C")+(COUNTIF(K8:K21,"CS")+COUNTIF(K8:K21,"RTT")+(COUNTIF(K8:K21,"DRTT")/2)+COUNTIF(K8:K21,"M")+COUNTIF(K8:K21,"Rec")+(COUNTIF(K8:K21,"Drec")/2)+COUNTIF(K8:K21,"F")+(COUNTIF(K8:K21,"EM")+(COUNTIF(K8:K21,"DEM")/2))))</totalsRowFormula>
    </tableColumn>
    <tableColumn id="11" xr3:uid="{79150F77-02AC-B644-9895-06DF3AE0393B}" name="10" totalsRowFunction="custom" dataDxfId="298" totalsRowDxfId="297">
      <totalsRowFormula>(COUNTIF(L8:L21,"C")+(COUNTIF(L8:L21,"CS")+COUNTIF(L8:L21,"RTT")+(COUNTIF(L8:L21,"DRTT")/2)+COUNTIF(L8:L21,"M")+COUNTIF(L8:L21,"Rec")+(COUNTIF(L8:L21,"Drec")/2)+COUNTIF(L8:L21,"F")+(COUNTIF(L8:L21,"EM")+(COUNTIF(L8:L21,"DEM")/2))))</totalsRowFormula>
    </tableColumn>
    <tableColumn id="12" xr3:uid="{5AF31E44-6EB7-6B4A-91CE-37020EA2ECD4}" name="11" totalsRowFunction="custom" dataDxfId="296" totalsRowDxfId="295">
      <totalsRowFormula>(COUNTIF(M8:M21,"C")+(COUNTIF(M8:M21,"CS")+COUNTIF(M8:M21,"RTT")+(COUNTIF(M8:M21,"DRTT")/2)+COUNTIF(M8:M21,"M")+COUNTIF(M8:M21,"Rec")+(COUNTIF(M8:M21,"Drec")/2)+COUNTIF(M8:M21,"F")+(COUNTIF(M8:M21,"EM")+(COUNTIF(M8:M21,"DEM")/2))))</totalsRowFormula>
    </tableColumn>
    <tableColumn id="13" xr3:uid="{713EC086-7F31-6F4A-8152-CA6E566E6899}" name="12" totalsRowFunction="custom" dataDxfId="294" totalsRowDxfId="293">
      <totalsRowFormula>(COUNTIF(N8:N21,"C")+(COUNTIF(N8:N21,"CS")+COUNTIF(N8:N21,"RTT")+(COUNTIF(N8:N21,"DRTT")/2)+COUNTIF(N8:N21,"M")+COUNTIF(N8:N21,"Rec")+(COUNTIF(N8:N21,"Drec")/2)+COUNTIF(N8:N21,"F")+(COUNTIF(N8:N21,"EM")+(COUNTIF(N8:N21,"DEM")/2))))</totalsRowFormula>
    </tableColumn>
    <tableColumn id="14" xr3:uid="{0F061BA7-78C1-BB41-8F1F-794CF92C61D0}" name="13" totalsRowFunction="custom" dataDxfId="292" totalsRowDxfId="291">
      <totalsRowFormula>(COUNTIF(O8:O21,"C")+(COUNTIF(O8:O21,"CS")+COUNTIF(O8:O21,"RTT")+(COUNTIF(O8:O21,"DRTT")/2)+COUNTIF(O8:O21,"M")+COUNTIF(O8:O21,"Rec")+(COUNTIF(O8:O21,"Drec")/2)+COUNTIF(O8:O21,"F")+(COUNTIF(O8:O21,"EM")+(COUNTIF(O8:O21,"DEM")/2))))</totalsRowFormula>
    </tableColumn>
    <tableColumn id="15" xr3:uid="{01B0419B-690E-5C4F-9B9B-F763703F6CF3}" name="14" totalsRowFunction="custom" dataDxfId="290" totalsRowDxfId="289">
      <totalsRowFormula>(COUNTIF(P8:P21,"C")+(COUNTIF(P8:P21,"CS")+COUNTIF(P8:P21,"RTT")+(COUNTIF(P8:P21,"DRTT")/2)+COUNTIF(P8:P21,"M")+COUNTIF(P8:P21,"Rec")+(COUNTIF(P8:P21,"Drec")/2)+COUNTIF(P8:P21,"F")+(COUNTIF(P8:P21,"EM")+(COUNTIF(P8:P21,"DEM")/2))))</totalsRowFormula>
    </tableColumn>
    <tableColumn id="16" xr3:uid="{7FAFBDE6-1311-A543-959D-8ED6B0BEDFBF}" name="15" totalsRowFunction="custom" dataDxfId="288" totalsRowDxfId="287">
      <totalsRowFormula>(COUNTIF(Q8:Q21,"C")+(COUNTIF(Q8:Q21,"CS")+COUNTIF(Q8:Q21,"RTT")+(COUNTIF(Q8:Q21,"DRTT")/2)+COUNTIF(Q8:Q21,"M")+COUNTIF(Q8:Q21,"Rec")+(COUNTIF(Q8:Q21,"Drec")/2)+COUNTIF(Q8:Q21,"F")+(COUNTIF(Q8:Q21,"EM")+(COUNTIF(Q8:Q21,"DEM")/2))))</totalsRowFormula>
    </tableColumn>
    <tableColumn id="17" xr3:uid="{B23E18A9-6979-1941-924A-0BB911A8FEE2}" name="16" totalsRowFunction="custom" dataDxfId="286" totalsRowDxfId="285">
      <totalsRowFormula>(COUNTIF(R8:R21,"C")+(COUNTIF(R8:R21,"CS")+COUNTIF(R8:R21,"RTT")+(COUNTIF(R8:R21,"DRTT")/2)+COUNTIF(R8:R21,"M")+COUNTIF(R8:R21,"Rec")+(COUNTIF(R8:R21,"Drec")/2)+COUNTIF(R8:R21,"F")+(COUNTIF(R8:R21,"EM")+(COUNTIF(R8:R21,"DEM")/2))))</totalsRowFormula>
    </tableColumn>
    <tableColumn id="18" xr3:uid="{E2857EF3-F764-4A4F-BFCC-A91E2E673CC8}" name="17" totalsRowFunction="custom" dataDxfId="284" totalsRowDxfId="283">
      <totalsRowFormula>(COUNTIF(S8:S21,"C")+(COUNTIF(S8:S21,"CS")+COUNTIF(S8:S21,"RTT")+(COUNTIF(S8:S21,"DRTT")/2)+COUNTIF(S8:S21,"M")+COUNTIF(S8:S21,"Rec")+(COUNTIF(S8:S21,"Drec")/2)+COUNTIF(S8:S21,"F")+(COUNTIF(S8:S21,"EM")+(COUNTIF(S8:S21,"DEM")/2))))</totalsRowFormula>
    </tableColumn>
    <tableColumn id="19" xr3:uid="{A18D6C71-2EF4-8742-9F38-B65FF91E0240}" name="18" totalsRowFunction="custom" dataDxfId="282" totalsRowDxfId="281">
      <totalsRowFormula>(COUNTIF(T8:T21,"C")+(COUNTIF(T8:T21,"CS")+COUNTIF(T8:T21,"RTT")+(COUNTIF(T8:T21,"DRTT")/2)+COUNTIF(T8:T21,"M")+COUNTIF(T8:T21,"Rec")+(COUNTIF(T8:T21,"Drec")/2)+COUNTIF(T8:T21,"F")+(COUNTIF(T8:T21,"EM")+(COUNTIF(T8:T21,"DEM")/2))))</totalsRowFormula>
    </tableColumn>
    <tableColumn id="20" xr3:uid="{2D547765-69B2-B546-99FE-0A47ABB306D9}" name="19" totalsRowFunction="custom" dataDxfId="280" totalsRowDxfId="279">
      <totalsRowFormula>(COUNTIF(U8:U21,"C")+(COUNTIF(U8:U21,"CS")+COUNTIF(U8:U21,"RTT")+(COUNTIF(U8:U21,"DRTT")/2)+COUNTIF(U8:U21,"M")+COUNTIF(U8:U21,"Rec")+(COUNTIF(U8:U21,"Drec")/2)+COUNTIF(U8:U21,"F")+(COUNTIF(U8:U21,"EM")+(COUNTIF(U8:U21,"DEM")/2))))</totalsRowFormula>
    </tableColumn>
    <tableColumn id="21" xr3:uid="{9C332ECD-094E-6142-85BB-DFC4C7BED71A}" name="20" totalsRowFunction="custom" dataDxfId="278" totalsRowDxfId="277">
      <totalsRowFormula>(COUNTIF(V8:V21,"C")+(COUNTIF(V8:V21,"CS")+COUNTIF(V8:V21,"RTT")+(COUNTIF(V8:V21,"DRTT")/2)+COUNTIF(V8:V21,"M")+COUNTIF(V8:V21,"Rec")+(COUNTIF(V8:V21,"Drec")/2)+COUNTIF(V8:V21,"F")+(COUNTIF(V8:V21,"EM")+(COUNTIF(V8:V21,"DEM")/2))))</totalsRowFormula>
    </tableColumn>
    <tableColumn id="22" xr3:uid="{D51A1738-1748-F245-A686-2A5B9C8AD798}" name="21" totalsRowFunction="custom" dataDxfId="276" totalsRowDxfId="275">
      <totalsRowFormula>(COUNTIF(W8:W21,"C")+(COUNTIF(W8:W21,"CS")+COUNTIF(W8:W21,"RTT")+(COUNTIF(W8:W21,"DRTT")/2)+COUNTIF(W8:W21,"M")+COUNTIF(W8:W21,"Rec")+(COUNTIF(W8:W21,"Drec")/2)+COUNTIF(W8:W21,"F")+(COUNTIF(W8:W21,"EM")+(COUNTIF(W8:W21,"DEM")/2))))</totalsRowFormula>
    </tableColumn>
    <tableColumn id="23" xr3:uid="{85850D77-6B6B-E24F-B248-17BDD9FC01E0}" name="22" totalsRowFunction="custom" dataDxfId="274" totalsRowDxfId="273">
      <totalsRowFormula>(COUNTIF(X8:X21,"C")+(COUNTIF(X8:X21,"CS")+COUNTIF(X8:X21,"RTT")+(COUNTIF(X8:X21,"DRTT")/2)+COUNTIF(X8:X21,"M")+COUNTIF(X8:X21,"Rec")+(COUNTIF(X8:X21,"Drec")/2)+COUNTIF(X8:X21,"F")+(COUNTIF(X8:X21,"EM")+(COUNTIF(X8:X21,"DEM")/2))))</totalsRowFormula>
    </tableColumn>
    <tableColumn id="24" xr3:uid="{253969AE-2A5C-7642-959B-64B1878D30EE}" name="23" totalsRowFunction="custom" dataDxfId="272" totalsRowDxfId="271">
      <totalsRowFormula>(COUNTIF(Y8:Y21,"C")+(COUNTIF(Y8:Y21,"CS")+COUNTIF(Y8:Y21,"RTT")+(COUNTIF(Y8:Y21,"DRTT")/2)+COUNTIF(Y8:Y21,"M")+COUNTIF(Y8:Y21,"Rec")+(COUNTIF(Y8:Y21,"Drec")/2)+COUNTIF(Y8:Y21,"F")+(COUNTIF(Y8:Y21,"EM")+(COUNTIF(Y8:Y21,"DEM")/2))))</totalsRowFormula>
    </tableColumn>
    <tableColumn id="25" xr3:uid="{9035E3A0-67E3-7745-BA31-89837246E589}" name="24" totalsRowFunction="custom" dataDxfId="270" totalsRowDxfId="269">
      <totalsRowFormula>(COUNTIF(Z8:Z21,"C")+(COUNTIF(Z8:Z21,"CS")+COUNTIF(Z8:Z21,"RTT")+(COUNTIF(Z8:Z21,"DRTT")/2)+COUNTIF(Z8:Z21,"M")+COUNTIF(Z8:Z21,"Rec")+(COUNTIF(Z8:Z21,"Drec")/2)+COUNTIF(Z8:Z21,"F")+(COUNTIF(Z8:Z21,"EM")+(COUNTIF(Z8:Z21,"DEM")/2))))</totalsRowFormula>
    </tableColumn>
    <tableColumn id="26" xr3:uid="{86C57BA3-1467-5647-9006-F48A9B60F5DA}" name="25" totalsRowFunction="custom" dataDxfId="268" totalsRowDxfId="267">
      <totalsRowFormula>(COUNTIF(AA8:AA21,"C")+(COUNTIF(AA8:AA21,"CS")+COUNTIF(AA8:AA21,"RTT")+(COUNTIF(AA8:AA21,"DRTT")/2)+COUNTIF(AA8:AA21,"M")+COUNTIF(AA8:AA21,"Rec")+(COUNTIF(AA8:AA21,"Drec")/2)+COUNTIF(AA8:AA21,"F")+(COUNTIF(AA8:AA21,"EM")+(COUNTIF(AA8:AA21,"DEM")/2))))</totalsRowFormula>
    </tableColumn>
    <tableColumn id="27" xr3:uid="{5ED74122-915E-B14E-8851-20997BF19E3F}" name="26" totalsRowFunction="custom" dataDxfId="266" totalsRowDxfId="265">
      <totalsRowFormula>(COUNTIF(AB8:AB21,"C")+(COUNTIF(AB8:AB21,"CS")+COUNTIF(AB8:AB21,"RTT")+(COUNTIF(AB8:AB21,"DRTT")/2)+COUNTIF(AB8:AB21,"M")+COUNTIF(AB8:AB21,"Rec")+(COUNTIF(AB8:AB21,"Drec")/2)+COUNTIF(AB8:AB21,"F")+(COUNTIF(AB8:AB21,"EM")+(COUNTIF(AB8:AB21,"DEM")/2))))</totalsRowFormula>
    </tableColumn>
    <tableColumn id="28" xr3:uid="{C96FF169-EB3D-334E-8E50-A3A207183E77}" name="27" totalsRowFunction="custom" dataDxfId="264" totalsRowDxfId="263">
      <totalsRowFormula>(COUNTIF(AC8:AC21,"C")+(COUNTIF(AC8:AC21,"CS")+COUNTIF(AC8:AC21,"RTT")+(COUNTIF(AC8:AC21,"DRTT")/2)+COUNTIF(AC8:AC21,"M")+COUNTIF(AC8:AC21,"Rec")+(COUNTIF(AC8:AC21,"Drec")/2)+COUNTIF(AC8:AC21,"F")+(COUNTIF(AC8:AC21,"EM")+(COUNTIF(AC8:AC21,"DEM")/2))))</totalsRowFormula>
    </tableColumn>
    <tableColumn id="29" xr3:uid="{DF27EE4C-04BE-4548-B871-12F441B706B7}" name="28" totalsRowFunction="custom" dataDxfId="262" totalsRowDxfId="261">
      <totalsRowFormula>(COUNTIF(AD8:AD21,"C")+(COUNTIF(AD8:AD21,"CS")+COUNTIF(AD8:AD21,"RTT")+(COUNTIF(AD8:AD21,"DRTT")/2)+COUNTIF(AD8:AD21,"M")+COUNTIF(AD8:AD21,"Rec")+(COUNTIF(AD8:AD21,"Drec")/2)+COUNTIF(AD8:AD21,"F")+(COUNTIF(AD8:AD21,"EM")+(COUNTIF(AD8:AD21,"DEM")/2))))</totalsRowFormula>
    </tableColumn>
    <tableColumn id="30" xr3:uid="{419421EA-4206-F446-AFA7-3E3831AAD962}" name="29" totalsRowFunction="custom" dataDxfId="260" totalsRowDxfId="259">
      <totalsRowFormula>(COUNTIF(AE8:AE21,"C")+(COUNTIF(AE8:AE21,"CS")+COUNTIF(AE8:AE21,"RTT")+(COUNTIF(AE8:AE21,"DRTT")/2)+COUNTIF(AE8:AE21,"M")+COUNTIF(AE8:AE21,"Rec")+(COUNTIF(AE8:AE21,"Drec")/2)+COUNTIF(AE8:AE21,"F")+(COUNTIF(AE8:AE21,"EM")+(COUNTIF(AE8:AE21,"DEM")/2))))</totalsRowFormula>
    </tableColumn>
    <tableColumn id="31" xr3:uid="{BC68C66D-CC14-E741-AA68-1084E12A1572}" name="30" totalsRowFunction="custom" dataDxfId="258" totalsRowDxfId="257">
      <totalsRowFormula>(COUNTIF(AF8:AF21,"C")+(COUNTIF(AF8:AF21,"CS")+COUNTIF(AF8:AF21,"RTT")+(COUNTIF(AF8:AF21,"DRTT")/2)+COUNTIF(AF8:AF21,"M")+COUNTIF(AF8:AF21,"Rec")+(COUNTIF(AF8:AF21,"Drec")/2)+COUNTIF(AF8:AF21,"F")+(COUNTIF(AF8:AF21,"EM")+(COUNTIF(AF8:AF21,"DEM")/2))))</totalsRowFormula>
    </tableColumn>
    <tableColumn id="32" xr3:uid="{FA6EA7DF-2522-D042-8FA1-E14926ADC358}" name="31" totalsRowFunction="custom" dataDxfId="256" totalsRowDxfId="255">
      <totalsRowFormula>(COUNTIF(AG8:AG21,"C")+(COUNTIF(AG8:AG21,"CS")+COUNTIF(AG8:AG21,"RTT")+(COUNTIF(AG8:AG21,"DRTT")/2)+COUNTIF(AG8:AG21,"M")+COUNTIF(AG8:AG21,"Rec")+(COUNTIF(AG8:AG21,"Drec")/2)+COUNTIF(AG8:AG21,"F")+(COUNTIF(AG8:AG21,"EM")+(COUNTIF(AG8:AG21,"DEM")/2))))</totalsRowFormula>
    </tableColumn>
    <tableColumn id="33" xr3:uid="{4DC122E4-5CF9-F846-B26B-880D0A3CE6A5}" name="Total absence" totalsRowFunction="sum" dataDxfId="254" totalsRowDxfId="253" dataCellStyle="Total">
      <calculatedColumnFormula>(COUNTIF(C8:AG8,"C")+(COUNTIF(C8:AG8,"EM")+COUNTIF(C8:AG8,"RTT")+COUNTIF(C8:AG8,"M")+COUNTIF(C8:AG8,"Rec")+COUNTIF(C8:AG8,"F")+COUNTIF(C8:AG8,"TT"-1)+COUNTIF(C8:AG8,"CS")+COUNTIF(C8:AG8,"PE"-1)+COUNTIF(C8:AG8,"DRTT")/2)+COUNTIF(C8:AG8,"DREC")/2)+COUNTIF(C8:AG8,"DEM")/2</calculatedColumnFormula>
    </tableColumn>
    <tableColumn id="34" xr3:uid="{283E8AE8-4A34-E742-AD40-E33370680750}" name="Dont RTT" totalsRowFunction="sum" dataDxfId="252" totalsRowDxfId="251" dataCellStyle="Total">
      <calculatedColumnFormula>COUNTIF(C8:AG8,"RTT")+COUNTIF(C8:AG8,"DRTT")/2</calculatedColumnFormula>
    </tableColumn>
    <tableColumn id="36" xr3:uid="{7124FA95-F5D9-DE4A-AFCC-FF68B22650BF}" name="Dont MALADIE" totalsRowFunction="sum" dataDxfId="250" totalsRowDxfId="249" dataCellStyle="Total"/>
    <tableColumn id="35" xr3:uid="{F9DA2C02-EF91-414D-9FDD-64982F1DBB5A}" name="Solde RTT disponible au 01/11/2021" totalsRowDxfId="248">
      <calculatedColumnFormula>Mars!AK8-Mai[[#This Row],[Dont RTT]]+2</calculatedColumnFormula>
    </tableColumn>
    <tableColumn id="37" xr3:uid="{9A53B619-1D3D-0945-AFC7-52D0C25D7B14}" name="Commentaires" totalsRowDxfId="247"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535FEEC-350F-E448-910B-ED2859B14273}" name="Novembre" displayName="Novembre" ref="B7:AL22" totalsRowCount="1" headerRowDxfId="204" totalsRowDxfId="203">
  <tableColumns count="37">
    <tableColumn id="1" xr3:uid="{47AE9E53-8A5C-FC49-9C2D-F6A48E665610}" name="Nom de l’employé" totalsRowFunction="custom" dataDxfId="202" totalsRowDxfId="201" dataCellStyle="Employé">
      <totalsRowFormula>NomMois&amp;" Total"</totalsRowFormula>
    </tableColumn>
    <tableColumn id="2" xr3:uid="{BC4818C5-9E0B-9041-90F1-A79BBC54701C}" name="1" totalsRowFunction="custom" dataDxfId="200" totalsRowDxfId="199">
      <totalsRowFormula>(COUNTIF(C8:C21,"C")+(COUNTIF(C8:C21,"CS")+COUNTIF(C8:C21,"RTT")+(COUNTIF(C8:C21,"DRTT")/2)+COUNTIF(C8:C21,"M")+COUNTIF(C8:C21,"Rec")+(COUNTIF(C8:C21,"Drec")/2)+COUNTIF(C8:C21,"F")+(COUNTIF(C8:C21,"EM")+(COUNTIF(C8:C21,"DEM")/2))))</totalsRowFormula>
    </tableColumn>
    <tableColumn id="3" xr3:uid="{196B6891-A74C-B748-AC2F-5665914717F0}" name="2" totalsRowFunction="custom" dataDxfId="198" totalsRowDxfId="197">
      <totalsRowFormula>(COUNTIF(D8:D21,"C")+(COUNTIF(D8:D21,"CS")+COUNTIF(D8:D21,"RTT")+(COUNTIF(D8:D21,"DRTT")/2)+COUNTIF(D8:D21,"M")+COUNTIF(D8:D21,"Rec")+(COUNTIF(D8:D21,"Drec")/2)+COUNTIF(D8:D21,"F")+(COUNTIF(D8:D21,"EM")+(COUNTIF(D8:D21,"DEM")/2))))</totalsRowFormula>
    </tableColumn>
    <tableColumn id="4" xr3:uid="{30986085-4A0F-ED47-A9E8-5DBC18D13D17}" name="3" totalsRowFunction="custom" dataDxfId="196" totalsRowDxfId="195">
      <totalsRowFormula>(COUNTIF(E8:E21,"C")+(COUNTIF(E8:E21,"CS")+COUNTIF(E8:E21,"RTT")+(COUNTIF(E8:E21,"DRTT")/2)+COUNTIF(E8:E21,"M")+COUNTIF(E8:E21,"Rec")+(COUNTIF(E8:E21,"Drec")/2)+COUNTIF(E8:E21,"F")+(COUNTIF(E8:E21,"EM")+(COUNTIF(E8:E21,"DEM")/2))))</totalsRowFormula>
    </tableColumn>
    <tableColumn id="5" xr3:uid="{DDCCD7DC-6FBF-FE4D-9924-D699B8867F34}" name="4" totalsRowFunction="custom" dataDxfId="194" totalsRowDxfId="193">
      <totalsRowFormula>(COUNTIF(F8:F21,"C")+(COUNTIF(F8:F21,"CS")+COUNTIF(F8:F21,"RTT")+(COUNTIF(F8:F21,"DRTT")/2)+COUNTIF(F8:F21,"M")+COUNTIF(F8:F21,"Rec")+(COUNTIF(F8:F21,"Drec")/2)+COUNTIF(F8:F21,"F")+(COUNTIF(F8:F21,"EM")+(COUNTIF(F8:F21,"DEM")/2))))</totalsRowFormula>
    </tableColumn>
    <tableColumn id="6" xr3:uid="{B749F70D-DF46-A746-9D76-453F1DFAE559}" name="5" totalsRowFunction="custom" dataDxfId="192" totalsRowDxfId="191">
      <totalsRowFormula>(COUNTIF(G8:G21,"C")+(COUNTIF(G8:G21,"CS")+COUNTIF(G8:G21,"RTT")+(COUNTIF(G8:G21,"DRTT")/2)+COUNTIF(G8:G21,"M")+COUNTIF(G8:G21,"Rec")+(COUNTIF(G8:G21,"Drec")/2)+COUNTIF(G8:G21,"F")+(COUNTIF(G8:G21,"EM")+(COUNTIF(G8:G21,"DEM")/2))))</totalsRowFormula>
    </tableColumn>
    <tableColumn id="7" xr3:uid="{58EAD834-831A-7148-BFD3-2343544116E0}" name="6" totalsRowFunction="custom" dataDxfId="190" totalsRowDxfId="189">
      <totalsRowFormula>(COUNTIF(H8:H21,"C")+(COUNTIF(H8:H21,"CS")+COUNTIF(H8:H21,"RTT")+(COUNTIF(H8:H21,"DRTT")/2)+COUNTIF(H8:H21,"M")+COUNTIF(H8:H21,"Rec")+(COUNTIF(H8:H21,"Drec")/2)+COUNTIF(H8:H21,"F")+(COUNTIF(H8:H21,"EM")+(COUNTIF(H8:H21,"DEM")/2))))</totalsRowFormula>
    </tableColumn>
    <tableColumn id="8" xr3:uid="{FE4626BA-515D-2747-A601-FD4E54776A48}" name="7" totalsRowFunction="custom" dataDxfId="188" totalsRowDxfId="187">
      <totalsRowFormula>(COUNTIF(I8:I21,"C")+(COUNTIF(I8:I21,"CS")+COUNTIF(I8:I21,"RTT")+(COUNTIF(I8:I21,"DRTT")/2)+COUNTIF(I8:I21,"M")+COUNTIF(I8:I21,"Rec")+(COUNTIF(I8:I21,"Drec")/2)+COUNTIF(I8:I21,"F")+(COUNTIF(I8:I21,"EM")+(COUNTIF(I8:I21,"DEM")/2))))</totalsRowFormula>
    </tableColumn>
    <tableColumn id="9" xr3:uid="{81973152-BF09-B44A-BD8A-A9BF0DB32EFF}" name="8" totalsRowFunction="custom" dataDxfId="186" totalsRowDxfId="185">
      <totalsRowFormula>(COUNTIF(J8:J21,"C")+(COUNTIF(J8:J21,"CS")+COUNTIF(J8:J21,"RTT")+(COUNTIF(J8:J21,"DRTT")/2)+COUNTIF(J8:J21,"M")+COUNTIF(J8:J21,"Rec")+(COUNTIF(J8:J21,"Drec")/2)+COUNTIF(J8:J21,"F")+(COUNTIF(J8:J21,"EM")+(COUNTIF(J8:J21,"DEM")/2))))</totalsRowFormula>
    </tableColumn>
    <tableColumn id="10" xr3:uid="{C2574D8D-67A9-EB4E-8387-21387E45F2AB}" name="9" totalsRowFunction="custom" dataDxfId="184" totalsRowDxfId="183">
      <totalsRowFormula>(COUNTIF(K8:K21,"C")+(COUNTIF(K8:K21,"CS")+COUNTIF(K8:K21,"RTT")+(COUNTIF(K8:K21,"DRTT")/2)+COUNTIF(K8:K21,"M")+COUNTIF(K8:K21,"Rec")+(COUNTIF(K8:K21,"Drec")/2)+COUNTIF(K8:K21,"F")+(COUNTIF(K8:K21,"EM")+(COUNTIF(K8:K21,"DEM")/2))))</totalsRowFormula>
    </tableColumn>
    <tableColumn id="11" xr3:uid="{55D76CCF-5075-4D48-A9C7-19C1C9F9BF0B}" name="10" totalsRowFunction="custom" dataDxfId="182" totalsRowDxfId="181">
      <totalsRowFormula>(COUNTIF(L8:L21,"C")+(COUNTIF(L8:L21,"CS")+COUNTIF(L8:L21,"RTT")+(COUNTIF(L8:L21,"DRTT")/2)+COUNTIF(L8:L21,"M")+COUNTIF(L8:L21,"Rec")+(COUNTIF(L8:L21,"Drec")/2)+COUNTIF(L8:L21,"F")+(COUNTIF(L8:L21,"EM")+(COUNTIF(L8:L21,"DEM")/2))))</totalsRowFormula>
    </tableColumn>
    <tableColumn id="12" xr3:uid="{ECFBB34D-0E3F-B646-A55B-2529A5C291DD}" name="11" totalsRowFunction="custom" dataDxfId="180" totalsRowDxfId="179">
      <totalsRowFormula>(COUNTIF(M8:M21,"C")+(COUNTIF(M8:M21,"CS")+COUNTIF(M8:M21,"RTT")+(COUNTIF(M8:M21,"DRTT")/2)+COUNTIF(M8:M21,"M")+COUNTIF(M8:M21,"Rec")+(COUNTIF(M8:M21,"Drec")/2)+COUNTIF(M8:M21,"F")+(COUNTIF(M8:M21,"EM")+(COUNTIF(M8:M21,"DEM")/2))))</totalsRowFormula>
    </tableColumn>
    <tableColumn id="13" xr3:uid="{616DF16E-9A0F-DF41-B8CB-2874EB39F220}" name="12" totalsRowFunction="custom" dataDxfId="178" totalsRowDxfId="177">
      <totalsRowFormula>(COUNTIF(N8:N21,"C")+(COUNTIF(N8:N21,"CS")+COUNTIF(N8:N21,"RTT")+(COUNTIF(N8:N21,"DRTT")/2)+COUNTIF(N8:N21,"M")+COUNTIF(N8:N21,"Rec")+(COUNTIF(N8:N21,"Drec")/2)+COUNTIF(N8:N21,"F")+(COUNTIF(N8:N21,"EM")+(COUNTIF(N8:N21,"DEM")/2))))</totalsRowFormula>
    </tableColumn>
    <tableColumn id="14" xr3:uid="{961ACE5F-28F1-2F4F-BF04-9E8EAAA0E876}" name="13" totalsRowFunction="custom" dataDxfId="176" totalsRowDxfId="175">
      <totalsRowFormula>(COUNTIF(O8:O21,"C")+(COUNTIF(O8:O21,"CS")+COUNTIF(O8:O21,"RTT")+(COUNTIF(O8:O21,"DRTT")/2)+COUNTIF(O8:O21,"M")+COUNTIF(O8:O21,"Rec")+(COUNTIF(O8:O21,"Drec")/2)+COUNTIF(O8:O21,"F")+(COUNTIF(O8:O21,"EM")+(COUNTIF(O8:O21,"DEM")/2))))</totalsRowFormula>
    </tableColumn>
    <tableColumn id="15" xr3:uid="{41C4349A-1959-604A-A7C4-9F6CBEDBF293}" name="14" totalsRowFunction="custom" dataDxfId="174" totalsRowDxfId="173">
      <totalsRowFormula>(COUNTIF(P8:P21,"C")+(COUNTIF(P8:P21,"CS")+COUNTIF(P8:P21,"RTT")+(COUNTIF(P8:P21,"DRTT")/2)+COUNTIF(P8:P21,"M")+COUNTIF(P8:P21,"Rec")+(COUNTIF(P8:P21,"Drec")/2)+COUNTIF(P8:P21,"F")+(COUNTIF(P8:P21,"EM")+(COUNTIF(P8:P21,"DEM")/2))))</totalsRowFormula>
    </tableColumn>
    <tableColumn id="16" xr3:uid="{9BBEC06D-5D97-D24E-B3F3-29FCEDC118E9}" name="15" totalsRowFunction="custom" dataDxfId="172" totalsRowDxfId="171">
      <totalsRowFormula>(COUNTIF(Q8:Q21,"C")+(COUNTIF(Q8:Q21,"CS")+COUNTIF(Q8:Q21,"RTT")+(COUNTIF(Q8:Q21,"DRTT")/2)+COUNTIF(Q8:Q21,"M")+COUNTIF(Q8:Q21,"Rec")+(COUNTIF(Q8:Q21,"Drec")/2)+COUNTIF(Q8:Q21,"F")+(COUNTIF(Q8:Q21,"EM")+(COUNTIF(Q8:Q21,"DEM")/2))))</totalsRowFormula>
    </tableColumn>
    <tableColumn id="17" xr3:uid="{B2472A9D-3067-AF49-B3F8-3371871D9158}" name="16" totalsRowFunction="custom" dataDxfId="170" totalsRowDxfId="169">
      <totalsRowFormula>(COUNTIF(R8:R21,"C")+(COUNTIF(R8:R21,"CS")+COUNTIF(R8:R21,"RTT")+(COUNTIF(R8:R21,"DRTT")/2)+COUNTIF(R8:R21,"M")+COUNTIF(R8:R21,"Rec")+(COUNTIF(R8:R21,"Drec")/2)+COUNTIF(R8:R21,"F")+(COUNTIF(R8:R21,"EM")+(COUNTIF(R8:R21,"DEM")/2))))</totalsRowFormula>
    </tableColumn>
    <tableColumn id="18" xr3:uid="{4F4AA044-2B79-984C-8B82-34B44C9740FB}" name="17" totalsRowFunction="custom" dataDxfId="168" totalsRowDxfId="167">
      <totalsRowFormula>(COUNTIF(S8:S21,"C")+(COUNTIF(S8:S21,"CS")+COUNTIF(S8:S21,"RTT")+(COUNTIF(S8:S21,"DRTT")/2)+COUNTIF(S8:S21,"M")+COUNTIF(S8:S21,"Rec")+(COUNTIF(S8:S21,"Drec")/2)+COUNTIF(S8:S21,"F")+(COUNTIF(S8:S21,"EM")+(COUNTIF(S8:S21,"DEM")/2))))</totalsRowFormula>
    </tableColumn>
    <tableColumn id="19" xr3:uid="{531A2C31-5B11-D242-B28D-5FE900276CC4}" name="18" totalsRowFunction="custom" dataDxfId="166" totalsRowDxfId="165">
      <totalsRowFormula>(COUNTIF(T8:T21,"C")+(COUNTIF(T8:T21,"CS")+COUNTIF(T8:T21,"RTT")+(COUNTIF(T8:T21,"DRTT")/2)+COUNTIF(T8:T21,"M")+COUNTIF(T8:T21,"Rec")+(COUNTIF(T8:T21,"Drec")/2)+COUNTIF(T8:T21,"F")+(COUNTIF(T8:T21,"EM")+(COUNTIF(T8:T21,"DEM")/2))))</totalsRowFormula>
    </tableColumn>
    <tableColumn id="20" xr3:uid="{5D6EE488-2C02-8B44-BF33-2B62EE0F7800}" name="19" totalsRowFunction="custom" dataDxfId="164" totalsRowDxfId="163">
      <totalsRowFormula>(COUNTIF(U8:U21,"C")+(COUNTIF(U8:U21,"CS")+COUNTIF(U8:U21,"RTT")+(COUNTIF(U8:U21,"DRTT")/2)+COUNTIF(U8:U21,"M")+COUNTIF(U8:U21,"Rec")+(COUNTIF(U8:U21,"Drec")/2)+COUNTIF(U8:U21,"F")+(COUNTIF(U8:U21,"EM")+(COUNTIF(U8:U21,"DEM")/2))))</totalsRowFormula>
    </tableColumn>
    <tableColumn id="21" xr3:uid="{69FA8B3B-0D71-9B41-87BA-5C714B7EBF7B}" name="20" totalsRowFunction="custom" dataDxfId="162" totalsRowDxfId="161">
      <totalsRowFormula>(COUNTIF(V8:V21,"C")+(COUNTIF(V8:V21,"CS")+COUNTIF(V8:V21,"RTT")+(COUNTIF(V8:V21,"DRTT")/2)+COUNTIF(V8:V21,"M")+COUNTIF(V8:V21,"Rec")+(COUNTIF(V8:V21,"Drec")/2)+COUNTIF(V8:V21,"F")+(COUNTIF(V8:V21,"EM")+(COUNTIF(V8:V21,"DEM")/2))))</totalsRowFormula>
    </tableColumn>
    <tableColumn id="22" xr3:uid="{83F1AE5E-92D1-D941-AAF7-8B4252D38AE6}" name="21" totalsRowFunction="custom" dataDxfId="160" totalsRowDxfId="159">
      <totalsRowFormula>(COUNTIF(W8:W21,"C")+(COUNTIF(W8:W21,"CS")+COUNTIF(W8:W21,"RTT")+(COUNTIF(W8:W21,"DRTT")/2)+COUNTIF(W8:W21,"M")+COUNTIF(W8:W21,"Rec")+(COUNTIF(W8:W21,"Drec")/2)+COUNTIF(W8:W21,"F")+(COUNTIF(W8:W21,"EM")+(COUNTIF(W8:W21,"DEM")/2))))</totalsRowFormula>
    </tableColumn>
    <tableColumn id="23" xr3:uid="{D053C945-6B92-9645-90DE-4BBC75C95EA9}" name="22" totalsRowFunction="custom" dataDxfId="158" totalsRowDxfId="157">
      <totalsRowFormula>(COUNTIF(X8:X21,"C")+(COUNTIF(X8:X21,"CS")+COUNTIF(X8:X21,"RTT")+(COUNTIF(X8:X21,"DRTT")/2)+COUNTIF(X8:X21,"M")+COUNTIF(X8:X21,"Rec")+(COUNTIF(X8:X21,"Drec")/2)+COUNTIF(X8:X21,"F")+(COUNTIF(X8:X21,"EM")+(COUNTIF(X8:X21,"DEM")/2))))</totalsRowFormula>
    </tableColumn>
    <tableColumn id="24" xr3:uid="{F32FBD8D-07B7-E944-BCF7-52AE4CBAD3A7}" name="23" totalsRowFunction="custom" dataDxfId="156" totalsRowDxfId="155">
      <totalsRowFormula>(COUNTIF(Y8:Y21,"C")+(COUNTIF(Y8:Y21,"CS")+COUNTIF(Y8:Y21,"RTT")+(COUNTIF(Y8:Y21,"DRTT")/2)+COUNTIF(Y8:Y21,"M")+COUNTIF(Y8:Y21,"Rec")+(COUNTIF(Y8:Y21,"Drec")/2)+COUNTIF(Y8:Y21,"F")+(COUNTIF(Y8:Y21,"EM")+(COUNTIF(Y8:Y21,"DEM")/2))))</totalsRowFormula>
    </tableColumn>
    <tableColumn id="25" xr3:uid="{E2DE7ADB-57F2-354B-979E-BDFFEA11DAC4}" name="24" totalsRowFunction="custom" dataDxfId="154" totalsRowDxfId="153">
      <totalsRowFormula>(COUNTIF(Z8:Z21,"C")+(COUNTIF(Z8:Z21,"CS")+COUNTIF(Z8:Z21,"RTT")+(COUNTIF(Z8:Z21,"DRTT")/2)+COUNTIF(Z8:Z21,"M")+COUNTIF(Z8:Z21,"Rec")+(COUNTIF(Z8:Z21,"Drec")/2)+COUNTIF(Z8:Z21,"F")+(COUNTIF(Z8:Z21,"EM")+(COUNTIF(Z8:Z21,"DEM")/2))))</totalsRowFormula>
    </tableColumn>
    <tableColumn id="26" xr3:uid="{AB494624-99DC-8840-9C80-3564E8DCC1EF}" name="25" totalsRowFunction="custom" dataDxfId="152" totalsRowDxfId="151">
      <totalsRowFormula>(COUNTIF(AA8:AA21,"C")+(COUNTIF(AA8:AA21,"CS")+COUNTIF(AA8:AA21,"RTT")+(COUNTIF(AA8:AA21,"DRTT")/2)+COUNTIF(AA8:AA21,"M")+COUNTIF(AA8:AA21,"Rec")+(COUNTIF(AA8:AA21,"Drec")/2)+COUNTIF(AA8:AA21,"F")+(COUNTIF(AA8:AA21,"EM")+(COUNTIF(AA8:AA21,"DEM")/2))))</totalsRowFormula>
    </tableColumn>
    <tableColumn id="27" xr3:uid="{06598672-F09E-8B4B-91E8-1B16F9071D3D}" name="26" totalsRowFunction="custom" dataDxfId="150" totalsRowDxfId="149">
      <totalsRowFormula>(COUNTIF(AB8:AB21,"C")+(COUNTIF(AB8:AB21,"CS")+COUNTIF(AB8:AB21,"RTT")+(COUNTIF(AB8:AB21,"DRTT")/2)+COUNTIF(AB8:AB21,"M")+COUNTIF(AB8:AB21,"Rec")+(COUNTIF(AB8:AB21,"Drec")/2)+COUNTIF(AB8:AB21,"F")+(COUNTIF(AB8:AB21,"EM")+(COUNTIF(AB8:AB21,"DEM")/2))))</totalsRowFormula>
    </tableColumn>
    <tableColumn id="28" xr3:uid="{1CFE22C2-DC84-1B4C-AD41-8F32785D412E}" name="27" totalsRowFunction="custom" dataDxfId="148" totalsRowDxfId="147">
      <totalsRowFormula>(COUNTIF(AC8:AC21,"C")+(COUNTIF(AC8:AC21,"CS")+COUNTIF(AC8:AC21,"RTT")+(COUNTIF(AC8:AC21,"DRTT")/2)+COUNTIF(AC8:AC21,"M")+COUNTIF(AC8:AC21,"Rec")+(COUNTIF(AC8:AC21,"Drec")/2)+COUNTIF(AC8:AC21,"F")+(COUNTIF(AC8:AC21,"EM")+(COUNTIF(AC8:AC21,"DEM")/2))))</totalsRowFormula>
    </tableColumn>
    <tableColumn id="29" xr3:uid="{0045D311-3EA1-F149-9FF4-93879A92A8BC}" name="28" totalsRowFunction="custom" dataDxfId="146" totalsRowDxfId="145">
      <totalsRowFormula>(COUNTIF(AD8:AD21,"C")+(COUNTIF(AD8:AD21,"CS")+COUNTIF(AD8:AD21,"RTT")+(COUNTIF(AD8:AD21,"DRTT")/2)+COUNTIF(AD8:AD21,"M")+COUNTIF(AD8:AD21,"Rec")+(COUNTIF(AD8:AD21,"Drec")/2)+COUNTIF(AD8:AD21,"F")+(COUNTIF(AD8:AD21,"EM")+(COUNTIF(AD8:AD21,"DEM")/2))))</totalsRowFormula>
    </tableColumn>
    <tableColumn id="30" xr3:uid="{5E7664A3-2777-D74D-BFC3-FB2A3C0EC9C1}" name="29" totalsRowFunction="custom" dataDxfId="144" totalsRowDxfId="143">
      <totalsRowFormula>(COUNTIF(AE8:AE21,"C")+(COUNTIF(AE8:AE21,"CS")+COUNTIF(AE8:AE21,"RTT")+(COUNTIF(AE8:AE21,"DRTT")/2)+COUNTIF(AE8:AE21,"M")+COUNTIF(AE8:AE21,"Rec")+(COUNTIF(AE8:AE21,"Drec")/2)+COUNTIF(AE8:AE21,"F")+(COUNTIF(AE8:AE21,"EM")+(COUNTIF(AE8:AE21,"DEM")/2))))</totalsRowFormula>
    </tableColumn>
    <tableColumn id="31" xr3:uid="{661665A7-BE02-504E-8F59-058029B3DDBC}" name="30" totalsRowFunction="custom" dataDxfId="142" totalsRowDxfId="141">
      <totalsRowFormula>(COUNTIF(AF8:AF21,"C")+(COUNTIF(AF8:AF21,"CS")+COUNTIF(AF8:AF21,"RTT")+(COUNTIF(AF8:AF21,"DRTT")/2)+COUNTIF(AF8:AF21,"M")+COUNTIF(AF8:AF21,"Rec")+(COUNTIF(AF8:AF21,"Drec")/2)+COUNTIF(AF8:AF21,"F")+(COUNTIF(AF8:AF21,"EM")+(COUNTIF(AF8:AF21,"DEM")/2))))</totalsRowFormula>
    </tableColumn>
    <tableColumn id="32" xr3:uid="{4F5BE129-811B-5D4E-8439-C12A724CD71E}" name=" " totalsRowFunction="custom" dataDxfId="140" totalsRowDxfId="139">
      <totalsRowFormula>(COUNTIF(AG8:AG21,"C")+(COUNTIF(AG8:AG21,"CS")+COUNTIF(AG8:AG21,"RTT")+(COUNTIF(AG8:AG21,"DRTT")/2)+COUNTIF(AG8:AG21,"M")+COUNTIF(AG8:AG21,"Rec")+(COUNTIF(AG8:AG21,"Drec")/2)+COUNTIF(AG8:AG21,"F")+(COUNTIF(AG8:AG21,"EM")+(COUNTIF(AG8:AG21,"DEM")/2))))</totalsRowFormula>
    </tableColumn>
    <tableColumn id="33" xr3:uid="{27F51899-2998-144A-979E-BBE0699BC0DC}" name="Total absence" totalsRowFunction="sum" dataDxfId="138" totalsRowDxfId="137" dataCellStyle="Total">
      <calculatedColumnFormula>(COUNTIF(C8:AG8,"C")+(COUNTIF(C8:AG8,"EM")+COUNTIF(C8:AG8,"RTT")+COUNTIF(C8:AG8,"M")+COUNTIF(C8:AG8,"Rec")+COUNTIF(C8:AG8,"F")+COUNTIF(C8:AG8,"TT"-1)+COUNTIF(C8:AG8,"CS")+COUNTIF(C8:AG8,"PE"-1)+COUNTIF(C8:AG8,"DRTT")/2)+COUNTIF(C8:AG8,"DREC")/2)+COUNTIF(C8:AG8,"DEM")/2</calculatedColumnFormula>
    </tableColumn>
    <tableColumn id="34" xr3:uid="{5DBB9C7C-2DD9-CC45-A039-2B299FDBFB5C}" name="Dont RTT" totalsRowFunction="sum" dataDxfId="136" totalsRowDxfId="135" dataCellStyle="Total">
      <calculatedColumnFormula>COUNTIF(C8:AG8,"RTT")+COUNTIF(C8:AG8,"DRTT")/2</calculatedColumnFormula>
    </tableColumn>
    <tableColumn id="36" xr3:uid="{028B61D9-7236-AC45-AA78-CC5260EE9AB4}" name="Dont MALADIE" totalsRowFunction="sum" dataDxfId="134" totalsRowDxfId="133" dataCellStyle="Total"/>
    <tableColumn id="35" xr3:uid="{559D8BAD-3D58-7C4A-94C0-E348A75B9110}" name="Solde RTT disponible au 01/12/2021" dataDxfId="132" totalsRowDxfId="131">
      <calculatedColumnFormula>Mars!AK8-Mai[[#This Row],[Dont RTT]]+2</calculatedColumnFormula>
    </tableColumn>
    <tableColumn id="37" xr3:uid="{AD2321E8-EAAB-DD48-966D-66B7D1EE01E2}" name="Commentaires" totalsRowDxfId="13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67DC8AC-EE4B-F247-9458-E54D9FC35DA8}" name="Décembre" displayName="Décembre" ref="B7:AL22" totalsRowCount="1" headerRowDxfId="87" dataDxfId="86" totalsRowDxfId="85" dataCellStyle="Total">
  <tableColumns count="37">
    <tableColumn id="1" xr3:uid="{4600A43C-3BC7-804C-8032-48BDD1A7E121}" name="Nom de l’employé" totalsRowFunction="custom" dataDxfId="84" totalsRowDxfId="83" dataCellStyle="Employé">
      <totalsRowFormula>NomMois&amp;" Total"</totalsRowFormula>
    </tableColumn>
    <tableColumn id="2" xr3:uid="{38FA8196-CB01-5E48-B58D-2B9F4004A044}" name="1" totalsRowFunction="custom" dataDxfId="82" totalsRowDxfId="81">
      <totalsRowFormula>(COUNTIF(C8:C21,"C")+(COUNTIF(C8:C21,"CS")+COUNTIF(C8:C21,"RTT")+(COUNTIF(C8:C21,"DRTT")/2)+COUNTIF(C8:C21,"M")+COUNTIF(C8:C21,"Rec")+(COUNTIF(C8:C21,"Drec")/2)+COUNTIF(C8:C21,"F")+(COUNTIF(C8:C21,"EM")+(COUNTIF(C8:C21,"DEM")/2))))</totalsRowFormula>
    </tableColumn>
    <tableColumn id="3" xr3:uid="{C7EEA301-5275-134E-AFC1-1FFACBCD05C1}" name="2" totalsRowFunction="custom" dataDxfId="80" totalsRowDxfId="79">
      <totalsRowFormula>(COUNTIF(D8:D21,"C")+(COUNTIF(D8:D21,"CS")+COUNTIF(D8:D21,"RTT")+(COUNTIF(D8:D21,"DRTT")/2)+COUNTIF(D8:D21,"M")+COUNTIF(D8:D21,"Rec")+(COUNTIF(D8:D21,"Drec")/2)+COUNTIF(D8:D21,"F")+(COUNTIF(D8:D21,"EM")+(COUNTIF(D8:D21,"DEM")/2))))</totalsRowFormula>
    </tableColumn>
    <tableColumn id="4" xr3:uid="{B976883C-612F-A543-9A0E-D4ABE11DDDC1}" name="3" totalsRowFunction="custom" dataDxfId="78" totalsRowDxfId="77">
      <totalsRowFormula>(COUNTIF(E8:E21,"C")+(COUNTIF(E8:E21,"CS")+COUNTIF(E8:E21,"RTT")+(COUNTIF(E8:E21,"DRTT")/2)+COUNTIF(E8:E21,"M")+COUNTIF(E8:E21,"Rec")+(COUNTIF(E8:E21,"Drec")/2)+COUNTIF(E8:E21,"F")+(COUNTIF(E8:E21,"EM")+(COUNTIF(E8:E21,"DEM")/2))))</totalsRowFormula>
    </tableColumn>
    <tableColumn id="5" xr3:uid="{55C7AAD5-DAA5-6D44-90F0-BBC9DBC4BC87}" name="4" totalsRowFunction="custom" dataDxfId="76" totalsRowDxfId="75">
      <totalsRowFormula>(COUNTIF(F8:F21,"C")+(COUNTIF(F8:F21,"CS")+COUNTIF(F8:F21,"RTT")+(COUNTIF(F8:F21,"DRTT")/2)+COUNTIF(F8:F21,"M")+COUNTIF(F8:F21,"Rec")+(COUNTIF(F8:F21,"Drec")/2)+COUNTIF(F8:F21,"F")+(COUNTIF(F8:F21,"EM")+(COUNTIF(F8:F21,"DEM")/2))))</totalsRowFormula>
    </tableColumn>
    <tableColumn id="6" xr3:uid="{C029D226-E8D8-7F43-9051-0BF76A847BC5}" name="5" totalsRowFunction="custom" dataDxfId="74" totalsRowDxfId="73">
      <totalsRowFormula>(COUNTIF(G8:G21,"C")+(COUNTIF(G8:G21,"CS")+COUNTIF(G8:G21,"RTT")+(COUNTIF(G8:G21,"DRTT")/2)+COUNTIF(G8:G21,"M")+COUNTIF(G8:G21,"Rec")+(COUNTIF(G8:G21,"Drec")/2)+COUNTIF(G8:G21,"F")+(COUNTIF(G8:G21,"EM")+(COUNTIF(G8:G21,"DEM")/2))))</totalsRowFormula>
    </tableColumn>
    <tableColumn id="7" xr3:uid="{CEC5CA6D-54B0-944E-92B2-22EF03CFA049}" name="6" totalsRowFunction="custom" dataDxfId="72" totalsRowDxfId="71">
      <totalsRowFormula>(COUNTIF(H8:H21,"C")+(COUNTIF(H8:H21,"CS")+COUNTIF(H8:H21,"RTT")+(COUNTIF(H8:H21,"DRTT")/2)+COUNTIF(H8:H21,"M")+COUNTIF(H8:H21,"Rec")+(COUNTIF(H8:H21,"Drec")/2)+COUNTIF(H8:H21,"F")+(COUNTIF(H8:H21,"EM")+(COUNTIF(H8:H21,"DEM")/2))))</totalsRowFormula>
    </tableColumn>
    <tableColumn id="8" xr3:uid="{36D9ACB1-E3FD-D442-AC51-146D6A09B5AE}" name="7" totalsRowFunction="custom" dataDxfId="70" totalsRowDxfId="69">
      <totalsRowFormula>(COUNTIF(I8:I21,"C")+(COUNTIF(I8:I21,"CS")+COUNTIF(I8:I21,"RTT")+(COUNTIF(I8:I21,"DRTT")/2)+COUNTIF(I8:I21,"M")+COUNTIF(I8:I21,"Rec")+(COUNTIF(I8:I21,"Drec")/2)+COUNTIF(I8:I21,"F")+(COUNTIF(I8:I21,"EM")+(COUNTIF(I8:I21,"DEM")/2))))</totalsRowFormula>
    </tableColumn>
    <tableColumn id="9" xr3:uid="{F14CD676-A70C-5F41-8725-38B94E269764}" name="8" totalsRowFunction="custom" dataDxfId="68" totalsRowDxfId="67">
      <totalsRowFormula>(COUNTIF(J8:J21,"C")+(COUNTIF(J8:J21,"CS")+COUNTIF(J8:J21,"RTT")+(COUNTIF(J8:J21,"DRTT")/2)+COUNTIF(J8:J21,"M")+COUNTIF(J8:J21,"Rec")+(COUNTIF(J8:J21,"Drec")/2)+COUNTIF(J8:J21,"F")+(COUNTIF(J8:J21,"EM")+(COUNTIF(J8:J21,"DEM")/2))))</totalsRowFormula>
    </tableColumn>
    <tableColumn id="10" xr3:uid="{61DDB561-505A-9546-83D4-B17F8B358AF0}" name="9" totalsRowFunction="custom" dataDxfId="66" totalsRowDxfId="65">
      <totalsRowFormula>(COUNTIF(K8:K21,"C")+(COUNTIF(K8:K21,"CS")+COUNTIF(K8:K21,"RTT")+(COUNTIF(K8:K21,"DRTT")/2)+COUNTIF(K8:K21,"M")+COUNTIF(K8:K21,"Rec")+(COUNTIF(K8:K21,"Drec")/2)+COUNTIF(K8:K21,"F")+(COUNTIF(K8:K21,"EM")+(COUNTIF(K8:K21,"DEM")/2))))</totalsRowFormula>
    </tableColumn>
    <tableColumn id="11" xr3:uid="{57120CBC-EA3F-F64B-93E4-4E1DED70C331}" name="10" totalsRowFunction="custom" dataDxfId="64" totalsRowDxfId="63">
      <totalsRowFormula>(COUNTIF(L8:L21,"C")+(COUNTIF(L8:L21,"CS")+COUNTIF(L8:L21,"RTT")+(COUNTIF(L8:L21,"DRTT")/2)+COUNTIF(L8:L21,"M")+COUNTIF(L8:L21,"Rec")+(COUNTIF(L8:L21,"Drec")/2)+COUNTIF(L8:L21,"F")+(COUNTIF(L8:L21,"EM")+(COUNTIF(L8:L21,"DEM")/2))))</totalsRowFormula>
    </tableColumn>
    <tableColumn id="12" xr3:uid="{A509FA6B-675A-A843-BCE8-A123694078FD}" name="11" totalsRowFunction="custom" dataDxfId="62" totalsRowDxfId="61">
      <totalsRowFormula>(COUNTIF(M8:M21,"C")+(COUNTIF(M8:M21,"CS")+COUNTIF(M8:M21,"RTT")+(COUNTIF(M8:M21,"DRTT")/2)+COUNTIF(M8:M21,"M")+COUNTIF(M8:M21,"Rec")+(COUNTIF(M8:M21,"Drec")/2)+COUNTIF(M8:M21,"F")+(COUNTIF(M8:M21,"EM")+(COUNTIF(M8:M21,"DEM")/2))))</totalsRowFormula>
    </tableColumn>
    <tableColumn id="13" xr3:uid="{ACA09D42-B26B-A248-89B5-74B25AC0A8B0}" name="12" totalsRowFunction="custom" dataDxfId="60" totalsRowDxfId="59">
      <totalsRowFormula>(COUNTIF(N8:N21,"C")+(COUNTIF(N8:N21,"CS")+COUNTIF(N8:N21,"RTT")+(COUNTIF(N8:N21,"DRTT")/2)+COUNTIF(N8:N21,"M")+COUNTIF(N8:N21,"Rec")+(COUNTIF(N8:N21,"Drec")/2)+COUNTIF(N8:N21,"F")+(COUNTIF(N8:N21,"EM")+(COUNTIF(N8:N21,"DEM")/2))))</totalsRowFormula>
    </tableColumn>
    <tableColumn id="14" xr3:uid="{250087D8-8FD1-9D4A-89C4-9450B4D058D3}" name="13" totalsRowFunction="custom" dataDxfId="58" totalsRowDxfId="57">
      <totalsRowFormula>(COUNTIF(O8:O21,"C")+(COUNTIF(O8:O21,"CS")+COUNTIF(O8:O21,"RTT")+(COUNTIF(O8:O21,"DRTT")/2)+COUNTIF(O8:O21,"M")+COUNTIF(O8:O21,"Rec")+(COUNTIF(O8:O21,"Drec")/2)+COUNTIF(O8:O21,"F")+(COUNTIF(O8:O21,"EM")+(COUNTIF(O8:O21,"DEM")/2))))</totalsRowFormula>
    </tableColumn>
    <tableColumn id="15" xr3:uid="{F8F2F2E0-2DBB-C143-95B3-EF3AA27D39C1}" name="14" totalsRowFunction="custom" dataDxfId="56" totalsRowDxfId="55">
      <totalsRowFormula>(COUNTIF(P8:P21,"C")+(COUNTIF(P8:P21,"CS")+COUNTIF(P8:P21,"RTT")+(COUNTIF(P8:P21,"DRTT")/2)+COUNTIF(P8:P21,"M")+COUNTIF(P8:P21,"Rec")+(COUNTIF(P8:P21,"Drec")/2)+COUNTIF(P8:P21,"F")+(COUNTIF(P8:P21,"EM")+(COUNTIF(P8:P21,"DEM")/2))))</totalsRowFormula>
    </tableColumn>
    <tableColumn id="16" xr3:uid="{CB20F08E-9208-A34C-9792-8716C949E124}" name="15" totalsRowFunction="custom" dataDxfId="54" totalsRowDxfId="53">
      <totalsRowFormula>(COUNTIF(Q8:Q21,"C")+(COUNTIF(Q8:Q21,"CS")+COUNTIF(Q8:Q21,"RTT")+(COUNTIF(Q8:Q21,"DRTT")/2)+COUNTIF(Q8:Q21,"M")+COUNTIF(Q8:Q21,"Rec")+(COUNTIF(Q8:Q21,"Drec")/2)+COUNTIF(Q8:Q21,"F")+(COUNTIF(Q8:Q21,"EM")+(COUNTIF(Q8:Q21,"DEM")/2))))</totalsRowFormula>
    </tableColumn>
    <tableColumn id="17" xr3:uid="{B9F1459A-A249-9349-93CB-2BB33F0ACB65}" name="16" totalsRowFunction="custom" dataDxfId="52" totalsRowDxfId="51">
      <totalsRowFormula>(COUNTIF(R8:R21,"C")+(COUNTIF(R8:R21,"CS")+COUNTIF(R8:R21,"RTT")+(COUNTIF(R8:R21,"DRTT")/2)+COUNTIF(R8:R21,"M")+COUNTIF(R8:R21,"Rec")+(COUNTIF(R8:R21,"Drec")/2)+COUNTIF(R8:R21,"F")+(COUNTIF(R8:R21,"EM")+(COUNTIF(R8:R21,"DEM")/2))))</totalsRowFormula>
    </tableColumn>
    <tableColumn id="18" xr3:uid="{F2EDA756-4433-844B-B82B-45B959CAC1A5}" name="17" totalsRowFunction="custom" dataDxfId="50" totalsRowDxfId="49">
      <totalsRowFormula>(COUNTIF(S8:S21,"C")+(COUNTIF(S8:S21,"CS")+COUNTIF(S8:S21,"RTT")+(COUNTIF(S8:S21,"DRTT")/2)+COUNTIF(S8:S21,"M")+COUNTIF(S8:S21,"Rec")+(COUNTIF(S8:S21,"Drec")/2)+COUNTIF(S8:S21,"F")+(COUNTIF(S8:S21,"EM")+(COUNTIF(S8:S21,"DEM")/2))))</totalsRowFormula>
    </tableColumn>
    <tableColumn id="19" xr3:uid="{6982FA9C-70C4-5541-955C-5FCC9165A7A0}" name="18" totalsRowFunction="custom" dataDxfId="48" totalsRowDxfId="47">
      <totalsRowFormula>(COUNTIF(T8:T21,"C")+(COUNTIF(T8:T21,"CS")+COUNTIF(T8:T21,"RTT")+(COUNTIF(T8:T21,"DRTT")/2)+COUNTIF(T8:T21,"M")+COUNTIF(T8:T21,"Rec")+(COUNTIF(T8:T21,"Drec")/2)+COUNTIF(T8:T21,"F")+(COUNTIF(T8:T21,"EM")+(COUNTIF(T8:T21,"DEM")/2))))</totalsRowFormula>
    </tableColumn>
    <tableColumn id="20" xr3:uid="{0A63E19D-CCE5-194E-B2A1-D17D871E0DCE}" name="19" totalsRowFunction="custom" dataDxfId="46" totalsRowDxfId="45">
      <totalsRowFormula>(COUNTIF(U8:U21,"C")+(COUNTIF(U8:U21,"CS")+COUNTIF(U8:U21,"RTT")+(COUNTIF(U8:U21,"DRTT")/2)+COUNTIF(U8:U21,"M")+COUNTIF(U8:U21,"Rec")+(COUNTIF(U8:U21,"Drec")/2)+COUNTIF(U8:U21,"F")+(COUNTIF(U8:U21,"EM")+(COUNTIF(U8:U21,"DEM")/2))))</totalsRowFormula>
    </tableColumn>
    <tableColumn id="21" xr3:uid="{0D7C3840-2590-5C40-8516-09C7853E5C54}" name="20" totalsRowFunction="custom" dataDxfId="44" totalsRowDxfId="43">
      <totalsRowFormula>(COUNTIF(V8:V21,"C")+(COUNTIF(V8:V21,"CS")+COUNTIF(V8:V21,"RTT")+(COUNTIF(V8:V21,"DRTT")/2)+COUNTIF(V8:V21,"M")+COUNTIF(V8:V21,"Rec")+(COUNTIF(V8:V21,"Drec")/2)+COUNTIF(V8:V21,"F")+(COUNTIF(V8:V21,"EM")+(COUNTIF(V8:V21,"DEM")/2))))</totalsRowFormula>
    </tableColumn>
    <tableColumn id="22" xr3:uid="{A1C959B5-E2E5-6845-9192-CE3BD7147CC7}" name="21" totalsRowFunction="custom" dataDxfId="42" totalsRowDxfId="41">
      <totalsRowFormula>(COUNTIF(W8:W21,"C")+(COUNTIF(W8:W21,"CS")+COUNTIF(W8:W21,"RTT")+(COUNTIF(W8:W21,"DRTT")/2)+COUNTIF(W8:W21,"M")+COUNTIF(W8:W21,"Rec")+(COUNTIF(W8:W21,"Drec")/2)+COUNTIF(W8:W21,"F")+(COUNTIF(W8:W21,"EM")+(COUNTIF(W8:W21,"DEM")/2))))</totalsRowFormula>
    </tableColumn>
    <tableColumn id="23" xr3:uid="{EAE34074-E4F4-1B49-808A-CA7607B908F5}" name="22" totalsRowFunction="custom" dataDxfId="40" totalsRowDxfId="39">
      <totalsRowFormula>(COUNTIF(X8:X21,"C")+(COUNTIF(X8:X21,"CS")+COUNTIF(X8:X21,"RTT")+(COUNTIF(X8:X21,"DRTT")/2)+COUNTIF(X8:X21,"M")+COUNTIF(X8:X21,"Rec")+(COUNTIF(X8:X21,"Drec")/2)+COUNTIF(X8:X21,"F")+(COUNTIF(X8:X21,"EM")+(COUNTIF(X8:X21,"DEM")/2))))</totalsRowFormula>
    </tableColumn>
    <tableColumn id="24" xr3:uid="{80AC6DDA-7986-904B-BF33-B5AF9612A445}" name="23" totalsRowFunction="custom" dataDxfId="38" totalsRowDxfId="37">
      <totalsRowFormula>(COUNTIF(Y8:Y21,"C")+(COUNTIF(Y8:Y21,"CS")+COUNTIF(Y8:Y21,"RTT")+(COUNTIF(Y8:Y21,"DRTT")/2)+COUNTIF(Y8:Y21,"M")+COUNTIF(Y8:Y21,"Rec")+(COUNTIF(Y8:Y21,"Drec")/2)+COUNTIF(Y8:Y21,"F")+(COUNTIF(Y8:Y21,"EM")+(COUNTIF(Y8:Y21,"DEM")/2))))</totalsRowFormula>
    </tableColumn>
    <tableColumn id="25" xr3:uid="{0ED7B2FB-1005-C64D-AA33-442CB4DF6618}" name="24" totalsRowFunction="custom" dataDxfId="36" totalsRowDxfId="35">
      <totalsRowFormula>(COUNTIF(Z8:Z21,"C")+(COUNTIF(Z8:Z21,"CS")+COUNTIF(Z8:Z21,"RTT")+(COUNTIF(Z8:Z21,"DRTT")/2)+COUNTIF(Z8:Z21,"M")+COUNTIF(Z8:Z21,"Rec")+(COUNTIF(Z8:Z21,"Drec")/2)+COUNTIF(Z8:Z21,"F")+(COUNTIF(Z8:Z21,"EM")+(COUNTIF(Z8:Z21,"DEM")/2))))</totalsRowFormula>
    </tableColumn>
    <tableColumn id="26" xr3:uid="{7E61EEE4-26EB-DE4F-A0DC-B4A47A638287}" name="25" totalsRowFunction="custom" dataDxfId="34" totalsRowDxfId="33">
      <totalsRowFormula>(COUNTIF(AA8:AA21,"C")+(COUNTIF(AA8:AA21,"CS")+COUNTIF(AA8:AA21,"RTT")+(COUNTIF(AA8:AA21,"DRTT")/2)+COUNTIF(AA8:AA21,"M")+COUNTIF(AA8:AA21,"Rec")+(COUNTIF(AA8:AA21,"Drec")/2)+COUNTIF(AA8:AA21,"F")+(COUNTIF(AA8:AA21,"EM")+(COUNTIF(AA8:AA21,"DEM")/2))))</totalsRowFormula>
    </tableColumn>
    <tableColumn id="27" xr3:uid="{217996A5-1568-3543-8552-F1D66B780DA1}" name="26" totalsRowFunction="custom" dataDxfId="32" totalsRowDxfId="31">
      <totalsRowFormula>(COUNTIF(AB8:AB21,"C")+(COUNTIF(AB8:AB21,"CS")+COUNTIF(AB8:AB21,"RTT")+(COUNTIF(AB8:AB21,"DRTT")/2)+COUNTIF(AB8:AB21,"M")+COUNTIF(AB8:AB21,"Rec")+(COUNTIF(AB8:AB21,"Drec")/2)+COUNTIF(AB8:AB21,"F")+(COUNTIF(AB8:AB21,"EM")+(COUNTIF(AB8:AB21,"DEM")/2))))</totalsRowFormula>
    </tableColumn>
    <tableColumn id="28" xr3:uid="{6881A46E-3F16-604E-8AB0-22E3EBDED15D}" name="27" totalsRowFunction="custom" dataDxfId="30" totalsRowDxfId="29">
      <totalsRowFormula>(COUNTIF(AC8:AC21,"C")+(COUNTIF(AC8:AC21,"CS")+COUNTIF(AC8:AC21,"RTT")+(COUNTIF(AC8:AC21,"DRTT")/2)+COUNTIF(AC8:AC21,"M")+COUNTIF(AC8:AC21,"Rec")+(COUNTIF(AC8:AC21,"Drec")/2)+COUNTIF(AC8:AC21,"F")+(COUNTIF(AC8:AC21,"EM")+(COUNTIF(AC8:AC21,"DEM")/2))))</totalsRowFormula>
    </tableColumn>
    <tableColumn id="29" xr3:uid="{26DB4E93-6BFB-EA49-AB25-ABBBA397E385}" name="28" totalsRowFunction="custom" dataDxfId="28" totalsRowDxfId="27">
      <totalsRowFormula>(COUNTIF(AD8:AD21,"C")+(COUNTIF(AD8:AD21,"CS")+COUNTIF(AD8:AD21,"RTT")+(COUNTIF(AD8:AD21,"DRTT")/2)+COUNTIF(AD8:AD21,"M")+COUNTIF(AD8:AD21,"Rec")+(COUNTIF(AD8:AD21,"Drec")/2)+COUNTIF(AD8:AD21,"F")+(COUNTIF(AD8:AD21,"EM")+(COUNTIF(AD8:AD21,"DEM")/2))))</totalsRowFormula>
    </tableColumn>
    <tableColumn id="30" xr3:uid="{1BA7B91D-D8CF-AE43-8ADF-210657478EF2}" name="29" totalsRowFunction="custom" dataDxfId="26" totalsRowDxfId="25">
      <totalsRowFormula>(COUNTIF(AE8:AE21,"C")+(COUNTIF(AE8:AE21,"CS")+COUNTIF(AE8:AE21,"RTT")+(COUNTIF(AE8:AE21,"DRTT")/2)+COUNTIF(AE8:AE21,"M")+COUNTIF(AE8:AE21,"Rec")+(COUNTIF(AE8:AE21,"Drec")/2)+COUNTIF(AE8:AE21,"F")+(COUNTIF(AE8:AE21,"EM")+(COUNTIF(AE8:AE21,"DEM")/2))))</totalsRowFormula>
    </tableColumn>
    <tableColumn id="31" xr3:uid="{CDFAD7D2-72BF-7341-9655-F807A7082165}" name="30" totalsRowFunction="custom" dataDxfId="24" totalsRowDxfId="23">
      <totalsRowFormula>(COUNTIF(AF8:AF21,"C")+(COUNTIF(AF8:AF21,"CS")+COUNTIF(AF8:AF21,"RTT")+(COUNTIF(AF8:AF21,"DRTT")/2)+COUNTIF(AF8:AF21,"M")+COUNTIF(AF8:AF21,"Rec")+(COUNTIF(AF8:AF21,"Drec")/2)+COUNTIF(AF8:AF21,"F")+(COUNTIF(AF8:AF21,"EM")+(COUNTIF(AF8:AF21,"DEM")/2))))</totalsRowFormula>
    </tableColumn>
    <tableColumn id="32" xr3:uid="{8D899F68-E1B3-7245-9035-1C51F47E1E66}" name="31" totalsRowFunction="custom" dataDxfId="22" totalsRowDxfId="21">
      <totalsRowFormula>(COUNTIF(AG8:AG21,"C")+(COUNTIF(AG8:AG21,"CS")+COUNTIF(AG8:AG21,"RTT")+(COUNTIF(AG8:AG21,"DRTT")/2)+COUNTIF(AG8:AG21,"M")+COUNTIF(AG8:AG21,"Rec")+(COUNTIF(AG8:AG21,"Drec")/2)+COUNTIF(AG8:AG21,"F")+(COUNTIF(AG8:AG21,"EM")+(COUNTIF(AG8:AG21,"DEM")/2))))</totalsRowFormula>
    </tableColumn>
    <tableColumn id="33" xr3:uid="{8A67251B-9C3C-084D-A72C-511D80EBC705}" name="Total absence" totalsRowFunction="sum" dataDxfId="20" totalsRowDxfId="19" dataCellStyle="Total">
      <calculatedColumnFormula>(COUNTIF(C8:AG8,"C")+(COUNTIF(C8:AG8,"EM")+COUNTIF(C8:AG8,"RTT")+COUNTIF(C8:AG8,"M")+COUNTIF(C8:AG8,"Rec")+COUNTIF(C8:AG8,"F")+COUNTIF(C8:AG8,"TT"-1)+COUNTIF(C8:AG8,"CS")+COUNTIF(C8:AG8,"PE"-1)+COUNTIF(C8:AG8,"DRTT")/2)+COUNTIF(C8:AG8,"DREC")/2)+COUNTIF(C8:AG8,"DEM")/2</calculatedColumnFormula>
    </tableColumn>
    <tableColumn id="34" xr3:uid="{DF0BAFB9-44A1-9341-9562-ACFE96D59546}" name="Dont RTT" totalsRowFunction="sum" dataDxfId="18" totalsRowDxfId="17" dataCellStyle="Total">
      <calculatedColumnFormula>COUNTIF(C8:AG8,"RTT")+COUNTIF(C8:AG8,"DRTT")/2</calculatedColumnFormula>
    </tableColumn>
    <tableColumn id="36" xr3:uid="{0B250DF6-8FFE-5D46-B122-8C5ECB9EED97}" name="Dont MALADIE" totalsRowFunction="sum" dataDxfId="16" totalsRowDxfId="15" dataCellStyle="Total"/>
    <tableColumn id="35" xr3:uid="{C8DC0C30-15F6-604E-AAB1-BA3C7FEB55CA}" name="Solde RTT disponible au 01/01/2022" dataDxfId="14" totalsRowDxfId="13">
      <calculatedColumnFormula>Mars!AK8-Mai[[#This Row],[Dont RTT]]+2</calculatedColumnFormula>
    </tableColumn>
    <tableColumn id="37" xr3:uid="{D088FF7B-F11B-CC4A-8C02-29721EBA6654}" name="Commentaires" dataDxfId="12" totalsRowDxfId="11"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Employé" displayName="NomEmployé" ref="B3:D7">
  <autoFilter ref="B3:D7" xr:uid="{00000000-0009-0000-0100-00000D000000}"/>
  <sortState ref="B4:B12">
    <sortCondition ref="B3:B12"/>
  </sortState>
  <tableColumns count="3">
    <tableColumn id="1" xr3:uid="{00000000-0010-0000-0C00-000001000000}" name="Noms des employés" totalsRowFunction="count" totalsRowDxfId="10" dataCellStyle="Employé"/>
    <tableColumn id="2" xr3:uid="{3F061EE8-4F4D-0F46-88CF-23D45ED7D2BB}" name="Solde rtt disponible au 1er janvier 2022" totalsRowDxfId="9" dataCellStyle="Employé"/>
    <tableColumn id="3" xr3:uid="{AFDA9075-FCA7-464B-B4C0-8D1125DC0C50}" name="Solde cp disponible au 1er janvier 2021" totalsRowDxfId="8"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530ECEA-5E74-1C4F-982D-1F90265A9A97}" name="Tableau1" displayName="Tableau1" ref="A4:B18" totalsRowShown="0">
  <autoFilter ref="A4:B18" xr:uid="{53211BAC-524C-DA40-BB07-1B9E9DD4C4F0}"/>
  <tableColumns count="2">
    <tableColumn id="1" xr3:uid="{61995EDA-B6ED-D647-B5DF-5F5566EC7461}" name="Motif"/>
    <tableColumn id="2" xr3:uid="{F9BCB8C5-81DF-7545-A4B0-1B3055C6B9D3}" name="Descriptif"/>
  </tableColumns>
  <tableStyleInfo name="Tableau des absences des employés" showFirstColumn="0" showLastColumn="0" showRowStripes="1" showColumnStripes="0"/>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89999084444715716"/>
  </sheetPr>
  <dimension ref="A1:AK19"/>
  <sheetViews>
    <sheetView showGridLines="0" tabSelected="1" zoomScale="110" zoomScaleNormal="110" workbookViewId="0">
      <selection activeCell="F12" sqref="F12"/>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33203125" style="4" customWidth="1"/>
    <col min="35" max="36" width="13.33203125" customWidth="1"/>
    <col min="37" max="37" width="19.33203125" customWidth="1"/>
  </cols>
  <sheetData>
    <row r="1" spans="1:37" ht="50" customHeight="1">
      <c r="A1" s="6"/>
      <c r="B1" s="5" t="s">
        <v>0</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c r="AD2" s="4" t="s">
        <v>118</v>
      </c>
      <c r="AE2" s="78" t="s">
        <v>120</v>
      </c>
      <c r="AF2" s="78"/>
      <c r="AG2" s="78"/>
      <c r="AH2" s="78"/>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c r="AD3" s="4" t="s">
        <v>117</v>
      </c>
      <c r="AE3" s="78" t="s">
        <v>119</v>
      </c>
      <c r="AF3" s="78"/>
      <c r="AG3" s="78"/>
      <c r="AH3" s="78"/>
    </row>
    <row r="4" spans="1:37" ht="15" customHeight="1">
      <c r="AK4" s="60" t="s">
        <v>40</v>
      </c>
    </row>
    <row r="5" spans="1:37" ht="30" customHeight="1">
      <c r="B5" s="21" t="s">
        <v>2</v>
      </c>
      <c r="C5" s="80"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2">
        <v>2021</v>
      </c>
    </row>
    <row r="6" spans="1:37" ht="15" customHeight="1">
      <c r="B6" s="15"/>
      <c r="C6" s="58" t="str">
        <f>TEXT(WEEKDAY(DATE(AnnéeCalendrier,1,1),1),"jjj")</f>
        <v>ven</v>
      </c>
      <c r="D6" s="58" t="str">
        <f>TEXT(WEEKDAY(DATE(AnnéeCalendrier,1,2),1),"jjj")</f>
        <v>sam</v>
      </c>
      <c r="E6" s="58" t="str">
        <f>TEXT(WEEKDAY(DATE(AnnéeCalendrier,1,3),1),"jjj")</f>
        <v>dim</v>
      </c>
      <c r="F6" s="58" t="str">
        <f>TEXT(WEEKDAY(DATE(AnnéeCalendrier,1,4),1),"jjj")</f>
        <v>lun</v>
      </c>
      <c r="G6" s="58" t="str">
        <f>TEXT(WEEKDAY(DATE(AnnéeCalendrier,1,5),1),"jjj")</f>
        <v>mar</v>
      </c>
      <c r="H6" s="58" t="str">
        <f>TEXT(WEEKDAY(DATE(AnnéeCalendrier,1,6),1),"jjj")</f>
        <v>mer</v>
      </c>
      <c r="I6" s="58" t="str">
        <f>TEXT(WEEKDAY(DATE(AnnéeCalendrier,1,7),1),"jjj")</f>
        <v>jeu</v>
      </c>
      <c r="J6" s="58" t="str">
        <f>TEXT(WEEKDAY(DATE(AnnéeCalendrier,1,8),1),"jjj")</f>
        <v>ven</v>
      </c>
      <c r="K6" s="58" t="str">
        <f>TEXT(WEEKDAY(DATE(AnnéeCalendrier,1,9),1),"jjj")</f>
        <v>sam</v>
      </c>
      <c r="L6" s="58" t="str">
        <f>TEXT(WEEKDAY(DATE(AnnéeCalendrier,1,10),1),"jjj")</f>
        <v>dim</v>
      </c>
      <c r="M6" s="58" t="str">
        <f>TEXT(WEEKDAY(DATE(AnnéeCalendrier,1,11),1),"jjj")</f>
        <v>lun</v>
      </c>
      <c r="N6" s="58" t="str">
        <f>TEXT(WEEKDAY(DATE(AnnéeCalendrier,1,12),1),"jjj")</f>
        <v>mar</v>
      </c>
      <c r="O6" s="58" t="str">
        <f>TEXT(WEEKDAY(DATE(AnnéeCalendrier,1,13),1),"jjj")</f>
        <v>mer</v>
      </c>
      <c r="P6" s="58" t="str">
        <f>TEXT(WEEKDAY(DATE(AnnéeCalendrier,1,14),1),"jjj")</f>
        <v>jeu</v>
      </c>
      <c r="Q6" s="58" t="str">
        <f>TEXT(WEEKDAY(DATE(AnnéeCalendrier,1,15),1),"jjj")</f>
        <v>ven</v>
      </c>
      <c r="R6" s="58" t="str">
        <f>TEXT(WEEKDAY(DATE(AnnéeCalendrier,1,16),1),"jjj")</f>
        <v>sam</v>
      </c>
      <c r="S6" s="58" t="str">
        <f>TEXT(WEEKDAY(DATE(AnnéeCalendrier,1,17),1),"jjj")</f>
        <v>dim</v>
      </c>
      <c r="T6" s="58" t="str">
        <f>TEXT(WEEKDAY(DATE(AnnéeCalendrier,1,18),1),"jjj")</f>
        <v>lun</v>
      </c>
      <c r="U6" s="58" t="str">
        <f>TEXT(WEEKDAY(DATE(AnnéeCalendrier,1,19),1),"jjj")</f>
        <v>mar</v>
      </c>
      <c r="V6" s="58" t="str">
        <f>TEXT(WEEKDAY(DATE(AnnéeCalendrier,1,20),1),"jjj")</f>
        <v>mer</v>
      </c>
      <c r="W6" s="58" t="str">
        <f>TEXT(WEEKDAY(DATE(AnnéeCalendrier,1,21),1),"jjj")</f>
        <v>jeu</v>
      </c>
      <c r="X6" s="58" t="str">
        <f>TEXT(WEEKDAY(DATE(AnnéeCalendrier,1,22),1),"jjj")</f>
        <v>ven</v>
      </c>
      <c r="Y6" s="58" t="str">
        <f>TEXT(WEEKDAY(DATE(AnnéeCalendrier,1,23),1),"jjj")</f>
        <v>sam</v>
      </c>
      <c r="Z6" s="58" t="str">
        <f>TEXT(WEEKDAY(DATE(AnnéeCalendrier,1,24),1),"jjj")</f>
        <v>dim</v>
      </c>
      <c r="AA6" s="58" t="str">
        <f>TEXT(WEEKDAY(DATE(AnnéeCalendrier,1,25),1),"jjj")</f>
        <v>lun</v>
      </c>
      <c r="AB6" s="58" t="str">
        <f>TEXT(WEEKDAY(DATE(AnnéeCalendrier,1,26),1),"jjj")</f>
        <v>mar</v>
      </c>
      <c r="AC6" s="58" t="str">
        <f>TEXT(WEEKDAY(DATE(AnnéeCalendrier,1,27),1),"jjj")</f>
        <v>mer</v>
      </c>
      <c r="AD6" s="58" t="str">
        <f>TEXT(WEEKDAY(DATE(AnnéeCalendrier,1,28),1),"jjj")</f>
        <v>jeu</v>
      </c>
      <c r="AE6" s="58" t="str">
        <f>TEXT(WEEKDAY(DATE(AnnéeCalendrier,1,29),1),"jjj")</f>
        <v>ven</v>
      </c>
      <c r="AF6" s="58" t="str">
        <f>TEXT(WEEKDAY(DATE(AnnéeCalendrier,1,30),1),"jjj")</f>
        <v>sam</v>
      </c>
      <c r="AG6" s="58" t="str">
        <f>TEXT(WEEKDAY(DATE(AnnéeCalendrier,1,31),1),"jjj")</f>
        <v>dim</v>
      </c>
      <c r="AH6" s="12"/>
      <c r="AI6" s="12"/>
      <c r="AJ6" s="12"/>
      <c r="AK6" s="12"/>
    </row>
    <row r="7" spans="1:37" ht="35" customHeight="1">
      <c r="B7" s="57"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52" t="s">
        <v>78</v>
      </c>
      <c r="AI7" s="27" t="s">
        <v>89</v>
      </c>
      <c r="AJ7" s="27" t="s">
        <v>109</v>
      </c>
      <c r="AK7" s="39" t="s">
        <v>75</v>
      </c>
    </row>
    <row r="8" spans="1:37" ht="30" customHeight="1">
      <c r="B8" s="10" t="s">
        <v>121</v>
      </c>
      <c r="C8" s="17"/>
      <c r="D8" s="17"/>
      <c r="E8" s="17"/>
      <c r="F8" s="17"/>
      <c r="G8" s="17"/>
      <c r="H8" s="17" t="s">
        <v>126</v>
      </c>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1</v>
      </c>
      <c r="AI8" s="33">
        <f>COUNTIF(C8:AG8,"RTT")+COUNTIF(C8:AG8,"DRTT")/2</f>
        <v>0</v>
      </c>
      <c r="AJ8" s="33">
        <f>COUNTIF(C8:AG8,"M")</f>
        <v>0</v>
      </c>
      <c r="AK8" s="24"/>
    </row>
    <row r="9" spans="1:37" ht="30" customHeight="1">
      <c r="B9" s="10" t="s">
        <v>122</v>
      </c>
      <c r="C9" s="17"/>
      <c r="D9" s="17"/>
      <c r="E9" s="17"/>
      <c r="F9" s="17" t="s">
        <v>125</v>
      </c>
      <c r="G9" s="17" t="s">
        <v>125</v>
      </c>
      <c r="H9" s="17" t="s">
        <v>126</v>
      </c>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3</v>
      </c>
      <c r="AI9" s="33">
        <f t="shared" ref="AI9:AI18" si="1">COUNTIF(C9:AG9,"RTT")+COUNTIF(C9:AG9,"DRTT")/2</f>
        <v>2</v>
      </c>
      <c r="AJ9" s="33">
        <f t="shared" ref="AJ9:AJ18" si="2">COUNTIF(C9:AG9,"M")</f>
        <v>0</v>
      </c>
      <c r="AK9" s="24">
        <f>5+2-Janvier[[#This Row],[Dont RTT]]</f>
        <v>5</v>
      </c>
    </row>
    <row r="10" spans="1:37" ht="30" customHeight="1">
      <c r="B10" s="10" t="s">
        <v>123</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 t="shared" si="2"/>
        <v>0</v>
      </c>
      <c r="AK10" s="24">
        <f>11+2-Janvier[[#This Row],[Dont RTT]]</f>
        <v>13</v>
      </c>
    </row>
    <row r="11" spans="1:37" ht="30" customHeight="1">
      <c r="B11" s="3" t="s">
        <v>124</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 t="shared" si="2"/>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si="2"/>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2.93+2-Janvier[[#This Row],[Dont RTT]]</f>
        <v>4.93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2.5+2-Janvier[[#This Row],[Dont RTT]]</f>
        <v>4.5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5.5+2-Janvier[[#This Row],[Dont RTT]]</f>
        <v>7.5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2.16+2-Janvier[[#This Row],[Dont RTT]]</f>
        <v>4.16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11+2-Janvier[[#This Row],[Dont RTT]]</f>
        <v>13</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2.5+2-Janvier[[#This Row],[Dont RTT]]</f>
        <v>4.5</v>
      </c>
    </row>
    <row r="19" spans="2:37" ht="30" customHeight="1">
      <c r="B19" s="30" t="str">
        <f>NomMois&amp;" Total"</f>
        <v>Janvier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1</v>
      </c>
      <c r="G19" s="35">
        <f t="shared" si="3"/>
        <v>1</v>
      </c>
      <c r="H19" s="35">
        <f t="shared" si="3"/>
        <v>2</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37">
        <f>SUBTOTAL(109,Janvier[Total absence])</f>
        <v>4</v>
      </c>
      <c r="AI19" s="37">
        <f>SUBTOTAL(109,Janvier[Dont RTT])</f>
        <v>2</v>
      </c>
      <c r="AJ19" s="37">
        <f>SUBTOTAL(109,Janvier[Dont MALADIE])</f>
        <v>0</v>
      </c>
      <c r="AK19" s="36"/>
    </row>
  </sheetData>
  <mergeCells count="17">
    <mergeCell ref="D2:E2"/>
    <mergeCell ref="AA2:AC2"/>
    <mergeCell ref="AA3:AC3"/>
    <mergeCell ref="C5:AG5"/>
    <mergeCell ref="G3:H3"/>
    <mergeCell ref="D3:E3"/>
    <mergeCell ref="J3:L3"/>
    <mergeCell ref="N3:O3"/>
    <mergeCell ref="Q3:R3"/>
    <mergeCell ref="T3:U3"/>
    <mergeCell ref="W3:Y3"/>
    <mergeCell ref="AE2:AH2"/>
    <mergeCell ref="AE3:AH3"/>
    <mergeCell ref="W2:Y2"/>
    <mergeCell ref="J2:L2"/>
    <mergeCell ref="G2:H2"/>
    <mergeCell ref="Q2:U2"/>
  </mergeCells>
  <conditionalFormatting sqref="C8:AG8 C10:AG18 I9:AG9">
    <cfRule type="expression" dxfId="1407" priority="16" stopIfTrue="1">
      <formula>C8=CléAbsenceJustifiée</formula>
    </cfRule>
    <cfRule type="expression" dxfId="1406" priority="38" stopIfTrue="1">
      <formula>C8=CléNonTravaillé</formula>
    </cfRule>
    <cfRule type="expression" dxfId="1405" priority="43" stopIfTrue="1">
      <formula>C8=CléPrésenceExceptionnelle</formula>
    </cfRule>
    <cfRule type="expression" dxfId="1404" priority="45" stopIfTrue="1">
      <formula>C8=CléCongéSpécial</formula>
    </cfRule>
    <cfRule type="expression" dxfId="1403" priority="48" stopIfTrue="1">
      <formula>C8=CléDemiRécupération</formula>
    </cfRule>
    <cfRule type="expression" dxfId="1402" priority="49" stopIfTrue="1">
      <formula>C8=CléDemiEnfantMalade</formula>
    </cfRule>
    <cfRule type="expression" dxfId="1401" priority="54" stopIfTrue="1">
      <formula>C8=CléEnfantMalade</formula>
    </cfRule>
    <cfRule type="expression" dxfId="1400" priority="56" stopIfTrue="1">
      <formula>C8=CléDemiRtt</formula>
    </cfRule>
    <cfRule type="expression" priority="59" stopIfTrue="1">
      <formula>C8=""</formula>
    </cfRule>
    <cfRule type="expression" dxfId="1399" priority="60" stopIfTrue="1">
      <formula>C8=CléCongéMalade</formula>
    </cfRule>
    <cfRule type="expression" dxfId="1398" priority="65" stopIfTrue="1">
      <formula>C8=CléCongé</formula>
    </cfRule>
    <cfRule type="expression" dxfId="1397" priority="71" stopIfTrue="1">
      <formula>C8=CléRécupération</formula>
    </cfRule>
    <cfRule type="expression" dxfId="1396" priority="72" stopIfTrue="1">
      <formula>C8=CléFormation</formula>
    </cfRule>
    <cfRule type="expression" dxfId="1395" priority="73" stopIfTrue="1">
      <formula>C8=CléRTT</formula>
    </cfRule>
    <cfRule type="expression" dxfId="1394" priority="74" stopIfTrue="1">
      <formula>C8=CléTélétravail</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{06B0B54B-3B45-C645-843F-C0B723C8AC12}</x14:id>
        </ext>
      </extLst>
    </cfRule>
  </conditionalFormatting>
  <conditionalFormatting sqref="AL3:XFD3 A3:D3 A1:XFD1 A2 F2:G3 M3:N3 Q3 S3:T3 V2:W3 I2:J3 A7:AH7 AK7:XFD7 AI2:XFD2 A6:AJ6 AL6:XFD6 A4:AG5 AI4:XFD5">
    <cfRule type="containsText" dxfId="1393" priority="55" stopIfTrue="1" operator="containsText" text="dim">
      <formula>NOT(ISERROR(SEARCH("dim",A1)))</formula>
    </cfRule>
  </conditionalFormatting>
  <conditionalFormatting sqref="V2:W2">
    <cfRule type="containsText" dxfId="1392" priority="53" stopIfTrue="1" operator="containsText" text="dim">
      <formula>NOT(ISERROR(SEARCH("dim",V2)))</formula>
    </cfRule>
  </conditionalFormatting>
  <conditionalFormatting sqref="AH8:AH18">
    <cfRule type="dataBar" priority="36">
      <dataBar>
        <cfvo type="num" val="0"/>
        <cfvo type="num" val="31"/>
        <color rgb="FF00B0F0"/>
      </dataBar>
      <extLst>
        <ext xmlns:x14="http://schemas.microsoft.com/office/spreadsheetml/2009/9/main" uri="{B025F937-C7B1-47D3-B67F-A62EFF666E3E}">
          <x14:id>{22EEE165-6413-544B-B435-0A9B8805D7ED}</x14:id>
        </ext>
      </extLst>
    </cfRule>
    <cfRule type="containsText" dxfId="1391" priority="41" stopIfTrue="1" operator="containsText" text="dim">
      <formula>NOT(ISERROR(SEARCH("dim",AH8)))</formula>
    </cfRule>
  </conditionalFormatting>
  <conditionalFormatting sqref="AA2">
    <cfRule type="containsText" dxfId="1390" priority="40" stopIfTrue="1" operator="containsText" text="dim">
      <formula>NOT(ISERROR(SEARCH("dim",AA2)))</formula>
    </cfRule>
  </conditionalFormatting>
  <conditionalFormatting sqref="AA2">
    <cfRule type="containsText" dxfId="1389" priority="39" stopIfTrue="1" operator="containsText" text="dim">
      <formula>NOT(ISERROR(SEARCH("dim",AA2)))</formula>
    </cfRule>
  </conditionalFormatting>
  <conditionalFormatting sqref="AI8:AI18">
    <cfRule type="dataBar" priority="37">
      <dataBar>
        <cfvo type="num" val="0"/>
        <cfvo type="num" val="31"/>
        <color rgb="FF92D050"/>
      </dataBar>
      <extLst>
        <ext xmlns:x14="http://schemas.microsoft.com/office/spreadsheetml/2009/9/main" uri="{B025F937-C7B1-47D3-B67F-A62EFF666E3E}">
          <x14:id>{10DB94B8-2D5F-4244-B3AC-869B80A980B5}</x14:id>
        </ext>
      </extLst>
    </cfRule>
  </conditionalFormatting>
  <conditionalFormatting sqref="P3">
    <cfRule type="expression" dxfId="1388" priority="22" stopIfTrue="1">
      <formula>P3=CléNonTravaillé</formula>
    </cfRule>
    <cfRule type="expression" dxfId="1387" priority="23" stopIfTrue="1">
      <formula>P3=CléPrésenceExceptionnelle</formula>
    </cfRule>
    <cfRule type="expression" dxfId="1386" priority="24" stopIfTrue="1">
      <formula>P3=CléCongéSpécial</formula>
    </cfRule>
    <cfRule type="expression" dxfId="1385" priority="25" stopIfTrue="1">
      <formula>P3=CléDemiRécupération</formula>
    </cfRule>
    <cfRule type="expression" dxfId="1384" priority="26" stopIfTrue="1">
      <formula>P3=CléDemiEnfantMalade</formula>
    </cfRule>
    <cfRule type="expression" dxfId="1383" priority="27" stopIfTrue="1">
      <formula>P3=CléEnfantMalade</formula>
    </cfRule>
    <cfRule type="expression" dxfId="1382" priority="28" stopIfTrue="1">
      <formula>P3=CléDemiRtt</formula>
    </cfRule>
    <cfRule type="expression" priority="29" stopIfTrue="1">
      <formula>P3=""</formula>
    </cfRule>
    <cfRule type="expression" dxfId="1381" priority="30" stopIfTrue="1">
      <formula>P3=CléMaladie</formula>
    </cfRule>
    <cfRule type="expression" dxfId="1380" priority="31" stopIfTrue="1">
      <formula>P3=CléCongé</formula>
    </cfRule>
    <cfRule type="expression" dxfId="1379" priority="32" stopIfTrue="1">
      <formula>P3=CléRécupération</formula>
    </cfRule>
    <cfRule type="expression" dxfId="1378" priority="33" stopIfTrue="1">
      <formula>P3=CléFormation</formula>
    </cfRule>
    <cfRule type="expression" dxfId="1377" priority="34" stopIfTrue="1">
      <formula>P3=CléRTT</formula>
    </cfRule>
    <cfRule type="expression" dxfId="1376" priority="35" stopIfTrue="1">
      <formula>P3=CléTélétravail</formula>
    </cfRule>
  </conditionalFormatting>
  <conditionalFormatting sqref="AK6">
    <cfRule type="containsText" dxfId="1375" priority="20" stopIfTrue="1" operator="containsText" text="dim">
      <formula>NOT(ISERROR(SEARCH("dim",AK6)))</formula>
    </cfRule>
  </conditionalFormatting>
  <conditionalFormatting sqref="AH5">
    <cfRule type="containsText" dxfId="1374" priority="19" stopIfTrue="1" operator="containsText" text="dim">
      <formula>NOT(ISERROR(SEARCH("dim",AH5)))</formula>
    </cfRule>
  </conditionalFormatting>
  <conditionalFormatting sqref="AA3">
    <cfRule type="containsText" dxfId="1373" priority="18" stopIfTrue="1" operator="containsText" text="dim">
      <formula>NOT(ISERROR(SEARCH("dim",AA3)))</formula>
    </cfRule>
  </conditionalFormatting>
  <conditionalFormatting sqref="AA3">
    <cfRule type="containsText" dxfId="1372" priority="17" stopIfTrue="1" operator="containsText" text="dim">
      <formula>NOT(ISERROR(SEARCH("dim",AA3)))</formula>
    </cfRule>
  </conditionalFormatting>
  <conditionalFormatting sqref="C9:H9">
    <cfRule type="expression" dxfId="1371" priority="1" stopIfTrue="1">
      <formula>C9=CléAbsenceJustifiée</formula>
    </cfRule>
    <cfRule type="expression" dxfId="1370" priority="2" stopIfTrue="1">
      <formula>C9=CléNonTravaillé</formula>
    </cfRule>
    <cfRule type="expression" dxfId="1369" priority="3" stopIfTrue="1">
      <formula>C9=CléPrésenceExceptionnelle</formula>
    </cfRule>
    <cfRule type="expression" dxfId="1368" priority="4" stopIfTrue="1">
      <formula>C9=CléCongéSpécial</formula>
    </cfRule>
    <cfRule type="expression" dxfId="1367" priority="5" stopIfTrue="1">
      <formula>C9=CléDemiRécupération</formula>
    </cfRule>
    <cfRule type="expression" dxfId="1366" priority="6" stopIfTrue="1">
      <formula>C9=CléDemiEnfantMalade</formula>
    </cfRule>
    <cfRule type="expression" dxfId="1365" priority="7" stopIfTrue="1">
      <formula>C9=CléEnfantMalade</formula>
    </cfRule>
    <cfRule type="expression" dxfId="1364" priority="8" stopIfTrue="1">
      <formula>C9=CléDemiRtt</formula>
    </cfRule>
    <cfRule type="expression" priority="9" stopIfTrue="1">
      <formula>C9=""</formula>
    </cfRule>
    <cfRule type="expression" dxfId="1363" priority="10" stopIfTrue="1">
      <formula>C9=CléCongéMalade</formula>
    </cfRule>
    <cfRule type="expression" dxfId="1362" priority="11" stopIfTrue="1">
      <formula>C9=CléCongé</formula>
    </cfRule>
    <cfRule type="expression" dxfId="1361" priority="12" stopIfTrue="1">
      <formula>C9=CléRécupération</formula>
    </cfRule>
    <cfRule type="expression" dxfId="1360" priority="13" stopIfTrue="1">
      <formula>C9=CléFormation</formula>
    </cfRule>
    <cfRule type="expression" dxfId="1359" priority="14" stopIfTrue="1">
      <formula>C9=CléRTT</formula>
    </cfRule>
    <cfRule type="expression" dxfId="1358" priority="15" stopIfTrue="1">
      <formula>C9=CléTélétravail</formula>
    </cfRule>
  </conditionalFormatting>
  <dataValidations count="15">
    <dataValidation allowBlank="1" showErrorMessage="1" prompt="Entrez l’année dans cette cellule." sqref="AK5"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00000000-0002-0000-0000-000002000000}"/>
    <dataValidation allowBlank="1" showErrorMessage="1" prompt="La lettre « C » indique une absence pour cause de congé" sqref="C3" xr:uid="{180648D2-410D-B143-B587-7A30566DDE0A}"/>
    <dataValidation allowBlank="1" showErrorMessage="1" prompt="La lettre « P » indique une absence pour motifs personnels" sqref="F3" xr:uid="{F76D8E89-C5BE-5641-A960-C8924BC7F107}"/>
    <dataValidation allowBlank="1" showInputMessage="1" showErrorMessage="1" prompt="La lettre « M » indique une absence pour cause de maladie" sqref="S3" xr:uid="{AA4B8FA4-AE57-CA43-B1F0-5DF94DD8246B}"/>
    <dataValidation allowBlank="1" showInputMessage="1" showErrorMessage="1" prompt="Entrez une lettre et personnalisez l’étiquette à droite pour ajouter un élément de clé" sqref="M3" xr:uid="{DA6A8F83-9B62-0141-AED8-7A83438C3BCA}"/>
    <dataValidation allowBlank="1" showInputMessage="1" showErrorMessage="1" prompt="Entrez une étiquette pour décrire la clé personnalisée à gauche" sqref="J2:J3" xr:uid="{52436857-DDAD-6E4E-A172-6A9E6829667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A2" xr:uid="{00000000-0002-0000-0000-00000D000000}"/>
    <dataValidation allowBlank="1" showErrorMessage="1" prompt="Entrez l’année dans la cellule ci-dessous" sqref="AK4" xr:uid="{00000000-0002-0000-0000-00000E000000}"/>
    <dataValidation allowBlank="1" showErrorMessage="1" prompt="Entrez une lettre et personnalisez l’étiquette à droite pour ajouter un élément de clé" sqref="I2:I3" xr:uid="{F3C13E23-AA26-A242-AB55-71EFAB18774F}"/>
    <dataValidation allowBlank="1" showErrorMessage="1" prompt="Entrez une étiquette pour décrire la clé personnalisée à gauche" sqref="N3" xr:uid="{D27234F8-1932-2849-A1D5-DEF8B0A16588}"/>
    <dataValidation allowBlank="1" showErrorMessage="1" sqref="B1:B5" xr:uid="{287AE99F-A568-2E49-87F0-4F6D162FD61E}"/>
    <dataValidation allowBlank="1" showErrorMessage="1" prompt="Calcule automatiquement le nombre total de jours d’absence d’un employé durant ce mois" sqref="AH7 AK7" xr:uid="{040E8A70-86A9-DF47-A79B-3431F39E2A12}"/>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6" xr:uid="{00000000-0002-0000-0000-000003000000}"/>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6B0B54B-3B45-C645-843F-C0B723C8AC12}">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22EEE165-6413-544B-B435-0A9B8805D7E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0DB94B8-2D5F-4244-B3AC-869B80A980B5}">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F000000}">
          <x14:formula1>
            <xm:f>'Noms des employés'!$B$4:$B$7</xm:f>
          </x14:formula1>
          <xm:sqref>B8:B18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D29E-C9F5-A540-9E94-B8BDDEAD3CFF}">
  <sheetPr>
    <tabColor theme="2" tint="-0.749992370372631"/>
  </sheetPr>
  <dimension ref="A1:AK19"/>
  <sheetViews>
    <sheetView showGridLines="0" zoomScale="110" zoomScaleNormal="110" workbookViewId="0">
      <selection activeCell="B8" sqref="B8"/>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33203125" style="4" customWidth="1"/>
    <col min="35" max="36" width="13.33203125" customWidth="1"/>
    <col min="37" max="37" width="19.3320312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row>
    <row r="5" spans="1:37" ht="30" customHeight="1">
      <c r="B5" s="21" t="s">
        <v>41</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2">
        <f>AnnéeCalendrier01</f>
        <v>2021</v>
      </c>
    </row>
    <row r="6" spans="1:37" ht="15" customHeight="1">
      <c r="B6" s="15"/>
      <c r="C6" s="58" t="str">
        <f>TEXT(WEEKDAY(DATE(AnnéeCalendrier,2,1),1),"jjj")</f>
        <v>lun</v>
      </c>
      <c r="D6" s="58" t="str">
        <f>TEXT(WEEKDAY(DATE(AnnéeCalendrier,2,2),1),"jjj")</f>
        <v>mar</v>
      </c>
      <c r="E6" s="58" t="str">
        <f>TEXT(WEEKDAY(DATE(AnnéeCalendrier,2,3),1),"jjj")</f>
        <v>mer</v>
      </c>
      <c r="F6" s="58" t="str">
        <f>TEXT(WEEKDAY(DATE(AnnéeCalendrier,2,4),1),"jjj")</f>
        <v>jeu</v>
      </c>
      <c r="G6" s="58" t="str">
        <f>TEXT(WEEKDAY(DATE(AnnéeCalendrier,2,5),1),"jjj")</f>
        <v>ven</v>
      </c>
      <c r="H6" s="58" t="str">
        <f>TEXT(WEEKDAY(DATE(AnnéeCalendrier,2,6),1),"jjj")</f>
        <v>sam</v>
      </c>
      <c r="I6" s="58" t="str">
        <f>TEXT(WEEKDAY(DATE(AnnéeCalendrier,2,7),1),"jjj")</f>
        <v>dim</v>
      </c>
      <c r="J6" s="58" t="str">
        <f>TEXT(WEEKDAY(DATE(AnnéeCalendrier,2,8),1),"jjj")</f>
        <v>lun</v>
      </c>
      <c r="K6" s="58" t="str">
        <f>TEXT(WEEKDAY(DATE(AnnéeCalendrier,2,9),1),"jjj")</f>
        <v>mar</v>
      </c>
      <c r="L6" s="58" t="str">
        <f>TEXT(WEEKDAY(DATE(AnnéeCalendrier,2,10),1),"jjj")</f>
        <v>mer</v>
      </c>
      <c r="M6" s="58" t="str">
        <f>TEXT(WEEKDAY(DATE(AnnéeCalendrier,2,11),1),"jjj")</f>
        <v>jeu</v>
      </c>
      <c r="N6" s="58" t="str">
        <f>TEXT(WEEKDAY(DATE(AnnéeCalendrier,2,12),1),"jjj")</f>
        <v>ven</v>
      </c>
      <c r="O6" s="58" t="str">
        <f>TEXT(WEEKDAY(DATE(AnnéeCalendrier,2,13),1),"jjj")</f>
        <v>sam</v>
      </c>
      <c r="P6" s="58" t="str">
        <f>TEXT(WEEKDAY(DATE(AnnéeCalendrier,2,14),1),"jjj")</f>
        <v>dim</v>
      </c>
      <c r="Q6" s="58" t="str">
        <f>TEXT(WEEKDAY(DATE(AnnéeCalendrier,2,15),1),"jjj")</f>
        <v>lun</v>
      </c>
      <c r="R6" s="58" t="str">
        <f>TEXT(WEEKDAY(DATE(AnnéeCalendrier,2,16),1),"jjj")</f>
        <v>mar</v>
      </c>
      <c r="S6" s="58" t="str">
        <f>TEXT(WEEKDAY(DATE(AnnéeCalendrier,2,17),1),"jjj")</f>
        <v>mer</v>
      </c>
      <c r="T6" s="58" t="str">
        <f>TEXT(WEEKDAY(DATE(AnnéeCalendrier,2,18),1),"jjj")</f>
        <v>jeu</v>
      </c>
      <c r="U6" s="58" t="str">
        <f>TEXT(WEEKDAY(DATE(AnnéeCalendrier,2,19),1),"jjj")</f>
        <v>ven</v>
      </c>
      <c r="V6" s="58" t="str">
        <f>TEXT(WEEKDAY(DATE(AnnéeCalendrier,2,20),1),"jjj")</f>
        <v>sam</v>
      </c>
      <c r="W6" s="58" t="str">
        <f>TEXT(WEEKDAY(DATE(AnnéeCalendrier,2,21),1),"jjj")</f>
        <v>dim</v>
      </c>
      <c r="X6" s="58" t="str">
        <f>TEXT(WEEKDAY(DATE(AnnéeCalendrier,2,22),1),"jjj")</f>
        <v>lun</v>
      </c>
      <c r="Y6" s="58" t="str">
        <f>TEXT(WEEKDAY(DATE(AnnéeCalendrier,2,23),1),"jjj")</f>
        <v>mar</v>
      </c>
      <c r="Z6" s="58" t="str">
        <f>TEXT(WEEKDAY(DATE(AnnéeCalendrier,2,24),1),"jjj")</f>
        <v>mer</v>
      </c>
      <c r="AA6" s="58" t="str">
        <f>TEXT(WEEKDAY(DATE(AnnéeCalendrier,2,25),1),"jjj")</f>
        <v>jeu</v>
      </c>
      <c r="AB6" s="58" t="str">
        <f>TEXT(WEEKDAY(DATE(AnnéeCalendrier,2,26),1),"jjj")</f>
        <v>ven</v>
      </c>
      <c r="AC6" s="58" t="str">
        <f>TEXT(WEEKDAY(DATE(AnnéeCalendrier,2,27),1),"jjj")</f>
        <v>sam</v>
      </c>
      <c r="AD6" s="58" t="str">
        <f>TEXT(WEEKDAY(DATE(AnnéeCalendrier,2,28),1),"jjj")</f>
        <v>dim</v>
      </c>
      <c r="AE6" s="58" t="str">
        <f>TEXT(WEEKDAY(DATE(AnnéeCalendrier,2,29),1),"jjj")</f>
        <v>lun</v>
      </c>
      <c r="AF6" s="59"/>
      <c r="AG6" s="59"/>
      <c r="AH6" s="12"/>
      <c r="AI6" s="12"/>
      <c r="AJ6" s="12"/>
      <c r="AK6" s="12"/>
    </row>
    <row r="7" spans="1:37"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42</v>
      </c>
      <c r="AG7" s="14" t="s">
        <v>43</v>
      </c>
      <c r="AH7" s="26" t="s">
        <v>102</v>
      </c>
      <c r="AI7" s="27" t="s">
        <v>89</v>
      </c>
      <c r="AJ7" s="27" t="s">
        <v>109</v>
      </c>
      <c r="AK7" s="34" t="s">
        <v>76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 t="shared" ref="AJ8:AJ18" si="1">COUNTIF(C8:AG8,"M")</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2">COUNTIF(C9:AG9,"RTT")+COUNTIF(C9:AG9,"DRTT")/2</f>
        <v>0</v>
      </c>
      <c r="AJ9" s="33">
        <f t="shared" si="1"/>
        <v>0</v>
      </c>
      <c r="AK9" s="24">
        <f>Janvier!AK9-Février[[#This Row],[Dont RTT]]+2</f>
        <v>7</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2"/>
        <v>0</v>
      </c>
      <c r="AJ10" s="33">
        <f t="shared" si="1"/>
        <v>0</v>
      </c>
      <c r="AK10" s="24">
        <f>Janvier!AK10-Février[[#This Row],[Dont RTT]]+2</f>
        <v>15</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2"/>
        <v>0</v>
      </c>
      <c r="AJ11" s="33">
        <f t="shared" si="1"/>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2"/>
        <v>0</v>
      </c>
      <c r="AJ12" s="33">
        <f t="shared" si="1"/>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2"/>
        <v>0</v>
      </c>
      <c r="AJ13" s="33">
        <f t="shared" si="1"/>
        <v>0</v>
      </c>
      <c r="AK13" s="24">
        <f>Janvier!AK13-Février[[#This Row],[Dont RTT]]+2</f>
        <v>6.93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2"/>
        <v>0</v>
      </c>
      <c r="AJ14" s="33">
        <f t="shared" si="1"/>
        <v>0</v>
      </c>
      <c r="AK14" s="24">
        <f>Janvier!AK14-Février[[#This Row],[Dont RTT]]+2</f>
        <v>6.5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2"/>
        <v>0</v>
      </c>
      <c r="AJ15" s="33">
        <f t="shared" si="1"/>
        <v>0</v>
      </c>
      <c r="AK15" s="24">
        <f>Janvier!AK15-Février[[#This Row],[Dont RTT]]+2</f>
        <v>9.5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2"/>
        <v>0</v>
      </c>
      <c r="AJ16" s="33">
        <f t="shared" si="1"/>
        <v>0</v>
      </c>
      <c r="AK16" s="24">
        <f>Janvier!AK16-Février[[#This Row],[Dont RTT]]+2</f>
        <v>6.16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2"/>
        <v>0</v>
      </c>
      <c r="AJ17" s="33">
        <f t="shared" si="1"/>
        <v>0</v>
      </c>
      <c r="AK17" s="24">
        <f>Janvier!AK17-Février[[#This Row],[Dont RTT]]+2</f>
        <v>15</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2"/>
        <v>0</v>
      </c>
      <c r="AJ18" s="33">
        <f t="shared" si="1"/>
        <v>0</v>
      </c>
      <c r="AK18" s="24">
        <f>Janvier!AK18-Février[[#This Row],[Dont RTT]]+2</f>
        <v>6.5</v>
      </c>
    </row>
    <row r="19" spans="2:37" ht="30" customHeight="1">
      <c r="B19" s="30" t="str">
        <f>NomMois&amp;" Total"</f>
        <v>Février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0</v>
      </c>
      <c r="G19" s="35">
        <f t="shared" si="3"/>
        <v>0</v>
      </c>
      <c r="H19" s="35">
        <f t="shared" si="3"/>
        <v>0</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28">
        <f>SUBTOTAL(109,Février[Total])</f>
        <v>0</v>
      </c>
      <c r="AI19" s="28">
        <f>SUBTOTAL(109,Février[Dont RTT])</f>
        <v>0</v>
      </c>
      <c r="AJ19" s="37">
        <f>SUBTOTAL(109,Février[Dont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1:XFD1 A20:XFD1048576 A8:A18 AL8:XFD18 A19:B19 AH19:AI19 A7:AH7 AK7:XFD7 AK19:XFD19 A4:XFD4 A6:AJ6 A5:AG5 AI5:AJ5 AL5:XFD6">
    <cfRule type="containsText" dxfId="1282" priority="385" stopIfTrue="1" operator="containsText" text="dim">
      <formula>NOT(ISERROR(SEARCH("dim",A1)))</formula>
    </cfRule>
  </conditionalFormatting>
  <conditionalFormatting sqref="C19:AG19">
    <cfRule type="containsText" dxfId="1281" priority="272" stopIfTrue="1" operator="containsText" text="dim">
      <formula>NOT(ISERROR(SEARCH("dim",C19)))</formula>
    </cfRule>
  </conditionalFormatting>
  <conditionalFormatting sqref="AL3:XFD3 A2:A3 AG2:XFD2">
    <cfRule type="containsText" dxfId="1280" priority="132" stopIfTrue="1" operator="containsText" text="dim">
      <formula>NOT(ISERROR(SEARCH("dim",A2)))</formula>
    </cfRule>
  </conditionalFormatting>
  <conditionalFormatting sqref="AJ19">
    <cfRule type="containsText" dxfId="1279" priority="107" stopIfTrue="1" operator="containsText" text="dim">
      <formula>NOT(ISERROR(SEARCH("dim",AJ19)))</formula>
    </cfRule>
  </conditionalFormatting>
  <conditionalFormatting sqref="AJ8:AJ18">
    <cfRule type="dataBar" priority="83">
      <dataBar>
        <cfvo type="num" val="0"/>
        <cfvo type="num" val="31"/>
        <color rgb="FFFF0000"/>
      </dataBar>
      <extLst>
        <ext xmlns:x14="http://schemas.microsoft.com/office/spreadsheetml/2009/9/main" uri="{B025F937-C7B1-47D3-B67F-A62EFF666E3E}">
          <x14:id>{AD9EFFAA-FF7D-6043-ADB3-756367F44472}</x14:id>
        </ext>
      </extLst>
    </cfRule>
  </conditionalFormatting>
  <conditionalFormatting sqref="AH8:AH18">
    <cfRule type="dataBar" priority="71">
      <dataBar>
        <cfvo type="num" val="0"/>
        <cfvo type="num" val="31"/>
        <color rgb="FF00B0F0"/>
      </dataBar>
      <extLst>
        <ext xmlns:x14="http://schemas.microsoft.com/office/spreadsheetml/2009/9/main" uri="{B025F937-C7B1-47D3-B67F-A62EFF666E3E}">
          <x14:id>{EDBEF5A3-6273-3246-944C-733C6563D89E}</x14:id>
        </ext>
      </extLst>
    </cfRule>
    <cfRule type="containsText" dxfId="1278" priority="74" stopIfTrue="1" operator="containsText" text="dim">
      <formula>NOT(ISERROR(SEARCH("dim",AH8)))</formula>
    </cfRule>
  </conditionalFormatting>
  <conditionalFormatting sqref="AI8:AI18">
    <cfRule type="dataBar" priority="72">
      <dataBar>
        <cfvo type="num" val="0"/>
        <cfvo type="num" val="31"/>
        <color rgb="FF92D050"/>
      </dataBar>
      <extLst>
        <ext xmlns:x14="http://schemas.microsoft.com/office/spreadsheetml/2009/9/main" uri="{B025F937-C7B1-47D3-B67F-A62EFF666E3E}">
          <x14:id>{299B0925-68E6-984D-BADF-3C0190B25A12}</x14:id>
        </ext>
      </extLst>
    </cfRule>
  </conditionalFormatting>
  <conditionalFormatting sqref="AH5">
    <cfRule type="containsText" dxfId="1277" priority="54" stopIfTrue="1" operator="containsText" text="dim">
      <formula>NOT(ISERROR(SEARCH("dim",AH5)))</formula>
    </cfRule>
  </conditionalFormatting>
  <conditionalFormatting sqref="AK6">
    <cfRule type="containsText" dxfId="1276" priority="53" stopIfTrue="1" operator="containsText" text="dim">
      <formula>NOT(ISERROR(SEARCH("dim",AK6)))</formula>
    </cfRule>
  </conditionalFormatting>
  <conditionalFormatting sqref="B3:D3 F2:G3 M3:N3 Q3 S3:T3 V2:W3 I2:J3">
    <cfRule type="containsText" dxfId="1275" priority="50" stopIfTrue="1" operator="containsText" text="dim">
      <formula>NOT(ISERROR(SEARCH("dim",B2)))</formula>
    </cfRule>
  </conditionalFormatting>
  <conditionalFormatting sqref="V2:W2">
    <cfRule type="containsText" dxfId="1274" priority="49" stopIfTrue="1" operator="containsText" text="dim">
      <formula>NOT(ISERROR(SEARCH("dim",V2)))</formula>
    </cfRule>
  </conditionalFormatting>
  <conditionalFormatting sqref="AA2">
    <cfRule type="containsText" dxfId="1273" priority="48" stopIfTrue="1" operator="containsText" text="dim">
      <formula>NOT(ISERROR(SEARCH("dim",AA2)))</formula>
    </cfRule>
  </conditionalFormatting>
  <conditionalFormatting sqref="AA2">
    <cfRule type="containsText" dxfId="1272" priority="47" stopIfTrue="1" operator="containsText" text="dim">
      <formula>NOT(ISERROR(SEARCH("dim",AA2)))</formula>
    </cfRule>
  </conditionalFormatting>
  <conditionalFormatting sqref="P3">
    <cfRule type="expression" dxfId="1271" priority="33" stopIfTrue="1">
      <formula>P3=CléNonTravaillé</formula>
    </cfRule>
    <cfRule type="expression" dxfId="1270" priority="34" stopIfTrue="1">
      <formula>P3=CléPrésenceExceptionnelle</formula>
    </cfRule>
    <cfRule type="expression" dxfId="1269" priority="35" stopIfTrue="1">
      <formula>P3=CléCongéSpécial</formula>
    </cfRule>
    <cfRule type="expression" dxfId="1268" priority="36" stopIfTrue="1">
      <formula>P3=CléDemiRécupération</formula>
    </cfRule>
    <cfRule type="expression" dxfId="1267" priority="37" stopIfTrue="1">
      <formula>P3=CléDemiEnfantMalade</formula>
    </cfRule>
    <cfRule type="expression" dxfId="1266" priority="38" stopIfTrue="1">
      <formula>P3=CléEnfantMalade</formula>
    </cfRule>
    <cfRule type="expression" dxfId="1265" priority="39" stopIfTrue="1">
      <formula>P3=CléDemiRtt</formula>
    </cfRule>
    <cfRule type="expression" priority="40" stopIfTrue="1">
      <formula>P3=""</formula>
    </cfRule>
    <cfRule type="expression" dxfId="1264" priority="41" stopIfTrue="1">
      <formula>P3=CléMaladie</formula>
    </cfRule>
    <cfRule type="expression" dxfId="1263" priority="42" stopIfTrue="1">
      <formula>P3=CléCongé</formula>
    </cfRule>
    <cfRule type="expression" dxfId="1262" priority="43" stopIfTrue="1">
      <formula>P3=CléRécupération</formula>
    </cfRule>
    <cfRule type="expression" dxfId="1261" priority="44" stopIfTrue="1">
      <formula>P3=CléFormation</formula>
    </cfRule>
    <cfRule type="expression" dxfId="1260" priority="45" stopIfTrue="1">
      <formula>P3=CléRTT</formula>
    </cfRule>
    <cfRule type="expression" dxfId="1259" priority="46" stopIfTrue="1">
      <formula>P3=CléTélétravail</formula>
    </cfRule>
  </conditionalFormatting>
  <conditionalFormatting sqref="AA3">
    <cfRule type="containsText" dxfId="1258" priority="32" stopIfTrue="1" operator="containsText" text="dim">
      <formula>NOT(ISERROR(SEARCH("dim",AA3)))</formula>
    </cfRule>
  </conditionalFormatting>
  <conditionalFormatting sqref="AA3">
    <cfRule type="containsText" dxfId="1257" priority="31" stopIfTrue="1" operator="containsText" text="dim">
      <formula>NOT(ISERROR(SEARCH("dim",AA3)))</formula>
    </cfRule>
  </conditionalFormatting>
  <conditionalFormatting sqref="C8:AG18">
    <cfRule type="expression" dxfId="1256" priority="1" stopIfTrue="1">
      <formula>C8=CléAbsenceJustifiée</formula>
    </cfRule>
    <cfRule type="expression" dxfId="1255" priority="2" stopIfTrue="1">
      <formula>C8=CléNonTravaillé</formula>
    </cfRule>
    <cfRule type="expression" dxfId="1254" priority="3" stopIfTrue="1">
      <formula>C8=CléPrésenceExceptionnelle</formula>
    </cfRule>
    <cfRule type="expression" dxfId="1253" priority="4" stopIfTrue="1">
      <formula>C8=CléCongéSpécial</formula>
    </cfRule>
    <cfRule type="expression" dxfId="1252" priority="5" stopIfTrue="1">
      <formula>C8=CléDemiRécupération</formula>
    </cfRule>
    <cfRule type="expression" dxfId="1251" priority="6" stopIfTrue="1">
      <formula>C8=CléDemiEnfantMalade</formula>
    </cfRule>
    <cfRule type="expression" dxfId="1250" priority="7" stopIfTrue="1">
      <formula>C8=CléEnfantMalade</formula>
    </cfRule>
    <cfRule type="expression" dxfId="1249" priority="8" stopIfTrue="1">
      <formula>C8=CléDemiRtt</formula>
    </cfRule>
    <cfRule type="expression" priority="9" stopIfTrue="1">
      <formula>C8=""</formula>
    </cfRule>
    <cfRule type="expression" dxfId="1248" priority="10" stopIfTrue="1">
      <formula>C8=CléCongéMalade</formula>
    </cfRule>
    <cfRule type="expression" dxfId="1247" priority="11" stopIfTrue="1">
      <formula>C8=CléCongé</formula>
    </cfRule>
    <cfRule type="expression" dxfId="1246" priority="12" stopIfTrue="1">
      <formula>C8=CléRécupération</formula>
    </cfRule>
    <cfRule type="expression" dxfId="1245" priority="13" stopIfTrue="1">
      <formula>C8=CléFormation</formula>
    </cfRule>
    <cfRule type="expression" dxfId="1244" priority="14" stopIfTrue="1">
      <formula>C8=CléRTT</formula>
    </cfRule>
    <cfRule type="expression" dxfId="1243" priority="15" stopIfTrue="1">
      <formula>C8=CléTélétravail</formula>
    </cfRule>
  </conditionalFormatting>
  <dataValidations count="1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C2975FCB-1223-B74D-A693-223600ACC9D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0B6AC1ED-5B45-5C47-9018-82BEB881A4B9}"/>
    <dataValidation allowBlank="1" showInputMessage="1" showErrorMessage="1" prompt="La lettre « M » indique une absence pour cause de maladie" sqref="S3" xr:uid="{481B0CA8-D1DD-5245-A719-ECDD0A793283}"/>
    <dataValidation allowBlank="1" showInputMessage="1" showErrorMessage="1" prompt="Entrez une lettre et personnalisez l’étiquette à droite pour ajouter un élément de clé" sqref="M3" xr:uid="{B1CE2677-C082-A540-A1D0-13B87A62E7A9}"/>
    <dataValidation allowBlank="1" showInputMessage="1" showErrorMessage="1" prompt="Entrez une étiquette pour décrire la clé personnalisée à gauche" sqref="J2:J3" xr:uid="{3CCE56D1-5651-844C-9961-0F5B695C2D2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E21AA15-07EC-124C-8558-70E9D45EAB68}"/>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7F217003-CCEF-7B4C-B314-E0AC0315AABB}"/>
    <dataValidation allowBlank="1" showInputMessage="1" showErrorMessage="1" prompt="Le titre mis à jour automatiquement figure dans cette cellule. Pour modifier le titre, mettez à jour la cellule B1 de la feuille de calcul Janvier" sqref="B1" xr:uid="{65760958-6D36-554D-BFAC-65B14AC3BE91}"/>
    <dataValidation allowBlank="1" showInputMessage="1" showErrorMessage="1" prompt="Calcule automatiquement le nombre total de jours d’absence d’un employé durant ce mois dans cette colonne" sqref="AH7" xr:uid="{EC965676-0CCD-144A-8E87-E48A3238E9E1}"/>
    <dataValidation allowBlank="1" showInputMessage="1" showErrorMessage="1" prompt="Suivez les absences du mois de février dans cette feuille de calcul" sqref="A1" xr:uid="{DCD38D13-2AE8-E443-BE8C-8A45B8EFD412}"/>
    <dataValidation allowBlank="1" showErrorMessage="1" prompt="Entrez une étiquette pour décrire la clé personnalisée à gauche" sqref="N3" xr:uid="{3FD90DF7-F746-384F-90E1-8FDF702B5D35}"/>
    <dataValidation allowBlank="1" showErrorMessage="1" prompt="Entrez une lettre et personnalisez l’étiquette à droite pour ajouter un élément de clé" sqref="I2:I3" xr:uid="{999B0789-9769-834D-9C9E-3F4B171A8C4D}"/>
    <dataValidation allowBlank="1" showErrorMessage="1" prompt="La lettre « P » indique une absence pour motifs personnels" sqref="F3" xr:uid="{E5CB4047-F134-EF47-90D0-62DF789BB397}"/>
    <dataValidation allowBlank="1" showErrorMessage="1" prompt="La lettre « C » indique une absence pour cause de congé" sqref="C3" xr:uid="{AFA45F87-32F0-6848-AE6C-0E11F9B2DE4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59AF29B-8E9C-254F-8C4B-4208649A9A62}"/>
    <dataValidation allowBlank="1" showErrorMessage="1" sqref="B2:B3" xr:uid="{0778C10D-80D3-4542-8567-06BE98088473}"/>
    <dataValidation allowBlank="1" showInputMessage="1" showErrorMessage="1" prompt="Année mise à jour automatiquement en fonction de l’année entrée dans la feuille de calcul Janvier" sqref="AK5" xr:uid="{316E5908-D010-274B-80FC-1B5013D4826E}"/>
  </dataValidations>
  <pageMargins left="0.7" right="0.7" top="0.75" bottom="0.75" header="0.3" footer="0.3"/>
  <pageSetup paperSize="9" fitToHeight="0" orientation="portrait" verticalDpi="4294967293"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D9EFFAA-FF7D-6043-ADB3-756367F44472}">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EDBEF5A3-6273-3246-944C-733C6563D89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99B0925-68E6-984D-BADF-3C0190B25A12}">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1C4935B-8629-5549-869E-F6FAD52F6C92}">
          <x14:formula1>
            <xm:f>'Noms des employés'!$B$4:$B$13</xm:f>
          </x14:formula1>
          <xm:sqref>B9:B18</xm:sqref>
        </x14:dataValidation>
        <x14:dataValidation type="list" allowBlank="1" showInputMessage="1" showErrorMessage="1" xr:uid="{50AFECC1-0D8C-EB4D-ABEF-B2397E89204F}">
          <x14:formula1>
            <xm:f>'Noms des employés'!$B$4:$B$7</xm:f>
          </x14:formula1>
          <xm:sqref>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B9A17-16B1-4944-AA7A-08DB67BAA54A}">
  <sheetPr>
    <tabColor theme="2" tint="-0.499984740745262"/>
  </sheetPr>
  <dimension ref="A1:AK19"/>
  <sheetViews>
    <sheetView showGridLines="0" zoomScale="110" zoomScaleNormal="110" workbookViewId="0">
      <selection activeCell="B8" sqref="B8"/>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33203125" style="4" customWidth="1"/>
    <col min="35" max="36" width="13.33203125" customWidth="1"/>
    <col min="37" max="37" width="19.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44</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2">
        <f>AnnéeCalendrier</f>
        <v>2021</v>
      </c>
    </row>
    <row r="6" spans="1:37" ht="15" customHeight="1">
      <c r="B6" s="15"/>
      <c r="C6" s="58" t="str">
        <f>TEXT(WEEKDAY(DATE(AnnéeCalendrier,3,1),1),"jjj")</f>
        <v>lun</v>
      </c>
      <c r="D6" s="58" t="str">
        <f>TEXT(WEEKDAY(DATE(AnnéeCalendrier,3,2),1),"jjj")</f>
        <v>mar</v>
      </c>
      <c r="E6" s="58" t="str">
        <f>TEXT(WEEKDAY(DATE(AnnéeCalendrier,3,3),1),"jjj")</f>
        <v>mer</v>
      </c>
      <c r="F6" s="58" t="str">
        <f>TEXT(WEEKDAY(DATE(AnnéeCalendrier,3,4),1),"jjj")</f>
        <v>jeu</v>
      </c>
      <c r="G6" s="58" t="str">
        <f>TEXT(WEEKDAY(DATE(AnnéeCalendrier,3,5),1),"jjj")</f>
        <v>ven</v>
      </c>
      <c r="H6" s="58" t="str">
        <f>TEXT(WEEKDAY(DATE(AnnéeCalendrier,3,6),1),"jjj")</f>
        <v>sam</v>
      </c>
      <c r="I6" s="58" t="str">
        <f>TEXT(WEEKDAY(DATE(AnnéeCalendrier,3,7),1),"jjj")</f>
        <v>dim</v>
      </c>
      <c r="J6" s="58" t="str">
        <f>TEXT(WEEKDAY(DATE(AnnéeCalendrier,3,8),1),"jjj")</f>
        <v>lun</v>
      </c>
      <c r="K6" s="58" t="str">
        <f>TEXT(WEEKDAY(DATE(AnnéeCalendrier,3,9),1),"jjj")</f>
        <v>mar</v>
      </c>
      <c r="L6" s="58" t="str">
        <f>TEXT(WEEKDAY(DATE(AnnéeCalendrier,3,10),1),"jjj")</f>
        <v>mer</v>
      </c>
      <c r="M6" s="58" t="str">
        <f>TEXT(WEEKDAY(DATE(AnnéeCalendrier,3,11),1),"jjj")</f>
        <v>jeu</v>
      </c>
      <c r="N6" s="58" t="str">
        <f>TEXT(WEEKDAY(DATE(AnnéeCalendrier,3,12),1),"jjj")</f>
        <v>ven</v>
      </c>
      <c r="O6" s="58" t="str">
        <f>TEXT(WEEKDAY(DATE(AnnéeCalendrier,3,13),1),"jjj")</f>
        <v>sam</v>
      </c>
      <c r="P6" s="58" t="str">
        <f>TEXT(WEEKDAY(DATE(AnnéeCalendrier,3,14),1),"jjj")</f>
        <v>dim</v>
      </c>
      <c r="Q6" s="58" t="str">
        <f>TEXT(WEEKDAY(DATE(AnnéeCalendrier,3,15),1),"jjj")</f>
        <v>lun</v>
      </c>
      <c r="R6" s="58" t="str">
        <f>TEXT(WEEKDAY(DATE(AnnéeCalendrier,3,16),1),"jjj")</f>
        <v>mar</v>
      </c>
      <c r="S6" s="58" t="str">
        <f>TEXT(WEEKDAY(DATE(AnnéeCalendrier,3,17),1),"jjj")</f>
        <v>mer</v>
      </c>
      <c r="T6" s="58" t="str">
        <f>TEXT(WEEKDAY(DATE(AnnéeCalendrier,3,18),1),"jjj")</f>
        <v>jeu</v>
      </c>
      <c r="U6" s="58" t="str">
        <f>TEXT(WEEKDAY(DATE(AnnéeCalendrier,3,19),1),"jjj")</f>
        <v>ven</v>
      </c>
      <c r="V6" s="58" t="str">
        <f>TEXT(WEEKDAY(DATE(AnnéeCalendrier,3,20),1),"jjj")</f>
        <v>sam</v>
      </c>
      <c r="W6" s="58" t="str">
        <f>TEXT(WEEKDAY(DATE(AnnéeCalendrier,3,21),1),"jjj")</f>
        <v>dim</v>
      </c>
      <c r="X6" s="58" t="str">
        <f>TEXT(WEEKDAY(DATE(AnnéeCalendrier,3,22),1),"jjj")</f>
        <v>lun</v>
      </c>
      <c r="Y6" s="58" t="str">
        <f>TEXT(WEEKDAY(DATE(AnnéeCalendrier,3,23),1),"jjj")</f>
        <v>mar</v>
      </c>
      <c r="Z6" s="58" t="str">
        <f>TEXT(WEEKDAY(DATE(AnnéeCalendrier,3,24),1),"jjj")</f>
        <v>mer</v>
      </c>
      <c r="AA6" s="58" t="str">
        <f>TEXT(WEEKDAY(DATE(AnnéeCalendrier,3,25),1),"jjj")</f>
        <v>jeu</v>
      </c>
      <c r="AB6" s="58" t="str">
        <f>TEXT(WEEKDAY(DATE(AnnéeCalendrier,3,26),1),"jjj")</f>
        <v>ven</v>
      </c>
      <c r="AC6" s="58" t="str">
        <f>TEXT(WEEKDAY(DATE(AnnéeCalendrier,3,27),1),"jjj")</f>
        <v>sam</v>
      </c>
      <c r="AD6" s="58" t="str">
        <f>TEXT(WEEKDAY(DATE(AnnéeCalendrier,3,28),1),"jjj")</f>
        <v>dim</v>
      </c>
      <c r="AE6" s="58" t="str">
        <f>TEXT(WEEKDAY(DATE(AnnéeCalendrier,3,29),1),"jjj")</f>
        <v>lun</v>
      </c>
      <c r="AF6" s="58" t="str">
        <f>TEXT(WEEKDAY(DATE(AnnéeCalendrier,3,30),1),"jjj")</f>
        <v>mar</v>
      </c>
      <c r="AG6" s="58" t="str">
        <f>TEXT(WEEKDAY(DATE(AnnéeCalendrier,3,31),1),"jjj")</f>
        <v>mer</v>
      </c>
      <c r="AH6" s="12"/>
      <c r="AI6" s="12"/>
      <c r="AJ6" s="12"/>
      <c r="AK6" s="12"/>
    </row>
    <row r="7" spans="1:37"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86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Février!AK9-Mars[[#This Row],[Dont RTT]]+2</f>
        <v>9</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Février!AK10-Mars[[#This Row],[Dont RTT]]+2</f>
        <v>17</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Février!AK13-Mars[[#This Row],[Dont RTT]]+2</f>
        <v>8.93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Février!AK14-Mars[[#This Row],[Dont RTT]]+2</f>
        <v>8.5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Février!AK15-Mars[[#This Row],[Dont RTT]]+2</f>
        <v>11.5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Février!AK16-Mars[[#This Row],[Dont RTT]]+2</f>
        <v>8.16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Février!AK17-Mars[[#This Row],[Dont RTT]]+2</f>
        <v>17</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Février!AK18-Mars[[#This Row],[Dont RTT]]+2</f>
        <v>8.5</v>
      </c>
    </row>
    <row r="19" spans="2:37" ht="30" customHeight="1">
      <c r="B19" s="30" t="str">
        <f>NomMois&amp;" Total"</f>
        <v>Mars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31">
        <f>SUBTOTAL(109,Mars[Total absence])</f>
        <v>0</v>
      </c>
      <c r="AI19" s="28">
        <f>SUBTOTAL(109,Mars[Dont RTT])</f>
        <v>0</v>
      </c>
      <c r="AJ19" s="37">
        <f>SUBTOTAL(109,Mars[Dont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1168" priority="229" stopIfTrue="1" operator="containsText" text="dim">
      <formula>NOT(ISERROR(SEARCH("dim",AK1)))</formula>
    </cfRule>
  </conditionalFormatting>
  <conditionalFormatting sqref="C6:AG6">
    <cfRule type="containsText" dxfId="1167" priority="138" stopIfTrue="1" operator="containsText" text="dim">
      <formula>NOT(ISERROR(SEARCH("dim",C6)))</formula>
    </cfRule>
  </conditionalFormatting>
  <conditionalFormatting sqref="AH7">
    <cfRule type="containsText" dxfId="1166" priority="137" stopIfTrue="1" operator="containsText" text="dim">
      <formula>NOT(ISERROR(SEARCH("dim",AH7)))</formula>
    </cfRule>
  </conditionalFormatting>
  <conditionalFormatting sqref="AI19">
    <cfRule type="containsText" dxfId="1165" priority="136" stopIfTrue="1" operator="containsText" text="dim">
      <formula>NOT(ISERROR(SEARCH("dim",AI19)))</formula>
    </cfRule>
  </conditionalFormatting>
  <conditionalFormatting sqref="C19:AG19">
    <cfRule type="containsText" dxfId="1164" priority="115" stopIfTrue="1" operator="containsText" text="dim">
      <formula>NOT(ISERROR(SEARCH("dim",C19)))</formula>
    </cfRule>
  </conditionalFormatting>
  <conditionalFormatting sqref="AL3:XFD3 A2:A3 AG2:XFD2">
    <cfRule type="containsText" dxfId="1163" priority="113" stopIfTrue="1" operator="containsText" text="dim">
      <formula>NOT(ISERROR(SEARCH("dim",A2)))</formula>
    </cfRule>
  </conditionalFormatting>
  <conditionalFormatting sqref="AJ19">
    <cfRule type="containsText" dxfId="1162" priority="88" stopIfTrue="1" operator="containsText" text="dim">
      <formula>NOT(ISERROR(SEARCH("dim",AJ19)))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{5CB279B6-4F87-2642-8169-EAF3DA085A3D}</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{70B0D600-AA18-6E4E-88AF-E716FF444CDB}</x14:id>
        </ext>
      </extLst>
    </cfRule>
    <cfRule type="containsText" dxfId="1161"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{8689CD13-DB79-F947-A7CD-0135813A8595}</x14:id>
        </ext>
      </extLst>
    </cfRule>
  </conditionalFormatting>
  <conditionalFormatting sqref="B3:D3 F2:G3 M3:N3 Q3 S3:T3 V2:W3 I2:J3">
    <cfRule type="containsText" dxfId="1160" priority="35" stopIfTrue="1" operator="containsText" text="dim">
      <formula>NOT(ISERROR(SEARCH("dim",B2)))</formula>
    </cfRule>
  </conditionalFormatting>
  <conditionalFormatting sqref="V2:W2">
    <cfRule type="containsText" dxfId="1159" priority="34" stopIfTrue="1" operator="containsText" text="dim">
      <formula>NOT(ISERROR(SEARCH("dim",V2)))</formula>
    </cfRule>
  </conditionalFormatting>
  <conditionalFormatting sqref="AA2">
    <cfRule type="containsText" dxfId="1158" priority="33" stopIfTrue="1" operator="containsText" text="dim">
      <formula>NOT(ISERROR(SEARCH("dim",AA2)))</formula>
    </cfRule>
  </conditionalFormatting>
  <conditionalFormatting sqref="AA2">
    <cfRule type="containsText" dxfId="1157" priority="32" stopIfTrue="1" operator="containsText" text="dim">
      <formula>NOT(ISERROR(SEARCH("dim",AA2)))</formula>
    </cfRule>
  </conditionalFormatting>
  <conditionalFormatting sqref="P3">
    <cfRule type="expression" dxfId="1156" priority="18" stopIfTrue="1">
      <formula>P3=CléNonTravaillé</formula>
    </cfRule>
    <cfRule type="expression" dxfId="1155" priority="19" stopIfTrue="1">
      <formula>P3=CléPrésenceExceptionnelle</formula>
    </cfRule>
    <cfRule type="expression" dxfId="1154" priority="20" stopIfTrue="1">
      <formula>P3=CléCongéSpécial</formula>
    </cfRule>
    <cfRule type="expression" dxfId="1153" priority="21" stopIfTrue="1">
      <formula>P3=CléDemiRécupération</formula>
    </cfRule>
    <cfRule type="expression" dxfId="1152" priority="22" stopIfTrue="1">
      <formula>P3=CléDemiEnfantMalade</formula>
    </cfRule>
    <cfRule type="expression" dxfId="1151" priority="23" stopIfTrue="1">
      <formula>P3=CléEnfantMalade</formula>
    </cfRule>
    <cfRule type="expression" dxfId="1150" priority="24" stopIfTrue="1">
      <formula>P3=CléDemiRtt</formula>
    </cfRule>
    <cfRule type="expression" priority="25" stopIfTrue="1">
      <formula>P3=""</formula>
    </cfRule>
    <cfRule type="expression" dxfId="1149" priority="26" stopIfTrue="1">
      <formula>P3=CléMaladie</formula>
    </cfRule>
    <cfRule type="expression" dxfId="1148" priority="27" stopIfTrue="1">
      <formula>P3=CléCongé</formula>
    </cfRule>
    <cfRule type="expression" dxfId="1147" priority="28" stopIfTrue="1">
      <formula>P3=CléRécupération</formula>
    </cfRule>
    <cfRule type="expression" dxfId="1146" priority="29" stopIfTrue="1">
      <formula>P3=CléFormation</formula>
    </cfRule>
    <cfRule type="expression" dxfId="1145" priority="30" stopIfTrue="1">
      <formula>P3=CléRTT</formula>
    </cfRule>
    <cfRule type="expression" dxfId="1144" priority="31" stopIfTrue="1">
      <formula>P3=CléTélétravail</formula>
    </cfRule>
  </conditionalFormatting>
  <conditionalFormatting sqref="AA3">
    <cfRule type="containsText" dxfId="1143" priority="17" stopIfTrue="1" operator="containsText" text="dim">
      <formula>NOT(ISERROR(SEARCH("dim",AA3)))</formula>
    </cfRule>
  </conditionalFormatting>
  <conditionalFormatting sqref="AA3">
    <cfRule type="containsText" dxfId="1142" priority="16" stopIfTrue="1" operator="containsText" text="dim">
      <formula>NOT(ISERROR(SEARCH("dim",AA3)))</formula>
    </cfRule>
  </conditionalFormatting>
  <conditionalFormatting sqref="C8:AG18">
    <cfRule type="expression" dxfId="1141" priority="1" stopIfTrue="1">
      <formula>C8=CléAbsenceJustifiée</formula>
    </cfRule>
    <cfRule type="expression" dxfId="1140" priority="2" stopIfTrue="1">
      <formula>C8=CléNonTravaillé</formula>
    </cfRule>
    <cfRule type="expression" dxfId="1139" priority="3" stopIfTrue="1">
      <formula>C8=CléPrésenceExceptionnelle</formula>
    </cfRule>
    <cfRule type="expression" dxfId="1138" priority="4" stopIfTrue="1">
      <formula>C8=CléCongéSpécial</formula>
    </cfRule>
    <cfRule type="expression" dxfId="1137" priority="5" stopIfTrue="1">
      <formula>C8=CléDemiRécupération</formula>
    </cfRule>
    <cfRule type="expression" dxfId="1136" priority="6" stopIfTrue="1">
      <formula>C8=CléDemiEnfantMalade</formula>
    </cfRule>
    <cfRule type="expression" dxfId="1135" priority="7" stopIfTrue="1">
      <formula>C8=CléEnfantMalade</formula>
    </cfRule>
    <cfRule type="expression" dxfId="1134" priority="8" stopIfTrue="1">
      <formula>C8=CléDemiRtt</formula>
    </cfRule>
    <cfRule type="expression" priority="9" stopIfTrue="1">
      <formula>C8=""</formula>
    </cfRule>
    <cfRule type="expression" dxfId="1133" priority="10" stopIfTrue="1">
      <formula>C8=CléCongéMalade</formula>
    </cfRule>
    <cfRule type="expression" dxfId="1132" priority="11" stopIfTrue="1">
      <formula>C8=CléCongé</formula>
    </cfRule>
    <cfRule type="expression" dxfId="1131" priority="12" stopIfTrue="1">
      <formula>C8=CléRécupération</formula>
    </cfRule>
    <cfRule type="expression" dxfId="1130" priority="13" stopIfTrue="1">
      <formula>C8=CléFormation</formula>
    </cfRule>
    <cfRule type="expression" dxfId="1129" priority="14" stopIfTrue="1">
      <formula>C8=CléRTT</formula>
    </cfRule>
    <cfRule type="expression" dxfId="1128" priority="15" stopIfTrue="1">
      <formula>C8=CléTélétravail</formula>
    </cfRule>
  </conditionalFormatting>
  <dataValidations count="16">
    <dataValidation allowBlank="1" showInputMessage="1" showErrorMessage="1" prompt="Calcule automatiquement le nombre total de jours d’absence d’un employé durant ce mois dans cette colonne" sqref="AH7" xr:uid="{392E3765-5967-5F49-9AA4-97454329BF7F}"/>
    <dataValidation allowBlank="1" showInputMessage="1" showErrorMessage="1" prompt="Suivez les absences du mois de mars dans cette feuille de calcul" sqref="A1" xr:uid="{B958DC82-5BB3-6F4D-B847-4D1FBE7EEA7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B4197EEA-4B58-8E41-A3C9-8E05FB2035F4}"/>
    <dataValidation allowBlank="1" showInputMessage="1" showErrorMessage="1" prompt="La lettre « M » indique une absence pour cause de maladie" sqref="AG10 U10 S3" xr:uid="{0805F197-3C45-5D44-8532-45E2BF4064E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EF5B19EF-6C6D-F445-806F-C1AF7F688E6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B5857D76-BC94-664F-84C7-0012CDC21CE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5421F493-A31F-8648-8CC2-873E0B9CED9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B96700F-AF7B-8044-9396-0968816A3B1A}"/>
    <dataValidation allowBlank="1" showErrorMessage="1" sqref="B1:Y1 B2:B3" xr:uid="{834BA3B8-AE7C-F641-9116-D4379DF82498}"/>
    <dataValidation allowBlank="1" showErrorMessage="1" prompt="Entrez une étiquette pour décrire la clé personnalisée à gauche" sqref="N3" xr:uid="{1110D081-4450-D24F-8E89-E5060A420017}"/>
    <dataValidation allowBlank="1" showErrorMessage="1" prompt="Entrez une lettre et personnalisez l’étiquette à droite pour ajouter un élément de clé" sqref="I2:I3" xr:uid="{3C943EFA-6AF0-F040-9A3B-C5C8C8C181F6}"/>
    <dataValidation allowBlank="1" showInputMessage="1" showErrorMessage="1" prompt="Entrez une étiquette pour décrire la clé personnalisée à gauche" sqref="J2:J3" xr:uid="{90BE1D7F-8FFA-5D45-9E40-456CC1EC8194}"/>
    <dataValidation allowBlank="1" showInputMessage="1" showErrorMessage="1" prompt="Entrez une lettre et personnalisez l’étiquette à droite pour ajouter un élément de clé" sqref="M3" xr:uid="{6249C861-3CF7-8044-A522-5BD470DA5AE0}"/>
    <dataValidation allowBlank="1" showErrorMessage="1" prompt="La lettre « P » indique une absence pour motifs personnels" sqref="F3" xr:uid="{F6CA74E1-27E1-994B-BAA2-EBB35E820E11}"/>
    <dataValidation allowBlank="1" showErrorMessage="1" prompt="La lettre « C » indique une absence pour cause de congé" sqref="C3" xr:uid="{285882F3-4FE2-A842-AD1E-82EB0627E773}"/>
    <dataValidation allowBlank="1" showInputMessage="1" showErrorMessage="1" prompt="Année mise à jour automatiquement en fonction de l’année entrée dans la feuille de calcul Janvier" sqref="AK5" xr:uid="{39196C44-96C9-5F49-B489-3E9FF48C5841}"/>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CB279B6-4F87-2642-8169-EAF3DA085A3D}">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70B0D600-AA18-6E4E-88AF-E716FF444CDB}">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689CD13-DB79-F947-A7CD-0135813A8595}">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DC17AE2F-E03A-024D-B22F-0617EB2AC7B0}">
          <x14:formula1>
            <xm:f>'Noms des employés'!$B$4:$B$13</xm:f>
          </x14:formula1>
          <xm:sqref>B8:B18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1A6BD-3DC0-4145-BF9B-10A476ED778C}">
  <sheetPr>
    <tabColor theme="2" tint="-0.249977111117893"/>
  </sheetPr>
  <dimension ref="A1:AK19"/>
  <sheetViews>
    <sheetView showGridLines="0" zoomScale="110" zoomScaleNormal="110" workbookViewId="0">
      <selection activeCell="B9" sqref="B9"/>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5" style="4" customWidth="1"/>
    <col min="35" max="36" width="11.1640625" customWidth="1"/>
    <col min="37" max="37" width="21.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45</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2">
        <f>AnnéeCalendrier</f>
        <v>2021</v>
      </c>
    </row>
    <row r="6" spans="1:37" ht="15" customHeight="1">
      <c r="B6" s="15"/>
      <c r="C6" s="58" t="str">
        <f>TEXT(WEEKDAY(DATE(AnnéeCalendrier,4,1),1),"jjj")</f>
        <v>jeu</v>
      </c>
      <c r="D6" s="58" t="str">
        <f>TEXT(WEEKDAY(DATE(AnnéeCalendrier,4,2),1),"jjj")</f>
        <v>ven</v>
      </c>
      <c r="E6" s="58" t="str">
        <f>TEXT(WEEKDAY(DATE(AnnéeCalendrier,4,3),1),"jjj")</f>
        <v>sam</v>
      </c>
      <c r="F6" s="58" t="str">
        <f>TEXT(WEEKDAY(DATE(AnnéeCalendrier,4,4),1),"jjj")</f>
        <v>dim</v>
      </c>
      <c r="G6" s="58" t="str">
        <f>TEXT(WEEKDAY(DATE(AnnéeCalendrier,4,5),1),"jjj")</f>
        <v>lun</v>
      </c>
      <c r="H6" s="58" t="str">
        <f>TEXT(WEEKDAY(DATE(AnnéeCalendrier,4,6),1),"jjj")</f>
        <v>mar</v>
      </c>
      <c r="I6" s="58" t="str">
        <f>TEXT(WEEKDAY(DATE(AnnéeCalendrier,4,7),1),"jjj")</f>
        <v>mer</v>
      </c>
      <c r="J6" s="58" t="str">
        <f>TEXT(WEEKDAY(DATE(AnnéeCalendrier,4,8),1),"jjj")</f>
        <v>jeu</v>
      </c>
      <c r="K6" s="58" t="str">
        <f>TEXT(WEEKDAY(DATE(AnnéeCalendrier,4,9),1),"jjj")</f>
        <v>ven</v>
      </c>
      <c r="L6" s="58" t="str">
        <f>TEXT(WEEKDAY(DATE(AnnéeCalendrier,4,10),1),"jjj")</f>
        <v>sam</v>
      </c>
      <c r="M6" s="58" t="str">
        <f>TEXT(WEEKDAY(DATE(AnnéeCalendrier,4,11),1),"jjj")</f>
        <v>dim</v>
      </c>
      <c r="N6" s="58" t="str">
        <f>TEXT(WEEKDAY(DATE(AnnéeCalendrier,4,12),1),"jjj")</f>
        <v>lun</v>
      </c>
      <c r="O6" s="58" t="str">
        <f>TEXT(WEEKDAY(DATE(AnnéeCalendrier,4,13),1),"jjj")</f>
        <v>mar</v>
      </c>
      <c r="P6" s="58" t="str">
        <f>TEXT(WEEKDAY(DATE(AnnéeCalendrier,4,14),1),"jjj")</f>
        <v>mer</v>
      </c>
      <c r="Q6" s="58" t="str">
        <f>TEXT(WEEKDAY(DATE(AnnéeCalendrier,4,15),1),"jjj")</f>
        <v>jeu</v>
      </c>
      <c r="R6" s="58" t="str">
        <f>TEXT(WEEKDAY(DATE(AnnéeCalendrier,4,16),1),"jjj")</f>
        <v>ven</v>
      </c>
      <c r="S6" s="58" t="str">
        <f>TEXT(WEEKDAY(DATE(AnnéeCalendrier,4,17),1),"jjj")</f>
        <v>sam</v>
      </c>
      <c r="T6" s="58" t="str">
        <f>TEXT(WEEKDAY(DATE(AnnéeCalendrier,4,18),1),"jjj")</f>
        <v>dim</v>
      </c>
      <c r="U6" s="58" t="str">
        <f>TEXT(WEEKDAY(DATE(AnnéeCalendrier,4,19),1),"jjj")</f>
        <v>lun</v>
      </c>
      <c r="V6" s="58" t="str">
        <f>TEXT(WEEKDAY(DATE(AnnéeCalendrier,4,20),1),"jjj")</f>
        <v>mar</v>
      </c>
      <c r="W6" s="58" t="str">
        <f>TEXT(WEEKDAY(DATE(AnnéeCalendrier,4,21),1),"jjj")</f>
        <v>mer</v>
      </c>
      <c r="X6" s="58" t="str">
        <f>TEXT(WEEKDAY(DATE(AnnéeCalendrier,4,22),1),"jjj")</f>
        <v>jeu</v>
      </c>
      <c r="Y6" s="58" t="str">
        <f>TEXT(WEEKDAY(DATE(AnnéeCalendrier,4,23),1),"jjj")</f>
        <v>ven</v>
      </c>
      <c r="Z6" s="58" t="str">
        <f>TEXT(WEEKDAY(DATE(AnnéeCalendrier,4,24),1),"jjj")</f>
        <v>sam</v>
      </c>
      <c r="AA6" s="58" t="str">
        <f>TEXT(WEEKDAY(DATE(AnnéeCalendrier,4,25),1),"jjj")</f>
        <v>dim</v>
      </c>
      <c r="AB6" s="58" t="str">
        <f>TEXT(WEEKDAY(DATE(AnnéeCalendrier,4,26),1),"jjj")</f>
        <v>lun</v>
      </c>
      <c r="AC6" s="58" t="str">
        <f>TEXT(WEEKDAY(DATE(AnnéeCalendrier,4,27),1),"jjj")</f>
        <v>mar</v>
      </c>
      <c r="AD6" s="58" t="str">
        <f>TEXT(WEEKDAY(DATE(AnnéeCalendrier,4,28),1),"jjj")</f>
        <v>mer</v>
      </c>
      <c r="AE6" s="58" t="str">
        <f>TEXT(WEEKDAY(DATE(AnnéeCalendrier,4,29),1),"jjj")</f>
        <v>jeu</v>
      </c>
      <c r="AF6" s="58" t="str">
        <f>TEXT(WEEKDAY(DATE(AnnéeCalendrier,4,30),1),"jjj")</f>
        <v>ven</v>
      </c>
      <c r="AG6" s="58"/>
      <c r="AH6" s="12"/>
      <c r="AI6" s="12"/>
      <c r="AJ6" s="12"/>
      <c r="AK6" s="12"/>
    </row>
    <row r="7" spans="1:37" ht="34" customHeight="1">
      <c r="B7" s="44" t="s">
        <v>3</v>
      </c>
      <c r="C7" s="14" t="s">
        <v>6</v>
      </c>
      <c r="D7" s="14" t="s">
        <v>8</v>
      </c>
      <c r="E7" s="14" t="s">
        <v>9</v>
      </c>
      <c r="F7" s="14" t="s">
        <v>10</v>
      </c>
      <c r="G7" s="5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87</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Mars!AK9-Avril[[#This Row],[Dont RTT]]+2</f>
        <v>11</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Mars!AK10-Avril[[#This Row],[Dont RTT]]+2</f>
        <v>19</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Mars!AK13-Avril[[#This Row],[Dont RTT]]+2</f>
        <v>10.93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Mars!AK14-Avril[[#This Row],[Dont RTT]]+2</f>
        <v>10.5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Mars!AK15-Avril[[#This Row],[Dont RTT]]+2</f>
        <v>13.5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Mars!AK16-Avril[[#This Row],[Dont RTT]]+2</f>
        <v>10.16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Mars!AK17-Avril[[#This Row],[Dont RTT]]+2</f>
        <v>19</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Mars!AK18-Avril[[#This Row],[Dont RTT]]+2</f>
        <v>10.5</v>
      </c>
    </row>
    <row r="19" spans="2:37" ht="30" customHeight="1">
      <c r="B19" s="30" t="str">
        <f>NomMois&amp;" Total"</f>
        <v>Avril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SUBTOTAL(109,Avril[Total absence])</f>
        <v>0</v>
      </c>
      <c r="AI19" s="28">
        <f>SUBTOTAL(109,Avril[Dont RTT])</f>
        <v>0</v>
      </c>
      <c r="AJ19" s="37">
        <f>SUBTOTAL(109,Avril[Dont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AK1 AK19:AK1048576 AK4 AK7">
    <cfRule type="containsText" dxfId="1053" priority="293" stopIfTrue="1" operator="containsText" text="dim">
      <formula>NOT(ISERROR(SEARCH("dim",AK1)))</formula>
    </cfRule>
  </conditionalFormatting>
  <conditionalFormatting sqref="C6:AG6">
    <cfRule type="containsText" dxfId="1052" priority="228" stopIfTrue="1" operator="containsText" text="dim">
      <formula>NOT(ISERROR(SEARCH("dim",C6)))</formula>
    </cfRule>
  </conditionalFormatting>
  <conditionalFormatting sqref="AH7">
    <cfRule type="containsText" dxfId="1051" priority="227" stopIfTrue="1" operator="containsText" text="dim">
      <formula>NOT(ISERROR(SEARCH("dim",AH7)))</formula>
    </cfRule>
  </conditionalFormatting>
  <conditionalFormatting sqref="AI19">
    <cfRule type="containsText" dxfId="1050" priority="225" stopIfTrue="1" operator="containsText" text="dim">
      <formula>NOT(ISERROR(SEARCH("dim",AI19)))</formula>
    </cfRule>
  </conditionalFormatting>
  <conditionalFormatting sqref="C19:AG19">
    <cfRule type="containsText" dxfId="1049" priority="204" stopIfTrue="1" operator="containsText" text="dim">
      <formula>NOT(ISERROR(SEARCH("dim",C19)))</formula>
    </cfRule>
  </conditionalFormatting>
  <conditionalFormatting sqref="AL3:XFD3 A2:A3 AG2:XFD2">
    <cfRule type="containsText" dxfId="1048" priority="201" stopIfTrue="1" operator="containsText" text="dim">
      <formula>NOT(ISERROR(SEARCH("dim",A2)))</formula>
    </cfRule>
  </conditionalFormatting>
  <conditionalFormatting sqref="AJ19">
    <cfRule type="containsText" dxfId="1047" priority="88" stopIfTrue="1" operator="containsText" text="dim">
      <formula>NOT(ISERROR(SEARCH("dim",AJ19)))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{42F8202A-5499-A748-B68E-322587385001}</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{5F766FC9-B2C4-EE49-B646-5D7E9D7BE408}</x14:id>
        </ext>
      </extLst>
    </cfRule>
    <cfRule type="containsText" dxfId="1046"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{1F9B411A-F363-C244-8866-506AEC24FA67}</x14:id>
        </ext>
      </extLst>
    </cfRule>
  </conditionalFormatting>
  <conditionalFormatting sqref="B3:D3 F2:G3 M3:N3 Q3 S3:T3 V2:W3 I2:J3">
    <cfRule type="containsText" dxfId="1045" priority="35" stopIfTrue="1" operator="containsText" text="dim">
      <formula>NOT(ISERROR(SEARCH("dim",B2)))</formula>
    </cfRule>
  </conditionalFormatting>
  <conditionalFormatting sqref="V2:W2">
    <cfRule type="containsText" dxfId="1044" priority="34" stopIfTrue="1" operator="containsText" text="dim">
      <formula>NOT(ISERROR(SEARCH("dim",V2)))</formula>
    </cfRule>
  </conditionalFormatting>
  <conditionalFormatting sqref="AA2">
    <cfRule type="containsText" dxfId="1043" priority="33" stopIfTrue="1" operator="containsText" text="dim">
      <formula>NOT(ISERROR(SEARCH("dim",AA2)))</formula>
    </cfRule>
  </conditionalFormatting>
  <conditionalFormatting sqref="AA2">
    <cfRule type="containsText" dxfId="1042" priority="32" stopIfTrue="1" operator="containsText" text="dim">
      <formula>NOT(ISERROR(SEARCH("dim",AA2)))</formula>
    </cfRule>
  </conditionalFormatting>
  <conditionalFormatting sqref="P3">
    <cfRule type="expression" dxfId="1041" priority="18" stopIfTrue="1">
      <formula>P3=CléNonTravaillé</formula>
    </cfRule>
    <cfRule type="expression" dxfId="1040" priority="19" stopIfTrue="1">
      <formula>P3=CléPrésenceExceptionnelle</formula>
    </cfRule>
    <cfRule type="expression" dxfId="1039" priority="20" stopIfTrue="1">
      <formula>P3=CléCongéSpécial</formula>
    </cfRule>
    <cfRule type="expression" dxfId="1038" priority="21" stopIfTrue="1">
      <formula>P3=CléDemiRécupération</formula>
    </cfRule>
    <cfRule type="expression" dxfId="1037" priority="22" stopIfTrue="1">
      <formula>P3=CléDemiEnfantMalade</formula>
    </cfRule>
    <cfRule type="expression" dxfId="1036" priority="23" stopIfTrue="1">
      <formula>P3=CléEnfantMalade</formula>
    </cfRule>
    <cfRule type="expression" dxfId="1035" priority="24" stopIfTrue="1">
      <formula>P3=CléDemiRtt</formula>
    </cfRule>
    <cfRule type="expression" priority="25" stopIfTrue="1">
      <formula>P3=""</formula>
    </cfRule>
    <cfRule type="expression" dxfId="1034" priority="26" stopIfTrue="1">
      <formula>P3=CléMaladie</formula>
    </cfRule>
    <cfRule type="expression" dxfId="1033" priority="27" stopIfTrue="1">
      <formula>P3=CléCongé</formula>
    </cfRule>
    <cfRule type="expression" dxfId="1032" priority="28" stopIfTrue="1">
      <formula>P3=CléRécupération</formula>
    </cfRule>
    <cfRule type="expression" dxfId="1031" priority="29" stopIfTrue="1">
      <formula>P3=CléFormation</formula>
    </cfRule>
    <cfRule type="expression" dxfId="1030" priority="30" stopIfTrue="1">
      <formula>P3=CléRTT</formula>
    </cfRule>
    <cfRule type="expression" dxfId="1029" priority="31" stopIfTrue="1">
      <formula>P3=CléTélétravail</formula>
    </cfRule>
  </conditionalFormatting>
  <conditionalFormatting sqref="AA3">
    <cfRule type="containsText" dxfId="1028" priority="17" stopIfTrue="1" operator="containsText" text="dim">
      <formula>NOT(ISERROR(SEARCH("dim",AA3)))</formula>
    </cfRule>
  </conditionalFormatting>
  <conditionalFormatting sqref="AA3">
    <cfRule type="containsText" dxfId="1027" priority="16" stopIfTrue="1" operator="containsText" text="dim">
      <formula>NOT(ISERROR(SEARCH("dim",AA3)))</formula>
    </cfRule>
  </conditionalFormatting>
  <conditionalFormatting sqref="C8:AG18">
    <cfRule type="expression" dxfId="1026" priority="1" stopIfTrue="1">
      <formula>C8=CléAbsenceJustifiée</formula>
    </cfRule>
    <cfRule type="expression" dxfId="1025" priority="2" stopIfTrue="1">
      <formula>C8=CléNonTravaillé</formula>
    </cfRule>
    <cfRule type="expression" dxfId="1024" priority="3" stopIfTrue="1">
      <formula>C8=CléPrésenceExceptionnelle</formula>
    </cfRule>
    <cfRule type="expression" dxfId="1023" priority="4" stopIfTrue="1">
      <formula>C8=CléCongéSpécial</formula>
    </cfRule>
    <cfRule type="expression" dxfId="1022" priority="5" stopIfTrue="1">
      <formula>C8=CléDemiRécupération</formula>
    </cfRule>
    <cfRule type="expression" dxfId="1021" priority="6" stopIfTrue="1">
      <formula>C8=CléDemiEnfantMalade</formula>
    </cfRule>
    <cfRule type="expression" dxfId="1020" priority="7" stopIfTrue="1">
      <formula>C8=CléEnfantMalade</formula>
    </cfRule>
    <cfRule type="expression" dxfId="1019" priority="8" stopIfTrue="1">
      <formula>C8=CléDemiRtt</formula>
    </cfRule>
    <cfRule type="expression" priority="9" stopIfTrue="1">
      <formula>C8=""</formula>
    </cfRule>
    <cfRule type="expression" dxfId="1018" priority="10" stopIfTrue="1">
      <formula>C8=CléCongéMalade</formula>
    </cfRule>
    <cfRule type="expression" dxfId="1017" priority="11" stopIfTrue="1">
      <formula>C8=CléCongé</formula>
    </cfRule>
    <cfRule type="expression" dxfId="1016" priority="12" stopIfTrue="1">
      <formula>C8=CléRécupération</formula>
    </cfRule>
    <cfRule type="expression" dxfId="1015" priority="13" stopIfTrue="1">
      <formula>C8=CléFormation</formula>
    </cfRule>
    <cfRule type="expression" dxfId="1014" priority="14" stopIfTrue="1">
      <formula>C8=CléRTT</formula>
    </cfRule>
    <cfRule type="expression" dxfId="1013" priority="15" stopIfTrue="1">
      <formula>C8=CléTélétravail</formula>
    </cfRule>
  </conditionalFormatting>
  <dataValidations count="1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FAE640D8-2DF5-8A40-8095-859BA0CD369A}"/>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5C01EDF2-F02E-204B-91E7-51833A8124D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3C5C1D8-EEFF-E54A-98F5-6F8ABEAFBAF8}"/>
    <dataValidation allowBlank="1" showInputMessage="1" showErrorMessage="1" prompt="Suivez les absences du mois d’avril dans cette feuille de calcul" sqref="A1" xr:uid="{7B7CE15F-E5C9-794F-9D3C-A766E4A4B1F4}"/>
    <dataValidation allowBlank="1" showInputMessage="1" showErrorMessage="1" prompt="Calcule automatiquement le nombre total de jours d’absence d’un employé durant ce mois dans cette colonne" sqref="AH7" xr:uid="{5F4A24E6-9F1E-5B41-AC8F-4F5BE45075B8}"/>
    <dataValidation allowBlank="1" showInputMessage="1" showErrorMessage="1" prompt="Année mise à jour automatiquement en fonction de l’année entrée dans la feuille de calcul Janvier" sqref="AH5 AK5" xr:uid="{254F797B-9BF2-5B4C-AFE9-7AC59BF5514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F2F441D1-AC04-5F4F-8690-C2535193761C}"/>
    <dataValidation allowBlank="1" showErrorMessage="1" prompt="Les jours de la semaine dans cette ligne sont mis à jour automatiquement pour le mois en fonction de l’année dans AH4. Chaque jour du mois est une colonne dans laquelle noter l’absence et le motif d’absence d’un employé" sqref="C6:AG6" xr:uid="{D031B0BE-D128-5B4D-AAE6-5F2DC6C3F2E8}"/>
    <dataValidation allowBlank="1" showErrorMessage="1" sqref="B1:Y1 B2:B3" xr:uid="{1CB90103-6C62-7341-A7BE-85111CC1CE28}"/>
    <dataValidation allowBlank="1" showErrorMessage="1" prompt="Entrez une étiquette pour décrire la clé personnalisée à gauche" sqref="N3" xr:uid="{570DA598-9A39-3748-B6AD-C55AD057E890}"/>
    <dataValidation allowBlank="1" showErrorMessage="1" prompt="Entrez une lettre et personnalisez l’étiquette à droite pour ajouter un élément de clé" sqref="I2:I3" xr:uid="{A961902C-688B-0049-B697-15BE49C86330}"/>
    <dataValidation allowBlank="1" showInputMessage="1" showErrorMessage="1" prompt="Entrez une étiquette pour décrire la clé personnalisée à gauche" sqref="J2:J3" xr:uid="{1CBF9181-0E70-B346-80C6-48A36C3D3A96}"/>
    <dataValidation allowBlank="1" showInputMessage="1" showErrorMessage="1" prompt="Entrez une lettre et personnalisez l’étiquette à droite pour ajouter un élément de clé" sqref="M3" xr:uid="{1D8A4C6C-F4B9-9D47-B5E1-CBFB1432C53E}"/>
    <dataValidation allowBlank="1" showInputMessage="1" showErrorMessage="1" prompt="La lettre « M » indique une absence pour cause de maladie" sqref="S3" xr:uid="{36636B44-814E-0646-912F-1D0C6541F2F5}"/>
    <dataValidation allowBlank="1" showErrorMessage="1" prompt="La lettre « P » indique une absence pour motifs personnels" sqref="F3" xr:uid="{7093A885-B279-8B4A-8D17-2972022A54F6}"/>
    <dataValidation allowBlank="1" showErrorMessage="1" prompt="La lettre « C » indique une absence pour cause de congé" sqref="C3" xr:uid="{2A8DC548-F288-2C44-97ED-2585FDECB243}"/>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2F8202A-5499-A748-B68E-32258738500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F766FC9-B2C4-EE49-B646-5D7E9D7BE408}">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1F9B411A-F363-C244-8866-506AEC24FA67}">
            <x14:dataBar minLength="0" maxLength="100">
              <x14:cfvo type="num">
                <xm:f>0</xm:f>
              </x14:cfvo>
              <x14:cfvo type="num">
                <xm:f>31</xm:f>
              </x14:cfvo>
              <x14:negativeFillColor rgb="FFFF0000"/>
              <x14:axisColor rgb="FF000000"/>
            </x14:dataBar>
          </x14:cfRule>
          <xm:sqref>AI8:AI18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BF70D2B-B0BD-C548-BA96-FFB9C74A43B2}">
          <x14:formula1>
            <xm:f>'Noms des employés'!$B$4:$B$13</xm:f>
          </x14:formula1>
          <xm:sqref>B8:B18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CAFAF-1336-6947-BBC3-260FC00327A7}">
  <sheetPr>
    <tabColor theme="2" tint="-9.9978637043366805E-2"/>
  </sheetPr>
  <dimension ref="A1:AK19"/>
  <sheetViews>
    <sheetView showGridLines="0" zoomScale="110" zoomScaleNormal="110" workbookViewId="0">
      <selection activeCell="A7" sqref="A7:XFD7"/>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5" style="4" customWidth="1"/>
    <col min="35" max="36" width="11.1640625" customWidth="1"/>
    <col min="37" max="37" width="21" customWidth="1"/>
    <col min="38" max="38" width="2.664062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46</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2">
        <f>AnnéeCalendrier</f>
        <v>2021</v>
      </c>
    </row>
    <row r="6" spans="1:37" ht="15" customHeight="1">
      <c r="B6" s="15"/>
      <c r="C6" s="58" t="str">
        <f>TEXT(WEEKDAY(DATE(AnnéeCalendrier,5,1),1),"jjj")</f>
        <v>sam</v>
      </c>
      <c r="D6" s="58" t="str">
        <f>TEXT(WEEKDAY(DATE(AnnéeCalendrier,5,2),1),"jjj")</f>
        <v>dim</v>
      </c>
      <c r="E6" s="58" t="str">
        <f>TEXT(WEEKDAY(DATE(AnnéeCalendrier,5,3),1),"jjj")</f>
        <v>lun</v>
      </c>
      <c r="F6" s="58" t="str">
        <f>TEXT(WEEKDAY(DATE(AnnéeCalendrier,5,4),1),"jjj")</f>
        <v>mar</v>
      </c>
      <c r="G6" s="58" t="str">
        <f>TEXT(WEEKDAY(DATE(AnnéeCalendrier,5,5),1),"jjj")</f>
        <v>mer</v>
      </c>
      <c r="H6" s="58" t="str">
        <f>TEXT(WEEKDAY(DATE(AnnéeCalendrier,5,6),1),"jjj")</f>
        <v>jeu</v>
      </c>
      <c r="I6" s="58" t="str">
        <f>TEXT(WEEKDAY(DATE(AnnéeCalendrier,5,7),1),"jjj")</f>
        <v>ven</v>
      </c>
      <c r="J6" s="58" t="str">
        <f>TEXT(WEEKDAY(DATE(AnnéeCalendrier,5,8),1),"jjj")</f>
        <v>sam</v>
      </c>
      <c r="K6" s="58" t="str">
        <f>TEXT(WEEKDAY(DATE(AnnéeCalendrier,5,9),1),"jjj")</f>
        <v>dim</v>
      </c>
      <c r="L6" s="58" t="str">
        <f>TEXT(WEEKDAY(DATE(AnnéeCalendrier,5,10),1),"jjj")</f>
        <v>lun</v>
      </c>
      <c r="M6" s="58" t="str">
        <f>TEXT(WEEKDAY(DATE(AnnéeCalendrier,5,11),1),"jjj")</f>
        <v>mar</v>
      </c>
      <c r="N6" s="58" t="str">
        <f>TEXT(WEEKDAY(DATE(AnnéeCalendrier,5,12),1),"jjj")</f>
        <v>mer</v>
      </c>
      <c r="O6" s="58" t="str">
        <f>TEXT(WEEKDAY(DATE(AnnéeCalendrier,5,13),1),"jjj")</f>
        <v>jeu</v>
      </c>
      <c r="P6" s="58" t="str">
        <f>TEXT(WEEKDAY(DATE(AnnéeCalendrier,5,14),1),"jjj")</f>
        <v>ven</v>
      </c>
      <c r="Q6" s="58" t="str">
        <f>TEXT(WEEKDAY(DATE(AnnéeCalendrier,5,15),1),"jjj")</f>
        <v>sam</v>
      </c>
      <c r="R6" s="58" t="str">
        <f>TEXT(WEEKDAY(DATE(AnnéeCalendrier,5,16),1),"jjj")</f>
        <v>dim</v>
      </c>
      <c r="S6" s="58" t="str">
        <f>TEXT(WEEKDAY(DATE(AnnéeCalendrier,5,17),1),"jjj")</f>
        <v>lun</v>
      </c>
      <c r="T6" s="58" t="str">
        <f>TEXT(WEEKDAY(DATE(AnnéeCalendrier,5,18),1),"jjj")</f>
        <v>mar</v>
      </c>
      <c r="U6" s="58" t="str">
        <f>TEXT(WEEKDAY(DATE(AnnéeCalendrier,5,19),1),"jjj")</f>
        <v>mer</v>
      </c>
      <c r="V6" s="58" t="str">
        <f>TEXT(WEEKDAY(DATE(AnnéeCalendrier,5,20),1),"jjj")</f>
        <v>jeu</v>
      </c>
      <c r="W6" s="58" t="str">
        <f>TEXT(WEEKDAY(DATE(AnnéeCalendrier,5,21),1),"jjj")</f>
        <v>ven</v>
      </c>
      <c r="X6" s="58" t="str">
        <f>TEXT(WEEKDAY(DATE(AnnéeCalendrier,5,22),1),"jjj")</f>
        <v>sam</v>
      </c>
      <c r="Y6" s="58" t="str">
        <f>TEXT(WEEKDAY(DATE(AnnéeCalendrier,5,23),1),"jjj")</f>
        <v>dim</v>
      </c>
      <c r="Z6" s="58" t="str">
        <f>TEXT(WEEKDAY(DATE(AnnéeCalendrier,5,24),1),"jjj")</f>
        <v>lun</v>
      </c>
      <c r="AA6" s="58" t="str">
        <f>TEXT(WEEKDAY(DATE(AnnéeCalendrier,5,25),1),"jjj")</f>
        <v>mar</v>
      </c>
      <c r="AB6" s="58" t="str">
        <f>TEXT(WEEKDAY(DATE(AnnéeCalendrier,5,26),1),"jjj")</f>
        <v>mer</v>
      </c>
      <c r="AC6" s="58" t="str">
        <f>TEXT(WEEKDAY(DATE(AnnéeCalendrier,5,27),1),"jjj")</f>
        <v>jeu</v>
      </c>
      <c r="AD6" s="58" t="str">
        <f>TEXT(WEEKDAY(DATE(AnnéeCalendrier,5,28),1),"jjj")</f>
        <v>ven</v>
      </c>
      <c r="AE6" s="58" t="str">
        <f>TEXT(WEEKDAY(DATE(AnnéeCalendrier,5,29),1),"jjj")</f>
        <v>sam</v>
      </c>
      <c r="AF6" s="58" t="str">
        <f>TEXT(WEEKDAY(DATE(AnnéeCalendrier,5,30),1),"jjj")</f>
        <v>dim</v>
      </c>
      <c r="AG6" s="58" t="str">
        <f>TEXT(WEEKDAY(DATE(AnnéeCalendrier,5,31),1),"jjj")</f>
        <v>lun</v>
      </c>
      <c r="AH6" s="12"/>
      <c r="AI6" s="12"/>
      <c r="AJ6" s="12"/>
      <c r="AK6" s="12"/>
    </row>
    <row r="7" spans="1:37" ht="34" customHeight="1">
      <c r="B7" s="13" t="s">
        <v>3</v>
      </c>
      <c r="C7" s="54" t="s">
        <v>6</v>
      </c>
      <c r="D7" s="14" t="s">
        <v>8</v>
      </c>
      <c r="E7" s="14" t="s">
        <v>9</v>
      </c>
      <c r="F7" s="14" t="s">
        <v>10</v>
      </c>
      <c r="G7" s="14" t="s">
        <v>12</v>
      </c>
      <c r="H7" s="14" t="s">
        <v>13</v>
      </c>
      <c r="I7" s="14" t="s">
        <v>14</v>
      </c>
      <c r="J7" s="54" t="s">
        <v>15</v>
      </c>
      <c r="K7" s="14" t="s">
        <v>16</v>
      </c>
      <c r="L7" s="14" t="s">
        <v>18</v>
      </c>
      <c r="M7" s="14" t="s">
        <v>19</v>
      </c>
      <c r="N7" s="14" t="s">
        <v>20</v>
      </c>
      <c r="O7" s="54" t="s">
        <v>21</v>
      </c>
      <c r="P7" s="14" t="s">
        <v>22</v>
      </c>
      <c r="Q7" s="14" t="s">
        <v>23</v>
      </c>
      <c r="R7" s="14" t="s">
        <v>24</v>
      </c>
      <c r="S7" s="14" t="s">
        <v>25</v>
      </c>
      <c r="T7" s="14" t="s">
        <v>26</v>
      </c>
      <c r="U7" s="14" t="s">
        <v>27</v>
      </c>
      <c r="V7" s="14" t="s">
        <v>28</v>
      </c>
      <c r="W7" s="14" t="s">
        <v>29</v>
      </c>
      <c r="X7" s="14" t="s">
        <v>30</v>
      </c>
      <c r="Y7" s="14" t="s">
        <v>31</v>
      </c>
      <c r="Z7" s="54" t="s">
        <v>32</v>
      </c>
      <c r="AA7" s="14" t="s">
        <v>33</v>
      </c>
      <c r="AB7" s="14" t="s">
        <v>34</v>
      </c>
      <c r="AC7" s="14" t="s">
        <v>35</v>
      </c>
      <c r="AD7" s="14" t="s">
        <v>36</v>
      </c>
      <c r="AE7" s="14" t="s">
        <v>37</v>
      </c>
      <c r="AF7" s="14" t="s">
        <v>38</v>
      </c>
      <c r="AG7" s="14" t="s">
        <v>39</v>
      </c>
      <c r="AH7" s="26" t="s">
        <v>78</v>
      </c>
      <c r="AI7" s="27" t="s">
        <v>89</v>
      </c>
      <c r="AJ7" s="27" t="s">
        <v>109</v>
      </c>
      <c r="AK7" s="34" t="s">
        <v>88</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Avril!AK9-Mai[[#This Row],[Dont RTT]]+2</f>
        <v>13</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Avril!AK10-Mai[[#This Row],[Dont RTT]]+2</f>
        <v>21</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Avril!AK13-Mai[[#This Row],[Dont RTT]]+2</f>
        <v>12.93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Avril!AK14-Mai[[#This Row],[Dont RTT]]+2</f>
        <v>12.5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Avril!AK15-Mai[[#This Row],[Dont RTT]]+2</f>
        <v>15.5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Avril!AK16-Mai[[#This Row],[Dont RTT]]+2</f>
        <v>12.16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Avril!AK17-Mai[[#This Row],[Dont RTT]]+2</f>
        <v>21</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Avril!AK18-Mai[[#This Row],[Dont RTT]]+2</f>
        <v>12.5</v>
      </c>
    </row>
    <row r="19" spans="2:37" ht="30" customHeight="1">
      <c r="B19" s="30" t="str">
        <f>NomMois&amp;" Total"</f>
        <v>Mai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SUBTOTAL(109,Mai[Total absence])</f>
        <v>0</v>
      </c>
      <c r="AI19" s="28">
        <f>SUBTOTAL(109,Mai[Dont RTT])</f>
        <v>0</v>
      </c>
      <c r="AJ19" s="28">
        <f>SUBTOTAL(109,Mai[Dont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938" priority="134" stopIfTrue="1" operator="containsText" text="dim">
      <formula>NOT(ISERROR(SEARCH("dim",C6)))</formula>
    </cfRule>
  </conditionalFormatting>
  <conditionalFormatting sqref="AH7">
    <cfRule type="containsText" dxfId="937" priority="133" stopIfTrue="1" operator="containsText" text="dim">
      <formula>NOT(ISERROR(SEARCH("dim",AH7)))</formula>
    </cfRule>
  </conditionalFormatting>
  <conditionalFormatting sqref="AI19:AJ19">
    <cfRule type="containsText" dxfId="936" priority="132" stopIfTrue="1" operator="containsText" text="dim">
      <formula>NOT(ISERROR(SEARCH("dim",AI19)))</formula>
    </cfRule>
  </conditionalFormatting>
  <conditionalFormatting sqref="C19:AG19">
    <cfRule type="containsText" dxfId="935" priority="111" stopIfTrue="1" operator="containsText" text="dim">
      <formula>NOT(ISERROR(SEARCH("dim",C19)))</formula>
    </cfRule>
  </conditionalFormatting>
  <conditionalFormatting sqref="AL3:XFD3 A2:A3 AG2:XFD2">
    <cfRule type="containsText" dxfId="934" priority="110" stopIfTrue="1" operator="containsText" text="dim">
      <formula>NOT(ISERROR(SEARCH("dim",A2)))</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{AEC18D99-472E-E94E-A351-1489322E6F41}</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{9697810A-697E-3E4B-921F-5D7A99EDADFE}</x14:id>
        </ext>
      </extLst>
    </cfRule>
    <cfRule type="containsText" dxfId="933"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{9E3B2396-D1E8-404F-ACE1-F54387A2756B}</x14:id>
        </ext>
      </extLst>
    </cfRule>
  </conditionalFormatting>
  <conditionalFormatting sqref="B3:D3 F2:G3 M3:N3 Q3 S3:T3 V2:W3 I2:J3">
    <cfRule type="containsText" dxfId="932" priority="35" stopIfTrue="1" operator="containsText" text="dim">
      <formula>NOT(ISERROR(SEARCH("dim",B2)))</formula>
    </cfRule>
  </conditionalFormatting>
  <conditionalFormatting sqref="V2:W2">
    <cfRule type="containsText" dxfId="931" priority="34" stopIfTrue="1" operator="containsText" text="dim">
      <formula>NOT(ISERROR(SEARCH("dim",V2)))</formula>
    </cfRule>
  </conditionalFormatting>
  <conditionalFormatting sqref="AA2">
    <cfRule type="containsText" dxfId="930" priority="33" stopIfTrue="1" operator="containsText" text="dim">
      <formula>NOT(ISERROR(SEARCH("dim",AA2)))</formula>
    </cfRule>
  </conditionalFormatting>
  <conditionalFormatting sqref="AA2">
    <cfRule type="containsText" dxfId="929" priority="32" stopIfTrue="1" operator="containsText" text="dim">
      <formula>NOT(ISERROR(SEARCH("dim",AA2)))</formula>
    </cfRule>
  </conditionalFormatting>
  <conditionalFormatting sqref="P3">
    <cfRule type="expression" dxfId="928" priority="18" stopIfTrue="1">
      <formula>P3=CléNonTravaillé</formula>
    </cfRule>
    <cfRule type="expression" dxfId="927" priority="19" stopIfTrue="1">
      <formula>P3=CléPrésenceExceptionnelle</formula>
    </cfRule>
    <cfRule type="expression" dxfId="926" priority="20" stopIfTrue="1">
      <formula>P3=CléCongéSpécial</formula>
    </cfRule>
    <cfRule type="expression" dxfId="925" priority="21" stopIfTrue="1">
      <formula>P3=CléDemiRécupération</formula>
    </cfRule>
    <cfRule type="expression" dxfId="924" priority="22" stopIfTrue="1">
      <formula>P3=CléDemiEnfantMalade</formula>
    </cfRule>
    <cfRule type="expression" dxfId="923" priority="23" stopIfTrue="1">
      <formula>P3=CléEnfantMalade</formula>
    </cfRule>
    <cfRule type="expression" dxfId="922" priority="24" stopIfTrue="1">
      <formula>P3=CléDemiRtt</formula>
    </cfRule>
    <cfRule type="expression" priority="25" stopIfTrue="1">
      <formula>P3=""</formula>
    </cfRule>
    <cfRule type="expression" dxfId="921" priority="26" stopIfTrue="1">
      <formula>P3=CléMaladie</formula>
    </cfRule>
    <cfRule type="expression" dxfId="920" priority="27" stopIfTrue="1">
      <formula>P3=CléCongé</formula>
    </cfRule>
    <cfRule type="expression" dxfId="919" priority="28" stopIfTrue="1">
      <formula>P3=CléRécupération</formula>
    </cfRule>
    <cfRule type="expression" dxfId="918" priority="29" stopIfTrue="1">
      <formula>P3=CléFormation</formula>
    </cfRule>
    <cfRule type="expression" dxfId="917" priority="30" stopIfTrue="1">
      <formula>P3=CléRTT</formula>
    </cfRule>
    <cfRule type="expression" dxfId="916" priority="31" stopIfTrue="1">
      <formula>P3=CléTélétravail</formula>
    </cfRule>
  </conditionalFormatting>
  <conditionalFormatting sqref="AA3">
    <cfRule type="containsText" dxfId="915" priority="17" stopIfTrue="1" operator="containsText" text="dim">
      <formula>NOT(ISERROR(SEARCH("dim",AA3)))</formula>
    </cfRule>
  </conditionalFormatting>
  <conditionalFormatting sqref="AA3">
    <cfRule type="containsText" dxfId="914" priority="16" stopIfTrue="1" operator="containsText" text="dim">
      <formula>NOT(ISERROR(SEARCH("dim",AA3)))</formula>
    </cfRule>
  </conditionalFormatting>
  <conditionalFormatting sqref="C8:AG18">
    <cfRule type="expression" dxfId="913" priority="1" stopIfTrue="1">
      <formula>C8=CléAbsenceJustifiée</formula>
    </cfRule>
    <cfRule type="expression" dxfId="912" priority="2" stopIfTrue="1">
      <formula>C8=CléNonTravaillé</formula>
    </cfRule>
    <cfRule type="expression" dxfId="911" priority="3" stopIfTrue="1">
      <formula>C8=CléPrésenceExceptionnelle</formula>
    </cfRule>
    <cfRule type="expression" dxfId="910" priority="4" stopIfTrue="1">
      <formula>C8=CléCongéSpécial</formula>
    </cfRule>
    <cfRule type="expression" dxfId="909" priority="5" stopIfTrue="1">
      <formula>C8=CléDemiRécupération</formula>
    </cfRule>
    <cfRule type="expression" dxfId="908" priority="6" stopIfTrue="1">
      <formula>C8=CléDemiEnfantMalade</formula>
    </cfRule>
    <cfRule type="expression" dxfId="907" priority="7" stopIfTrue="1">
      <formula>C8=CléEnfantMalade</formula>
    </cfRule>
    <cfRule type="expression" dxfId="906" priority="8" stopIfTrue="1">
      <formula>C8=CléDemiRtt</formula>
    </cfRule>
    <cfRule type="expression" priority="9" stopIfTrue="1">
      <formula>C8=""</formula>
    </cfRule>
    <cfRule type="expression" dxfId="905" priority="10" stopIfTrue="1">
      <formula>C8=CléCongéMalade</formula>
    </cfRule>
    <cfRule type="expression" dxfId="904" priority="11" stopIfTrue="1">
      <formula>C8=CléCongé</formula>
    </cfRule>
    <cfRule type="expression" dxfId="903" priority="12" stopIfTrue="1">
      <formula>C8=CléRécupération</formula>
    </cfRule>
    <cfRule type="expression" dxfId="902" priority="13" stopIfTrue="1">
      <formula>C8=CléFormation</formula>
    </cfRule>
    <cfRule type="expression" dxfId="901" priority="14" stopIfTrue="1">
      <formula>C8=CléRTT</formula>
    </cfRule>
    <cfRule type="expression" dxfId="900"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A10E5777-19C4-7E42-97B8-C99A5F770C5E}"/>
    <dataValidation allowBlank="1" showInputMessage="1" showErrorMessage="1" prompt="Année mise à jour automatiquement en fonction de l’année entrée dans la feuille de calcul Janvier" sqref="AH5 AK5" xr:uid="{75397705-4BF7-1748-BE3B-B54018DF703F}"/>
    <dataValidation allowBlank="1" showInputMessage="1" showErrorMessage="1" prompt="Calcule automatiquement le nombre total de jours d’absence d’un employé durant ce mois dans cette colonne" sqref="AH7" xr:uid="{AD7AE540-5428-5A4E-934B-46F36A589115}"/>
    <dataValidation allowBlank="1" showInputMessage="1" showErrorMessage="1" prompt="Suivez les absences du mois de mai dans cette feuille de calcul" sqref="A1" xr:uid="{20C682E7-5B77-8D49-9DED-B4024E4177D7}"/>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317D2B23-8668-B74A-B6CB-3649CF5D5F4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A1D13044-50E5-3D43-B98C-A8D13D3CBB31}"/>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3CC7061-4CE9-1C4D-9BF0-F678ECE10877}"/>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0E5D63A0-13D1-AC4C-83DE-3A26853B0366}"/>
    <dataValidation allowBlank="1" showErrorMessage="1" sqref="B1:Y1 B2:B3" xr:uid="{8C7A00A6-394F-0D4F-9A4E-51120618622F}"/>
    <dataValidation allowBlank="1" showErrorMessage="1" prompt="Entrez une étiquette pour décrire la clé personnalisée à gauche" sqref="N3" xr:uid="{8D537EAA-A823-3A46-83F8-F823C9C4BE41}"/>
    <dataValidation allowBlank="1" showErrorMessage="1" prompt="Entrez une lettre et personnalisez l’étiquette à droite pour ajouter un élément de clé" sqref="I2:I3" xr:uid="{DB146E50-9C2F-9C44-A28B-B6AD30233076}"/>
    <dataValidation allowBlank="1" showInputMessage="1" showErrorMessage="1" prompt="Entrez une étiquette pour décrire la clé personnalisée à gauche" sqref="J2:J3" xr:uid="{3B6B63CC-3A3B-A449-852A-7C3A501FDD2A}"/>
    <dataValidation allowBlank="1" showInputMessage="1" showErrorMessage="1" prompt="Entrez une lettre et personnalisez l’étiquette à droite pour ajouter un élément de clé" sqref="M3" xr:uid="{83EF9FEC-73D1-2149-BD34-74106D720180}"/>
    <dataValidation allowBlank="1" showInputMessage="1" showErrorMessage="1" prompt="La lettre « M » indique une absence pour cause de maladie" sqref="S3" xr:uid="{6864B9EB-6CA8-1148-81E8-FD09153C3A08}"/>
    <dataValidation allowBlank="1" showErrorMessage="1" prompt="La lettre « P » indique une absence pour motifs personnels" sqref="F3" xr:uid="{BF7755E7-D905-FB4B-B583-D1A62796E041}"/>
    <dataValidation allowBlank="1" showErrorMessage="1" prompt="La lettre « C » indique une absence pour cause de congé" sqref="C3" xr:uid="{52ECD499-80AD-1340-9FA2-83F52CE224BB}"/>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AEC18D99-472E-E94E-A351-1489322E6F41}">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9697810A-697E-3E4B-921F-5D7A99EDADFE}">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9E3B2396-D1E8-404F-ACE1-F54387A2756B}">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229" stopIfTrue="1" operator="containsText" text="dim" id="{F110C0A1-67BA-3D4A-951B-F8F1BAA467F7}">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4" stopIfTrue="1" operator="containsText" text="dim" id="{F110C0A1-67BA-3D4A-951B-F8F1BAA467F7}">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5979C5CD-6971-8146-A72F-AC81A108248B}">
          <x14:formula1>
            <xm:f>'Noms des employés'!$B$4:$B$13</xm:f>
          </x14:formula1>
          <xm:sqref>B8:B18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65312-5CB7-DF46-B50D-DA72320A2B61}">
  <sheetPr>
    <tabColor theme="2"/>
  </sheetPr>
  <dimension ref="A1:AK19"/>
  <sheetViews>
    <sheetView showGridLines="0" zoomScale="110" zoomScaleNormal="110" workbookViewId="0">
      <selection activeCell="A7" sqref="A7:XFD7"/>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5" style="4" customWidth="1"/>
    <col min="35" max="36" width="11.1640625" customWidth="1"/>
    <col min="37" max="37" width="19.164062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47</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row>
    <row r="6" spans="1:37" ht="15" customHeight="1">
      <c r="B6" s="15"/>
      <c r="C6" s="58" t="str">
        <f>TEXT(WEEKDAY(DATE(AnnéeCalendrier,6,1),1),"jjj")</f>
        <v>mar</v>
      </c>
      <c r="D6" s="58" t="str">
        <f>TEXT(WEEKDAY(DATE(AnnéeCalendrier,6,2),1),"jjj")</f>
        <v>mer</v>
      </c>
      <c r="E6" s="58" t="str">
        <f>TEXT(WEEKDAY(DATE(AnnéeCalendrier,6,3),1),"jjj")</f>
        <v>jeu</v>
      </c>
      <c r="F6" s="58" t="str">
        <f>TEXT(WEEKDAY(DATE(AnnéeCalendrier,6,4),1),"jjj")</f>
        <v>ven</v>
      </c>
      <c r="G6" s="58" t="str">
        <f>TEXT(WEEKDAY(DATE(AnnéeCalendrier,6,5),1),"jjj")</f>
        <v>sam</v>
      </c>
      <c r="H6" s="58" t="str">
        <f>TEXT(WEEKDAY(DATE(AnnéeCalendrier,6,6),1),"jjj")</f>
        <v>dim</v>
      </c>
      <c r="I6" s="58" t="str">
        <f>TEXT(WEEKDAY(DATE(AnnéeCalendrier,6,7),1),"jjj")</f>
        <v>lun</v>
      </c>
      <c r="J6" s="58" t="str">
        <f>TEXT(WEEKDAY(DATE(AnnéeCalendrier,6,8),1),"jjj")</f>
        <v>mar</v>
      </c>
      <c r="K6" s="58" t="str">
        <f>TEXT(WEEKDAY(DATE(AnnéeCalendrier,6,9),1),"jjj")</f>
        <v>mer</v>
      </c>
      <c r="L6" s="58" t="str">
        <f>TEXT(WEEKDAY(DATE(AnnéeCalendrier,6,10),1),"jjj")</f>
        <v>jeu</v>
      </c>
      <c r="M6" s="58" t="str">
        <f>TEXT(WEEKDAY(DATE(AnnéeCalendrier,6,11),1),"jjj")</f>
        <v>ven</v>
      </c>
      <c r="N6" s="58" t="str">
        <f>TEXT(WEEKDAY(DATE(AnnéeCalendrier,6,12),1),"jjj")</f>
        <v>sam</v>
      </c>
      <c r="O6" s="58" t="str">
        <f>TEXT(WEEKDAY(DATE(AnnéeCalendrier,6,13),1),"jjj")</f>
        <v>dim</v>
      </c>
      <c r="P6" s="58" t="str">
        <f>TEXT(WEEKDAY(DATE(AnnéeCalendrier,6,14),1),"jjj")</f>
        <v>lun</v>
      </c>
      <c r="Q6" s="58" t="str">
        <f>TEXT(WEEKDAY(DATE(AnnéeCalendrier,6,15),1),"jjj")</f>
        <v>mar</v>
      </c>
      <c r="R6" s="58" t="str">
        <f>TEXT(WEEKDAY(DATE(AnnéeCalendrier,6,16),1),"jjj")</f>
        <v>mer</v>
      </c>
      <c r="S6" s="58" t="str">
        <f>TEXT(WEEKDAY(DATE(AnnéeCalendrier,6,17),1),"jjj")</f>
        <v>jeu</v>
      </c>
      <c r="T6" s="58" t="str">
        <f>TEXT(WEEKDAY(DATE(AnnéeCalendrier,6,18),1),"jjj")</f>
        <v>ven</v>
      </c>
      <c r="U6" s="58" t="str">
        <f>TEXT(WEEKDAY(DATE(AnnéeCalendrier,6,19),1),"jjj")</f>
        <v>sam</v>
      </c>
      <c r="V6" s="58" t="str">
        <f>TEXT(WEEKDAY(DATE(AnnéeCalendrier,6,20),1),"jjj")</f>
        <v>dim</v>
      </c>
      <c r="W6" s="58" t="str">
        <f>TEXT(WEEKDAY(DATE(AnnéeCalendrier,6,21),1),"jjj")</f>
        <v>lun</v>
      </c>
      <c r="X6" s="58" t="str">
        <f>TEXT(WEEKDAY(DATE(AnnéeCalendrier,6,22),1),"jjj")</f>
        <v>mar</v>
      </c>
      <c r="Y6" s="58" t="str">
        <f>TEXT(WEEKDAY(DATE(AnnéeCalendrier,6,23),1),"jjj")</f>
        <v>mer</v>
      </c>
      <c r="Z6" s="58" t="str">
        <f>TEXT(WEEKDAY(DATE(AnnéeCalendrier,6,24),1),"jjj")</f>
        <v>jeu</v>
      </c>
      <c r="AA6" s="58" t="str">
        <f>TEXT(WEEKDAY(DATE(AnnéeCalendrier,6,25),1),"jjj")</f>
        <v>ven</v>
      </c>
      <c r="AB6" s="58" t="str">
        <f>TEXT(WEEKDAY(DATE(AnnéeCalendrier,6,26),1),"jjj")</f>
        <v>sam</v>
      </c>
      <c r="AC6" s="58" t="str">
        <f>TEXT(WEEKDAY(DATE(AnnéeCalendrier,6,27),1),"jjj")</f>
        <v>dim</v>
      </c>
      <c r="AD6" s="58" t="str">
        <f>TEXT(WEEKDAY(DATE(AnnéeCalendrier,6,28),1),"jjj")</f>
        <v>lun</v>
      </c>
      <c r="AE6" s="58" t="str">
        <f>TEXT(WEEKDAY(DATE(AnnéeCalendrier,6,29),1),"jjj")</f>
        <v>mar</v>
      </c>
      <c r="AF6" s="58" t="str">
        <f>TEXT(WEEKDAY(DATE(AnnéeCalendrier,6,30),1),"jjj")</f>
        <v>mer</v>
      </c>
      <c r="AG6" s="58"/>
      <c r="AH6" s="12"/>
      <c r="AI6" s="12"/>
      <c r="AJ6" s="12"/>
      <c r="AK6" s="73"/>
    </row>
    <row r="7" spans="1:37"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96</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Mai!AK9-Juin[[#This Row],[Dont RTT]]+2</f>
        <v>15</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Mai!AK10-Juin[[#This Row],[Dont RTT]]+2</f>
        <v>23</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Mai!AK13-Juin[[#This Row],[Dont RTT]]+2</f>
        <v>14.93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Mai!AK14-Juin[[#This Row],[Dont RTT]]+2</f>
        <v>14.5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Mai!AK15-Juin[[#This Row],[Dont RTT]]+2</f>
        <v>17.5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Mai!AK16-Juin[[#This Row],[Dont RTT]]+2</f>
        <v>14.16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Mai!AK17-Juin[[#This Row],[Dont RTT]]+2</f>
        <v>23</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Mai!AK18-Juin[[#This Row],[Dont RTT]]+2</f>
        <v>14.5</v>
      </c>
    </row>
    <row r="19" spans="2:37" ht="30" customHeight="1">
      <c r="B19" s="30" t="str">
        <f>NomMois&amp;" Total"</f>
        <v>Juin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SUBTOTAL(109,Juin[Total absence])</f>
        <v>0</v>
      </c>
      <c r="AI19" s="28">
        <f>SUBTOTAL(109,Juin[Dont RTT])</f>
        <v>0</v>
      </c>
      <c r="AJ19" s="28">
        <f>SUBTOTAL(109,Juin[Dont MALADIE])</f>
        <v>0</v>
      </c>
      <c r="AK19" s="32"/>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823" priority="134" stopIfTrue="1" operator="containsText" text="dim">
      <formula>NOT(ISERROR(SEARCH("dim",C6)))</formula>
    </cfRule>
  </conditionalFormatting>
  <conditionalFormatting sqref="AH7">
    <cfRule type="containsText" dxfId="822" priority="133" stopIfTrue="1" operator="containsText" text="dim">
      <formula>NOT(ISERROR(SEARCH("dim",AH7)))</formula>
    </cfRule>
  </conditionalFormatting>
  <conditionalFormatting sqref="C19:AG19">
    <cfRule type="containsText" dxfId="821" priority="113" stopIfTrue="1" operator="containsText" text="dim">
      <formula>NOT(ISERROR(SEARCH("dim",C19)))</formula>
    </cfRule>
  </conditionalFormatting>
  <conditionalFormatting sqref="AL3:XFD3 A2:A3 AG2:XFD2">
    <cfRule type="containsText" dxfId="820" priority="111" stopIfTrue="1" operator="containsText" text="dim">
      <formula>NOT(ISERROR(SEARCH("dim",A2)))</formula>
    </cfRule>
  </conditionalFormatting>
  <conditionalFormatting sqref="AI19:AJ19">
    <cfRule type="containsText" dxfId="819" priority="88" stopIfTrue="1" operator="containsText" text="dim">
      <formula>NOT(ISERROR(SEARCH("dim",AI19)))</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{70B9ECDB-C64B-AA4F-BE61-4C7B62F857A4}</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{54604054-9397-9644-83AC-EAE5170DEC3C}</x14:id>
        </ext>
      </extLst>
    </cfRule>
    <cfRule type="containsText" dxfId="818"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{52416F6A-C168-1440-A239-2FCB283E0AD6}</x14:id>
        </ext>
      </extLst>
    </cfRule>
  </conditionalFormatting>
  <conditionalFormatting sqref="B3:D3 F2:G3 M3:N3 Q3 S3:T3 V2:W3 I2:J3">
    <cfRule type="containsText" dxfId="817" priority="35" stopIfTrue="1" operator="containsText" text="dim">
      <formula>NOT(ISERROR(SEARCH("dim",B2)))</formula>
    </cfRule>
  </conditionalFormatting>
  <conditionalFormatting sqref="V2:W2">
    <cfRule type="containsText" dxfId="816" priority="34" stopIfTrue="1" operator="containsText" text="dim">
      <formula>NOT(ISERROR(SEARCH("dim",V2)))</formula>
    </cfRule>
  </conditionalFormatting>
  <conditionalFormatting sqref="AA2">
    <cfRule type="containsText" dxfId="815" priority="33" stopIfTrue="1" operator="containsText" text="dim">
      <formula>NOT(ISERROR(SEARCH("dim",AA2)))</formula>
    </cfRule>
  </conditionalFormatting>
  <conditionalFormatting sqref="AA2">
    <cfRule type="containsText" dxfId="814" priority="32" stopIfTrue="1" operator="containsText" text="dim">
      <formula>NOT(ISERROR(SEARCH("dim",AA2)))</formula>
    </cfRule>
  </conditionalFormatting>
  <conditionalFormatting sqref="P3">
    <cfRule type="expression" dxfId="813" priority="18" stopIfTrue="1">
      <formula>P3=CléNonTravaillé</formula>
    </cfRule>
    <cfRule type="expression" dxfId="812" priority="19" stopIfTrue="1">
      <formula>P3=CléPrésenceExceptionnelle</formula>
    </cfRule>
    <cfRule type="expression" dxfId="811" priority="20" stopIfTrue="1">
      <formula>P3=CléCongéSpécial</formula>
    </cfRule>
    <cfRule type="expression" dxfId="810" priority="21" stopIfTrue="1">
      <formula>P3=CléDemiRécupération</formula>
    </cfRule>
    <cfRule type="expression" dxfId="809" priority="22" stopIfTrue="1">
      <formula>P3=CléDemiEnfantMalade</formula>
    </cfRule>
    <cfRule type="expression" dxfId="808" priority="23" stopIfTrue="1">
      <formula>P3=CléEnfantMalade</formula>
    </cfRule>
    <cfRule type="expression" dxfId="807" priority="24" stopIfTrue="1">
      <formula>P3=CléDemiRtt</formula>
    </cfRule>
    <cfRule type="expression" priority="25" stopIfTrue="1">
      <formula>P3=""</formula>
    </cfRule>
    <cfRule type="expression" dxfId="806" priority="26" stopIfTrue="1">
      <formula>P3=CléMaladie</formula>
    </cfRule>
    <cfRule type="expression" dxfId="805" priority="27" stopIfTrue="1">
      <formula>P3=CléCongé</formula>
    </cfRule>
    <cfRule type="expression" dxfId="804" priority="28" stopIfTrue="1">
      <formula>P3=CléRécupération</formula>
    </cfRule>
    <cfRule type="expression" dxfId="803" priority="29" stopIfTrue="1">
      <formula>P3=CléFormation</formula>
    </cfRule>
    <cfRule type="expression" dxfId="802" priority="30" stopIfTrue="1">
      <formula>P3=CléRTT</formula>
    </cfRule>
    <cfRule type="expression" dxfId="801" priority="31" stopIfTrue="1">
      <formula>P3=CléTélétravail</formula>
    </cfRule>
  </conditionalFormatting>
  <conditionalFormatting sqref="AA3">
    <cfRule type="containsText" dxfId="800" priority="17" stopIfTrue="1" operator="containsText" text="dim">
      <formula>NOT(ISERROR(SEARCH("dim",AA3)))</formula>
    </cfRule>
  </conditionalFormatting>
  <conditionalFormatting sqref="AA3">
    <cfRule type="containsText" dxfId="799" priority="16" stopIfTrue="1" operator="containsText" text="dim">
      <formula>NOT(ISERROR(SEARCH("dim",AA3)))</formula>
    </cfRule>
  </conditionalFormatting>
  <conditionalFormatting sqref="C8:AG18">
    <cfRule type="expression" dxfId="798" priority="1" stopIfTrue="1">
      <formula>C8=CléAbsenceJustifiée</formula>
    </cfRule>
    <cfRule type="expression" dxfId="797" priority="2" stopIfTrue="1">
      <formula>C8=CléNonTravaillé</formula>
    </cfRule>
    <cfRule type="expression" dxfId="796" priority="3" stopIfTrue="1">
      <formula>C8=CléPrésenceExceptionnelle</formula>
    </cfRule>
    <cfRule type="expression" dxfId="795" priority="4" stopIfTrue="1">
      <formula>C8=CléCongéSpécial</formula>
    </cfRule>
    <cfRule type="expression" dxfId="794" priority="5" stopIfTrue="1">
      <formula>C8=CléDemiRécupération</formula>
    </cfRule>
    <cfRule type="expression" dxfId="793" priority="6" stopIfTrue="1">
      <formula>C8=CléDemiEnfantMalade</formula>
    </cfRule>
    <cfRule type="expression" dxfId="792" priority="7" stopIfTrue="1">
      <formula>C8=CléEnfantMalade</formula>
    </cfRule>
    <cfRule type="expression" dxfId="791" priority="8" stopIfTrue="1">
      <formula>C8=CléDemiRtt</formula>
    </cfRule>
    <cfRule type="expression" priority="9" stopIfTrue="1">
      <formula>C8=""</formula>
    </cfRule>
    <cfRule type="expression" dxfId="790" priority="10" stopIfTrue="1">
      <formula>C8=CléCongéMalade</formula>
    </cfRule>
    <cfRule type="expression" dxfId="789" priority="11" stopIfTrue="1">
      <formula>C8=CléCongé</formula>
    </cfRule>
    <cfRule type="expression" dxfId="788" priority="12" stopIfTrue="1">
      <formula>C8=CléRécupération</formula>
    </cfRule>
    <cfRule type="expression" dxfId="787" priority="13" stopIfTrue="1">
      <formula>C8=CléFormation</formula>
    </cfRule>
    <cfRule type="expression" dxfId="786" priority="14" stopIfTrue="1">
      <formula>C8=CléRTT</formula>
    </cfRule>
    <cfRule type="expression" dxfId="785" priority="15" stopIfTrue="1">
      <formula>C8=CléTélétravail</formula>
    </cfRule>
  </conditionalFormatting>
  <dataValidations count="1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E21164B-CC8E-0A4F-AADB-C423F28C6F4F}"/>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76E4BFFD-78E5-9543-BDC0-A34E9EF9C7E0}"/>
    <dataValidation allowBlank="1" showInputMessage="1" showErrorMessage="1" prompt="Suivez les absences du mois de juin dans cette feuille de calcul" sqref="A1" xr:uid="{C7821271-BEB3-A648-B567-23C153DCFDD4}"/>
    <dataValidation allowBlank="1" showInputMessage="1" showErrorMessage="1" prompt="Calcule automatiquement le nombre total de jours d’absence d’un employé durant ce mois dans cette colonne" sqref="AH7" xr:uid="{46B2F1A8-2E25-4142-BFE0-EF528DDBEE0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4586A70E-C5AE-EA41-B730-820914CE652B}"/>
    <dataValidation allowBlank="1" showErrorMessage="1" sqref="B2:B6 C4:AH6 AD1:AH1 B1:Y1" xr:uid="{FBE99686-406D-7342-B80D-C85ED4C7FA0A}"/>
    <dataValidation allowBlank="1" showErrorMessage="1" prompt="Entrez une étiquette pour décrire la clé personnalisée à gauche" sqref="N3" xr:uid="{18593C1B-299C-8F46-ABE8-EF7F5BC09B05}"/>
    <dataValidation allowBlank="1" showErrorMessage="1" prompt="Entrez une lettre et personnalisez l’étiquette à droite pour ajouter un élément de clé" sqref="I2:I3" xr:uid="{49C4750F-C504-564F-985F-B049C712C7A1}"/>
    <dataValidation allowBlank="1" showInputMessage="1" showErrorMessage="1" prompt="Entrez une étiquette pour décrire la clé personnalisée à gauche" sqref="J2:J3" xr:uid="{A725C2A8-0FAD-CD40-AADE-B1C88C968B47}"/>
    <dataValidation allowBlank="1" showInputMessage="1" showErrorMessage="1" prompt="Entrez une lettre et personnalisez l’étiquette à droite pour ajouter un élément de clé" sqref="M3" xr:uid="{E35E74DF-3E30-5A4B-A7D1-97CBDE1D834A}"/>
    <dataValidation allowBlank="1" showInputMessage="1" showErrorMessage="1" prompt="La lettre « M » indique une absence pour cause de maladie" sqref="S3" xr:uid="{62F6974D-4BBD-824E-82B3-5563621AF48D}"/>
    <dataValidation allowBlank="1" showErrorMessage="1" prompt="La lettre « P » indique une absence pour motifs personnels" sqref="F3" xr:uid="{FA33B147-0056-5947-BE90-09ED03092422}"/>
    <dataValidation allowBlank="1" showErrorMessage="1" prompt="La lettre « C » indique une absence pour cause de congé" sqref="C3" xr:uid="{E348C5A8-AD1A-5944-A2A8-3B9ED3DD117D}"/>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0B9ECDB-C64B-AA4F-BE61-4C7B62F857A4}">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4604054-9397-9644-83AC-EAE5170DEC3C}">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52416F6A-C168-1440-A239-2FCB283E0AD6}">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87" stopIfTrue="1" operator="containsText" text="dim" id="{2A258A5D-0A9C-BD4F-A33D-D6DD39333A38}">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597" stopIfTrue="1" operator="containsText" text="dim" id="{2A258A5D-0A9C-BD4F-A33D-D6DD39333A38}">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554CBD8-A1A3-5C47-A9C4-AC591341B7A3}">
          <x14:formula1>
            <xm:f>'Noms des employés'!$B$4:$B$13</xm:f>
          </x14:formula1>
          <xm:sqref>B8:B18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30BD0-F0F2-C241-A1DB-AE8486F544C7}">
  <sheetPr>
    <tabColor theme="1"/>
  </sheetPr>
  <dimension ref="A1:AK19"/>
  <sheetViews>
    <sheetView showGridLines="0" zoomScale="110" zoomScaleNormal="110" workbookViewId="0">
      <selection activeCell="A7" sqref="A7:XFD8"/>
    </sheetView>
  </sheetViews>
  <sheetFormatPr baseColWidth="10" defaultColWidth="9.1640625" defaultRowHeight="30" customHeight="1"/>
  <cols>
    <col min="1" max="1" width="2.6640625" style="4" customWidth="1"/>
    <col min="2" max="2" width="26" style="4" customWidth="1"/>
    <col min="3" max="33" width="4.6640625" style="4" customWidth="1"/>
    <col min="34" max="34" width="13.5" style="4" customWidth="1"/>
    <col min="35" max="36" width="11.1640625" customWidth="1"/>
    <col min="37" max="37" width="19" bestFit="1"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48</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row>
    <row r="6" spans="1:37" ht="15" customHeight="1">
      <c r="B6" s="15"/>
      <c r="C6" s="58" t="str">
        <f>TEXT(WEEKDAY(DATE(AnnéeCalendrier,7,1),1),"jjj")</f>
        <v>jeu</v>
      </c>
      <c r="D6" s="58" t="str">
        <f>TEXT(WEEKDAY(DATE(AnnéeCalendrier,7,2),1),"jjj")</f>
        <v>ven</v>
      </c>
      <c r="E6" s="58" t="str">
        <f>TEXT(WEEKDAY(DATE(AnnéeCalendrier,7,3),1),"jjj")</f>
        <v>sam</v>
      </c>
      <c r="F6" s="58" t="str">
        <f>TEXT(WEEKDAY(DATE(AnnéeCalendrier,7,4),1),"jjj")</f>
        <v>dim</v>
      </c>
      <c r="G6" s="58" t="str">
        <f>TEXT(WEEKDAY(DATE(AnnéeCalendrier,7,5),1),"jjj")</f>
        <v>lun</v>
      </c>
      <c r="H6" s="58" t="str">
        <f>TEXT(WEEKDAY(DATE(AnnéeCalendrier,7,6),1),"jjj")</f>
        <v>mar</v>
      </c>
      <c r="I6" s="58" t="str">
        <f>TEXT(WEEKDAY(DATE(AnnéeCalendrier,7,7),1),"jjj")</f>
        <v>mer</v>
      </c>
      <c r="J6" s="58" t="str">
        <f>TEXT(WEEKDAY(DATE(AnnéeCalendrier,7,8),1),"jjj")</f>
        <v>jeu</v>
      </c>
      <c r="K6" s="58" t="str">
        <f>TEXT(WEEKDAY(DATE(AnnéeCalendrier,7,9),1),"jjj")</f>
        <v>ven</v>
      </c>
      <c r="L6" s="58" t="str">
        <f>TEXT(WEEKDAY(DATE(AnnéeCalendrier,7,10),1),"jjj")</f>
        <v>sam</v>
      </c>
      <c r="M6" s="58" t="str">
        <f>TEXT(WEEKDAY(DATE(AnnéeCalendrier,7,11),1),"jjj")</f>
        <v>dim</v>
      </c>
      <c r="N6" s="58" t="str">
        <f>TEXT(WEEKDAY(DATE(AnnéeCalendrier,7,12),1),"jjj")</f>
        <v>lun</v>
      </c>
      <c r="O6" s="58" t="str">
        <f>TEXT(WEEKDAY(DATE(AnnéeCalendrier,7,13),1),"jjj")</f>
        <v>mar</v>
      </c>
      <c r="P6" s="58" t="str">
        <f>TEXT(WEEKDAY(DATE(AnnéeCalendrier,7,14),1),"jjj")</f>
        <v>mer</v>
      </c>
      <c r="Q6" s="58" t="str">
        <f>TEXT(WEEKDAY(DATE(AnnéeCalendrier,7,15),1),"jjj")</f>
        <v>jeu</v>
      </c>
      <c r="R6" s="58" t="str">
        <f>TEXT(WEEKDAY(DATE(AnnéeCalendrier,7,16),1),"jjj")</f>
        <v>ven</v>
      </c>
      <c r="S6" s="58" t="str">
        <f>TEXT(WEEKDAY(DATE(AnnéeCalendrier,7,17),1),"jjj")</f>
        <v>sam</v>
      </c>
      <c r="T6" s="58" t="str">
        <f>TEXT(WEEKDAY(DATE(AnnéeCalendrier,7,18),1),"jjj")</f>
        <v>dim</v>
      </c>
      <c r="U6" s="58" t="str">
        <f>TEXT(WEEKDAY(DATE(AnnéeCalendrier,7,19),1),"jjj")</f>
        <v>lun</v>
      </c>
      <c r="V6" s="58" t="str">
        <f>TEXT(WEEKDAY(DATE(AnnéeCalendrier,7,20),1),"jjj")</f>
        <v>mar</v>
      </c>
      <c r="W6" s="58" t="str">
        <f>TEXT(WEEKDAY(DATE(AnnéeCalendrier,7,21),1),"jjj")</f>
        <v>mer</v>
      </c>
      <c r="X6" s="58" t="str">
        <f>TEXT(WEEKDAY(DATE(AnnéeCalendrier,7,22),1),"jjj")</f>
        <v>jeu</v>
      </c>
      <c r="Y6" s="58" t="str">
        <f>TEXT(WEEKDAY(DATE(AnnéeCalendrier,7,23),1),"jjj")</f>
        <v>ven</v>
      </c>
      <c r="Z6" s="58" t="str">
        <f>TEXT(WEEKDAY(DATE(AnnéeCalendrier,7,24),1),"jjj")</f>
        <v>sam</v>
      </c>
      <c r="AA6" s="58" t="str">
        <f>TEXT(WEEKDAY(DATE(AnnéeCalendrier,7,25),1),"jjj")</f>
        <v>dim</v>
      </c>
      <c r="AB6" s="58" t="str">
        <f>TEXT(WEEKDAY(DATE(AnnéeCalendrier,7,26),1),"jjj")</f>
        <v>lun</v>
      </c>
      <c r="AC6" s="58" t="str">
        <f>TEXT(WEEKDAY(DATE(AnnéeCalendrier,7,27),1),"jjj")</f>
        <v>mar</v>
      </c>
      <c r="AD6" s="58" t="str">
        <f>TEXT(WEEKDAY(DATE(AnnéeCalendrier,7,28),1),"jjj")</f>
        <v>mer</v>
      </c>
      <c r="AE6" s="58" t="str">
        <f>TEXT(WEEKDAY(DATE(AnnéeCalendrier,7,29),1),"jjj")</f>
        <v>jeu</v>
      </c>
      <c r="AF6" s="58" t="str">
        <f>TEXT(WEEKDAY(DATE(AnnéeCalendrier,7,30),1),"jjj")</f>
        <v>ven</v>
      </c>
      <c r="AG6" s="58" t="str">
        <f>TEXT(WEEKDAY(DATE(AnnéeCalendrier,7,31),1),"jjj")</f>
        <v>sam</v>
      </c>
      <c r="AH6" s="12"/>
      <c r="AI6" s="12"/>
      <c r="AJ6" s="12"/>
      <c r="AK6" s="12"/>
    </row>
    <row r="7" spans="1:37"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51"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90</v>
      </c>
    </row>
    <row r="8" spans="1:37" ht="30" customHeight="1">
      <c r="B8" s="10"/>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Juin!AK9-Juillet[[#This Row],[Dont RTT]]+2</f>
        <v>17</v>
      </c>
    </row>
    <row r="10" spans="1:37" ht="30" customHeight="1">
      <c r="B10" s="10"/>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Juin!AK10-Juillet[[#This Row],[Dont RTT]]+2</f>
        <v>25</v>
      </c>
    </row>
    <row r="11" spans="1:37" ht="30" customHeight="1">
      <c r="B11" s="3"/>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Juin!AK13-Juillet[[#This Row],[Dont RTT]]+2</f>
        <v>16.93</v>
      </c>
    </row>
    <row r="14" spans="1:37" ht="30" customHeight="1">
      <c r="B14" s="9"/>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Juin!AK14-Juillet[[#This Row],[Dont RTT]]+2</f>
        <v>16.5</v>
      </c>
    </row>
    <row r="15" spans="1:37" ht="30" customHeight="1">
      <c r="B15" s="9"/>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Juin!AK15-Juillet[[#This Row],[Dont RTT]]+2</f>
        <v>19.5</v>
      </c>
    </row>
    <row r="16" spans="1:37" ht="30" customHeight="1">
      <c r="B16" s="9"/>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Juin!AK16-Juillet[[#This Row],[Dont RTT]]+2</f>
        <v>16.16</v>
      </c>
    </row>
    <row r="17" spans="2:37" ht="30" customHeight="1">
      <c r="B17" s="9"/>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Juin!AK17-Juillet[[#This Row],[Dont RTT]]+2</f>
        <v>25</v>
      </c>
    </row>
    <row r="18" spans="2:37" ht="30" customHeight="1">
      <c r="B18" s="9"/>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Juin!AK18-Juillet[[#This Row],[Dont RTT]]+2</f>
        <v>16.5</v>
      </c>
    </row>
    <row r="19" spans="2:37" ht="30" customHeight="1">
      <c r="B19" s="30" t="str">
        <f>NomMois&amp;" Total"</f>
        <v>Juillet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8">
        <f>SUBTOTAL(109,Juillet[Total absence])</f>
        <v>0</v>
      </c>
      <c r="AI19" s="28">
        <f>SUBTOTAL(109,Juillet[Dont RTT])</f>
        <v>0</v>
      </c>
      <c r="AJ19" s="28">
        <f>SUBTOTAL(109,Juillet[Dont MALADIE])</f>
        <v>0</v>
      </c>
      <c r="AK19" s="4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708" priority="135" stopIfTrue="1" operator="containsText" text="dim">
      <formula>NOT(ISERROR(SEARCH("dim",C6)))</formula>
    </cfRule>
  </conditionalFormatting>
  <conditionalFormatting sqref="AH7">
    <cfRule type="containsText" dxfId="707" priority="134" stopIfTrue="1" operator="containsText" text="dim">
      <formula>NOT(ISERROR(SEARCH("dim",AH7)))</formula>
    </cfRule>
  </conditionalFormatting>
  <conditionalFormatting sqref="C19:AG19">
    <cfRule type="containsText" dxfId="706" priority="114" stopIfTrue="1" operator="containsText" text="dim">
      <formula>NOT(ISERROR(SEARCH("dim",C19)))</formula>
    </cfRule>
  </conditionalFormatting>
  <conditionalFormatting sqref="AL3:XFD3 A2:A3 AG2:XFD2">
    <cfRule type="containsText" dxfId="705" priority="112" stopIfTrue="1" operator="containsText" text="dim">
      <formula>NOT(ISERROR(SEARCH("dim",A2)))</formula>
    </cfRule>
  </conditionalFormatting>
  <conditionalFormatting sqref="AJ8:AJ18">
    <cfRule type="dataBar" priority="65">
      <dataBar>
        <cfvo type="num" val="0"/>
        <cfvo type="num" val="31"/>
        <color rgb="FFFF0000"/>
      </dataBar>
      <extLst>
        <ext xmlns:x14="http://schemas.microsoft.com/office/spreadsheetml/2009/9/main" uri="{B025F937-C7B1-47D3-B67F-A62EFF666E3E}">
          <x14:id>{408B9725-BA4E-3F45-A081-A3B4EF7A9D08}</x14:id>
        </ext>
      </extLst>
    </cfRule>
  </conditionalFormatting>
  <conditionalFormatting sqref="AH8:AH18">
    <cfRule type="dataBar" priority="53">
      <dataBar>
        <cfvo type="num" val="0"/>
        <cfvo type="num" val="31"/>
        <color rgb="FF00B0F0"/>
      </dataBar>
      <extLst>
        <ext xmlns:x14="http://schemas.microsoft.com/office/spreadsheetml/2009/9/main" uri="{B025F937-C7B1-47D3-B67F-A62EFF666E3E}">
          <x14:id>{2E735621-44A4-BB48-8DEF-914BA57FDD72}</x14:id>
        </ext>
      </extLst>
    </cfRule>
    <cfRule type="containsText" dxfId="704"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{2A6C340E-12A6-E14B-ABFC-CF681A939FFD}</x14:id>
        </ext>
      </extLst>
    </cfRule>
  </conditionalFormatting>
  <conditionalFormatting sqref="B3:D3 F2:G3 M3:N3 Q3 S3:T3 V2:W3 I2:J3">
    <cfRule type="containsText" dxfId="703" priority="35" stopIfTrue="1" operator="containsText" text="dim">
      <formula>NOT(ISERROR(SEARCH("dim",B2)))</formula>
    </cfRule>
  </conditionalFormatting>
  <conditionalFormatting sqref="V2:W2">
    <cfRule type="containsText" dxfId="702" priority="34" stopIfTrue="1" operator="containsText" text="dim">
      <formula>NOT(ISERROR(SEARCH("dim",V2)))</formula>
    </cfRule>
  </conditionalFormatting>
  <conditionalFormatting sqref="AA2">
    <cfRule type="containsText" dxfId="701" priority="33" stopIfTrue="1" operator="containsText" text="dim">
      <formula>NOT(ISERROR(SEARCH("dim",AA2)))</formula>
    </cfRule>
  </conditionalFormatting>
  <conditionalFormatting sqref="AA2">
    <cfRule type="containsText" dxfId="700" priority="32" stopIfTrue="1" operator="containsText" text="dim">
      <formula>NOT(ISERROR(SEARCH("dim",AA2)))</formula>
    </cfRule>
  </conditionalFormatting>
  <conditionalFormatting sqref="P3">
    <cfRule type="expression" dxfId="699" priority="18" stopIfTrue="1">
      <formula>P3=CléNonTravaillé</formula>
    </cfRule>
    <cfRule type="expression" dxfId="698" priority="19" stopIfTrue="1">
      <formula>P3=CléPrésenceExceptionnelle</formula>
    </cfRule>
    <cfRule type="expression" dxfId="697" priority="20" stopIfTrue="1">
      <formula>P3=CléCongéSpécial</formula>
    </cfRule>
    <cfRule type="expression" dxfId="696" priority="21" stopIfTrue="1">
      <formula>P3=CléDemiRécupération</formula>
    </cfRule>
    <cfRule type="expression" dxfId="695" priority="22" stopIfTrue="1">
      <formula>P3=CléDemiEnfantMalade</formula>
    </cfRule>
    <cfRule type="expression" dxfId="694" priority="23" stopIfTrue="1">
      <formula>P3=CléEnfantMalade</formula>
    </cfRule>
    <cfRule type="expression" dxfId="693" priority="24" stopIfTrue="1">
      <formula>P3=CléDemiRtt</formula>
    </cfRule>
    <cfRule type="expression" priority="25" stopIfTrue="1">
      <formula>P3=""</formula>
    </cfRule>
    <cfRule type="expression" dxfId="692" priority="26" stopIfTrue="1">
      <formula>P3=CléMaladie</formula>
    </cfRule>
    <cfRule type="expression" dxfId="691" priority="27" stopIfTrue="1">
      <formula>P3=CléCongé</formula>
    </cfRule>
    <cfRule type="expression" dxfId="690" priority="28" stopIfTrue="1">
      <formula>P3=CléRécupération</formula>
    </cfRule>
    <cfRule type="expression" dxfId="689" priority="29" stopIfTrue="1">
      <formula>P3=CléFormation</formula>
    </cfRule>
    <cfRule type="expression" dxfId="688" priority="30" stopIfTrue="1">
      <formula>P3=CléRTT</formula>
    </cfRule>
    <cfRule type="expression" dxfId="687" priority="31" stopIfTrue="1">
      <formula>P3=CléTélétravail</formula>
    </cfRule>
  </conditionalFormatting>
  <conditionalFormatting sqref="AA3">
    <cfRule type="containsText" dxfId="686" priority="17" stopIfTrue="1" operator="containsText" text="dim">
      <formula>NOT(ISERROR(SEARCH("dim",AA3)))</formula>
    </cfRule>
  </conditionalFormatting>
  <conditionalFormatting sqref="AA3">
    <cfRule type="containsText" dxfId="685" priority="16" stopIfTrue="1" operator="containsText" text="dim">
      <formula>NOT(ISERROR(SEARCH("dim",AA3)))</formula>
    </cfRule>
  </conditionalFormatting>
  <conditionalFormatting sqref="C8:AG18">
    <cfRule type="expression" dxfId="684" priority="1" stopIfTrue="1">
      <formula>C8=CléAbsenceJustifiée</formula>
    </cfRule>
    <cfRule type="expression" dxfId="683" priority="2" stopIfTrue="1">
      <formula>C8=CléNonTravaillé</formula>
    </cfRule>
    <cfRule type="expression" dxfId="682" priority="3" stopIfTrue="1">
      <formula>C8=CléPrésenceExceptionnelle</formula>
    </cfRule>
    <cfRule type="expression" dxfId="681" priority="4" stopIfTrue="1">
      <formula>C8=CléCongéSpécial</formula>
    </cfRule>
    <cfRule type="expression" dxfId="680" priority="5" stopIfTrue="1">
      <formula>C8=CléDemiRécupération</formula>
    </cfRule>
    <cfRule type="expression" dxfId="679" priority="6" stopIfTrue="1">
      <formula>C8=CléDemiEnfantMalade</formula>
    </cfRule>
    <cfRule type="expression" dxfId="678" priority="7" stopIfTrue="1">
      <formula>C8=CléEnfantMalade</formula>
    </cfRule>
    <cfRule type="expression" dxfId="677" priority="8" stopIfTrue="1">
      <formula>C8=CléDemiRtt</formula>
    </cfRule>
    <cfRule type="expression" priority="9" stopIfTrue="1">
      <formula>C8=""</formula>
    </cfRule>
    <cfRule type="expression" dxfId="676" priority="10" stopIfTrue="1">
      <formula>C8=CléCongéMalade</formula>
    </cfRule>
    <cfRule type="expression" dxfId="675" priority="11" stopIfTrue="1">
      <formula>C8=CléCongé</formula>
    </cfRule>
    <cfRule type="expression" dxfId="674" priority="12" stopIfTrue="1">
      <formula>C8=CléRécupération</formula>
    </cfRule>
    <cfRule type="expression" dxfId="673" priority="13" stopIfTrue="1">
      <formula>C8=CléFormation</formula>
    </cfRule>
    <cfRule type="expression" dxfId="672" priority="14" stopIfTrue="1">
      <formula>C8=CléRTT</formula>
    </cfRule>
    <cfRule type="expression" dxfId="671"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63613924-DE8B-6C42-9855-41DB04B7870B}"/>
    <dataValidation allowBlank="1" showInputMessage="1" showErrorMessage="1" prompt="Année mise à jour automatiquement en fonction de l’année entrée dans la feuille de calcul Janvier" sqref="AH5" xr:uid="{7C83C222-D391-4B40-8F50-47C2BDB9C522}"/>
    <dataValidation allowBlank="1" showInputMessage="1" showErrorMessage="1" prompt="Calcule automatiquement le nombre total de jours d’absence d’un employé durant ce mois dans cette colonne" sqref="AH7" xr:uid="{108B7C77-C0D6-0E46-9785-06A2E20E29FB}"/>
    <dataValidation allowBlank="1" showInputMessage="1" showErrorMessage="1" prompt="Suivez les absences du mois de juillet dans cette feuille de calcul" sqref="A1" xr:uid="{0F1BB49D-C98F-B24C-93B1-607E23D0E0FC}"/>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A5E443D2-FDC6-EE41-B0C2-84D6E1C44AD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F8DC9F3-8C92-A142-8F97-06232BC47E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DDE63753-6B39-F842-8F05-3938C86464EE}"/>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2380D19-95C8-004D-90F9-E53FFD5A4692}"/>
    <dataValidation allowBlank="1" showErrorMessage="1" sqref="B2:B3 B1:Y1" xr:uid="{C19D9715-7C8C-4840-A534-FDFF8D377866}"/>
    <dataValidation allowBlank="1" showErrorMessage="1" prompt="Entrez une étiquette pour décrire la clé personnalisée à gauche" sqref="N3" xr:uid="{F94B4426-EFE0-EE42-B995-FC3922063EF4}"/>
    <dataValidation allowBlank="1" showErrorMessage="1" prompt="Entrez une lettre et personnalisez l’étiquette à droite pour ajouter un élément de clé" sqref="I2:I3" xr:uid="{B8EBE9DB-8A7F-7843-A667-F988518DC2C5}"/>
    <dataValidation allowBlank="1" showInputMessage="1" showErrorMessage="1" prompt="Entrez une étiquette pour décrire la clé personnalisée à gauche" sqref="J2:J3" xr:uid="{236B7885-FDEA-AB41-BAAE-1952AD16E328}"/>
    <dataValidation allowBlank="1" showInputMessage="1" showErrorMessage="1" prompt="Entrez une lettre et personnalisez l’étiquette à droite pour ajouter un élément de clé" sqref="M3" xr:uid="{C42D8FEA-AAEE-FC4D-ACE7-3F0A70F05BE7}"/>
    <dataValidation allowBlank="1" showInputMessage="1" showErrorMessage="1" prompt="La lettre « M » indique une absence pour cause de maladie" sqref="S3" xr:uid="{6BE246D1-04EB-1149-A164-9AA0A2638C4C}"/>
    <dataValidation allowBlank="1" showErrorMessage="1" prompt="La lettre « P » indique une absence pour motifs personnels" sqref="F3" xr:uid="{4081B12F-6D9C-544A-81D8-9AD29B26CC53}"/>
    <dataValidation allowBlank="1" showErrorMessage="1" prompt="La lettre « C » indique une absence pour cause de congé" sqref="C3" xr:uid="{5BB5E604-0F0A-E349-B353-6C793A15CD7C}"/>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08B9725-BA4E-3F45-A081-A3B4EF7A9D08}">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2E735621-44A4-BB48-8DEF-914BA57FDD72}">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2A6C340E-12A6-E14B-ABFC-CF681A939FFD}">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64" stopIfTrue="1" operator="containsText" text="dim" id="{12D51DEC-8727-894B-A505-6AC52C69404B}">
            <xm:f>NOT(ISERROR(SEARCH("dim",Avril!AK17)))</xm:f>
            <x14:dxf>
              <font>
                <color theme="9"/>
              </font>
              <fill>
                <patternFill patternType="none">
                  <bgColor auto="1"/>
                </patternFill>
              </fill>
            </x14:dxf>
          </x14:cfRule>
          <xm:sqref>AK19:AK1048576</xm:sqref>
        </x14:conditionalFormatting>
        <x14:conditionalFormatting xmlns:xm="http://schemas.microsoft.com/office/excel/2006/main">
          <x14:cfRule type="containsText" priority="89" stopIfTrue="1" operator="containsText" text="dim" id="{968D20C4-6906-D84F-8CCB-57EE16113673}">
            <xm:f>NOT(ISERROR(SEARCH("dim",Juin!AI19)))</xm:f>
            <x14:dxf>
              <font>
                <color theme="9"/>
              </font>
              <fill>
                <patternFill patternType="none">
                  <bgColor auto="1"/>
                </patternFill>
              </fill>
            </x14:dxf>
          </x14:cfRule>
          <xm:sqref>AI19:AJ19</xm:sqref>
        </x14:conditionalFormatting>
        <x14:conditionalFormatting xmlns:xm="http://schemas.microsoft.com/office/excel/2006/main">
          <x14:cfRule type="containsText" priority="464" stopIfTrue="1" operator="containsText" text="dim" id="{12D51DEC-8727-894B-A505-6AC52C69404B}">
            <xm:f>NOT(ISERROR(SEARCH("dim",Avril!AK1)))</xm:f>
            <x14:dxf>
              <font>
                <color theme="9"/>
              </font>
              <fill>
                <patternFill patternType="none">
                  <bgColor auto="1"/>
                </patternFill>
              </fill>
            </x14:dxf>
          </x14:cfRule>
          <xm:sqref>AK1 AK4 AK7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E148C79-7E18-2449-B48F-EF57CAA16718}">
          <x14:formula1>
            <xm:f>'Noms des employés'!$B$4:$B$13</xm:f>
          </x14:formula1>
          <xm:sqref>B8:B18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5DFFE-6BEA-444B-A5FA-33147DE478F5}">
  <sheetPr>
    <tabColor theme="2" tint="-0.749992370372631"/>
  </sheetPr>
  <dimension ref="A1:AK19"/>
  <sheetViews>
    <sheetView showGridLines="0" zoomScale="110" zoomScaleNormal="110" workbookViewId="0">
      <selection activeCell="A7" sqref="A7:XFD8"/>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5" style="4" customWidth="1"/>
    <col min="35" max="36" width="11.1640625" customWidth="1"/>
    <col min="37" max="37" width="20.164062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49</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row>
    <row r="6" spans="1:37" ht="15" customHeight="1">
      <c r="B6" s="15"/>
      <c r="C6" s="58" t="str">
        <f>TEXT(WEEKDAY(DATE(AnnéeCalendrier,8,1),1),"jjj")</f>
        <v>dim</v>
      </c>
      <c r="D6" s="58" t="str">
        <f>TEXT(WEEKDAY(DATE(AnnéeCalendrier,8,2),1),"jjj")</f>
        <v>lun</v>
      </c>
      <c r="E6" s="58" t="str">
        <f>TEXT(WEEKDAY(DATE(AnnéeCalendrier,8,3),1),"jjj")</f>
        <v>mar</v>
      </c>
      <c r="F6" s="58" t="str">
        <f>TEXT(WEEKDAY(DATE(AnnéeCalendrier,8,4),1),"jjj")</f>
        <v>mer</v>
      </c>
      <c r="G6" s="58" t="str">
        <f>TEXT(WEEKDAY(DATE(AnnéeCalendrier,8,5),1),"jjj")</f>
        <v>jeu</v>
      </c>
      <c r="H6" s="58" t="str">
        <f>TEXT(WEEKDAY(DATE(AnnéeCalendrier,8,6),1),"jjj")</f>
        <v>ven</v>
      </c>
      <c r="I6" s="58" t="str">
        <f>TEXT(WEEKDAY(DATE(AnnéeCalendrier,8,7),1),"jjj")</f>
        <v>sam</v>
      </c>
      <c r="J6" s="58" t="str">
        <f>TEXT(WEEKDAY(DATE(AnnéeCalendrier,8,8),1),"jjj")</f>
        <v>dim</v>
      </c>
      <c r="K6" s="58" t="str">
        <f>TEXT(WEEKDAY(DATE(AnnéeCalendrier,8,9),1),"jjj")</f>
        <v>lun</v>
      </c>
      <c r="L6" s="58" t="str">
        <f>TEXT(WEEKDAY(DATE(AnnéeCalendrier,8,10),1),"jjj")</f>
        <v>mar</v>
      </c>
      <c r="M6" s="58" t="str">
        <f>TEXT(WEEKDAY(DATE(AnnéeCalendrier,8,11),1),"jjj")</f>
        <v>mer</v>
      </c>
      <c r="N6" s="58" t="str">
        <f>TEXT(WEEKDAY(DATE(AnnéeCalendrier,8,12),1),"jjj")</f>
        <v>jeu</v>
      </c>
      <c r="O6" s="58" t="str">
        <f>TEXT(WEEKDAY(DATE(AnnéeCalendrier,8,13),1),"jjj")</f>
        <v>ven</v>
      </c>
      <c r="P6" s="58" t="str">
        <f>TEXT(WEEKDAY(DATE(AnnéeCalendrier,8,14),1),"jjj")</f>
        <v>sam</v>
      </c>
      <c r="Q6" s="58" t="str">
        <f>TEXT(WEEKDAY(DATE(AnnéeCalendrier,8,15),1),"jjj")</f>
        <v>dim</v>
      </c>
      <c r="R6" s="58" t="str">
        <f>TEXT(WEEKDAY(DATE(AnnéeCalendrier,8,16),1),"jjj")</f>
        <v>lun</v>
      </c>
      <c r="S6" s="58" t="str">
        <f>TEXT(WEEKDAY(DATE(AnnéeCalendrier,8,17),1),"jjj")</f>
        <v>mar</v>
      </c>
      <c r="T6" s="58" t="str">
        <f>TEXT(WEEKDAY(DATE(AnnéeCalendrier,8,18),1),"jjj")</f>
        <v>mer</v>
      </c>
      <c r="U6" s="58" t="str">
        <f>TEXT(WEEKDAY(DATE(AnnéeCalendrier,8,19),1),"jjj")</f>
        <v>jeu</v>
      </c>
      <c r="V6" s="58" t="str">
        <f>TEXT(WEEKDAY(DATE(AnnéeCalendrier,8,20),1),"jjj")</f>
        <v>ven</v>
      </c>
      <c r="W6" s="58" t="str">
        <f>TEXT(WEEKDAY(DATE(AnnéeCalendrier,8,21),1),"jjj")</f>
        <v>sam</v>
      </c>
      <c r="X6" s="58" t="str">
        <f>TEXT(WEEKDAY(DATE(AnnéeCalendrier,8,22),1),"jjj")</f>
        <v>dim</v>
      </c>
      <c r="Y6" s="58" t="str">
        <f>TEXT(WEEKDAY(DATE(AnnéeCalendrier,8,23),1),"jjj")</f>
        <v>lun</v>
      </c>
      <c r="Z6" s="58" t="str">
        <f>TEXT(WEEKDAY(DATE(AnnéeCalendrier,8,24),1),"jjj")</f>
        <v>mar</v>
      </c>
      <c r="AA6" s="58" t="str">
        <f>TEXT(WEEKDAY(DATE(AnnéeCalendrier,8,25),1),"jjj")</f>
        <v>mer</v>
      </c>
      <c r="AB6" s="58" t="str">
        <f>TEXT(WEEKDAY(DATE(AnnéeCalendrier,8,26),1),"jjj")</f>
        <v>jeu</v>
      </c>
      <c r="AC6" s="58" t="str">
        <f>TEXT(WEEKDAY(DATE(AnnéeCalendrier,8,27),1),"jjj")</f>
        <v>ven</v>
      </c>
      <c r="AD6" s="58" t="str">
        <f>TEXT(WEEKDAY(DATE(AnnéeCalendrier,8,28),1),"jjj")</f>
        <v>sam</v>
      </c>
      <c r="AE6" s="58" t="str">
        <f>TEXT(WEEKDAY(DATE(AnnéeCalendrier,8,29),1),"jjj")</f>
        <v>dim</v>
      </c>
      <c r="AF6" s="58" t="str">
        <f>TEXT(WEEKDAY(DATE(AnnéeCalendrier,8,30),1),"jjj")</f>
        <v>lun</v>
      </c>
      <c r="AG6" s="58" t="str">
        <f>TEXT(WEEKDAY(DATE(AnnéeCalendrier,8,31),1),"jjj")</f>
        <v>mar</v>
      </c>
      <c r="AH6" s="12"/>
      <c r="AI6" s="12"/>
      <c r="AJ6" s="12"/>
      <c r="AK6" s="12"/>
    </row>
    <row r="7" spans="1:37"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26" t="s">
        <v>78</v>
      </c>
      <c r="AI7" s="27" t="s">
        <v>89</v>
      </c>
      <c r="AJ7" s="27" t="s">
        <v>109</v>
      </c>
      <c r="AK7" s="34" t="s">
        <v>95</v>
      </c>
    </row>
    <row r="8" spans="1:37"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Juillet!AK9-Août[[#This Row],[Dont RTT]]+2</f>
        <v>19</v>
      </c>
    </row>
    <row r="10" spans="1:37"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Juillet!AK10-Août[[#This Row],[Dont RTT]]+2</f>
        <v>27</v>
      </c>
    </row>
    <row r="11" spans="1:37"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Juillet!AK13-Août[[#This Row],[Dont RTT]]+2</f>
        <v>18.93</v>
      </c>
    </row>
    <row r="14" spans="1:37"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Juillet!AK14-Août[[#This Row],[Dont RTT]]+2</f>
        <v>18.5</v>
      </c>
    </row>
    <row r="15" spans="1:37"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Juillet!AK15-Août[[#This Row],[Dont RTT]]+2</f>
        <v>21.5</v>
      </c>
    </row>
    <row r="16" spans="1:37"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Juillet!AK16-Août[[#This Row],[Dont RTT]]+2</f>
        <v>18.16</v>
      </c>
    </row>
    <row r="17" spans="2:37"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Juillet!AK17-Août[[#This Row],[Dont RTT]]+2</f>
        <v>27</v>
      </c>
    </row>
    <row r="18" spans="2:37"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Juillet!AK18-Août[[#This Row],[Dont RTT]]+2</f>
        <v>18.5</v>
      </c>
    </row>
    <row r="19" spans="2:37" ht="30" customHeight="1">
      <c r="B19" s="30" t="str">
        <f>NomMois&amp;" Total"</f>
        <v>Août Total</v>
      </c>
      <c r="C19" s="35">
        <f t="shared" ref="C19:AG19" si="3">(COUNTIF(C8:C18,"C")+(COUNTIF(C8:C18,"CS")+COUNTIF(C8:C18,"RTT")+(COUNTIF(C8:C18,"DRTT")/2)+COUNTIF(C8:C18,"M")+COUNTIF(C8:C18,"Rec")+(COUNTIF(C8:C18,"Drec")/2)+COUNTIF(C8:C18,"F")+(COUNTIF(C8:C18,"EM")+(COUNTIF(C8:C18,"DEM")/2))))</f>
        <v>0</v>
      </c>
      <c r="D19" s="35">
        <f t="shared" si="3"/>
        <v>0</v>
      </c>
      <c r="E19" s="35">
        <f t="shared" si="3"/>
        <v>0</v>
      </c>
      <c r="F19" s="35">
        <f t="shared" si="3"/>
        <v>0</v>
      </c>
      <c r="G19" s="35">
        <f t="shared" si="3"/>
        <v>0</v>
      </c>
      <c r="H19" s="35">
        <f t="shared" si="3"/>
        <v>0</v>
      </c>
      <c r="I19" s="35">
        <f t="shared" si="3"/>
        <v>0</v>
      </c>
      <c r="J19" s="35">
        <f t="shared" si="3"/>
        <v>0</v>
      </c>
      <c r="K19" s="35">
        <f t="shared" si="3"/>
        <v>0</v>
      </c>
      <c r="L19" s="35">
        <f t="shared" si="3"/>
        <v>0</v>
      </c>
      <c r="M19" s="35">
        <f t="shared" si="3"/>
        <v>0</v>
      </c>
      <c r="N19" s="35">
        <f t="shared" si="3"/>
        <v>0</v>
      </c>
      <c r="O19" s="35">
        <f t="shared" si="3"/>
        <v>0</v>
      </c>
      <c r="P19" s="35">
        <f t="shared" si="3"/>
        <v>0</v>
      </c>
      <c r="Q19" s="35">
        <f t="shared" si="3"/>
        <v>0</v>
      </c>
      <c r="R19" s="35">
        <f t="shared" si="3"/>
        <v>0</v>
      </c>
      <c r="S19" s="35">
        <f t="shared" si="3"/>
        <v>0</v>
      </c>
      <c r="T19" s="35">
        <f t="shared" si="3"/>
        <v>0</v>
      </c>
      <c r="U19" s="35">
        <f t="shared" si="3"/>
        <v>0</v>
      </c>
      <c r="V19" s="35">
        <f t="shared" si="3"/>
        <v>0</v>
      </c>
      <c r="W19" s="35">
        <f t="shared" si="3"/>
        <v>0</v>
      </c>
      <c r="X19" s="35">
        <f t="shared" si="3"/>
        <v>0</v>
      </c>
      <c r="Y19" s="35">
        <f t="shared" si="3"/>
        <v>0</v>
      </c>
      <c r="Z19" s="35">
        <f t="shared" si="3"/>
        <v>0</v>
      </c>
      <c r="AA19" s="35">
        <f t="shared" si="3"/>
        <v>0</v>
      </c>
      <c r="AB19" s="35">
        <f t="shared" si="3"/>
        <v>0</v>
      </c>
      <c r="AC19" s="35">
        <f t="shared" si="3"/>
        <v>0</v>
      </c>
      <c r="AD19" s="35">
        <f t="shared" si="3"/>
        <v>0</v>
      </c>
      <c r="AE19" s="35">
        <f t="shared" si="3"/>
        <v>0</v>
      </c>
      <c r="AF19" s="35">
        <f t="shared" si="3"/>
        <v>0</v>
      </c>
      <c r="AG19" s="35">
        <f t="shared" si="3"/>
        <v>0</v>
      </c>
      <c r="AH19" s="29">
        <f>SUBTOTAL(109,Août[Total absence])</f>
        <v>0</v>
      </c>
      <c r="AI19" s="29">
        <f>SUBTOTAL(109,Août[Dont RTT])</f>
        <v>0</v>
      </c>
      <c r="AJ19" s="55">
        <f>SUBTOTAL(109,Août[Dont MALADIE])</f>
        <v>0</v>
      </c>
      <c r="AK19" s="35"/>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593" priority="135" stopIfTrue="1" operator="containsText" text="dim">
      <formula>NOT(ISERROR(SEARCH("dim",C6)))</formula>
    </cfRule>
  </conditionalFormatting>
  <conditionalFormatting sqref="AH7">
    <cfRule type="containsText" dxfId="592" priority="134" stopIfTrue="1" operator="containsText" text="dim">
      <formula>NOT(ISERROR(SEARCH("dim",AH7)))</formula>
    </cfRule>
  </conditionalFormatting>
  <conditionalFormatting sqref="C19:AG19">
    <cfRule type="containsText" dxfId="591" priority="114" stopIfTrue="1" operator="containsText" text="dim">
      <formula>NOT(ISERROR(SEARCH("dim",C19)))</formula>
    </cfRule>
  </conditionalFormatting>
  <conditionalFormatting sqref="AL3:XFD3 A2:A3 AG2:XFD2">
    <cfRule type="containsText" dxfId="590" priority="112" stopIfTrue="1" operator="containsText" text="dim">
      <formula>NOT(ISERROR(SEARCH("dim",A2)))</formula>
    </cfRule>
  </conditionalFormatting>
  <conditionalFormatting sqref="AJ19:AK19">
    <cfRule type="containsText" dxfId="589" priority="89" stopIfTrue="1" operator="containsText" text="dim">
      <formula>NOT(ISERROR(SEARCH("dim",AJ19)))</formula>
    </cfRule>
  </conditionalFormatting>
  <conditionalFormatting sqref="AJ8:AJ18">
    <cfRule type="dataBar" priority="65">
      <dataBar>
        <cfvo type="num" val="0"/>
        <cfvo type="num" val="31"/>
        <color rgb="FFFF0000"/>
      </dataBar>
      <extLst>
        <ext xmlns:x14="http://schemas.microsoft.com/office/spreadsheetml/2009/9/main" uri="{B025F937-C7B1-47D3-B67F-A62EFF666E3E}">
          <x14:id>{750DAF94-545D-6B41-B31C-29E48210743E}</x14:id>
        </ext>
      </extLst>
    </cfRule>
  </conditionalFormatting>
  <conditionalFormatting sqref="AH8:AH18">
    <cfRule type="dataBar" priority="53">
      <dataBar>
        <cfvo type="num" val="0"/>
        <cfvo type="num" val="31"/>
        <color rgb="FF00B0F0"/>
      </dataBar>
      <extLst>
        <ext xmlns:x14="http://schemas.microsoft.com/office/spreadsheetml/2009/9/main" uri="{B025F937-C7B1-47D3-B67F-A62EFF666E3E}">
          <x14:id>{6FF73F68-ACD9-6145-AA4E-F0A805A9B98D}</x14:id>
        </ext>
      </extLst>
    </cfRule>
    <cfRule type="containsText" dxfId="588" priority="56" stopIfTrue="1" operator="containsText" text="dim">
      <formula>NOT(ISERROR(SEARCH("dim",AH8)))</formula>
    </cfRule>
  </conditionalFormatting>
  <conditionalFormatting sqref="AI8:AI18">
    <cfRule type="dataBar" priority="54">
      <dataBar>
        <cfvo type="num" val="0"/>
        <cfvo type="num" val="31"/>
        <color rgb="FF92D050"/>
      </dataBar>
      <extLst>
        <ext xmlns:x14="http://schemas.microsoft.com/office/spreadsheetml/2009/9/main" uri="{B025F937-C7B1-47D3-B67F-A62EFF666E3E}">
          <x14:id>{D2BB18A1-1124-2C43-941E-2304014B4141}</x14:id>
        </ext>
      </extLst>
    </cfRule>
  </conditionalFormatting>
  <conditionalFormatting sqref="B3:D3 F2:G3 M3:N3 Q3 S3:T3 V2:W3 I2:J3">
    <cfRule type="containsText" dxfId="587" priority="35" stopIfTrue="1" operator="containsText" text="dim">
      <formula>NOT(ISERROR(SEARCH("dim",B2)))</formula>
    </cfRule>
  </conditionalFormatting>
  <conditionalFormatting sqref="V2:W2">
    <cfRule type="containsText" dxfId="586" priority="34" stopIfTrue="1" operator="containsText" text="dim">
      <formula>NOT(ISERROR(SEARCH("dim",V2)))</formula>
    </cfRule>
  </conditionalFormatting>
  <conditionalFormatting sqref="AA2">
    <cfRule type="containsText" dxfId="585" priority="33" stopIfTrue="1" operator="containsText" text="dim">
      <formula>NOT(ISERROR(SEARCH("dim",AA2)))</formula>
    </cfRule>
  </conditionalFormatting>
  <conditionalFormatting sqref="AA2">
    <cfRule type="containsText" dxfId="584" priority="32" stopIfTrue="1" operator="containsText" text="dim">
      <formula>NOT(ISERROR(SEARCH("dim",AA2)))</formula>
    </cfRule>
  </conditionalFormatting>
  <conditionalFormatting sqref="P3">
    <cfRule type="expression" dxfId="583" priority="18" stopIfTrue="1">
      <formula>P3=CléNonTravaillé</formula>
    </cfRule>
    <cfRule type="expression" dxfId="582" priority="19" stopIfTrue="1">
      <formula>P3=CléPrésenceExceptionnelle</formula>
    </cfRule>
    <cfRule type="expression" dxfId="581" priority="20" stopIfTrue="1">
      <formula>P3=CléCongéSpécial</formula>
    </cfRule>
    <cfRule type="expression" dxfId="580" priority="21" stopIfTrue="1">
      <formula>P3=CléDemiRécupération</formula>
    </cfRule>
    <cfRule type="expression" dxfId="579" priority="22" stopIfTrue="1">
      <formula>P3=CléDemiEnfantMalade</formula>
    </cfRule>
    <cfRule type="expression" dxfId="578" priority="23" stopIfTrue="1">
      <formula>P3=CléEnfantMalade</formula>
    </cfRule>
    <cfRule type="expression" dxfId="577" priority="24" stopIfTrue="1">
      <formula>P3=CléDemiRtt</formula>
    </cfRule>
    <cfRule type="expression" priority="25" stopIfTrue="1">
      <formula>P3=""</formula>
    </cfRule>
    <cfRule type="expression" dxfId="576" priority="26" stopIfTrue="1">
      <formula>P3=CléMaladie</formula>
    </cfRule>
    <cfRule type="expression" dxfId="575" priority="27" stopIfTrue="1">
      <formula>P3=CléCongé</formula>
    </cfRule>
    <cfRule type="expression" dxfId="574" priority="28" stopIfTrue="1">
      <formula>P3=CléRécupération</formula>
    </cfRule>
    <cfRule type="expression" dxfId="573" priority="29" stopIfTrue="1">
      <formula>P3=CléFormation</formula>
    </cfRule>
    <cfRule type="expression" dxfId="572" priority="30" stopIfTrue="1">
      <formula>P3=CléRTT</formula>
    </cfRule>
    <cfRule type="expression" dxfId="571" priority="31" stopIfTrue="1">
      <formula>P3=CléTélétravail</formula>
    </cfRule>
  </conditionalFormatting>
  <conditionalFormatting sqref="AA3">
    <cfRule type="containsText" dxfId="570" priority="17" stopIfTrue="1" operator="containsText" text="dim">
      <formula>NOT(ISERROR(SEARCH("dim",AA3)))</formula>
    </cfRule>
  </conditionalFormatting>
  <conditionalFormatting sqref="AA3">
    <cfRule type="containsText" dxfId="569" priority="16" stopIfTrue="1" operator="containsText" text="dim">
      <formula>NOT(ISERROR(SEARCH("dim",AA3)))</formula>
    </cfRule>
  </conditionalFormatting>
  <conditionalFormatting sqref="C8:AG18">
    <cfRule type="expression" dxfId="568" priority="1" stopIfTrue="1">
      <formula>C8=CléAbsenceJustifiée</formula>
    </cfRule>
    <cfRule type="expression" dxfId="567" priority="2" stopIfTrue="1">
      <formula>C8=CléNonTravaillé</formula>
    </cfRule>
    <cfRule type="expression" dxfId="566" priority="3" stopIfTrue="1">
      <formula>C8=CléPrésenceExceptionnelle</formula>
    </cfRule>
    <cfRule type="expression" dxfId="565" priority="4" stopIfTrue="1">
      <formula>C8=CléCongéSpécial</formula>
    </cfRule>
    <cfRule type="expression" dxfId="564" priority="5" stopIfTrue="1">
      <formula>C8=CléDemiRécupération</formula>
    </cfRule>
    <cfRule type="expression" dxfId="563" priority="6" stopIfTrue="1">
      <formula>C8=CléDemiEnfantMalade</formula>
    </cfRule>
    <cfRule type="expression" dxfId="562" priority="7" stopIfTrue="1">
      <formula>C8=CléEnfantMalade</formula>
    </cfRule>
    <cfRule type="expression" dxfId="561" priority="8" stopIfTrue="1">
      <formula>C8=CléDemiRtt</formula>
    </cfRule>
    <cfRule type="expression" priority="9" stopIfTrue="1">
      <formula>C8=""</formula>
    </cfRule>
    <cfRule type="expression" dxfId="560" priority="10" stopIfTrue="1">
      <formula>C8=CléCongéMalade</formula>
    </cfRule>
    <cfRule type="expression" dxfId="559" priority="11" stopIfTrue="1">
      <formula>C8=CléCongé</formula>
    </cfRule>
    <cfRule type="expression" dxfId="558" priority="12" stopIfTrue="1">
      <formula>C8=CléRécupération</formula>
    </cfRule>
    <cfRule type="expression" dxfId="557" priority="13" stopIfTrue="1">
      <formula>C8=CléFormation</formula>
    </cfRule>
    <cfRule type="expression" dxfId="556" priority="14" stopIfTrue="1">
      <formula>C8=CléRTT</formula>
    </cfRule>
    <cfRule type="expression" dxfId="555" priority="15" stopIfTrue="1">
      <formula>C8=CléTélétravail</formula>
    </cfRule>
  </conditionalFormatting>
  <dataValidations count="1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7FADA9E7-E7CD-A541-9001-34AF11A3E58C}"/>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2CF1C88C-FE91-B04F-B83F-480536B901F2}"/>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DDEC9286-54A0-864B-BD98-248B9590439D}"/>
    <dataValidation allowBlank="1" showInputMessage="1" showErrorMessage="1" prompt="Suivez les absences du mois d’août dans cette feuille de calcul" sqref="A1" xr:uid="{47106520-16CD-1F44-9E81-B3E3064ADCBE}"/>
    <dataValidation allowBlank="1" showInputMessage="1" showErrorMessage="1" prompt="Calcule automatiquement le nombre total de jours d’absence d’un employé durant ce mois dans cette colonne" sqref="AH7" xr:uid="{BE7383DB-E2EA-CF4B-9B87-B69706DF02C9}"/>
    <dataValidation allowBlank="1" showInputMessage="1" showErrorMessage="1" prompt="Année mise à jour automatiquement en fonction de l’année entrée dans la feuille de calcul Janvier" sqref="AH5" xr:uid="{5847B389-4C60-084A-9772-C32A30336F4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8A693272-C63E-4945-899C-47A8EC4465E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C1D5BAAF-84FB-714B-8A25-6F9EEBFA792A}"/>
    <dataValidation allowBlank="1" showErrorMessage="1" sqref="B2:B3 B1:Y1" xr:uid="{DC449E6A-DB80-CB45-955F-8537DEA1BB92}"/>
    <dataValidation allowBlank="1" showErrorMessage="1" prompt="Entrez une étiquette pour décrire la clé personnalisée à gauche" sqref="N3" xr:uid="{BAF1C45E-7778-CC4D-9CA1-559CB0419AE9}"/>
    <dataValidation allowBlank="1" showErrorMessage="1" prompt="Entrez une lettre et personnalisez l’étiquette à droite pour ajouter un élément de clé" sqref="I2:I3" xr:uid="{E6F02B48-6011-4E47-B126-4982C6EC619A}"/>
    <dataValidation allowBlank="1" showInputMessage="1" showErrorMessage="1" prompt="Entrez une étiquette pour décrire la clé personnalisée à gauche" sqref="J2:J3" xr:uid="{F08C8918-30F1-1B48-9A93-C39BBA619919}"/>
    <dataValidation allowBlank="1" showInputMessage="1" showErrorMessage="1" prompt="Entrez une lettre et personnalisez l’étiquette à droite pour ajouter un élément de clé" sqref="M3" xr:uid="{158CBFD9-A2BF-AB48-80CC-282A7D0AB339}"/>
    <dataValidation allowBlank="1" showInputMessage="1" showErrorMessage="1" prompt="La lettre « M » indique une absence pour cause de maladie" sqref="S3" xr:uid="{0518120B-5FD1-5346-937D-6578A725C4B6}"/>
    <dataValidation allowBlank="1" showErrorMessage="1" prompt="La lettre « P » indique une absence pour motifs personnels" sqref="F3" xr:uid="{93742802-681A-924E-9C3E-883C860F0870}"/>
    <dataValidation allowBlank="1" showErrorMessage="1" prompt="La lettre « C » indique une absence pour cause de congé" sqref="C3" xr:uid="{F393A11D-E818-FF4B-B695-8EF7663657CF}"/>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50DAF94-545D-6B41-B31C-29E48210743E}">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6FF73F68-ACD9-6145-AA4E-F0A805A9B98D}">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D2BB18A1-1124-2C43-941E-2304014B4141}">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51" stopIfTrue="1" operator="containsText" text="dim" id="{6D9C846A-116C-8E4F-85DC-C394BEA81404}">
            <xm:f>NOT(ISERROR(SEARCH("dim",Avril!AK18)))</xm:f>
            <x14:dxf>
              <font>
                <color theme="9"/>
              </font>
              <fill>
                <patternFill patternType="none">
                  <bgColor auto="1"/>
                </patternFill>
              </fill>
            </x14:dxf>
          </x14:cfRule>
          <xm:sqref>AK20:AK1048576</xm:sqref>
        </x14:conditionalFormatting>
        <x14:conditionalFormatting xmlns:xm="http://schemas.microsoft.com/office/excel/2006/main">
          <x14:cfRule type="containsText" priority="476" stopIfTrue="1" operator="containsText" text="dim" id="{6D9C846A-116C-8E4F-85DC-C394BEA81404}">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BAFCE14-3F05-B84C-B286-3E2E47AAE0B2}">
          <x14:formula1>
            <xm:f>'Noms des employés'!$B$4:$B$13</xm:f>
          </x14:formula1>
          <xm:sqref>B8:B18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D357E-FA92-4244-A9F5-847541AA84A0}">
  <sheetPr>
    <tabColor theme="2" tint="-0.499984740745262"/>
  </sheetPr>
  <dimension ref="A1:AK19"/>
  <sheetViews>
    <sheetView showGridLines="0" zoomScale="110" zoomScaleNormal="110" workbookViewId="0">
      <selection activeCell="A7" sqref="A7:XFD7"/>
    </sheetView>
  </sheetViews>
  <sheetFormatPr baseColWidth="10" defaultColWidth="9.1640625" defaultRowHeight="30" customHeight="1"/>
  <cols>
    <col min="1" max="1" width="2.6640625" style="4" customWidth="1"/>
    <col min="2" max="2" width="25.83203125" style="4" customWidth="1"/>
    <col min="3" max="33" width="4.6640625" style="4" customWidth="1"/>
    <col min="34" max="34" width="13.5" style="4" customWidth="1"/>
    <col min="35" max="35" width="11.6640625" customWidth="1"/>
    <col min="36" max="36" width="13" customWidth="1"/>
    <col min="37" max="37" width="19.1640625" customWidth="1"/>
  </cols>
  <sheetData>
    <row r="1" spans="1:37" ht="50" customHeight="1">
      <c r="B1" s="5" t="str">
        <f>Titre_Absence_Employé</f>
        <v>Calendrier des absences des employés</v>
      </c>
    </row>
    <row r="2" spans="1:37"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7"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7" ht="15" customHeight="1">
      <c r="B4" s="5"/>
    </row>
    <row r="5" spans="1:37" ht="30" customHeight="1">
      <c r="B5" s="21" t="s">
        <v>50</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row>
    <row r="6" spans="1:37" ht="15" customHeight="1">
      <c r="B6" s="15"/>
      <c r="C6" s="58" t="str">
        <f>TEXT(WEEKDAY(DATE(AnnéeCalendrier,9,1),1),"jjj")</f>
        <v>mer</v>
      </c>
      <c r="D6" s="58" t="str">
        <f>TEXT(WEEKDAY(DATE(AnnéeCalendrier,9,2),1),"jjj")</f>
        <v>jeu</v>
      </c>
      <c r="E6" s="58" t="str">
        <f>TEXT(WEEKDAY(DATE(AnnéeCalendrier,9,3),1),"jjj")</f>
        <v>ven</v>
      </c>
      <c r="F6" s="58" t="str">
        <f>TEXT(WEEKDAY(DATE(AnnéeCalendrier,9,4),1),"jjj")</f>
        <v>sam</v>
      </c>
      <c r="G6" s="58" t="str">
        <f>TEXT(WEEKDAY(DATE(AnnéeCalendrier,9,5),1),"jjj")</f>
        <v>dim</v>
      </c>
      <c r="H6" s="58" t="str">
        <f>TEXT(WEEKDAY(DATE(AnnéeCalendrier,9,6),1),"jjj")</f>
        <v>lun</v>
      </c>
      <c r="I6" s="58" t="str">
        <f>TEXT(WEEKDAY(DATE(AnnéeCalendrier,9,7),1),"jjj")</f>
        <v>mar</v>
      </c>
      <c r="J6" s="58" t="str">
        <f>TEXT(WEEKDAY(DATE(AnnéeCalendrier,9,8),1),"jjj")</f>
        <v>mer</v>
      </c>
      <c r="K6" s="58" t="str">
        <f>TEXT(WEEKDAY(DATE(AnnéeCalendrier,9,9),1),"jjj")</f>
        <v>jeu</v>
      </c>
      <c r="L6" s="58" t="str">
        <f>TEXT(WEEKDAY(DATE(AnnéeCalendrier,9,10),1),"jjj")</f>
        <v>ven</v>
      </c>
      <c r="M6" s="58" t="str">
        <f>TEXT(WEEKDAY(DATE(AnnéeCalendrier,9,11),1),"jjj")</f>
        <v>sam</v>
      </c>
      <c r="N6" s="58" t="str">
        <f>TEXT(WEEKDAY(DATE(AnnéeCalendrier,9,12),1),"jjj")</f>
        <v>dim</v>
      </c>
      <c r="O6" s="58" t="str">
        <f>TEXT(WEEKDAY(DATE(AnnéeCalendrier,9,13),1),"jjj")</f>
        <v>lun</v>
      </c>
      <c r="P6" s="58" t="str">
        <f>TEXT(WEEKDAY(DATE(AnnéeCalendrier,9,14),1),"jjj")</f>
        <v>mar</v>
      </c>
      <c r="Q6" s="58" t="str">
        <f>TEXT(WEEKDAY(DATE(AnnéeCalendrier,9,15),1),"jjj")</f>
        <v>mer</v>
      </c>
      <c r="R6" s="58" t="str">
        <f>TEXT(WEEKDAY(DATE(AnnéeCalendrier,9,16),1),"jjj")</f>
        <v>jeu</v>
      </c>
      <c r="S6" s="58" t="str">
        <f>TEXT(WEEKDAY(DATE(AnnéeCalendrier,9,17),1),"jjj")</f>
        <v>ven</v>
      </c>
      <c r="T6" s="58" t="str">
        <f>TEXT(WEEKDAY(DATE(AnnéeCalendrier,9,18),1),"jjj")</f>
        <v>sam</v>
      </c>
      <c r="U6" s="58" t="str">
        <f>TEXT(WEEKDAY(DATE(AnnéeCalendrier,9,19),1),"jjj")</f>
        <v>dim</v>
      </c>
      <c r="V6" s="58" t="str">
        <f>TEXT(WEEKDAY(DATE(AnnéeCalendrier,9,20),1),"jjj")</f>
        <v>lun</v>
      </c>
      <c r="W6" s="58" t="str">
        <f>TEXT(WEEKDAY(DATE(AnnéeCalendrier,9,21),1),"jjj")</f>
        <v>mar</v>
      </c>
      <c r="X6" s="58" t="str">
        <f>TEXT(WEEKDAY(DATE(AnnéeCalendrier,9,22),1),"jjj")</f>
        <v>mer</v>
      </c>
      <c r="Y6" s="58" t="str">
        <f>TEXT(WEEKDAY(DATE(AnnéeCalendrier,9,23),1),"jjj")</f>
        <v>jeu</v>
      </c>
      <c r="Z6" s="58" t="str">
        <f>TEXT(WEEKDAY(DATE(AnnéeCalendrier,9,24),1),"jjj")</f>
        <v>ven</v>
      </c>
      <c r="AA6" s="58" t="str">
        <f>TEXT(WEEKDAY(DATE(AnnéeCalendrier,9,25),1),"jjj")</f>
        <v>sam</v>
      </c>
      <c r="AB6" s="58" t="str">
        <f>TEXT(WEEKDAY(DATE(AnnéeCalendrier,9,26),1),"jjj")</f>
        <v>dim</v>
      </c>
      <c r="AC6" s="58" t="str">
        <f>TEXT(WEEKDAY(DATE(AnnéeCalendrier,9,27),1),"jjj")</f>
        <v>lun</v>
      </c>
      <c r="AD6" s="58" t="str">
        <f>TEXT(WEEKDAY(DATE(AnnéeCalendrier,9,28),1),"jjj")</f>
        <v>mar</v>
      </c>
      <c r="AE6" s="58" t="str">
        <f>TEXT(WEEKDAY(DATE(AnnéeCalendrier,9,29),1),"jjj")</f>
        <v>mer</v>
      </c>
      <c r="AF6" s="58" t="str">
        <f>TEXT(WEEKDAY(DATE(AnnéeCalendrier,9,30),1),"jjj")</f>
        <v>jeu</v>
      </c>
      <c r="AG6" s="58"/>
      <c r="AH6" s="12"/>
      <c r="AI6" s="12"/>
      <c r="AJ6" s="12"/>
      <c r="AK6" s="12"/>
    </row>
    <row r="7" spans="1:37" ht="34"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34" t="s">
        <v>94</v>
      </c>
    </row>
    <row r="8" spans="1:37"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7"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Août!AK9-Septembre[[#This Row],[Dont RTT]]+2</f>
        <v>21</v>
      </c>
    </row>
    <row r="10" spans="1:37"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Août!AK10-Septembre[[#This Row],[Dont RTT]]+2</f>
        <v>29</v>
      </c>
    </row>
    <row r="11" spans="1:37"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7"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18" si="2">COUNTIF(C12:AG12,"M")</f>
        <v>0</v>
      </c>
      <c r="AK12" s="24"/>
    </row>
    <row r="13" spans="1:37"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Août!AK13-Septembre[[#This Row],[Dont RTT]]+2</f>
        <v>20.93</v>
      </c>
    </row>
    <row r="14" spans="1:37"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Août!AK14-Septembre[[#This Row],[Dont RTT]]+2</f>
        <v>20.5</v>
      </c>
    </row>
    <row r="15" spans="1:37"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Août!AK15-Septembre[[#This Row],[Dont RTT]]+2</f>
        <v>23.5</v>
      </c>
    </row>
    <row r="16" spans="1:37"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Août!AK16-Septembre[[#This Row],[Dont RTT]]+2</f>
        <v>20.16</v>
      </c>
    </row>
    <row r="17" spans="2:37"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Août!AK17-Septembre[[#This Row],[Dont RTT]]+2</f>
        <v>29</v>
      </c>
    </row>
    <row r="18" spans="2:37"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Août!AK18-Septembre[[#This Row],[Dont RTT]]+2</f>
        <v>20.5</v>
      </c>
    </row>
    <row r="19" spans="2:37" ht="30" customHeight="1">
      <c r="B19" s="30" t="str">
        <f>NomMois&amp;" Total"</f>
        <v>Septembre Total</v>
      </c>
      <c r="C19" s="35">
        <f t="shared" ref="C19" si="3">(COUNTIF(C8:C18,"C")+(COUNTIF(C8:C18,"CS")+COUNTIF(C8:C18,"RTT")+(COUNTIF(C8:C18,"DRTT")/2)+COUNTIF(C8:C18,"M")+COUNTIF(C8:C18,"Rec")+(COUNTIF(C8:C18,"Drec")/2)+COUNTIF(C8:C18,"F")+(COUNTIF(C8:C18,"EM")+(COUNTIF(C8:C18,"DEM")/2))))</f>
        <v>0</v>
      </c>
      <c r="D19" s="35">
        <f>(COUNTIF(D8:D18,"C")+(COUNTIF(D8:D18,"CS")+COUNTIF(D8:D18,"RTT")+(COUNTIF(D8:D18,"DRTT")/2)+COUNTIF(D8:D18,"M")+COUNTIF(D8:D18,"Rec")+(COUNTIF(D8:D18,"Drec")/2)+COUNTIF(D8:D18,"F")+(COUNTIF(D8:D18,"EM")+(COUNTIF(D8:D18,"DEM")/2))))</f>
        <v>0</v>
      </c>
      <c r="E19" s="35">
        <f t="shared" ref="E19:AG19" si="4">(COUNTIF(E8:E18,"C")+(COUNTIF(E8:E18,"CS")+COUNTIF(E8:E18,"RTT")+(COUNTIF(E8:E18,"DRTT")/2)+COUNTIF(E8:E18,"M")+COUNTIF(E8:E18,"Rec")+(COUNTIF(E8:E18,"Drec")/2)+COUNTIF(E8:E18,"F")+(COUNTIF(E8:E18,"EM")+(COUNTIF(E8:E18,"DEM")/2))))</f>
        <v>0</v>
      </c>
      <c r="F19" s="35">
        <f>(COUNTIF(F8:F18,"C")+(COUNTIF(F8:F18,"CS")+COUNTIF(F8:F18,"RTT")+(COUNTIF(F8:F18,"DRTT")/2)+COUNTIF(F8:F18,"M")+COUNTIF(F8:F18,"Rec")+(COUNTIF(F8:F18,"Drec")/2)+COUNTIF(F8:F18,"F")+(COUNTIF(F8:F18,"EM")+(COUNTIF(F8:F18,"DEM")/2))))</f>
        <v>0</v>
      </c>
      <c r="G19" s="35">
        <f t="shared" si="4"/>
        <v>0</v>
      </c>
      <c r="H19" s="35">
        <f t="shared" si="4"/>
        <v>0</v>
      </c>
      <c r="I19" s="35">
        <f t="shared" si="4"/>
        <v>0</v>
      </c>
      <c r="J19" s="35">
        <f t="shared" si="4"/>
        <v>0</v>
      </c>
      <c r="K19" s="35">
        <f t="shared" si="4"/>
        <v>0</v>
      </c>
      <c r="L19" s="35">
        <f t="shared" si="4"/>
        <v>0</v>
      </c>
      <c r="M19" s="35">
        <f t="shared" si="4"/>
        <v>0</v>
      </c>
      <c r="N19" s="35">
        <f t="shared" si="4"/>
        <v>0</v>
      </c>
      <c r="O19" s="35">
        <f t="shared" si="4"/>
        <v>0</v>
      </c>
      <c r="P19" s="35">
        <f t="shared" si="4"/>
        <v>0</v>
      </c>
      <c r="Q19" s="35">
        <f t="shared" si="4"/>
        <v>0</v>
      </c>
      <c r="R19" s="35">
        <f t="shared" si="4"/>
        <v>0</v>
      </c>
      <c r="S19" s="35">
        <f t="shared" si="4"/>
        <v>0</v>
      </c>
      <c r="T19" s="35">
        <f t="shared" si="4"/>
        <v>0</v>
      </c>
      <c r="U19" s="35">
        <f t="shared" si="4"/>
        <v>0</v>
      </c>
      <c r="V19" s="35">
        <f t="shared" si="4"/>
        <v>0</v>
      </c>
      <c r="W19" s="35">
        <f t="shared" si="4"/>
        <v>0</v>
      </c>
      <c r="X19" s="35">
        <f t="shared" si="4"/>
        <v>0</v>
      </c>
      <c r="Y19" s="35">
        <f t="shared" si="4"/>
        <v>0</v>
      </c>
      <c r="Z19" s="35">
        <f t="shared" si="4"/>
        <v>0</v>
      </c>
      <c r="AA19" s="35">
        <f t="shared" si="4"/>
        <v>0</v>
      </c>
      <c r="AB19" s="35">
        <f t="shared" si="4"/>
        <v>0</v>
      </c>
      <c r="AC19" s="35">
        <f t="shared" si="4"/>
        <v>0</v>
      </c>
      <c r="AD19" s="35">
        <f t="shared" si="4"/>
        <v>0</v>
      </c>
      <c r="AE19" s="35">
        <f t="shared" si="4"/>
        <v>0</v>
      </c>
      <c r="AF19" s="35">
        <f t="shared" si="4"/>
        <v>0</v>
      </c>
      <c r="AG19" s="35">
        <f t="shared" si="4"/>
        <v>0</v>
      </c>
      <c r="AH19" s="29">
        <f>SUBTOTAL(109,Septembre[Total absence])</f>
        <v>0</v>
      </c>
      <c r="AI19" s="29">
        <f>SUBTOTAL(109,Septembre[Dont RTT])</f>
        <v>0</v>
      </c>
      <c r="AJ19" s="55">
        <f>SUBTOTAL(109,Septembre[Dont MALADIE])</f>
        <v>0</v>
      </c>
      <c r="AK19" s="43"/>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478" priority="135" stopIfTrue="1" operator="containsText" text="dim">
      <formula>NOT(ISERROR(SEARCH("dim",C6)))</formula>
    </cfRule>
  </conditionalFormatting>
  <conditionalFormatting sqref="AH7">
    <cfRule type="containsText" dxfId="477" priority="134" stopIfTrue="1" operator="containsText" text="dim">
      <formula>NOT(ISERROR(SEARCH("dim",AH7)))</formula>
    </cfRule>
  </conditionalFormatting>
  <conditionalFormatting sqref="C19:AG19">
    <cfRule type="containsText" dxfId="476" priority="114" stopIfTrue="1" operator="containsText" text="dim">
      <formula>NOT(ISERROR(SEARCH("dim",C19)))</formula>
    </cfRule>
  </conditionalFormatting>
  <conditionalFormatting sqref="AL3:XFD3 A2:A3 AG2:XFD2">
    <cfRule type="containsText" dxfId="475" priority="112" stopIfTrue="1" operator="containsText" text="dim">
      <formula>NOT(ISERROR(SEARCH("dim",A2)))</formula>
    </cfRule>
  </conditionalFormatting>
  <conditionalFormatting sqref="AJ8:AJ18">
    <cfRule type="dataBar" priority="64">
      <dataBar>
        <cfvo type="num" val="0"/>
        <cfvo type="num" val="31"/>
        <color rgb="FFFF0000"/>
      </dataBar>
      <extLst>
        <ext xmlns:x14="http://schemas.microsoft.com/office/spreadsheetml/2009/9/main" uri="{B025F937-C7B1-47D3-B67F-A62EFF666E3E}">
          <x14:id>{F07E8032-F9DA-B844-A8A2-B9B52819D9CD}</x14:id>
        </ext>
      </extLst>
    </cfRule>
  </conditionalFormatting>
  <conditionalFormatting sqref="AH8:AH18">
    <cfRule type="dataBar" priority="52">
      <dataBar>
        <cfvo type="num" val="0"/>
        <cfvo type="num" val="31"/>
        <color rgb="FF00B0F0"/>
      </dataBar>
      <extLst>
        <ext xmlns:x14="http://schemas.microsoft.com/office/spreadsheetml/2009/9/main" uri="{B025F937-C7B1-47D3-B67F-A62EFF666E3E}">
          <x14:id>{5ADB184A-9C2E-1F46-8527-539973699570}</x14:id>
        </ext>
      </extLst>
    </cfRule>
    <cfRule type="containsText" dxfId="474" priority="55" stopIfTrue="1" operator="containsText" text="dim">
      <formula>NOT(ISERROR(SEARCH("dim",AH8)))</formula>
    </cfRule>
  </conditionalFormatting>
  <conditionalFormatting sqref="AI8:AI18">
    <cfRule type="dataBar" priority="53">
      <dataBar>
        <cfvo type="num" val="0"/>
        <cfvo type="num" val="31"/>
        <color rgb="FF92D050"/>
      </dataBar>
      <extLst>
        <ext xmlns:x14="http://schemas.microsoft.com/office/spreadsheetml/2009/9/main" uri="{B025F937-C7B1-47D3-B67F-A62EFF666E3E}">
          <x14:id>{80FD76CC-F1B9-8447-8564-5F029DBF1CC5}</x14:id>
        </ext>
      </extLst>
    </cfRule>
  </conditionalFormatting>
  <conditionalFormatting sqref="B3:D3 F2:G3 M3:N3 Q3 S3:T3 V2:W3 I2:J3">
    <cfRule type="containsText" dxfId="473" priority="35" stopIfTrue="1" operator="containsText" text="dim">
      <formula>NOT(ISERROR(SEARCH("dim",B2)))</formula>
    </cfRule>
  </conditionalFormatting>
  <conditionalFormatting sqref="V2:W2">
    <cfRule type="containsText" dxfId="472" priority="34" stopIfTrue="1" operator="containsText" text="dim">
      <formula>NOT(ISERROR(SEARCH("dim",V2)))</formula>
    </cfRule>
  </conditionalFormatting>
  <conditionalFormatting sqref="AA2">
    <cfRule type="containsText" dxfId="471" priority="33" stopIfTrue="1" operator="containsText" text="dim">
      <formula>NOT(ISERROR(SEARCH("dim",AA2)))</formula>
    </cfRule>
  </conditionalFormatting>
  <conditionalFormatting sqref="AA2">
    <cfRule type="containsText" dxfId="470" priority="32" stopIfTrue="1" operator="containsText" text="dim">
      <formula>NOT(ISERROR(SEARCH("dim",AA2)))</formula>
    </cfRule>
  </conditionalFormatting>
  <conditionalFormatting sqref="P3">
    <cfRule type="expression" dxfId="469" priority="18" stopIfTrue="1">
      <formula>P3=CléNonTravaillé</formula>
    </cfRule>
    <cfRule type="expression" dxfId="468" priority="19" stopIfTrue="1">
      <formula>P3=CléPrésenceExceptionnelle</formula>
    </cfRule>
    <cfRule type="expression" dxfId="467" priority="20" stopIfTrue="1">
      <formula>P3=CléCongéSpécial</formula>
    </cfRule>
    <cfRule type="expression" dxfId="466" priority="21" stopIfTrue="1">
      <formula>P3=CléDemiRécupération</formula>
    </cfRule>
    <cfRule type="expression" dxfId="465" priority="22" stopIfTrue="1">
      <formula>P3=CléDemiEnfantMalade</formula>
    </cfRule>
    <cfRule type="expression" dxfId="464" priority="23" stopIfTrue="1">
      <formula>P3=CléEnfantMalade</formula>
    </cfRule>
    <cfRule type="expression" dxfId="463" priority="24" stopIfTrue="1">
      <formula>P3=CléDemiRtt</formula>
    </cfRule>
    <cfRule type="expression" priority="25" stopIfTrue="1">
      <formula>P3=""</formula>
    </cfRule>
    <cfRule type="expression" dxfId="462" priority="26" stopIfTrue="1">
      <formula>P3=CléMaladie</formula>
    </cfRule>
    <cfRule type="expression" dxfId="461" priority="27" stopIfTrue="1">
      <formula>P3=CléCongé</formula>
    </cfRule>
    <cfRule type="expression" dxfId="460" priority="28" stopIfTrue="1">
      <formula>P3=CléRécupération</formula>
    </cfRule>
    <cfRule type="expression" dxfId="459" priority="29" stopIfTrue="1">
      <formula>P3=CléFormation</formula>
    </cfRule>
    <cfRule type="expression" dxfId="458" priority="30" stopIfTrue="1">
      <formula>P3=CléRTT</formula>
    </cfRule>
    <cfRule type="expression" dxfId="457" priority="31" stopIfTrue="1">
      <formula>P3=CléTélétravail</formula>
    </cfRule>
  </conditionalFormatting>
  <conditionalFormatting sqref="AA3">
    <cfRule type="containsText" dxfId="456" priority="17" stopIfTrue="1" operator="containsText" text="dim">
      <formula>NOT(ISERROR(SEARCH("dim",AA3)))</formula>
    </cfRule>
  </conditionalFormatting>
  <conditionalFormatting sqref="AA3">
    <cfRule type="containsText" dxfId="455" priority="16" stopIfTrue="1" operator="containsText" text="dim">
      <formula>NOT(ISERROR(SEARCH("dim",AA3)))</formula>
    </cfRule>
  </conditionalFormatting>
  <conditionalFormatting sqref="C8:AG18">
    <cfRule type="expression" dxfId="454" priority="1" stopIfTrue="1">
      <formula>C8=CléAbsenceJustifiée</formula>
    </cfRule>
    <cfRule type="expression" dxfId="453" priority="2" stopIfTrue="1">
      <formula>C8=CléNonTravaillé</formula>
    </cfRule>
    <cfRule type="expression" dxfId="452" priority="3" stopIfTrue="1">
      <formula>C8=CléPrésenceExceptionnelle</formula>
    </cfRule>
    <cfRule type="expression" dxfId="451" priority="4" stopIfTrue="1">
      <formula>C8=CléCongéSpécial</formula>
    </cfRule>
    <cfRule type="expression" dxfId="450" priority="5" stopIfTrue="1">
      <formula>C8=CléDemiRécupération</formula>
    </cfRule>
    <cfRule type="expression" dxfId="449" priority="6" stopIfTrue="1">
      <formula>C8=CléDemiEnfantMalade</formula>
    </cfRule>
    <cfRule type="expression" dxfId="448" priority="7" stopIfTrue="1">
      <formula>C8=CléEnfantMalade</formula>
    </cfRule>
    <cfRule type="expression" dxfId="447" priority="8" stopIfTrue="1">
      <formula>C8=CléDemiRtt</formula>
    </cfRule>
    <cfRule type="expression" priority="9" stopIfTrue="1">
      <formula>C8=""</formula>
    </cfRule>
    <cfRule type="expression" dxfId="446" priority="10" stopIfTrue="1">
      <formula>C8=CléCongéMalade</formula>
    </cfRule>
    <cfRule type="expression" dxfId="445" priority="11" stopIfTrue="1">
      <formula>C8=CléCongé</formula>
    </cfRule>
    <cfRule type="expression" dxfId="444" priority="12" stopIfTrue="1">
      <formula>C8=CléRécupération</formula>
    </cfRule>
    <cfRule type="expression" dxfId="443" priority="13" stopIfTrue="1">
      <formula>C8=CléFormation</formula>
    </cfRule>
    <cfRule type="expression" dxfId="442" priority="14" stopIfTrue="1">
      <formula>C8=CléRTT</formula>
    </cfRule>
    <cfRule type="expression" dxfId="441"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7E14F6FC-4E37-7648-A594-0DCB61B9658E}"/>
    <dataValidation allowBlank="1" showInputMessage="1" showErrorMessage="1" prompt="Année mise à jour automatiquement en fonction de l’année entrée dans la feuille de calcul Janvier" sqref="AH5" xr:uid="{2CC35B3D-5F20-6F48-B087-614EB8607BD6}"/>
    <dataValidation allowBlank="1" showInputMessage="1" showErrorMessage="1" prompt="Calcule automatiquement le nombre total de jours d’absence d’un employé durant ce mois dans cette colonne" sqref="AH7" xr:uid="{62B7D210-EC4C-234D-AC3A-66748D200AA2}"/>
    <dataValidation allowBlank="1" showInputMessage="1" showErrorMessage="1" prompt="Suivez les absences du mois de septembre dans cette feuille de calcul" sqref="A1" xr:uid="{264081C0-A7C4-0646-9153-5BE49A98E3A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66280752-5A29-7A4D-ABA4-9E282B38606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97BC5A8C-5D72-F149-B9E3-3285C6733C3E}"/>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9F73E622-E073-CD4E-9BD1-5A43CF9A6BCB}"/>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D79B8CC9-0919-2646-920E-1BDE9E0587D2}"/>
    <dataValidation allowBlank="1" showErrorMessage="1" sqref="B4:AJ4 AD1:AJ1 B2:B3 B1:Y1" xr:uid="{3827FEA2-1355-6D4C-AF2E-976FA6C0CD36}"/>
    <dataValidation allowBlank="1" showErrorMessage="1" prompt="Entrez une étiquette pour décrire la clé personnalisée à gauche" sqref="N3" xr:uid="{05652064-F00A-0A40-92FF-06CB7B48FDB6}"/>
    <dataValidation allowBlank="1" showErrorMessage="1" prompt="Entrez une lettre et personnalisez l’étiquette à droite pour ajouter un élément de clé" sqref="I2:I3" xr:uid="{8AF9FF17-45D6-3047-A143-A090175C67BF}"/>
    <dataValidation allowBlank="1" showInputMessage="1" showErrorMessage="1" prompt="Entrez une étiquette pour décrire la clé personnalisée à gauche" sqref="J2:J3" xr:uid="{3B88E179-5EBA-B044-A3A9-1A8088781F6A}"/>
    <dataValidation allowBlank="1" showInputMessage="1" showErrorMessage="1" prompt="Entrez une lettre et personnalisez l’étiquette à droite pour ajouter un élément de clé" sqref="M3" xr:uid="{60769337-3883-544A-AC66-9EB8B3794628}"/>
    <dataValidation allowBlank="1" showInputMessage="1" showErrorMessage="1" prompt="La lettre « M » indique une absence pour cause de maladie" sqref="S3" xr:uid="{44E94F1C-BCDC-F74B-8BE1-2C188468CF8C}"/>
    <dataValidation allowBlank="1" showErrorMessage="1" prompt="La lettre « P » indique une absence pour motifs personnels" sqref="F3" xr:uid="{8241F17F-0D25-A043-B57C-3A9A49739838}"/>
    <dataValidation allowBlank="1" showErrorMessage="1" prompt="La lettre « C » indique une absence pour cause de congé" sqref="C3" xr:uid="{6B7D47FC-8937-194E-A8DB-F0E9DC2AC100}"/>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07E8032-F9DA-B844-A8A2-B9B52819D9CD}">
            <x14:dataBar minLength="0" maxLength="100">
              <x14:cfvo type="num">
                <xm:f>0</xm:f>
              </x14:cfvo>
              <x14:cfvo type="num">
                <xm:f>31</xm:f>
              </x14:cfvo>
              <x14:negativeFillColor rgb="FFFF0000"/>
              <x14:axisColor rgb="FF000000"/>
            </x14:dataBar>
          </x14:cfRule>
          <xm:sqref>AJ8:AJ18</xm:sqref>
        </x14:conditionalFormatting>
        <x14:conditionalFormatting xmlns:xm="http://schemas.microsoft.com/office/excel/2006/main">
          <x14:cfRule type="dataBar" id="{5ADB184A-9C2E-1F46-8527-539973699570}">
            <x14:dataBar minLength="0" maxLength="100">
              <x14:cfvo type="num">
                <xm:f>0</xm:f>
              </x14:cfvo>
              <x14:cfvo type="num">
                <xm:f>31</xm:f>
              </x14:cfvo>
              <x14:negativeFillColor rgb="FFFF0000"/>
              <x14:axisColor rgb="FF000000"/>
            </x14:dataBar>
          </x14:cfRule>
          <xm:sqref>AH8:AH18</xm:sqref>
        </x14:conditionalFormatting>
        <x14:conditionalFormatting xmlns:xm="http://schemas.microsoft.com/office/excel/2006/main">
          <x14:cfRule type="dataBar" id="{80FD76CC-F1B9-8447-8564-5F029DBF1CC5}">
            <x14:dataBar minLength="0" maxLength="100">
              <x14:cfvo type="num">
                <xm:f>0</xm:f>
              </x14:cfvo>
              <x14:cfvo type="num">
                <xm:f>31</xm:f>
              </x14:cfvo>
              <x14:negativeFillColor rgb="FFFF0000"/>
              <x14:axisColor rgb="FF000000"/>
            </x14:dataBar>
          </x14:cfRule>
          <xm:sqref>AI8:AI18</xm:sqref>
        </x14:conditionalFormatting>
        <x14:conditionalFormatting xmlns:xm="http://schemas.microsoft.com/office/excel/2006/main">
          <x14:cfRule type="containsText" priority="151" stopIfTrue="1" operator="containsText" text="dim" id="{ABC52282-978D-4643-9D91-F39EF56EBE23}">
            <xm:f>NOT(ISERROR(SEARCH("dim",Avril!AK18)))</xm:f>
            <x14:dxf>
              <font>
                <color theme="9"/>
              </font>
              <fill>
                <patternFill patternType="none">
                  <bgColor auto="1"/>
                </patternFill>
              </fill>
            </x14:dxf>
          </x14:cfRule>
          <xm:sqref>AK19:AK1048576</xm:sqref>
        </x14:conditionalFormatting>
        <x14:conditionalFormatting xmlns:xm="http://schemas.microsoft.com/office/excel/2006/main">
          <x14:cfRule type="containsText" priority="88" stopIfTrue="1" operator="containsText" text="dim" id="{1E0332C0-4ACB-B548-B144-11E833885B22}">
            <xm:f>NOT(ISERROR(SEARCH("dim",Août!AJ19)))</xm:f>
            <x14:dxf>
              <font>
                <color theme="0" tint="-0.24994659260841701"/>
              </font>
              <fill>
                <patternFill patternType="none">
                  <bgColor auto="1"/>
                </patternFill>
              </fill>
            </x14:dxf>
          </x14:cfRule>
          <xm:sqref>AJ19</xm:sqref>
        </x14:conditionalFormatting>
        <x14:conditionalFormatting xmlns:xm="http://schemas.microsoft.com/office/excel/2006/main">
          <x14:cfRule type="containsText" priority="606" stopIfTrue="1" operator="containsText" text="dim" id="{ABC52282-978D-4643-9D91-F39EF56EBE23}">
            <xm:f>NOT(ISERROR(SEARCH("dim",Avril!AK1)))</xm:f>
            <x14:dxf>
              <font>
                <color theme="9"/>
              </font>
              <fill>
                <patternFill patternType="none">
                  <bgColor auto="1"/>
                </patternFill>
              </fill>
            </x14:dxf>
          </x14:cfRule>
          <xm:sqref>AK7 AK1 AK4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6D81EA9-FD89-1A4E-A7F9-EAFF8E2F3F49}">
          <x14:formula1>
            <xm:f>'Noms des employés'!$B$4:$B$13</xm:f>
          </x14:formula1>
          <xm:sqref>B8:B18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80150-2180-3346-9740-CF30AA3A6C09}">
  <sheetPr>
    <tabColor theme="2" tint="-0.249977111117893"/>
  </sheetPr>
  <dimension ref="A1:AL22"/>
  <sheetViews>
    <sheetView showGridLines="0" zoomScaleNormal="100" workbookViewId="0">
      <selection activeCell="A7" sqref="A7:XFD7"/>
    </sheetView>
  </sheetViews>
  <sheetFormatPr baseColWidth="10" defaultColWidth="9.1640625" defaultRowHeight="30" customHeight="1"/>
  <cols>
    <col min="1" max="1" width="2.6640625" style="4" customWidth="1"/>
    <col min="2" max="2" width="19.6640625" style="4" customWidth="1"/>
    <col min="3" max="33" width="4.6640625" style="4" customWidth="1"/>
    <col min="34" max="34" width="11.83203125" style="4" customWidth="1"/>
    <col min="35" max="36" width="11.83203125" customWidth="1"/>
    <col min="37" max="37" width="18.83203125" customWidth="1"/>
    <col min="38" max="38" width="41.83203125" customWidth="1"/>
  </cols>
  <sheetData>
    <row r="1" spans="1:38" ht="50" customHeight="1">
      <c r="B1" s="5" t="str">
        <f>Titre_Absence_Employé</f>
        <v>Calendrier des absences des employés</v>
      </c>
    </row>
    <row r="2" spans="1:38"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8"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8" ht="15" customHeight="1">
      <c r="B4" s="5"/>
    </row>
    <row r="5" spans="1:38" ht="30" customHeight="1">
      <c r="B5" s="21" t="s">
        <v>51</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c r="AL5" s="25"/>
    </row>
    <row r="6" spans="1:38" ht="15" customHeight="1">
      <c r="B6" s="15"/>
      <c r="C6" s="2" t="str">
        <f>TEXT(WEEKDAY(DATE(AnnéeCalendrier,10,1),1),"jjj")</f>
        <v>ven</v>
      </c>
      <c r="D6" s="2" t="str">
        <f>TEXT(WEEKDAY(DATE(AnnéeCalendrier,10,2),1),"jjj")</f>
        <v>sam</v>
      </c>
      <c r="E6" s="2" t="str">
        <f>TEXT(WEEKDAY(DATE(AnnéeCalendrier,10,3),1),"jjj")</f>
        <v>dim</v>
      </c>
      <c r="F6" s="2" t="str">
        <f>TEXT(WEEKDAY(DATE(AnnéeCalendrier,10,4),1),"jjj")</f>
        <v>lun</v>
      </c>
      <c r="G6" s="2" t="str">
        <f>TEXT(WEEKDAY(DATE(AnnéeCalendrier,10,5),1),"jjj")</f>
        <v>mar</v>
      </c>
      <c r="H6" s="2" t="str">
        <f>TEXT(WEEKDAY(DATE(AnnéeCalendrier,10,6),1),"jjj")</f>
        <v>mer</v>
      </c>
      <c r="I6" s="2" t="str">
        <f>TEXT(WEEKDAY(DATE(AnnéeCalendrier,10,7),1),"jjj")</f>
        <v>jeu</v>
      </c>
      <c r="J6" s="2" t="str">
        <f>TEXT(WEEKDAY(DATE(AnnéeCalendrier,10,8),1),"jjj")</f>
        <v>ven</v>
      </c>
      <c r="K6" s="2" t="str">
        <f>TEXT(WEEKDAY(DATE(AnnéeCalendrier,10,9),1),"jjj")</f>
        <v>sam</v>
      </c>
      <c r="L6" s="2" t="str">
        <f>TEXT(WEEKDAY(DATE(AnnéeCalendrier,10,10),1),"jjj")</f>
        <v>dim</v>
      </c>
      <c r="M6" s="2" t="str">
        <f>TEXT(WEEKDAY(DATE(AnnéeCalendrier,10,11),1),"jjj")</f>
        <v>lun</v>
      </c>
      <c r="N6" s="2" t="str">
        <f>TEXT(WEEKDAY(DATE(AnnéeCalendrier,10,12),1),"jjj")</f>
        <v>mar</v>
      </c>
      <c r="O6" s="2" t="str">
        <f>TEXT(WEEKDAY(DATE(AnnéeCalendrier,10,13),1),"jjj")</f>
        <v>mer</v>
      </c>
      <c r="P6" s="2" t="str">
        <f>TEXT(WEEKDAY(DATE(AnnéeCalendrier,10,14),1),"jjj")</f>
        <v>jeu</v>
      </c>
      <c r="Q6" s="2" t="str">
        <f>TEXT(WEEKDAY(DATE(AnnéeCalendrier,10,15),1),"jjj")</f>
        <v>ven</v>
      </c>
      <c r="R6" s="2" t="str">
        <f>TEXT(WEEKDAY(DATE(AnnéeCalendrier,10,16),1),"jjj")</f>
        <v>sam</v>
      </c>
      <c r="S6" s="2" t="str">
        <f>TEXT(WEEKDAY(DATE(AnnéeCalendrier,10,17),1),"jjj")</f>
        <v>dim</v>
      </c>
      <c r="T6" s="2" t="str">
        <f>TEXT(WEEKDAY(DATE(AnnéeCalendrier,10,18),1),"jjj")</f>
        <v>lun</v>
      </c>
      <c r="U6" s="2" t="str">
        <f>TEXT(WEEKDAY(DATE(AnnéeCalendrier,10,19),1),"jjj")</f>
        <v>mar</v>
      </c>
      <c r="V6" s="2" t="str">
        <f>TEXT(WEEKDAY(DATE(AnnéeCalendrier,10,20),1),"jjj")</f>
        <v>mer</v>
      </c>
      <c r="W6" s="2" t="str">
        <f>TEXT(WEEKDAY(DATE(AnnéeCalendrier,10,21),1),"jjj")</f>
        <v>jeu</v>
      </c>
      <c r="X6" s="2" t="str">
        <f>TEXT(WEEKDAY(DATE(AnnéeCalendrier,10,22),1),"jjj")</f>
        <v>ven</v>
      </c>
      <c r="Y6" s="2" t="str">
        <f>TEXT(WEEKDAY(DATE(AnnéeCalendrier,10,23),1),"jjj")</f>
        <v>sam</v>
      </c>
      <c r="Z6" s="2" t="str">
        <f>TEXT(WEEKDAY(DATE(AnnéeCalendrier,10,24),1),"jjj")</f>
        <v>dim</v>
      </c>
      <c r="AA6" s="2" t="str">
        <f>TEXT(WEEKDAY(DATE(AnnéeCalendrier,10,25),1),"jjj")</f>
        <v>lun</v>
      </c>
      <c r="AB6" s="2" t="str">
        <f>TEXT(WEEKDAY(DATE(AnnéeCalendrier,10,26),1),"jjj")</f>
        <v>mar</v>
      </c>
      <c r="AC6" s="2" t="str">
        <f>TEXT(WEEKDAY(DATE(AnnéeCalendrier,10,27),1),"jjj")</f>
        <v>mer</v>
      </c>
      <c r="AD6" s="2" t="str">
        <f>TEXT(WEEKDAY(DATE(AnnéeCalendrier,10,28),1),"jjj")</f>
        <v>jeu</v>
      </c>
      <c r="AE6" s="2" t="str">
        <f>TEXT(WEEKDAY(DATE(AnnéeCalendrier,10,29),1),"jjj")</f>
        <v>ven</v>
      </c>
      <c r="AF6" s="2" t="str">
        <f>TEXT(WEEKDAY(DATE(AnnéeCalendrier,10,30),1),"jjj")</f>
        <v>sam</v>
      </c>
      <c r="AG6" s="2" t="str">
        <f>TEXT(WEEKDAY(DATE(AnnéeCalendrier,10,31),1),"jjj")</f>
        <v>dim</v>
      </c>
      <c r="AH6" s="12"/>
      <c r="AI6" s="12"/>
      <c r="AJ6" s="12"/>
      <c r="AK6" s="12"/>
      <c r="AL6" s="12"/>
    </row>
    <row r="7" spans="1:38" ht="35"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39</v>
      </c>
      <c r="AH7" s="70" t="s">
        <v>78</v>
      </c>
      <c r="AI7" s="27" t="s">
        <v>89</v>
      </c>
      <c r="AJ7" s="27" t="s">
        <v>109</v>
      </c>
      <c r="AK7" s="75" t="s">
        <v>93</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c r="AL8" s="68"/>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Septembre!AK9-Octobre[[#This Row],[Dont RTT]]+2</f>
        <v>23</v>
      </c>
      <c r="AL9" s="68"/>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Septembre!AK10-Octobre[[#This Row],[Dont RTT]]+2</f>
        <v>31</v>
      </c>
      <c r="AL10" s="68"/>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c r="AL11" s="68"/>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c r="AL12" s="68"/>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Septembre!AK13-Octobre[[#This Row],[Dont RTT]]+2</f>
        <v>22.93</v>
      </c>
      <c r="AL13" s="68"/>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Septembre!AK14-Octobre[[#This Row],[Dont RTT]]+2</f>
        <v>22.5</v>
      </c>
      <c r="AL14" s="68"/>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Septembre!AK15-Octobre[[#This Row],[Dont RTT]]+2</f>
        <v>25.5</v>
      </c>
      <c r="AL15" s="68"/>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Septembre!AK16-Octobre[[#This Row],[Dont RTT]]+2</f>
        <v>22.16</v>
      </c>
      <c r="AL16" s="68"/>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Septembre!AK17-Octobre[[#This Row],[Dont RTT]]+2</f>
        <v>31</v>
      </c>
      <c r="AL17" s="68"/>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Septembre!AK18-Octobre[[#This Row],[Dont RTT]]+2</f>
        <v>22.5</v>
      </c>
      <c r="AL18" s="68"/>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4">
        <f t="shared" ref="AH19:AH21" si="3">(COUNTIF(C19:AG19,"C")+(COUNTIF(C19:AG19,"EM")+COUNTIF(C19:AG19,"RTT")+COUNTIF(C19:AG19,"M")+COUNTIF(C19:AG19,"Rec")+COUNTIF(C19:AG19,"F")+COUNTIF(C19:AG19,"TT"-1)+COUNTIF(C19:AG19,"CS")+COUNTIF(C19:AG19,"PE"-1)+COUNTIF(C19:AG19,"DRTT")/2)+COUNTIF(C19:AG19,"DREC")/2)+COUNTIF(C19:AG19,"DEM")/2</f>
        <v>0</v>
      </c>
      <c r="AI19" s="64">
        <f t="shared" ref="AI19:AI21" si="4">COUNTIF(C19:AG19,"RTT")+COUNTIF(C19:AG19,"DRTT")/2</f>
        <v>0</v>
      </c>
      <c r="AJ19" s="33">
        <f t="shared" si="2"/>
        <v>0</v>
      </c>
      <c r="AK19" s="63"/>
      <c r="AL19" s="68"/>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4">
        <f t="shared" si="3"/>
        <v>0</v>
      </c>
      <c r="AI20" s="64">
        <f t="shared" si="4"/>
        <v>0</v>
      </c>
      <c r="AJ20" s="33">
        <f t="shared" si="2"/>
        <v>0</v>
      </c>
      <c r="AK20" s="63"/>
      <c r="AL20" s="68"/>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4">
        <f t="shared" si="3"/>
        <v>0</v>
      </c>
      <c r="AI21" s="64">
        <f t="shared" si="4"/>
        <v>0</v>
      </c>
      <c r="AJ21" s="33">
        <f t="shared" si="2"/>
        <v>0</v>
      </c>
      <c r="AK21" s="69"/>
      <c r="AL21" s="68"/>
    </row>
    <row r="22" spans="2:38" ht="30" customHeight="1">
      <c r="B22" s="30" t="str">
        <f>NomMois&amp;" Total"</f>
        <v>Octobre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SUBTOTAL(109,Octobre[Total absence])</f>
        <v>0</v>
      </c>
      <c r="AI22" s="29">
        <f>SUBTOTAL(109,Octobre[Dont RTT])</f>
        <v>0</v>
      </c>
      <c r="AJ22" s="55">
        <f>SUBTOTAL(109,Octobre[Dont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363" priority="144" stopIfTrue="1" operator="containsText" text="dim">
      <formula>NOT(ISERROR(SEARCH("dim",C6)))</formula>
    </cfRule>
  </conditionalFormatting>
  <conditionalFormatting sqref="AH7">
    <cfRule type="containsText" dxfId="362" priority="143" stopIfTrue="1" operator="containsText" text="dim">
      <formula>NOT(ISERROR(SEARCH("dim",AH7)))</formula>
    </cfRule>
  </conditionalFormatting>
  <conditionalFormatting sqref="C22:AG22">
    <cfRule type="containsText" dxfId="361" priority="124" stopIfTrue="1" operator="containsText" text="dim">
      <formula>NOT(ISERROR(SEARCH("dim",C22)))</formula>
    </cfRule>
  </conditionalFormatting>
  <conditionalFormatting sqref="AL3:XFD3 A2:A3 AG2:XFD2">
    <cfRule type="containsText" dxfId="360" priority="120" stopIfTrue="1" operator="containsText" text="dim">
      <formula>NOT(ISERROR(SEARCH("dim",A2)))</formula>
    </cfRule>
  </conditionalFormatting>
  <conditionalFormatting sqref="AJ8:AJ21">
    <cfRule type="dataBar" priority="72">
      <dataBar>
        <cfvo type="num" val="0"/>
        <cfvo type="num" val="31"/>
        <color rgb="FFFF0000"/>
      </dataBar>
      <extLst>
        <ext xmlns:x14="http://schemas.microsoft.com/office/spreadsheetml/2009/9/main" uri="{B025F937-C7B1-47D3-B67F-A62EFF666E3E}">
          <x14:id>{59833182-E8A6-5D4D-8738-2AF1DC0259AB}</x14:id>
        </ext>
      </extLst>
    </cfRule>
  </conditionalFormatting>
  <conditionalFormatting sqref="AH8:AH21">
    <cfRule type="dataBar" priority="60">
      <dataBar>
        <cfvo type="num" val="0"/>
        <cfvo type="num" val="31"/>
        <color rgb="FF00B0F0"/>
      </dataBar>
      <extLst>
        <ext xmlns:x14="http://schemas.microsoft.com/office/spreadsheetml/2009/9/main" uri="{B025F937-C7B1-47D3-B67F-A62EFF666E3E}">
          <x14:id>{531125BD-964F-A34E-A404-B8890B4FC423}</x14:id>
        </ext>
      </extLst>
    </cfRule>
    <cfRule type="containsText" dxfId="359" priority="63" stopIfTrue="1" operator="containsText" text="dim">
      <formula>NOT(ISERROR(SEARCH("dim",AH8)))</formula>
    </cfRule>
  </conditionalFormatting>
  <conditionalFormatting sqref="AI8:AI21">
    <cfRule type="dataBar" priority="61">
      <dataBar>
        <cfvo type="num" val="0"/>
        <cfvo type="num" val="31"/>
        <color rgb="FF92D050"/>
      </dataBar>
      <extLst>
        <ext xmlns:x14="http://schemas.microsoft.com/office/spreadsheetml/2009/9/main" uri="{B025F937-C7B1-47D3-B67F-A62EFF666E3E}">
          <x14:id>{8E35412C-925A-FF48-B0C5-0B6C32C451BF}</x14:id>
        </ext>
      </extLst>
    </cfRule>
  </conditionalFormatting>
  <conditionalFormatting sqref="B3:D3 F2:G3 M3:N3 Q3 S3:T3 V2:W3 I2:J3">
    <cfRule type="containsText" dxfId="358" priority="35" stopIfTrue="1" operator="containsText" text="dim">
      <formula>NOT(ISERROR(SEARCH("dim",B2)))</formula>
    </cfRule>
  </conditionalFormatting>
  <conditionalFormatting sqref="V2:W2">
    <cfRule type="containsText" dxfId="357" priority="34" stopIfTrue="1" operator="containsText" text="dim">
      <formula>NOT(ISERROR(SEARCH("dim",V2)))</formula>
    </cfRule>
  </conditionalFormatting>
  <conditionalFormatting sqref="AA2">
    <cfRule type="containsText" dxfId="356" priority="33" stopIfTrue="1" operator="containsText" text="dim">
      <formula>NOT(ISERROR(SEARCH("dim",AA2)))</formula>
    </cfRule>
  </conditionalFormatting>
  <conditionalFormatting sqref="AA2">
    <cfRule type="containsText" dxfId="355" priority="32" stopIfTrue="1" operator="containsText" text="dim">
      <formula>NOT(ISERROR(SEARCH("dim",AA2)))</formula>
    </cfRule>
  </conditionalFormatting>
  <conditionalFormatting sqref="P3">
    <cfRule type="expression" dxfId="354" priority="18" stopIfTrue="1">
      <formula>P3=CléNonTravaillé</formula>
    </cfRule>
    <cfRule type="expression" dxfId="353" priority="19" stopIfTrue="1">
      <formula>P3=CléPrésenceExceptionnelle</formula>
    </cfRule>
    <cfRule type="expression" dxfId="352" priority="20" stopIfTrue="1">
      <formula>P3=CléCongéSpécial</formula>
    </cfRule>
    <cfRule type="expression" dxfId="351" priority="21" stopIfTrue="1">
      <formula>P3=CléDemiRécupération</formula>
    </cfRule>
    <cfRule type="expression" dxfId="350" priority="22" stopIfTrue="1">
      <formula>P3=CléDemiEnfantMalade</formula>
    </cfRule>
    <cfRule type="expression" dxfId="349" priority="23" stopIfTrue="1">
      <formula>P3=CléEnfantMalade</formula>
    </cfRule>
    <cfRule type="expression" dxfId="348" priority="24" stopIfTrue="1">
      <formula>P3=CléDemiRtt</formula>
    </cfRule>
    <cfRule type="expression" priority="25" stopIfTrue="1">
      <formula>P3=""</formula>
    </cfRule>
    <cfRule type="expression" dxfId="347" priority="26" stopIfTrue="1">
      <formula>P3=CléMaladie</formula>
    </cfRule>
    <cfRule type="expression" dxfId="346" priority="27" stopIfTrue="1">
      <formula>P3=CléCongé</formula>
    </cfRule>
    <cfRule type="expression" dxfId="345" priority="28" stopIfTrue="1">
      <formula>P3=CléRécupération</formula>
    </cfRule>
    <cfRule type="expression" dxfId="344" priority="29" stopIfTrue="1">
      <formula>P3=CléFormation</formula>
    </cfRule>
    <cfRule type="expression" dxfId="343" priority="30" stopIfTrue="1">
      <formula>P3=CléRTT</formula>
    </cfRule>
    <cfRule type="expression" dxfId="342" priority="31" stopIfTrue="1">
      <formula>P3=CléTélétravail</formula>
    </cfRule>
  </conditionalFormatting>
  <conditionalFormatting sqref="AA3">
    <cfRule type="containsText" dxfId="341" priority="17" stopIfTrue="1" operator="containsText" text="dim">
      <formula>NOT(ISERROR(SEARCH("dim",AA3)))</formula>
    </cfRule>
  </conditionalFormatting>
  <conditionalFormatting sqref="AA3">
    <cfRule type="containsText" dxfId="340" priority="16" stopIfTrue="1" operator="containsText" text="dim">
      <formula>NOT(ISERROR(SEARCH("dim",AA3)))</formula>
    </cfRule>
  </conditionalFormatting>
  <conditionalFormatting sqref="C8:AG21">
    <cfRule type="expression" dxfId="339" priority="1" stopIfTrue="1">
      <formula>C8=CléAbsenceJustifiée</formula>
    </cfRule>
    <cfRule type="expression" dxfId="338" priority="2" stopIfTrue="1">
      <formula>C8=CléNonTravaillé</formula>
    </cfRule>
    <cfRule type="expression" dxfId="337" priority="3" stopIfTrue="1">
      <formula>C8=CléPrésenceExceptionnelle</formula>
    </cfRule>
    <cfRule type="expression" dxfId="336" priority="4" stopIfTrue="1">
      <formula>C8=CléCongéSpécial</formula>
    </cfRule>
    <cfRule type="expression" dxfId="335" priority="5" stopIfTrue="1">
      <formula>C8=CléDemiRécupération</formula>
    </cfRule>
    <cfRule type="expression" dxfId="334" priority="6" stopIfTrue="1">
      <formula>C8=CléDemiEnfantMalade</formula>
    </cfRule>
    <cfRule type="expression" dxfId="333" priority="7" stopIfTrue="1">
      <formula>C8=CléEnfantMalade</formula>
    </cfRule>
    <cfRule type="expression" dxfId="332" priority="8" stopIfTrue="1">
      <formula>C8=CléDemiRtt</formula>
    </cfRule>
    <cfRule type="expression" priority="9" stopIfTrue="1">
      <formula>C8=""</formula>
    </cfRule>
    <cfRule type="expression" dxfId="331" priority="10" stopIfTrue="1">
      <formula>C8=CléCongéMalade</formula>
    </cfRule>
    <cfRule type="expression" dxfId="330" priority="11" stopIfTrue="1">
      <formula>C8=CléCongé</formula>
    </cfRule>
    <cfRule type="expression" dxfId="329" priority="12" stopIfTrue="1">
      <formula>C8=CléRécupération</formula>
    </cfRule>
    <cfRule type="expression" dxfId="328" priority="13" stopIfTrue="1">
      <formula>C8=CléFormation</formula>
    </cfRule>
    <cfRule type="expression" dxfId="327" priority="14" stopIfTrue="1">
      <formula>C8=CléRTT</formula>
    </cfRule>
    <cfRule type="expression" dxfId="326" priority="15" stopIfTrue="1">
      <formula>C8=CléTélétravail</formula>
    </cfRule>
  </conditionalFormatting>
  <dataValidations count="1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A5C906B3-D083-6D48-A84B-18B854D2EBB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893144A7-728A-4D40-93BC-A14B623B6D35}"/>
    <dataValidation allowBlank="1" showInputMessage="1" showErrorMessage="1" prompt="Suivez les absences du mois d’octobre dans cette feuille de calcul" sqref="A1" xr:uid="{CAB78C87-39CD-794A-B46E-46B7414888A8}"/>
    <dataValidation allowBlank="1" showInputMessage="1" showErrorMessage="1" prompt="Calcule automatiquement le nombre total de jours d’absence d’un employé durant ce mois dans cette colonne" sqref="AH7" xr:uid="{FAC5764A-286E-5946-8A25-BFBEC4A03F2E}"/>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117448EA-5F6F-6946-A538-746EA42F640C}"/>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17977A47-A7C6-D146-8996-60B530B15F23}"/>
    <dataValidation allowBlank="1" showErrorMessage="1" sqref="B4:AJ5 AD1:AJ1 B2:B3 B1:Y1" xr:uid="{FD8D6894-836E-754D-BC5F-5504E871F24C}"/>
    <dataValidation allowBlank="1" showErrorMessage="1" prompt="Entrez une étiquette pour décrire la clé personnalisée à gauche" sqref="N3" xr:uid="{6A4EEBBC-4432-E849-A433-3F6FBE27E45F}"/>
    <dataValidation allowBlank="1" showErrorMessage="1" prompt="Entrez une lettre et personnalisez l’étiquette à droite pour ajouter un élément de clé" sqref="I16 F16 I2:I3" xr:uid="{70B34098-8DAF-A248-BA3A-169AC4D326BC}"/>
    <dataValidation allowBlank="1" showInputMessage="1" showErrorMessage="1" prompt="Entrez une étiquette pour décrire la clé personnalisée à gauche" sqref="J2:J3" xr:uid="{22BCA5EB-07E6-444C-AEEB-CB59E7EFF4A6}"/>
    <dataValidation allowBlank="1" showInputMessage="1" showErrorMessage="1" prompt="Entrez une lettre et personnalisez l’étiquette à droite pour ajouter un élément de clé" sqref="M3" xr:uid="{B8835787-7E70-AA45-8ECF-941460C0BC34}"/>
    <dataValidation allowBlank="1" showInputMessage="1" showErrorMessage="1" prompt="La lettre « M » indique une absence pour cause de maladie" sqref="S3" xr:uid="{51A701B4-BC90-EE45-90DB-FE1BFDB13AC6}"/>
    <dataValidation allowBlank="1" showErrorMessage="1" prompt="La lettre « P » indique une absence pour motifs personnels" sqref="F3" xr:uid="{635762B3-6E4E-FA48-A8A8-29B12A5E5DA3}"/>
    <dataValidation allowBlank="1" showErrorMessage="1" prompt="La lettre « C » indique une absence pour cause de congé" sqref="C3" xr:uid="{E807CF8A-2436-D64C-8779-DE415155B26C}"/>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9833182-E8A6-5D4D-8738-2AF1DC0259AB}">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531125BD-964F-A34E-A404-B8890B4FC423}">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8E35412C-925A-FF48-B0C5-0B6C32C451BF}">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60" stopIfTrue="1" operator="containsText" text="dim" id="{E32FD559-C6BE-DC4E-9A92-14FFD8AC5E93}">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6" stopIfTrue="1" operator="containsText" text="dim" id="{7E698E6F-57A9-6F4E-9955-F3FFB75F1D3F}">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07" stopIfTrue="1" operator="containsText" text="dim" id="{E32FD559-C6BE-DC4E-9A92-14FFD8AC5E93}">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31" stopIfTrue="1" operator="containsText" text="dim" id="{E32FD559-C6BE-DC4E-9A92-14FFD8AC5E93}">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3932B49-5187-294F-A4B2-F912DE900FE1}">
          <x14:formula1>
            <xm:f>'Noms des employés'!$B$4:$B$16</xm:f>
          </x14:formula1>
          <xm:sqref>B8:B21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1B235-97AA-6A4A-877C-6FD88B294FB4}">
  <sheetPr>
    <tabColor theme="2" tint="-0.249977111117893"/>
  </sheetPr>
  <dimension ref="A1:AL22"/>
  <sheetViews>
    <sheetView showGridLines="0" zoomScaleNormal="100" workbookViewId="0">
      <selection activeCell="A7" sqref="A7:XFD7"/>
    </sheetView>
  </sheetViews>
  <sheetFormatPr baseColWidth="10" defaultColWidth="9.1640625" defaultRowHeight="30" customHeight="1"/>
  <cols>
    <col min="1" max="1" width="2.6640625" style="4" customWidth="1"/>
    <col min="2" max="2" width="19.33203125" style="4" customWidth="1"/>
    <col min="3" max="33" width="4.6640625" style="4" customWidth="1"/>
    <col min="34" max="34" width="12" style="4" customWidth="1"/>
    <col min="35" max="35" width="11.1640625" customWidth="1"/>
    <col min="36" max="36" width="11.83203125" customWidth="1"/>
    <col min="37" max="37" width="19.6640625" customWidth="1"/>
    <col min="38" max="38" width="41.83203125" customWidth="1"/>
  </cols>
  <sheetData>
    <row r="1" spans="1:38" ht="50" customHeight="1">
      <c r="B1" s="5" t="str">
        <f>Titre_Absence_Employé</f>
        <v>Calendrier des absences des employés</v>
      </c>
    </row>
    <row r="2" spans="1:38"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8"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8" ht="15" customHeight="1">
      <c r="B4" s="5"/>
    </row>
    <row r="5" spans="1:38" ht="30" customHeight="1">
      <c r="B5" s="21" t="s">
        <v>52</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1"/>
      <c r="AJ5" s="21"/>
      <c r="AK5" s="71">
        <f>AnnéeCalendrier</f>
        <v>2021</v>
      </c>
      <c r="AL5" s="21"/>
    </row>
    <row r="6" spans="1:38" ht="15" customHeight="1">
      <c r="B6" s="15"/>
      <c r="C6" s="58" t="str">
        <f>TEXT(WEEKDAY(DATE(AnnéeCalendrier,11,1),1),"jjj")</f>
        <v>lun</v>
      </c>
      <c r="D6" s="58" t="str">
        <f>TEXT(WEEKDAY(DATE(AnnéeCalendrier,11,2),1),"jjj")</f>
        <v>mar</v>
      </c>
      <c r="E6" s="58" t="str">
        <f>TEXT(WEEKDAY(DATE(AnnéeCalendrier,11,3),1),"jjj")</f>
        <v>mer</v>
      </c>
      <c r="F6" s="58" t="str">
        <f>TEXT(WEEKDAY(DATE(AnnéeCalendrier,11,4),1),"jjj")</f>
        <v>jeu</v>
      </c>
      <c r="G6" s="58" t="str">
        <f>TEXT(WEEKDAY(DATE(AnnéeCalendrier,11,5),1),"jjj")</f>
        <v>ven</v>
      </c>
      <c r="H6" s="58" t="str">
        <f>TEXT(WEEKDAY(DATE(AnnéeCalendrier,11,6),1),"jjj")</f>
        <v>sam</v>
      </c>
      <c r="I6" s="58" t="str">
        <f>TEXT(WEEKDAY(DATE(AnnéeCalendrier,11,7),1),"jjj")</f>
        <v>dim</v>
      </c>
      <c r="J6" s="58" t="str">
        <f>TEXT(WEEKDAY(DATE(AnnéeCalendrier,11,8),1),"jjj")</f>
        <v>lun</v>
      </c>
      <c r="K6" s="58" t="str">
        <f>TEXT(WEEKDAY(DATE(AnnéeCalendrier,11,9),1),"jjj")</f>
        <v>mar</v>
      </c>
      <c r="L6" s="58" t="str">
        <f>TEXT(WEEKDAY(DATE(AnnéeCalendrier,11,10),1),"jjj")</f>
        <v>mer</v>
      </c>
      <c r="M6" s="58" t="str">
        <f>TEXT(WEEKDAY(DATE(AnnéeCalendrier,11,11),1),"jjj")</f>
        <v>jeu</v>
      </c>
      <c r="N6" s="58" t="str">
        <f>TEXT(WEEKDAY(DATE(AnnéeCalendrier,11,12),1),"jjj")</f>
        <v>ven</v>
      </c>
      <c r="O6" s="58" t="str">
        <f>TEXT(WEEKDAY(DATE(AnnéeCalendrier,11,13),1),"jjj")</f>
        <v>sam</v>
      </c>
      <c r="P6" s="58" t="str">
        <f>TEXT(WEEKDAY(DATE(AnnéeCalendrier,11,14),1),"jjj")</f>
        <v>dim</v>
      </c>
      <c r="Q6" s="58" t="str">
        <f>TEXT(WEEKDAY(DATE(AnnéeCalendrier,11,15),1),"jjj")</f>
        <v>lun</v>
      </c>
      <c r="R6" s="58" t="str">
        <f>TEXT(WEEKDAY(DATE(AnnéeCalendrier,11,16),1),"jjj")</f>
        <v>mar</v>
      </c>
      <c r="S6" s="58" t="str">
        <f>TEXT(WEEKDAY(DATE(AnnéeCalendrier,11,17),1),"jjj")</f>
        <v>mer</v>
      </c>
      <c r="T6" s="58" t="str">
        <f>TEXT(WEEKDAY(DATE(AnnéeCalendrier,11,18),1),"jjj")</f>
        <v>jeu</v>
      </c>
      <c r="U6" s="58" t="str">
        <f>TEXT(WEEKDAY(DATE(AnnéeCalendrier,11,19),1),"jjj")</f>
        <v>ven</v>
      </c>
      <c r="V6" s="58" t="str">
        <f>TEXT(WEEKDAY(DATE(AnnéeCalendrier,11,20),1),"jjj")</f>
        <v>sam</v>
      </c>
      <c r="W6" s="58" t="str">
        <f>TEXT(WEEKDAY(DATE(AnnéeCalendrier,11,21),1),"jjj")</f>
        <v>dim</v>
      </c>
      <c r="X6" s="58" t="str">
        <f>TEXT(WEEKDAY(DATE(AnnéeCalendrier,11,22),1),"jjj")</f>
        <v>lun</v>
      </c>
      <c r="Y6" s="58" t="str">
        <f>TEXT(WEEKDAY(DATE(AnnéeCalendrier,11,23),1),"jjj")</f>
        <v>mar</v>
      </c>
      <c r="Z6" s="58" t="str">
        <f>TEXT(WEEKDAY(DATE(AnnéeCalendrier,11,24),1),"jjj")</f>
        <v>mer</v>
      </c>
      <c r="AA6" s="58" t="str">
        <f>TEXT(WEEKDAY(DATE(AnnéeCalendrier,11,25),1),"jjj")</f>
        <v>jeu</v>
      </c>
      <c r="AB6" s="58" t="str">
        <f>TEXT(WEEKDAY(DATE(AnnéeCalendrier,11,26),1),"jjj")</f>
        <v>ven</v>
      </c>
      <c r="AC6" s="58" t="str">
        <f>TEXT(WEEKDAY(DATE(AnnéeCalendrier,11,27),1),"jjj")</f>
        <v>sam</v>
      </c>
      <c r="AD6" s="58" t="str">
        <f>TEXT(WEEKDAY(DATE(AnnéeCalendrier,11,28),1),"jjj")</f>
        <v>dim</v>
      </c>
      <c r="AE6" s="58" t="str">
        <f>TEXT(WEEKDAY(DATE(AnnéeCalendrier,11,29),1),"jjj")</f>
        <v>lun</v>
      </c>
      <c r="AF6" s="58" t="str">
        <f>TEXT(WEEKDAY(DATE(AnnéeCalendrier,11,30),1),"jjj")</f>
        <v>mar</v>
      </c>
      <c r="AG6" s="58"/>
      <c r="AH6" s="12"/>
      <c r="AI6" s="12"/>
      <c r="AJ6" s="12"/>
      <c r="AK6" s="12"/>
      <c r="AL6" s="12"/>
    </row>
    <row r="7" spans="1:38" ht="36" customHeight="1">
      <c r="B7" s="13" t="s">
        <v>3</v>
      </c>
      <c r="C7" s="51" t="s">
        <v>6</v>
      </c>
      <c r="D7" s="14" t="s">
        <v>8</v>
      </c>
      <c r="E7" s="14" t="s">
        <v>9</v>
      </c>
      <c r="F7" s="14" t="s">
        <v>10</v>
      </c>
      <c r="G7" s="14" t="s">
        <v>12</v>
      </c>
      <c r="H7" s="14" t="s">
        <v>13</v>
      </c>
      <c r="I7" s="14" t="s">
        <v>14</v>
      </c>
      <c r="J7" s="14" t="s">
        <v>15</v>
      </c>
      <c r="K7" s="14" t="s">
        <v>16</v>
      </c>
      <c r="L7" s="14" t="s">
        <v>18</v>
      </c>
      <c r="M7" s="51" t="s">
        <v>19</v>
      </c>
      <c r="N7" s="14" t="s">
        <v>20</v>
      </c>
      <c r="O7" s="14" t="s">
        <v>21</v>
      </c>
      <c r="P7" s="14" t="s">
        <v>22</v>
      </c>
      <c r="Q7" s="14" t="s">
        <v>23</v>
      </c>
      <c r="R7" s="14" t="s">
        <v>24</v>
      </c>
      <c r="S7" s="14" t="s">
        <v>25</v>
      </c>
      <c r="T7" s="14" t="s">
        <v>26</v>
      </c>
      <c r="U7" s="14" t="s">
        <v>27</v>
      </c>
      <c r="V7" s="14" t="s">
        <v>28</v>
      </c>
      <c r="W7" s="14" t="s">
        <v>29</v>
      </c>
      <c r="X7" s="14" t="s">
        <v>30</v>
      </c>
      <c r="Y7" s="14" t="s">
        <v>31</v>
      </c>
      <c r="Z7" s="14" t="s">
        <v>32</v>
      </c>
      <c r="AA7" s="14" t="s">
        <v>33</v>
      </c>
      <c r="AB7" s="14" t="s">
        <v>34</v>
      </c>
      <c r="AC7" s="14" t="s">
        <v>35</v>
      </c>
      <c r="AD7" s="14" t="s">
        <v>36</v>
      </c>
      <c r="AE7" s="14" t="s">
        <v>37</v>
      </c>
      <c r="AF7" s="14" t="s">
        <v>38</v>
      </c>
      <c r="AG7" s="14" t="s">
        <v>42</v>
      </c>
      <c r="AH7" s="26" t="s">
        <v>78</v>
      </c>
      <c r="AI7" s="27" t="s">
        <v>89</v>
      </c>
      <c r="AJ7" s="27" t="s">
        <v>109</v>
      </c>
      <c r="AK7" s="75" t="s">
        <v>92</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Octobre!AK9-Novembre[[#This Row],[Dont RTT]]+2</f>
        <v>25</v>
      </c>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Octobre!AK10-Novembre[[#This Row],[Dont RTT]]+2</f>
        <v>33</v>
      </c>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Octobre!AK13-Novembre[[#This Row],[Dont RTT]]+2</f>
        <v>24.93</v>
      </c>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Octobre!AK14-Novembre[[#This Row],[Dont RTT]]+2</f>
        <v>24.5</v>
      </c>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Octobre!AK15-Novembre[[#This Row],[Dont RTT]]+2</f>
        <v>27.5</v>
      </c>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Octobre!AK16-Novembre[[#This Row],[Dont RTT]]+2</f>
        <v>24.16</v>
      </c>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Octobre!AK17-Novembre[[#This Row],[Dont RTT]]+2</f>
        <v>33</v>
      </c>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Octobre!AK18-Novembre[[#This Row],[Dont RTT]]+2</f>
        <v>24.5</v>
      </c>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5">
        <f t="shared" ref="AH19:AH21" si="3">(COUNTIF(C19:AG19,"C")+(COUNTIF(C19:AG19,"EM")+COUNTIF(C19:AG19,"RTT")+COUNTIF(C19:AG19,"M")+COUNTIF(C19:AG19,"Rec")+COUNTIF(C19:AG19,"F")+COUNTIF(C19:AG19,"TT"-1)+COUNTIF(C19:AG19,"CS")+COUNTIF(C19:AG19,"PE"-1)+COUNTIF(C19:AG19,"DRTT")/2)+COUNTIF(C19:AG19,"DREC")/2)+COUNTIF(C19:AG19,"DEM")/2</f>
        <v>0</v>
      </c>
      <c r="AI19" s="65">
        <f t="shared" ref="AI19:AI21" si="4">COUNTIF(C19:AG19,"RTT")+COUNTIF(C19:AG19,"DRTT")/2</f>
        <v>0</v>
      </c>
      <c r="AJ19" s="33">
        <f t="shared" si="2"/>
        <v>0</v>
      </c>
      <c r="AK19" s="63"/>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5">
        <f t="shared" si="3"/>
        <v>0</v>
      </c>
      <c r="AI20" s="65">
        <f t="shared" si="4"/>
        <v>0</v>
      </c>
      <c r="AJ20" s="33">
        <f t="shared" si="2"/>
        <v>0</v>
      </c>
      <c r="AK20" s="63"/>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5">
        <f t="shared" si="3"/>
        <v>0</v>
      </c>
      <c r="AI21" s="65">
        <f t="shared" si="4"/>
        <v>0</v>
      </c>
      <c r="AJ21" s="33">
        <f t="shared" si="2"/>
        <v>0</v>
      </c>
      <c r="AK21" s="63"/>
    </row>
    <row r="22" spans="2:38" ht="30" customHeight="1">
      <c r="B22" s="30" t="str">
        <f>NomMois&amp;" Total"</f>
        <v>Novembre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SUBTOTAL(109,Novembre[Total absence])</f>
        <v>0</v>
      </c>
      <c r="AI22" s="29">
        <f>SUBTOTAL(109,Novembre[Dont RTT])</f>
        <v>0</v>
      </c>
      <c r="AJ22" s="55">
        <f>SUBTOTAL(109,Novembre[Dont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F6">
    <cfRule type="containsText" dxfId="246" priority="138" stopIfTrue="1" operator="containsText" text="dim">
      <formula>NOT(ISERROR(SEARCH("dim",C6)))</formula>
    </cfRule>
  </conditionalFormatting>
  <conditionalFormatting sqref="AH7">
    <cfRule type="containsText" dxfId="245" priority="137" stopIfTrue="1" operator="containsText" text="dim">
      <formula>NOT(ISERROR(SEARCH("dim",AH7)))</formula>
    </cfRule>
  </conditionalFormatting>
  <conditionalFormatting sqref="C22:AG22">
    <cfRule type="containsText" dxfId="244" priority="117" stopIfTrue="1" operator="containsText" text="dim">
      <formula>NOT(ISERROR(SEARCH("dim",C22)))</formula>
    </cfRule>
  </conditionalFormatting>
  <conditionalFormatting sqref="AL3:XFD3 A2:A3 AG2:XFD2">
    <cfRule type="containsText" dxfId="243" priority="114" stopIfTrue="1" operator="containsText" text="dim">
      <formula>NOT(ISERROR(SEARCH("dim",A2)))</formula>
    </cfRule>
  </conditionalFormatting>
  <conditionalFormatting sqref="AJ8:AJ21">
    <cfRule type="dataBar" priority="66">
      <dataBar>
        <cfvo type="num" val="0"/>
        <cfvo type="num" val="31"/>
        <color rgb="FFFF0000"/>
      </dataBar>
      <extLst>
        <ext xmlns:x14="http://schemas.microsoft.com/office/spreadsheetml/2009/9/main" uri="{B025F937-C7B1-47D3-B67F-A62EFF666E3E}">
          <x14:id>{8ED36B72-7B84-FC49-8569-F8EDF688A8BE}</x14:id>
        </ext>
      </extLst>
    </cfRule>
  </conditionalFormatting>
  <conditionalFormatting sqref="AH8:AH21">
    <cfRule type="dataBar" priority="54">
      <dataBar>
        <cfvo type="num" val="0"/>
        <cfvo type="num" val="31"/>
        <color rgb="FF00B0F0"/>
      </dataBar>
      <extLst>
        <ext xmlns:x14="http://schemas.microsoft.com/office/spreadsheetml/2009/9/main" uri="{B025F937-C7B1-47D3-B67F-A62EFF666E3E}">
          <x14:id>{6B34DDAC-AC86-BE4F-A703-C37FB5D3F71D}</x14:id>
        </ext>
      </extLst>
    </cfRule>
    <cfRule type="containsText" dxfId="242" priority="57" stopIfTrue="1" operator="containsText" text="dim">
      <formula>NOT(ISERROR(SEARCH("dim",AH8)))</formula>
    </cfRule>
  </conditionalFormatting>
  <conditionalFormatting sqref="AI8:AI21">
    <cfRule type="dataBar" priority="55">
      <dataBar>
        <cfvo type="num" val="0"/>
        <cfvo type="num" val="31"/>
        <color rgb="FF92D050"/>
      </dataBar>
      <extLst>
        <ext xmlns:x14="http://schemas.microsoft.com/office/spreadsheetml/2009/9/main" uri="{B025F937-C7B1-47D3-B67F-A62EFF666E3E}">
          <x14:id>{D9257F76-1902-F041-9D22-29AAC7B051D3}</x14:id>
        </ext>
      </extLst>
    </cfRule>
  </conditionalFormatting>
  <conditionalFormatting sqref="B3:D3 F2:G3 M3:N3 Q3 S3:T3 V2:W3 I2:J3">
    <cfRule type="containsText" dxfId="241" priority="35" stopIfTrue="1" operator="containsText" text="dim">
      <formula>NOT(ISERROR(SEARCH("dim",B2)))</formula>
    </cfRule>
  </conditionalFormatting>
  <conditionalFormatting sqref="V2:W2">
    <cfRule type="containsText" dxfId="240" priority="34" stopIfTrue="1" operator="containsText" text="dim">
      <formula>NOT(ISERROR(SEARCH("dim",V2)))</formula>
    </cfRule>
  </conditionalFormatting>
  <conditionalFormatting sqref="AA2">
    <cfRule type="containsText" dxfId="239" priority="33" stopIfTrue="1" operator="containsText" text="dim">
      <formula>NOT(ISERROR(SEARCH("dim",AA2)))</formula>
    </cfRule>
  </conditionalFormatting>
  <conditionalFormatting sqref="AA2">
    <cfRule type="containsText" dxfId="238" priority="32" stopIfTrue="1" operator="containsText" text="dim">
      <formula>NOT(ISERROR(SEARCH("dim",AA2)))</formula>
    </cfRule>
  </conditionalFormatting>
  <conditionalFormatting sqref="P3">
    <cfRule type="expression" dxfId="237" priority="18" stopIfTrue="1">
      <formula>P3=CléNonTravaillé</formula>
    </cfRule>
    <cfRule type="expression" dxfId="236" priority="19" stopIfTrue="1">
      <formula>P3=CléPrésenceExceptionnelle</formula>
    </cfRule>
    <cfRule type="expression" dxfId="235" priority="20" stopIfTrue="1">
      <formula>P3=CléCongéSpécial</formula>
    </cfRule>
    <cfRule type="expression" dxfId="234" priority="21" stopIfTrue="1">
      <formula>P3=CléDemiRécupération</formula>
    </cfRule>
    <cfRule type="expression" dxfId="233" priority="22" stopIfTrue="1">
      <formula>P3=CléDemiEnfantMalade</formula>
    </cfRule>
    <cfRule type="expression" dxfId="232" priority="23" stopIfTrue="1">
      <formula>P3=CléEnfantMalade</formula>
    </cfRule>
    <cfRule type="expression" dxfId="231" priority="24" stopIfTrue="1">
      <formula>P3=CléDemiRtt</formula>
    </cfRule>
    <cfRule type="expression" priority="25" stopIfTrue="1">
      <formula>P3=""</formula>
    </cfRule>
    <cfRule type="expression" dxfId="230" priority="26" stopIfTrue="1">
      <formula>P3=CléMaladie</formula>
    </cfRule>
    <cfRule type="expression" dxfId="229" priority="27" stopIfTrue="1">
      <formula>P3=CléCongé</formula>
    </cfRule>
    <cfRule type="expression" dxfId="228" priority="28" stopIfTrue="1">
      <formula>P3=CléRécupération</formula>
    </cfRule>
    <cfRule type="expression" dxfId="227" priority="29" stopIfTrue="1">
      <formula>P3=CléFormation</formula>
    </cfRule>
    <cfRule type="expression" dxfId="226" priority="30" stopIfTrue="1">
      <formula>P3=CléRTT</formula>
    </cfRule>
    <cfRule type="expression" dxfId="225" priority="31" stopIfTrue="1">
      <formula>P3=CléTélétravail</formula>
    </cfRule>
  </conditionalFormatting>
  <conditionalFormatting sqref="AA3">
    <cfRule type="containsText" dxfId="224" priority="17" stopIfTrue="1" operator="containsText" text="dim">
      <formula>NOT(ISERROR(SEARCH("dim",AA3)))</formula>
    </cfRule>
  </conditionalFormatting>
  <conditionalFormatting sqref="AA3">
    <cfRule type="containsText" dxfId="223" priority="16" stopIfTrue="1" operator="containsText" text="dim">
      <formula>NOT(ISERROR(SEARCH("dim",AA3)))</formula>
    </cfRule>
  </conditionalFormatting>
  <conditionalFormatting sqref="C8:AG21">
    <cfRule type="expression" dxfId="222" priority="1" stopIfTrue="1">
      <formula>C8=CléAbsenceJustifiée</formula>
    </cfRule>
    <cfRule type="expression" dxfId="221" priority="2" stopIfTrue="1">
      <formula>C8=CléNonTravaillé</formula>
    </cfRule>
    <cfRule type="expression" dxfId="220" priority="3" stopIfTrue="1">
      <formula>C8=CléPrésenceExceptionnelle</formula>
    </cfRule>
    <cfRule type="expression" dxfId="219" priority="4" stopIfTrue="1">
      <formula>C8=CléCongéSpécial</formula>
    </cfRule>
    <cfRule type="expression" dxfId="218" priority="5" stopIfTrue="1">
      <formula>C8=CléDemiRécupération</formula>
    </cfRule>
    <cfRule type="expression" dxfId="217" priority="6" stopIfTrue="1">
      <formula>C8=CléDemiEnfantMalade</formula>
    </cfRule>
    <cfRule type="expression" dxfId="216" priority="7" stopIfTrue="1">
      <formula>C8=CléEnfantMalade</formula>
    </cfRule>
    <cfRule type="expression" dxfId="215" priority="8" stopIfTrue="1">
      <formula>C8=CléDemiRtt</formula>
    </cfRule>
    <cfRule type="expression" priority="9" stopIfTrue="1">
      <formula>C8=""</formula>
    </cfRule>
    <cfRule type="expression" dxfId="214" priority="10" stopIfTrue="1">
      <formula>C8=CléCongéMalade</formula>
    </cfRule>
    <cfRule type="expression" dxfId="213" priority="11" stopIfTrue="1">
      <formula>C8=CléCongé</formula>
    </cfRule>
    <cfRule type="expression" dxfId="212" priority="12" stopIfTrue="1">
      <formula>C8=CléRécupération</formula>
    </cfRule>
    <cfRule type="expression" dxfId="211" priority="13" stopIfTrue="1">
      <formula>C8=CléFormation</formula>
    </cfRule>
    <cfRule type="expression" dxfId="210" priority="14" stopIfTrue="1">
      <formula>C8=CléRTT</formula>
    </cfRule>
    <cfRule type="expression" dxfId="209" priority="15" stopIfTrue="1">
      <formula>C8=CléTélétravail</formula>
    </cfRule>
  </conditionalFormatting>
  <dataValidations count="1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6" xr:uid="{DA9A24C1-932A-774C-931E-9F32DCF4A6B7}"/>
    <dataValidation allowBlank="1" showInputMessage="1" showErrorMessage="1" prompt="Année mise à jour automatiquement en fonction de l’année entrée dans la feuille de calcul Janvier" sqref="AH5" xr:uid="{4D8139DF-459D-564E-90FA-5577DBE19EA8}"/>
    <dataValidation allowBlank="1" showInputMessage="1" showErrorMessage="1" prompt="Calcule automatiquement le nombre total de jours d’absence d’un employé durant ce mois dans cette colonne" sqref="AH7" xr:uid="{3E2E0AD7-8E79-A84E-BFAC-A5968DC0615B}"/>
    <dataValidation allowBlank="1" showInputMessage="1" showErrorMessage="1" prompt="Suivez les absences du mois de novembre dans cette feuille de calcul" sqref="A1" xr:uid="{4746E981-AB18-4C4B-B4F1-FBC2C5CE2B99}"/>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285C09D-BFA3-0546-81A4-294DD4A98A4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5" xr:uid="{F838F61A-2101-444A-B1C6-E1658EA15ED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2EB061F5-B90B-554B-AF34-64B8312CB666}"/>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AB1C0DA7-F9A4-104D-B0E7-784244855CD2}"/>
    <dataValidation allowBlank="1" showErrorMessage="1" sqref="B4:AJ4 AD1:AJ1 B2:B3 B1:Y1" xr:uid="{7E226CDC-AFFF-9141-80AF-06E3034A1E01}"/>
    <dataValidation allowBlank="1" showErrorMessage="1" prompt="Entrez une étiquette pour décrire la clé personnalisée à gauche" sqref="N3" xr:uid="{7B607717-4F67-4340-81A7-924CE691D972}"/>
    <dataValidation allowBlank="1" showErrorMessage="1" prompt="Entrez une lettre et personnalisez l’étiquette à droite pour ajouter un élément de clé" sqref="I2:I3" xr:uid="{89EEF2EC-A90B-DD40-9BA6-EF2B8E4483A4}"/>
    <dataValidation allowBlank="1" showInputMessage="1" showErrorMessage="1" prompt="Entrez une étiquette pour décrire la clé personnalisée à gauche" sqref="J2:J3" xr:uid="{D8EA5458-67F7-0846-9E38-6C982EF35A3B}"/>
    <dataValidation allowBlank="1" showInputMessage="1" showErrorMessage="1" prompt="Entrez une lettre et personnalisez l’étiquette à droite pour ajouter un élément de clé" sqref="M3" xr:uid="{5FB62F83-DF09-D94D-952B-220DCD28D738}"/>
    <dataValidation allowBlank="1" showInputMessage="1" showErrorMessage="1" prompt="La lettre « M » indique une absence pour cause de maladie" sqref="S3" xr:uid="{05666D8D-9D7C-A946-9D38-85A0C5E855F8}"/>
    <dataValidation allowBlank="1" showErrorMessage="1" prompt="La lettre « P » indique une absence pour motifs personnels" sqref="F3" xr:uid="{83095DD9-8862-CB41-A3B0-5FB2A5525106}"/>
    <dataValidation allowBlank="1" showErrorMessage="1" prompt="La lettre « C » indique une absence pour cause de congé" sqref="C3" xr:uid="{CE0C96C1-EBE6-3645-922C-76BE5D6E6C2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ED36B72-7B84-FC49-8569-F8EDF688A8BE}">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6B34DDAC-AC86-BE4F-A703-C37FB5D3F71D}">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D9257F76-1902-F041-9D22-29AAC7B051D3}">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54" stopIfTrue="1" operator="containsText" text="dim" id="{4FB806DB-D735-6041-A73D-2C265083EE09}">
            <xm:f>NOT(ISERROR(SEARCH("dim",Avril!AK18)))</xm:f>
            <x14:dxf>
              <font>
                <color theme="9"/>
              </font>
              <fill>
                <patternFill patternType="none">
                  <bgColor auto="1"/>
                </patternFill>
              </fill>
            </x14:dxf>
          </x14:cfRule>
          <xm:sqref>AK22:AK1048576</xm:sqref>
        </x14:conditionalFormatting>
        <x14:conditionalFormatting xmlns:xm="http://schemas.microsoft.com/office/excel/2006/main">
          <x14:cfRule type="containsText" priority="90" stopIfTrue="1" operator="containsText" text="dim" id="{120BC6F2-EB0A-2B46-9F7C-F068D9B3CCA1}">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554" stopIfTrue="1" operator="containsText" text="dim" id="{4FB806DB-D735-6041-A73D-2C265083EE09}">
            <xm:f>NOT(ISERROR(SEARCH("dim",Avril!AK1)))</xm:f>
            <x14:dxf>
              <font>
                <color theme="9"/>
              </font>
              <fill>
                <patternFill patternType="none">
                  <bgColor auto="1"/>
                </patternFill>
              </fill>
            </x14:dxf>
          </x14:cfRule>
          <xm:sqref>AK7 AK1 AK4</xm:sqref>
        </x14:conditionalFormatting>
        <x14:conditionalFormatting xmlns:xm="http://schemas.microsoft.com/office/excel/2006/main">
          <x14:cfRule type="containsText" priority="584" stopIfTrue="1" operator="containsText" text="dim" id="{4FB806DB-D735-6041-A73D-2C265083EE09}">
            <xm:f>NOT(ISERROR(SEARCH("dim",Avril!AK20)))</xm:f>
            <x14:dxf>
              <font>
                <color theme="9"/>
              </font>
              <fill>
                <patternFill patternType="none">
                  <bgColor auto="1"/>
                </patternFill>
              </fill>
            </x14:dxf>
          </x14:cfRule>
          <xm:sqref>AK19:AK21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B695F344-0EB4-1643-A9C9-776BCB116607}">
          <x14:formula1>
            <xm:f>'Noms des employés'!$B$4:$B$16</xm:f>
          </x14:formula1>
          <xm:sqref>B8:B21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06455-8F99-D949-9F1D-8EC8D9CA6B96}">
  <sheetPr>
    <tabColor theme="7" tint="0.79998168889431442"/>
  </sheetPr>
  <dimension ref="A1:AL22"/>
  <sheetViews>
    <sheetView showGridLines="0" zoomScaleNormal="100" workbookViewId="0">
      <selection activeCell="Z17" sqref="Z17"/>
    </sheetView>
  </sheetViews>
  <sheetFormatPr baseColWidth="10" defaultColWidth="9.1640625" defaultRowHeight="30" customHeight="1"/>
  <cols>
    <col min="1" max="1" width="2.6640625" style="4" customWidth="1"/>
    <col min="2" max="2" width="19.83203125" style="4" customWidth="1"/>
    <col min="3" max="33" width="4.6640625" style="4" customWidth="1"/>
    <col min="34" max="34" width="11.83203125" style="4" customWidth="1"/>
    <col min="35" max="36" width="11.83203125" customWidth="1"/>
    <col min="37" max="37" width="21" customWidth="1"/>
    <col min="38" max="38" width="41.83203125" customWidth="1"/>
  </cols>
  <sheetData>
    <row r="1" spans="1:38" ht="50" customHeight="1">
      <c r="B1" s="5" t="str">
        <f>Titre_Absence_Employé</f>
        <v>Calendrier des absences des employés</v>
      </c>
    </row>
    <row r="2" spans="1:38" ht="22" customHeight="1">
      <c r="A2" s="6"/>
      <c r="C2" s="50" t="s">
        <v>100</v>
      </c>
      <c r="D2" s="86" t="s">
        <v>101</v>
      </c>
      <c r="E2" s="86"/>
      <c r="F2" s="41" t="s">
        <v>83</v>
      </c>
      <c r="G2" s="79" t="s">
        <v>77</v>
      </c>
      <c r="H2" s="79"/>
      <c r="I2" s="40" t="s">
        <v>82</v>
      </c>
      <c r="J2" s="79" t="s">
        <v>85</v>
      </c>
      <c r="K2" s="79"/>
      <c r="L2" s="79"/>
      <c r="P2" s="49" t="s">
        <v>98</v>
      </c>
      <c r="Q2" s="85" t="s">
        <v>99</v>
      </c>
      <c r="R2" s="85"/>
      <c r="S2" s="85"/>
      <c r="T2" s="85"/>
      <c r="U2" s="85"/>
      <c r="V2" s="42" t="s">
        <v>81</v>
      </c>
      <c r="W2" s="79" t="s">
        <v>84</v>
      </c>
      <c r="X2" s="79"/>
      <c r="Y2" s="79"/>
      <c r="Z2" s="53" t="s">
        <v>107</v>
      </c>
      <c r="AA2" s="79" t="s">
        <v>108</v>
      </c>
      <c r="AB2" s="79"/>
      <c r="AC2" s="79"/>
    </row>
    <row r="3" spans="1:38" ht="18" customHeight="1">
      <c r="B3" s="11" t="s">
        <v>1</v>
      </c>
      <c r="C3" s="19" t="s">
        <v>4</v>
      </c>
      <c r="D3" s="82" t="s">
        <v>7</v>
      </c>
      <c r="E3" s="82"/>
      <c r="F3" s="20" t="s">
        <v>57</v>
      </c>
      <c r="G3" s="79" t="s">
        <v>57</v>
      </c>
      <c r="H3" s="79"/>
      <c r="I3" s="23" t="s">
        <v>55</v>
      </c>
      <c r="J3" s="79" t="s">
        <v>56</v>
      </c>
      <c r="K3" s="79"/>
      <c r="L3" s="79"/>
      <c r="M3" s="16" t="s">
        <v>58</v>
      </c>
      <c r="N3" s="79" t="s">
        <v>59</v>
      </c>
      <c r="O3" s="83"/>
      <c r="P3" s="56" t="s">
        <v>71</v>
      </c>
      <c r="Q3" s="84" t="s">
        <v>72</v>
      </c>
      <c r="R3" s="79"/>
      <c r="S3" s="22" t="s">
        <v>11</v>
      </c>
      <c r="T3" s="82" t="s">
        <v>17</v>
      </c>
      <c r="U3" s="82"/>
      <c r="V3" s="38" t="s">
        <v>80</v>
      </c>
      <c r="W3" s="79" t="s">
        <v>79</v>
      </c>
      <c r="X3" s="79"/>
      <c r="Y3" s="79"/>
      <c r="Z3" s="76" t="s">
        <v>114</v>
      </c>
      <c r="AA3" s="87" t="s">
        <v>115</v>
      </c>
      <c r="AB3" s="87"/>
      <c r="AC3" s="87"/>
    </row>
    <row r="4" spans="1:38" ht="15" customHeight="1">
      <c r="B4" s="5"/>
    </row>
    <row r="5" spans="1:38" ht="30" customHeight="1">
      <c r="B5" s="21" t="s">
        <v>53</v>
      </c>
      <c r="C5" s="81" t="s">
        <v>5</v>
      </c>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25"/>
      <c r="AI5" s="25"/>
      <c r="AJ5" s="25"/>
      <c r="AK5" s="71">
        <f>AnnéeCalendrier</f>
        <v>2021</v>
      </c>
      <c r="AL5" s="25"/>
    </row>
    <row r="6" spans="1:38" ht="15" customHeight="1">
      <c r="B6" s="15"/>
      <c r="C6" s="58" t="str">
        <f>TEXT(WEEKDAY(DATE(AnnéeCalendrier,12,1),1),"jjj")</f>
        <v>mer</v>
      </c>
      <c r="D6" s="58" t="str">
        <f>TEXT(WEEKDAY(DATE(AnnéeCalendrier,12,2),1),"jjj")</f>
        <v>jeu</v>
      </c>
      <c r="E6" s="58" t="str">
        <f>TEXT(WEEKDAY(DATE(AnnéeCalendrier,12,3),1),"jjj")</f>
        <v>ven</v>
      </c>
      <c r="F6" s="58" t="str">
        <f>TEXT(WEEKDAY(DATE(AnnéeCalendrier,12,4),1),"jjj")</f>
        <v>sam</v>
      </c>
      <c r="G6" s="58" t="str">
        <f>TEXT(WEEKDAY(DATE(AnnéeCalendrier,12,5),1),"jjj")</f>
        <v>dim</v>
      </c>
      <c r="H6" s="58" t="str">
        <f>TEXT(WEEKDAY(DATE(AnnéeCalendrier,12,6),1),"jjj")</f>
        <v>lun</v>
      </c>
      <c r="I6" s="58" t="str">
        <f>TEXT(WEEKDAY(DATE(AnnéeCalendrier,12,7),1),"jjj")</f>
        <v>mar</v>
      </c>
      <c r="J6" s="58" t="str">
        <f>TEXT(WEEKDAY(DATE(AnnéeCalendrier,12,8),1),"jjj")</f>
        <v>mer</v>
      </c>
      <c r="K6" s="58" t="str">
        <f>TEXT(WEEKDAY(DATE(AnnéeCalendrier,12,9),1),"jjj")</f>
        <v>jeu</v>
      </c>
      <c r="L6" s="58" t="str">
        <f>TEXT(WEEKDAY(DATE(AnnéeCalendrier,12,10),1),"jjj")</f>
        <v>ven</v>
      </c>
      <c r="M6" s="58" t="str">
        <f>TEXT(WEEKDAY(DATE(AnnéeCalendrier,12,11),1),"jjj")</f>
        <v>sam</v>
      </c>
      <c r="N6" s="58" t="str">
        <f>TEXT(WEEKDAY(DATE(AnnéeCalendrier,12,12),1),"jjj")</f>
        <v>dim</v>
      </c>
      <c r="O6" s="58" t="str">
        <f>TEXT(WEEKDAY(DATE(AnnéeCalendrier,12,13),1),"jjj")</f>
        <v>lun</v>
      </c>
      <c r="P6" s="58" t="str">
        <f>TEXT(WEEKDAY(DATE(AnnéeCalendrier,12,14),1),"jjj")</f>
        <v>mar</v>
      </c>
      <c r="Q6" s="58" t="str">
        <f>TEXT(WEEKDAY(DATE(AnnéeCalendrier,12,15),1),"jjj")</f>
        <v>mer</v>
      </c>
      <c r="R6" s="58" t="str">
        <f>TEXT(WEEKDAY(DATE(AnnéeCalendrier,12,16),1),"jjj")</f>
        <v>jeu</v>
      </c>
      <c r="S6" s="58" t="str">
        <f>TEXT(WEEKDAY(DATE(AnnéeCalendrier,12,17),1),"jjj")</f>
        <v>ven</v>
      </c>
      <c r="T6" s="58" t="str">
        <f>TEXT(WEEKDAY(DATE(AnnéeCalendrier,12,18),1),"jjj")</f>
        <v>sam</v>
      </c>
      <c r="U6" s="58" t="str">
        <f>TEXT(WEEKDAY(DATE(AnnéeCalendrier,12,19),1),"jjj")</f>
        <v>dim</v>
      </c>
      <c r="V6" s="58" t="str">
        <f>TEXT(WEEKDAY(DATE(AnnéeCalendrier,12,20),1),"jjj")</f>
        <v>lun</v>
      </c>
      <c r="W6" s="58" t="str">
        <f>TEXT(WEEKDAY(DATE(AnnéeCalendrier,12,21),1),"jjj")</f>
        <v>mar</v>
      </c>
      <c r="X6" s="58" t="str">
        <f>TEXT(WEEKDAY(DATE(AnnéeCalendrier,12,22),1),"jjj")</f>
        <v>mer</v>
      </c>
      <c r="Y6" s="58" t="str">
        <f>TEXT(WEEKDAY(DATE(AnnéeCalendrier,12,23),1),"jjj")</f>
        <v>jeu</v>
      </c>
      <c r="Z6" s="58" t="str">
        <f>TEXT(WEEKDAY(DATE(AnnéeCalendrier,12,24),1),"jjj")</f>
        <v>ven</v>
      </c>
      <c r="AA6" s="58" t="str">
        <f>TEXT(WEEKDAY(DATE(AnnéeCalendrier,12,25),1),"jjj")</f>
        <v>sam</v>
      </c>
      <c r="AB6" s="58" t="str">
        <f>TEXT(WEEKDAY(DATE(AnnéeCalendrier,12,26),1),"jjj")</f>
        <v>dim</v>
      </c>
      <c r="AC6" s="58" t="str">
        <f>TEXT(WEEKDAY(DATE(AnnéeCalendrier,12,27),1),"jjj")</f>
        <v>lun</v>
      </c>
      <c r="AD6" s="58" t="str">
        <f>TEXT(WEEKDAY(DATE(AnnéeCalendrier,12,28),1),"jjj")</f>
        <v>mar</v>
      </c>
      <c r="AE6" s="58" t="str">
        <f>TEXT(WEEKDAY(DATE(AnnéeCalendrier,12,29),1),"jjj")</f>
        <v>mer</v>
      </c>
      <c r="AF6" s="58" t="str">
        <f>TEXT(WEEKDAY(DATE(AnnéeCalendrier,12,30),1),"jjj")</f>
        <v>jeu</v>
      </c>
      <c r="AG6" s="58" t="str">
        <f>TEXT(WEEKDAY(DATE(AnnéeCalendrier,12,31),1),"jjj")</f>
        <v>ven</v>
      </c>
      <c r="AH6" s="12"/>
      <c r="AI6" s="12"/>
      <c r="AJ6" s="12"/>
      <c r="AK6" s="12"/>
      <c r="AL6" s="12"/>
    </row>
    <row r="7" spans="1:38" ht="34" customHeight="1">
      <c r="B7" s="13" t="s">
        <v>3</v>
      </c>
      <c r="C7" s="14" t="s">
        <v>6</v>
      </c>
      <c r="D7" s="14" t="s">
        <v>8</v>
      </c>
      <c r="E7" s="14" t="s">
        <v>9</v>
      </c>
      <c r="F7" s="14" t="s">
        <v>10</v>
      </c>
      <c r="G7" s="14" t="s">
        <v>12</v>
      </c>
      <c r="H7" s="14" t="s">
        <v>13</v>
      </c>
      <c r="I7" s="14" t="s">
        <v>14</v>
      </c>
      <c r="J7" s="14" t="s">
        <v>15</v>
      </c>
      <c r="K7" s="14" t="s">
        <v>16</v>
      </c>
      <c r="L7" s="14" t="s">
        <v>18</v>
      </c>
      <c r="M7" s="14" t="s">
        <v>19</v>
      </c>
      <c r="N7" s="14" t="s">
        <v>20</v>
      </c>
      <c r="O7" s="14" t="s">
        <v>21</v>
      </c>
      <c r="P7" s="14" t="s">
        <v>22</v>
      </c>
      <c r="Q7" s="14" t="s">
        <v>23</v>
      </c>
      <c r="R7" s="14" t="s">
        <v>24</v>
      </c>
      <c r="S7" s="14" t="s">
        <v>25</v>
      </c>
      <c r="T7" s="14" t="s">
        <v>26</v>
      </c>
      <c r="U7" s="14" t="s">
        <v>27</v>
      </c>
      <c r="V7" s="14" t="s">
        <v>28</v>
      </c>
      <c r="W7" s="14" t="s">
        <v>29</v>
      </c>
      <c r="X7" s="14" t="s">
        <v>30</v>
      </c>
      <c r="Y7" s="14" t="s">
        <v>31</v>
      </c>
      <c r="Z7" s="14" t="s">
        <v>32</v>
      </c>
      <c r="AA7" s="51" t="s">
        <v>33</v>
      </c>
      <c r="AB7" s="14" t="s">
        <v>34</v>
      </c>
      <c r="AC7" s="14" t="s">
        <v>35</v>
      </c>
      <c r="AD7" s="14" t="s">
        <v>36</v>
      </c>
      <c r="AE7" s="14" t="s">
        <v>37</v>
      </c>
      <c r="AF7" s="14" t="s">
        <v>38</v>
      </c>
      <c r="AG7" s="14" t="s">
        <v>39</v>
      </c>
      <c r="AH7" s="26" t="s">
        <v>78</v>
      </c>
      <c r="AI7" s="27" t="s">
        <v>89</v>
      </c>
      <c r="AJ7" s="27" t="s">
        <v>109</v>
      </c>
      <c r="AK7" s="75" t="s">
        <v>91</v>
      </c>
      <c r="AL7" s="74" t="s">
        <v>113</v>
      </c>
    </row>
    <row r="8" spans="1:38" ht="30" customHeight="1">
      <c r="B8" s="10" t="s">
        <v>64</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33">
        <f t="shared" ref="AH8:AH18" si="0">(COUNTIF(C8:AG8,"C")+(COUNTIF(C8:AG8,"EM")+COUNTIF(C8:AG8,"RTT")+COUNTIF(C8:AG8,"M")+COUNTIF(C8:AG8,"Rec")+COUNTIF(C8:AG8,"F")+COUNTIF(C8:AG8,"TT"-1)+COUNTIF(C8:AG8,"CS")+COUNTIF(C8:AG8,"PE"-1)+COUNTIF(C8:AG8,"DRTT")/2)+COUNTIF(C8:AG8,"DREC")/2)+COUNTIF(C8:AG8,"DEM")/2</f>
        <v>0</v>
      </c>
      <c r="AI8" s="33">
        <f>COUNTIF(C8:AG8,"RTT")+COUNTIF(C8:AG8,"DRTT")/2</f>
        <v>0</v>
      </c>
      <c r="AJ8" s="33">
        <f>COUNTIF(C8:AG8,"MALADIE")</f>
        <v>0</v>
      </c>
      <c r="AK8" s="24"/>
      <c r="AL8" s="64"/>
    </row>
    <row r="9" spans="1:38" ht="30" customHeight="1">
      <c r="B9" s="3" t="s">
        <v>60</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33">
        <f t="shared" si="0"/>
        <v>0</v>
      </c>
      <c r="AI9" s="33">
        <f t="shared" ref="AI9:AI18" si="1">COUNTIF(C9:AG9,"RTT")+COUNTIF(C9:AG9,"DRTT")/2</f>
        <v>0</v>
      </c>
      <c r="AJ9" s="33">
        <f>COUNTIF(C9:AG9,"MALADIE")</f>
        <v>0</v>
      </c>
      <c r="AK9" s="24">
        <f>Novembre!AK9-Décembre[[#This Row],[Dont RTT]]+2</f>
        <v>27</v>
      </c>
      <c r="AL9" s="64"/>
    </row>
    <row r="10" spans="1:38" ht="30" customHeight="1">
      <c r="B10" s="10" t="s">
        <v>67</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33">
        <f t="shared" si="0"/>
        <v>0</v>
      </c>
      <c r="AI10" s="33">
        <f t="shared" si="1"/>
        <v>0</v>
      </c>
      <c r="AJ10" s="33">
        <f>COUNTIF(C10:AG10,"M")</f>
        <v>0</v>
      </c>
      <c r="AK10" s="24">
        <f>Novembre!AK10-Décembre[[#This Row],[Dont RTT]]+2</f>
        <v>35</v>
      </c>
      <c r="AL10" s="64"/>
    </row>
    <row r="11" spans="1:38" ht="30" customHeight="1">
      <c r="B11" s="3" t="s">
        <v>62</v>
      </c>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33">
        <f t="shared" si="0"/>
        <v>0</v>
      </c>
      <c r="AI11" s="33">
        <f t="shared" si="1"/>
        <v>0</v>
      </c>
      <c r="AJ11" s="33">
        <f>COUNTIF(C11:AG11,"M")</f>
        <v>0</v>
      </c>
      <c r="AK11" s="24"/>
      <c r="AL11" s="64"/>
    </row>
    <row r="12" spans="1:38" ht="30" customHeight="1">
      <c r="B12" s="3" t="s">
        <v>69</v>
      </c>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33">
        <f t="shared" si="0"/>
        <v>0</v>
      </c>
      <c r="AI12" s="33">
        <f t="shared" si="1"/>
        <v>0</v>
      </c>
      <c r="AJ12" s="33">
        <f t="shared" ref="AJ12:AJ21" si="2">COUNTIF(C12:AG12,"M")</f>
        <v>0</v>
      </c>
      <c r="AK12" s="24"/>
      <c r="AL12" s="64"/>
    </row>
    <row r="13" spans="1:38" ht="30" customHeight="1">
      <c r="B13" s="9" t="s">
        <v>68</v>
      </c>
      <c r="C13" s="24"/>
      <c r="D13" s="24"/>
      <c r="E13" s="24"/>
      <c r="F13" s="24"/>
      <c r="G13" s="24"/>
      <c r="H13" s="24"/>
      <c r="I13" s="24"/>
      <c r="J13" s="24"/>
      <c r="K13" s="17"/>
      <c r="L13" s="24"/>
      <c r="M13" s="24"/>
      <c r="N13" s="24"/>
      <c r="O13" s="24"/>
      <c r="P13" s="24"/>
      <c r="Q13" s="24"/>
      <c r="R13" s="17"/>
      <c r="S13" s="24"/>
      <c r="T13" s="24"/>
      <c r="U13" s="24"/>
      <c r="V13" s="24"/>
      <c r="W13" s="24"/>
      <c r="X13" s="24"/>
      <c r="Y13" s="17"/>
      <c r="Z13" s="24"/>
      <c r="AA13" s="24"/>
      <c r="AB13" s="24"/>
      <c r="AC13" s="24"/>
      <c r="AD13" s="24"/>
      <c r="AE13" s="24"/>
      <c r="AF13" s="24"/>
      <c r="AG13" s="24"/>
      <c r="AH13" s="33">
        <f t="shared" si="0"/>
        <v>0</v>
      </c>
      <c r="AI13" s="33">
        <f t="shared" si="1"/>
        <v>0</v>
      </c>
      <c r="AJ13" s="33">
        <f t="shared" si="2"/>
        <v>0</v>
      </c>
      <c r="AK13" s="24">
        <f>Novembre!AK13-Décembre[[#This Row],[Dont RTT]]+2</f>
        <v>26.93</v>
      </c>
      <c r="AL13" s="64"/>
    </row>
    <row r="14" spans="1:38" ht="30" customHeight="1">
      <c r="B14" s="9" t="s">
        <v>61</v>
      </c>
      <c r="C14" s="24"/>
      <c r="D14" s="24"/>
      <c r="E14" s="24"/>
      <c r="F14" s="24"/>
      <c r="G14" s="24"/>
      <c r="H14" s="24"/>
      <c r="I14" s="24"/>
      <c r="J14" s="24"/>
      <c r="K14" s="17"/>
      <c r="L14" s="24"/>
      <c r="M14" s="24"/>
      <c r="N14" s="24"/>
      <c r="O14" s="24"/>
      <c r="P14" s="24"/>
      <c r="Q14" s="24"/>
      <c r="R14" s="17"/>
      <c r="S14" s="24"/>
      <c r="T14" s="24"/>
      <c r="U14" s="24"/>
      <c r="V14" s="24"/>
      <c r="W14" s="24"/>
      <c r="X14" s="24"/>
      <c r="Y14" s="17"/>
      <c r="Z14" s="24"/>
      <c r="AA14" s="24"/>
      <c r="AB14" s="24"/>
      <c r="AC14" s="24"/>
      <c r="AD14" s="24"/>
      <c r="AE14" s="24"/>
      <c r="AF14" s="24"/>
      <c r="AG14" s="24"/>
      <c r="AH14" s="33">
        <f t="shared" si="0"/>
        <v>0</v>
      </c>
      <c r="AI14" s="33">
        <f t="shared" si="1"/>
        <v>0</v>
      </c>
      <c r="AJ14" s="33">
        <f t="shared" si="2"/>
        <v>0</v>
      </c>
      <c r="AK14" s="24">
        <f>Novembre!AK14-Décembre[[#This Row],[Dont RTT]]+2</f>
        <v>26.5</v>
      </c>
      <c r="AL14" s="64"/>
    </row>
    <row r="15" spans="1:38" ht="30" customHeight="1">
      <c r="B15" s="9" t="s">
        <v>65</v>
      </c>
      <c r="C15" s="24"/>
      <c r="D15" s="24"/>
      <c r="E15" s="24"/>
      <c r="F15" s="24"/>
      <c r="G15" s="24"/>
      <c r="H15" s="24"/>
      <c r="I15" s="24"/>
      <c r="J15" s="24"/>
      <c r="K15" s="24"/>
      <c r="L15" s="24"/>
      <c r="M15" s="17"/>
      <c r="N15" s="24"/>
      <c r="O15" s="24"/>
      <c r="P15" s="24"/>
      <c r="Q15" s="24"/>
      <c r="R15" s="24"/>
      <c r="S15" s="24"/>
      <c r="T15" s="17"/>
      <c r="U15" s="24"/>
      <c r="V15" s="24"/>
      <c r="W15" s="24"/>
      <c r="X15" s="24"/>
      <c r="Y15" s="24"/>
      <c r="Z15" s="24"/>
      <c r="AA15" s="17"/>
      <c r="AB15" s="24"/>
      <c r="AC15" s="24"/>
      <c r="AD15" s="24"/>
      <c r="AE15" s="24"/>
      <c r="AF15" s="24"/>
      <c r="AG15" s="24"/>
      <c r="AH15" s="33">
        <f t="shared" si="0"/>
        <v>0</v>
      </c>
      <c r="AI15" s="33">
        <f t="shared" si="1"/>
        <v>0</v>
      </c>
      <c r="AJ15" s="33">
        <f t="shared" si="2"/>
        <v>0</v>
      </c>
      <c r="AK15" s="24">
        <f>Novembre!AK15-Décembre[[#This Row],[Dont RTT]]+2</f>
        <v>29.5</v>
      </c>
      <c r="AL15" s="64"/>
    </row>
    <row r="16" spans="1:38" ht="30" customHeight="1">
      <c r="B16" s="9" t="s">
        <v>63</v>
      </c>
      <c r="C16" s="24"/>
      <c r="D16" s="24"/>
      <c r="E16" s="24"/>
      <c r="F16" s="24"/>
      <c r="G16" s="24"/>
      <c r="H16" s="24"/>
      <c r="I16" s="24"/>
      <c r="J16" s="24"/>
      <c r="K16" s="17"/>
      <c r="L16" s="24"/>
      <c r="M16" s="24"/>
      <c r="N16" s="24"/>
      <c r="O16" s="24"/>
      <c r="P16" s="24"/>
      <c r="Q16" s="24"/>
      <c r="R16" s="17"/>
      <c r="S16" s="24"/>
      <c r="T16" s="24"/>
      <c r="U16" s="24"/>
      <c r="V16" s="24"/>
      <c r="W16" s="24"/>
      <c r="X16" s="24"/>
      <c r="Y16" s="17"/>
      <c r="Z16" s="24"/>
      <c r="AA16" s="24"/>
      <c r="AB16" s="24"/>
      <c r="AC16" s="24"/>
      <c r="AD16" s="24"/>
      <c r="AE16" s="24"/>
      <c r="AF16" s="24"/>
      <c r="AG16" s="24"/>
      <c r="AH16" s="33">
        <f t="shared" si="0"/>
        <v>0</v>
      </c>
      <c r="AI16" s="33">
        <f t="shared" si="1"/>
        <v>0</v>
      </c>
      <c r="AJ16" s="33">
        <f t="shared" si="2"/>
        <v>0</v>
      </c>
      <c r="AK16" s="24">
        <f>Novembre!AK16-Décembre[[#This Row],[Dont RTT]]+2</f>
        <v>26.16</v>
      </c>
      <c r="AL16" s="64"/>
    </row>
    <row r="17" spans="2:38" ht="30" customHeight="1">
      <c r="B17" s="9" t="s">
        <v>70</v>
      </c>
      <c r="C17" s="24"/>
      <c r="D17" s="24"/>
      <c r="E17" s="24"/>
      <c r="F17" s="24"/>
      <c r="G17" s="24"/>
      <c r="H17" s="24"/>
      <c r="I17" s="24"/>
      <c r="J17" s="24"/>
      <c r="K17" s="24"/>
      <c r="L17" s="24"/>
      <c r="M17" s="17"/>
      <c r="N17" s="24"/>
      <c r="O17" s="24"/>
      <c r="P17" s="24"/>
      <c r="Q17" s="24"/>
      <c r="R17" s="24"/>
      <c r="S17" s="24"/>
      <c r="T17" s="17"/>
      <c r="U17" s="24"/>
      <c r="V17" s="24"/>
      <c r="W17" s="24"/>
      <c r="X17" s="24"/>
      <c r="Y17" s="24"/>
      <c r="Z17" s="24"/>
      <c r="AA17" s="17"/>
      <c r="AB17" s="24"/>
      <c r="AC17" s="24"/>
      <c r="AD17" s="24"/>
      <c r="AE17" s="24"/>
      <c r="AF17" s="24"/>
      <c r="AG17" s="24"/>
      <c r="AH17" s="33">
        <f t="shared" si="0"/>
        <v>0</v>
      </c>
      <c r="AI17" s="33">
        <f t="shared" si="1"/>
        <v>0</v>
      </c>
      <c r="AJ17" s="33">
        <f t="shared" si="2"/>
        <v>0</v>
      </c>
      <c r="AK17" s="24">
        <f>Novembre!AK17-Décembre[[#This Row],[Dont RTT]]+2</f>
        <v>35</v>
      </c>
      <c r="AL17" s="64"/>
    </row>
    <row r="18" spans="2:38" ht="30" customHeight="1">
      <c r="B18" s="9" t="s">
        <v>66</v>
      </c>
      <c r="C18" s="24"/>
      <c r="D18" s="24"/>
      <c r="E18" s="24"/>
      <c r="F18" s="24"/>
      <c r="G18" s="24"/>
      <c r="H18" s="24"/>
      <c r="I18" s="24"/>
      <c r="J18" s="24"/>
      <c r="K18" s="17"/>
      <c r="L18" s="24"/>
      <c r="M18" s="24"/>
      <c r="N18" s="24"/>
      <c r="O18" s="24"/>
      <c r="P18" s="24"/>
      <c r="Q18" s="24"/>
      <c r="R18" s="17"/>
      <c r="S18" s="24"/>
      <c r="T18" s="24"/>
      <c r="U18" s="24"/>
      <c r="V18" s="24"/>
      <c r="W18" s="24"/>
      <c r="X18" s="24"/>
      <c r="Y18" s="17"/>
      <c r="Z18" s="24"/>
      <c r="AA18" s="24"/>
      <c r="AB18" s="24"/>
      <c r="AC18" s="24"/>
      <c r="AD18" s="24"/>
      <c r="AE18" s="24"/>
      <c r="AF18" s="24"/>
      <c r="AG18" s="24"/>
      <c r="AH18" s="33">
        <f t="shared" si="0"/>
        <v>0</v>
      </c>
      <c r="AI18" s="33">
        <f t="shared" si="1"/>
        <v>0</v>
      </c>
      <c r="AJ18" s="33">
        <f t="shared" si="2"/>
        <v>0</v>
      </c>
      <c r="AK18" s="24">
        <f>Novembre!AK18-Décembre[[#This Row],[Dont RTT]]+2</f>
        <v>26.5</v>
      </c>
      <c r="AL18" s="64"/>
    </row>
    <row r="19" spans="2:38" ht="30" customHeight="1">
      <c r="B19" s="62" t="s">
        <v>110</v>
      </c>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64">
        <f t="shared" ref="AH19:AH21" si="3">(COUNTIF(C19:AG19,"C")+(COUNTIF(C19:AG19,"EM")+COUNTIF(C19:AG19,"RTT")+COUNTIF(C19:AG19,"M")+COUNTIF(C19:AG19,"Rec")+COUNTIF(C19:AG19,"F")+COUNTIF(C19:AG19,"TT"-1)+COUNTIF(C19:AG19,"CS")+COUNTIF(C19:AG19,"PE"-1)+COUNTIF(C19:AG19,"DRTT")/2)+COUNTIF(C19:AG19,"DREC")/2)+COUNTIF(C19:AG19,"DEM")/2</f>
        <v>0</v>
      </c>
      <c r="AI19" s="64">
        <f t="shared" ref="AI19:AI21" si="4">COUNTIF(C19:AG19,"RTT")+COUNTIF(C19:AG19,"DRTT")/2</f>
        <v>0</v>
      </c>
      <c r="AJ19" s="33">
        <f t="shared" si="2"/>
        <v>0</v>
      </c>
      <c r="AK19" s="63"/>
      <c r="AL19" s="64"/>
    </row>
    <row r="20" spans="2:38" ht="30" customHeight="1">
      <c r="B20" s="62" t="s">
        <v>111</v>
      </c>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64">
        <f t="shared" si="3"/>
        <v>0</v>
      </c>
      <c r="AI20" s="64">
        <f t="shared" si="4"/>
        <v>0</v>
      </c>
      <c r="AJ20" s="33">
        <f t="shared" si="2"/>
        <v>0</v>
      </c>
      <c r="AK20" s="63"/>
      <c r="AL20" s="64"/>
    </row>
    <row r="21" spans="2:38" ht="30" customHeight="1">
      <c r="B21" s="62" t="s">
        <v>112</v>
      </c>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64">
        <f t="shared" si="3"/>
        <v>0</v>
      </c>
      <c r="AI21" s="64">
        <f t="shared" si="4"/>
        <v>0</v>
      </c>
      <c r="AJ21" s="33">
        <f t="shared" si="2"/>
        <v>0</v>
      </c>
      <c r="AK21" s="63"/>
      <c r="AL21" s="64"/>
    </row>
    <row r="22" spans="2:38" ht="30" customHeight="1">
      <c r="B22" s="30" t="str">
        <f>NomMois&amp;" Total"</f>
        <v>Décembre Total</v>
      </c>
      <c r="C22" s="35">
        <f t="shared" ref="C22:AG22" si="5">(COUNTIF(C8:C21,"C")+(COUNTIF(C8:C21,"CS")+COUNTIF(C8:C21,"RTT")+(COUNTIF(C8:C21,"DRTT")/2)+COUNTIF(C8:C21,"M")+COUNTIF(C8:C21,"Rec")+(COUNTIF(C8:C21,"Drec")/2)+COUNTIF(C8:C21,"F")+(COUNTIF(C8:C21,"EM")+(COUNTIF(C8:C21,"DEM")/2))))</f>
        <v>0</v>
      </c>
      <c r="D22" s="35">
        <f t="shared" si="5"/>
        <v>0</v>
      </c>
      <c r="E22" s="35">
        <f t="shared" si="5"/>
        <v>0</v>
      </c>
      <c r="F22" s="35">
        <f t="shared" si="5"/>
        <v>0</v>
      </c>
      <c r="G22" s="35">
        <f t="shared" si="5"/>
        <v>0</v>
      </c>
      <c r="H22" s="35">
        <f t="shared" si="5"/>
        <v>0</v>
      </c>
      <c r="I22" s="35">
        <f t="shared" si="5"/>
        <v>0</v>
      </c>
      <c r="J22" s="35">
        <f t="shared" si="5"/>
        <v>0</v>
      </c>
      <c r="K22" s="35">
        <f t="shared" si="5"/>
        <v>0</v>
      </c>
      <c r="L22" s="35">
        <f t="shared" si="5"/>
        <v>0</v>
      </c>
      <c r="M22" s="35">
        <f t="shared" si="5"/>
        <v>0</v>
      </c>
      <c r="N22" s="35">
        <f t="shared" si="5"/>
        <v>0</v>
      </c>
      <c r="O22" s="35">
        <f t="shared" si="5"/>
        <v>0</v>
      </c>
      <c r="P22" s="35">
        <f t="shared" si="5"/>
        <v>0</v>
      </c>
      <c r="Q22" s="35">
        <f t="shared" si="5"/>
        <v>0</v>
      </c>
      <c r="R22" s="35">
        <f t="shared" si="5"/>
        <v>0</v>
      </c>
      <c r="S22" s="35">
        <f t="shared" si="5"/>
        <v>0</v>
      </c>
      <c r="T22" s="35">
        <f t="shared" si="5"/>
        <v>0</v>
      </c>
      <c r="U22" s="35">
        <f t="shared" si="5"/>
        <v>0</v>
      </c>
      <c r="V22" s="35">
        <f t="shared" si="5"/>
        <v>0</v>
      </c>
      <c r="W22" s="35">
        <f t="shared" si="5"/>
        <v>0</v>
      </c>
      <c r="X22" s="35">
        <f t="shared" si="5"/>
        <v>0</v>
      </c>
      <c r="Y22" s="35">
        <f t="shared" si="5"/>
        <v>0</v>
      </c>
      <c r="Z22" s="35">
        <f t="shared" si="5"/>
        <v>0</v>
      </c>
      <c r="AA22" s="35">
        <f t="shared" si="5"/>
        <v>0</v>
      </c>
      <c r="AB22" s="35">
        <f t="shared" si="5"/>
        <v>0</v>
      </c>
      <c r="AC22" s="35">
        <f t="shared" si="5"/>
        <v>0</v>
      </c>
      <c r="AD22" s="35">
        <f t="shared" si="5"/>
        <v>0</v>
      </c>
      <c r="AE22" s="35">
        <f t="shared" si="5"/>
        <v>0</v>
      </c>
      <c r="AF22" s="35">
        <f t="shared" si="5"/>
        <v>0</v>
      </c>
      <c r="AG22" s="35">
        <f t="shared" si="5"/>
        <v>0</v>
      </c>
      <c r="AH22" s="29">
        <f>SUBTOTAL(109,Décembre[Total absence])</f>
        <v>0</v>
      </c>
      <c r="AI22" s="29">
        <f>SUBTOTAL(109,Décembre[Dont RTT])</f>
        <v>0</v>
      </c>
      <c r="AJ22" s="55">
        <f>SUBTOTAL(109,Décembre[Dont MALADIE])</f>
        <v>0</v>
      </c>
      <c r="AK22" s="67"/>
      <c r="AL22" s="66"/>
    </row>
  </sheetData>
  <mergeCells count="15">
    <mergeCell ref="C5:AG5"/>
    <mergeCell ref="G2:H2"/>
    <mergeCell ref="J2:L2"/>
    <mergeCell ref="W2:Y2"/>
    <mergeCell ref="D3:E3"/>
    <mergeCell ref="G3:H3"/>
    <mergeCell ref="J3:L3"/>
    <mergeCell ref="N3:O3"/>
    <mergeCell ref="Q3:R3"/>
    <mergeCell ref="T3:U3"/>
    <mergeCell ref="W3:Y3"/>
    <mergeCell ref="D2:E2"/>
    <mergeCell ref="Q2:U2"/>
    <mergeCell ref="AA2:AC2"/>
    <mergeCell ref="AA3:AC3"/>
  </mergeCells>
  <conditionalFormatting sqref="C6:AG6">
    <cfRule type="containsText" dxfId="129" priority="138" stopIfTrue="1" operator="containsText" text="dim">
      <formula>NOT(ISERROR(SEARCH("dim",C6)))</formula>
    </cfRule>
  </conditionalFormatting>
  <conditionalFormatting sqref="AH7">
    <cfRule type="containsText" dxfId="128" priority="137" stopIfTrue="1" operator="containsText" text="dim">
      <formula>NOT(ISERROR(SEARCH("dim",AH7)))</formula>
    </cfRule>
  </conditionalFormatting>
  <conditionalFormatting sqref="C22:AG22">
    <cfRule type="containsText" dxfId="127" priority="117" stopIfTrue="1" operator="containsText" text="dim">
      <formula>NOT(ISERROR(SEARCH("dim",C22)))</formula>
    </cfRule>
  </conditionalFormatting>
  <conditionalFormatting sqref="AL3:XFD3 A2:A3 AG2:XFD2">
    <cfRule type="containsText" dxfId="126" priority="114" stopIfTrue="1" operator="containsText" text="dim">
      <formula>NOT(ISERROR(SEARCH("dim",A2)))</formula>
    </cfRule>
  </conditionalFormatting>
  <conditionalFormatting sqref="AJ8:AJ21">
    <cfRule type="dataBar" priority="66">
      <dataBar>
        <cfvo type="num" val="0"/>
        <cfvo type="num" val="31"/>
        <color rgb="FFFF0000"/>
      </dataBar>
      <extLst>
        <ext xmlns:x14="http://schemas.microsoft.com/office/spreadsheetml/2009/9/main" uri="{B025F937-C7B1-47D3-B67F-A62EFF666E3E}">
          <x14:id>{26CF0290-CC35-8B4D-9674-347703FFD337}</x14:id>
        </ext>
      </extLst>
    </cfRule>
  </conditionalFormatting>
  <conditionalFormatting sqref="AH8:AH21">
    <cfRule type="dataBar" priority="54">
      <dataBar>
        <cfvo type="num" val="0"/>
        <cfvo type="num" val="31"/>
        <color rgb="FF00B0F0"/>
      </dataBar>
      <extLst>
        <ext xmlns:x14="http://schemas.microsoft.com/office/spreadsheetml/2009/9/main" uri="{B025F937-C7B1-47D3-B67F-A62EFF666E3E}">
          <x14:id>{47DBF3E6-BD51-C44F-A8C7-4AA001562168}</x14:id>
        </ext>
      </extLst>
    </cfRule>
    <cfRule type="containsText" dxfId="125" priority="57" stopIfTrue="1" operator="containsText" text="dim">
      <formula>NOT(ISERROR(SEARCH("dim",AH8)))</formula>
    </cfRule>
  </conditionalFormatting>
  <conditionalFormatting sqref="AI8:AI21">
    <cfRule type="dataBar" priority="55">
      <dataBar>
        <cfvo type="num" val="0"/>
        <cfvo type="num" val="31"/>
        <color rgb="FF92D050"/>
      </dataBar>
      <extLst>
        <ext xmlns:x14="http://schemas.microsoft.com/office/spreadsheetml/2009/9/main" uri="{B025F937-C7B1-47D3-B67F-A62EFF666E3E}">
          <x14:id>{B1A7813C-1088-614C-AF39-46D84395F3A1}</x14:id>
        </ext>
      </extLst>
    </cfRule>
  </conditionalFormatting>
  <conditionalFormatting sqref="B3:D3 F2:G3 M3:N3 Q3 S3:T3 V2:W3 I2:J3">
    <cfRule type="containsText" dxfId="124" priority="35" stopIfTrue="1" operator="containsText" text="dim">
      <formula>NOT(ISERROR(SEARCH("dim",B2)))</formula>
    </cfRule>
  </conditionalFormatting>
  <conditionalFormatting sqref="V2:W2">
    <cfRule type="containsText" dxfId="123" priority="34" stopIfTrue="1" operator="containsText" text="dim">
      <formula>NOT(ISERROR(SEARCH("dim",V2)))</formula>
    </cfRule>
  </conditionalFormatting>
  <conditionalFormatting sqref="AA2">
    <cfRule type="containsText" dxfId="122" priority="33" stopIfTrue="1" operator="containsText" text="dim">
      <formula>NOT(ISERROR(SEARCH("dim",AA2)))</formula>
    </cfRule>
  </conditionalFormatting>
  <conditionalFormatting sqref="AA2">
    <cfRule type="containsText" dxfId="121" priority="32" stopIfTrue="1" operator="containsText" text="dim">
      <formula>NOT(ISERROR(SEARCH("dim",AA2)))</formula>
    </cfRule>
  </conditionalFormatting>
  <conditionalFormatting sqref="P3">
    <cfRule type="expression" dxfId="120" priority="18" stopIfTrue="1">
      <formula>P3=CléNonTravaillé</formula>
    </cfRule>
    <cfRule type="expression" dxfId="119" priority="19" stopIfTrue="1">
      <formula>P3=CléPrésenceExceptionnelle</formula>
    </cfRule>
    <cfRule type="expression" dxfId="118" priority="20" stopIfTrue="1">
      <formula>P3=CléCongéSpécial</formula>
    </cfRule>
    <cfRule type="expression" dxfId="117" priority="21" stopIfTrue="1">
      <formula>P3=CléDemiRécupération</formula>
    </cfRule>
    <cfRule type="expression" dxfId="116" priority="22" stopIfTrue="1">
      <formula>P3=CléDemiEnfantMalade</formula>
    </cfRule>
    <cfRule type="expression" dxfId="115" priority="23" stopIfTrue="1">
      <formula>P3=CléEnfantMalade</formula>
    </cfRule>
    <cfRule type="expression" dxfId="114" priority="24" stopIfTrue="1">
      <formula>P3=CléDemiRtt</formula>
    </cfRule>
    <cfRule type="expression" priority="25" stopIfTrue="1">
      <formula>P3=""</formula>
    </cfRule>
    <cfRule type="expression" dxfId="113" priority="26" stopIfTrue="1">
      <formula>P3=CléMaladie</formula>
    </cfRule>
    <cfRule type="expression" dxfId="112" priority="27" stopIfTrue="1">
      <formula>P3=CléCongé</formula>
    </cfRule>
    <cfRule type="expression" dxfId="111" priority="28" stopIfTrue="1">
      <formula>P3=CléRécupération</formula>
    </cfRule>
    <cfRule type="expression" dxfId="110" priority="29" stopIfTrue="1">
      <formula>P3=CléFormation</formula>
    </cfRule>
    <cfRule type="expression" dxfId="109" priority="30" stopIfTrue="1">
      <formula>P3=CléRTT</formula>
    </cfRule>
    <cfRule type="expression" dxfId="108" priority="31" stopIfTrue="1">
      <formula>P3=CléTélétravail</formula>
    </cfRule>
  </conditionalFormatting>
  <conditionalFormatting sqref="AA3">
    <cfRule type="containsText" dxfId="107" priority="17" stopIfTrue="1" operator="containsText" text="dim">
      <formula>NOT(ISERROR(SEARCH("dim",AA3)))</formula>
    </cfRule>
  </conditionalFormatting>
  <conditionalFormatting sqref="AA3">
    <cfRule type="containsText" dxfId="106" priority="16" stopIfTrue="1" operator="containsText" text="dim">
      <formula>NOT(ISERROR(SEARCH("dim",AA3)))</formula>
    </cfRule>
  </conditionalFormatting>
  <conditionalFormatting sqref="C8:AG21">
    <cfRule type="expression" dxfId="105" priority="1" stopIfTrue="1">
      <formula>C8=CléAbsenceJustifiée</formula>
    </cfRule>
    <cfRule type="expression" dxfId="104" priority="2" stopIfTrue="1">
      <formula>C8=CléNonTravaillé</formula>
    </cfRule>
    <cfRule type="expression" dxfId="103" priority="3" stopIfTrue="1">
      <formula>C8=CléPrésenceExceptionnelle</formula>
    </cfRule>
    <cfRule type="expression" dxfId="102" priority="4" stopIfTrue="1">
      <formula>C8=CléCongéSpécial</formula>
    </cfRule>
    <cfRule type="expression" dxfId="101" priority="5" stopIfTrue="1">
      <formula>C8=CléDemiRécupération</formula>
    </cfRule>
    <cfRule type="expression" dxfId="100" priority="6" stopIfTrue="1">
      <formula>C8=CléDemiEnfantMalade</formula>
    </cfRule>
    <cfRule type="expression" dxfId="99" priority="7" stopIfTrue="1">
      <formula>C8=CléEnfantMalade</formula>
    </cfRule>
    <cfRule type="expression" dxfId="98" priority="8" stopIfTrue="1">
      <formula>C8=CléDemiRtt</formula>
    </cfRule>
    <cfRule type="expression" priority="9" stopIfTrue="1">
      <formula>C8=""</formula>
    </cfRule>
    <cfRule type="expression" dxfId="97" priority="10" stopIfTrue="1">
      <formula>C8=CléCongéMalade</formula>
    </cfRule>
    <cfRule type="expression" dxfId="96" priority="11" stopIfTrue="1">
      <formula>C8=CléCongé</formula>
    </cfRule>
    <cfRule type="expression" dxfId="95" priority="12" stopIfTrue="1">
      <formula>C8=CléRécupération</formula>
    </cfRule>
    <cfRule type="expression" dxfId="94" priority="13" stopIfTrue="1">
      <formula>C8=CléFormation</formula>
    </cfRule>
    <cfRule type="expression" dxfId="93" priority="14" stopIfTrue="1">
      <formula>C8=CléRTT</formula>
    </cfRule>
    <cfRule type="expression" dxfId="92" priority="15" stopIfTrue="1">
      <formula>C8=CléTélétravail</formula>
    </cfRule>
  </conditionalFormatting>
  <dataValidations count="1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7" xr:uid="{1D242F3D-07C2-A14E-BA87-26B498488993}"/>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7" xr:uid="{0B89BC05-8960-6F46-8568-042E28562CA7}"/>
    <dataValidation allowBlank="1" showInputMessage="1" showErrorMessage="1" prompt="Suivez les absences du mois de décembre dans cette feuille de calcul" sqref="A1" xr:uid="{90544AD4-F894-7A42-9659-9CB62F488C22}"/>
    <dataValidation allowBlank="1" showInputMessage="1" showErrorMessage="1" prompt="Calcule automatiquement le nombre total de jours d’absence d’un employé durant ce mois dans cette colonne" sqref="AH7" xr:uid="{4560B236-5FF5-5143-8456-B7BF38551695}"/>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2" xr:uid="{E66D2DE0-525B-F143-B681-896993D38697}"/>
    <dataValidation allowBlank="1" showErrorMessage="1" sqref="B2:B6 AK6 C4:Z6 AB4:AJ6 AA4:AA6 AD1:AJ1 B1:Y1" xr:uid="{2264CBF7-66BF-E64A-908A-22269CC0B9E3}"/>
    <dataValidation allowBlank="1" showErrorMessage="1" prompt="Entrez une étiquette pour décrire la clé personnalisée à gauche" sqref="N3" xr:uid="{910EA605-D073-0F44-9865-434D082268DE}"/>
    <dataValidation allowBlank="1" showErrorMessage="1" prompt="Entrez une lettre et personnalisez l’étiquette à droite pour ajouter un élément de clé" sqref="I2:I3" xr:uid="{4C5D7D11-2161-A74E-9843-6708E3A9DD97}"/>
    <dataValidation allowBlank="1" showInputMessage="1" showErrorMessage="1" prompt="Entrez une étiquette pour décrire la clé personnalisée à gauche" sqref="J2:J3" xr:uid="{9ADB0C6E-9280-6A46-A221-FD45E73E3C6A}"/>
    <dataValidation allowBlank="1" showInputMessage="1" showErrorMessage="1" prompt="Entrez une lettre et personnalisez l’étiquette à droite pour ajouter un élément de clé" sqref="M3" xr:uid="{00E397EB-34CE-7147-9B93-919254538262}"/>
    <dataValidation allowBlank="1" showInputMessage="1" showErrorMessage="1" prompt="La lettre « M » indique une absence pour cause de maladie" sqref="S3" xr:uid="{B02AF8E0-B53D-A041-B319-D45F713D5FFA}"/>
    <dataValidation allowBlank="1" showErrorMessage="1" prompt="La lettre « P » indique une absence pour motifs personnels" sqref="F3" xr:uid="{BBB64BB9-C539-9C4E-B0B0-9B49594EE2EC}"/>
    <dataValidation allowBlank="1" showErrorMessage="1" prompt="La lettre « C » indique une absence pour cause de congé" sqref="C3" xr:uid="{79965396-820B-2C46-8D67-59A0901D0D99}"/>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6CF0290-CC35-8B4D-9674-347703FFD337}">
            <x14:dataBar minLength="0" maxLength="100">
              <x14:cfvo type="num">
                <xm:f>0</xm:f>
              </x14:cfvo>
              <x14:cfvo type="num">
                <xm:f>31</xm:f>
              </x14:cfvo>
              <x14:negativeFillColor rgb="FFFF0000"/>
              <x14:axisColor rgb="FF000000"/>
            </x14:dataBar>
          </x14:cfRule>
          <xm:sqref>AJ8:AJ21</xm:sqref>
        </x14:conditionalFormatting>
        <x14:conditionalFormatting xmlns:xm="http://schemas.microsoft.com/office/excel/2006/main">
          <x14:cfRule type="dataBar" id="{47DBF3E6-BD51-C44F-A8C7-4AA001562168}">
            <x14:dataBar minLength="0" maxLength="100">
              <x14:cfvo type="num">
                <xm:f>0</xm:f>
              </x14:cfvo>
              <x14:cfvo type="num">
                <xm:f>31</xm:f>
              </x14:cfvo>
              <x14:negativeFillColor rgb="FFFF0000"/>
              <x14:axisColor rgb="FF000000"/>
            </x14:dataBar>
          </x14:cfRule>
          <xm:sqref>AH8:AH21</xm:sqref>
        </x14:conditionalFormatting>
        <x14:conditionalFormatting xmlns:xm="http://schemas.microsoft.com/office/excel/2006/main">
          <x14:cfRule type="dataBar" id="{B1A7813C-1088-614C-AF39-46D84395F3A1}">
            <x14:dataBar minLength="0" maxLength="100">
              <x14:cfvo type="num">
                <xm:f>0</xm:f>
              </x14:cfvo>
              <x14:cfvo type="num">
                <xm:f>31</xm:f>
              </x14:cfvo>
              <x14:negativeFillColor rgb="FFFF0000"/>
              <x14:axisColor rgb="FF000000"/>
            </x14:dataBar>
          </x14:cfRule>
          <xm:sqref>AI8:AI21</xm:sqref>
        </x14:conditionalFormatting>
        <x14:conditionalFormatting xmlns:xm="http://schemas.microsoft.com/office/excel/2006/main">
          <x14:cfRule type="containsText" priority="154" stopIfTrue="1" operator="containsText" text="dim" id="{1E0A0F5D-CD20-6C4F-A6A3-2B012548AE10}">
            <xm:f>NOT(ISERROR(SEARCH("dim",Avril!AK17)))</xm:f>
            <x14:dxf>
              <font>
                <color theme="9"/>
              </font>
              <fill>
                <patternFill patternType="none">
                  <bgColor auto="1"/>
                </patternFill>
              </fill>
            </x14:dxf>
          </x14:cfRule>
          <xm:sqref>AK23:AK1048576</xm:sqref>
        </x14:conditionalFormatting>
        <x14:conditionalFormatting xmlns:xm="http://schemas.microsoft.com/office/excel/2006/main">
          <x14:cfRule type="containsText" priority="90" stopIfTrue="1" operator="containsText" text="dim" id="{B23FE883-C089-3841-91E6-900F4ECB49A1}">
            <xm:f>NOT(ISERROR(SEARCH("dim",Août!AJ19)))</xm:f>
            <x14:dxf>
              <font>
                <color theme="0" tint="-0.24994659260841701"/>
              </font>
              <fill>
                <patternFill patternType="none">
                  <bgColor auto="1"/>
                </patternFill>
              </fill>
            </x14:dxf>
          </x14:cfRule>
          <xm:sqref>AJ22</xm:sqref>
        </x14:conditionalFormatting>
        <x14:conditionalFormatting xmlns:xm="http://schemas.microsoft.com/office/excel/2006/main">
          <x14:cfRule type="containsText" priority="428" stopIfTrue="1" operator="containsText" text="dim" id="{1E0A0F5D-CD20-6C4F-A6A3-2B012548AE10}">
            <xm:f>NOT(ISERROR(SEARCH("dim",Avril!AK1)))</xm:f>
            <x14:dxf>
              <font>
                <color theme="9"/>
              </font>
              <fill>
                <patternFill patternType="none">
                  <bgColor auto="1"/>
                </patternFill>
              </fill>
            </x14:dxf>
          </x14:cfRule>
          <xm:sqref>AK19:AK21 AK7 AK4 AK1</xm:sqref>
        </x14:conditionalFormatting>
        <x14:conditionalFormatting xmlns:xm="http://schemas.microsoft.com/office/excel/2006/main">
          <x14:cfRule type="containsText" priority="36" stopIfTrue="1" operator="containsText" text="dim" id="{45BB7C9D-AA7D-8444-BE03-CEB7A852669C}">
            <xm:f>NOT(ISERROR(SEARCH("dim",Avril!AK20)))</xm:f>
            <x14:dxf>
              <font>
                <color theme="9"/>
              </font>
              <fill>
                <patternFill patternType="none">
                  <bgColor auto="1"/>
                </patternFill>
              </fill>
            </x14:dxf>
          </x14:cfRule>
          <xm:sqref>AK22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A051ECEC-6392-2C45-8FDA-76854C5F8824}">
          <x14:formula1>
            <xm:f>'Noms des employés'!$B$4:$B$16</xm:f>
          </x14:formula1>
          <xm:sqref>B8:B21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1"/>
  </sheetPr>
  <dimension ref="B1:D16"/>
  <sheetViews>
    <sheetView showGridLines="0" workbookViewId="0">
      <selection activeCell="A4" sqref="A4:XFD4"/>
    </sheetView>
  </sheetViews>
  <sheetFormatPr baseColWidth="10" defaultColWidth="9.1640625" defaultRowHeight="30" customHeight="1"/>
  <cols>
    <col min="1" max="1" width="2.6640625" customWidth="1"/>
    <col min="2" max="2" width="30.6640625" customWidth="1"/>
    <col min="3" max="3" width="29.33203125" customWidth="1"/>
    <col min="4" max="4" width="31.5" customWidth="1"/>
  </cols>
  <sheetData>
    <row r="1" spans="2:4" ht="50" customHeight="1">
      <c r="B1" s="7" t="s">
        <v>54</v>
      </c>
    </row>
    <row r="2" spans="2:4" ht="15" customHeight="1"/>
    <row r="3" spans="2:4" ht="30" customHeight="1">
      <c r="B3" t="s">
        <v>54</v>
      </c>
      <c r="C3" t="s">
        <v>116</v>
      </c>
      <c r="D3" t="s">
        <v>97</v>
      </c>
    </row>
    <row r="4" spans="2:4" ht="30" customHeight="1">
      <c r="B4" s="8" t="s">
        <v>121</v>
      </c>
      <c r="C4" s="1"/>
      <c r="D4" s="48"/>
    </row>
    <row r="5" spans="2:4" ht="30" customHeight="1">
      <c r="B5" s="8" t="s">
        <v>122</v>
      </c>
      <c r="C5" s="1"/>
      <c r="D5" s="48"/>
    </row>
    <row r="6" spans="2:4" ht="30" customHeight="1">
      <c r="B6" s="8" t="s">
        <v>123</v>
      </c>
      <c r="C6" s="1"/>
      <c r="D6" s="48"/>
    </row>
    <row r="7" spans="2:4" ht="30" customHeight="1">
      <c r="B7" s="8" t="s">
        <v>124</v>
      </c>
      <c r="C7" s="1"/>
      <c r="D7" s="48"/>
    </row>
    <row r="8" spans="2:4" ht="30" customHeight="1">
      <c r="B8" s="1"/>
      <c r="C8" s="1"/>
      <c r="D8" s="48"/>
    </row>
    <row r="9" spans="2:4" ht="30" customHeight="1">
      <c r="B9" s="1"/>
      <c r="C9" s="1"/>
      <c r="D9" s="48"/>
    </row>
    <row r="10" spans="2:4" ht="30" customHeight="1">
      <c r="B10" s="1"/>
      <c r="C10" s="1"/>
      <c r="D10" s="48"/>
    </row>
    <row r="11" spans="2:4" ht="30" customHeight="1">
      <c r="B11" s="1"/>
      <c r="C11" s="1"/>
      <c r="D11" s="48"/>
    </row>
    <row r="12" spans="2:4" ht="30" customHeight="1">
      <c r="B12" s="1"/>
      <c r="C12" s="1"/>
      <c r="D12" s="48"/>
    </row>
    <row r="13" spans="2:4" ht="30" customHeight="1">
      <c r="B13" s="8"/>
      <c r="C13" s="1"/>
      <c r="D13" s="48"/>
    </row>
    <row r="14" spans="2:4" ht="30" customHeight="1">
      <c r="B14" s="48"/>
      <c r="C14" s="48"/>
      <c r="D14" s="48"/>
    </row>
    <row r="15" spans="2:4" ht="30" customHeight="1">
      <c r="B15" s="61"/>
      <c r="C15" s="48"/>
      <c r="D15" s="48"/>
    </row>
    <row r="16" spans="2:4" ht="30" customHeight="1">
      <c r="B16" s="48"/>
      <c r="C16" s="48"/>
      <c r="D16" s="48"/>
    </row>
  </sheetData>
  <dataValidations count="3">
    <dataValidation allowBlank="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ErrorMessage="1" prompt="Entrez les noms des employés dans cette colonne" sqref="B3" xr:uid="{00000000-0002-0000-0C00-000002000000}"/>
  </dataValidations>
  <pageMargins left="0.7" right="0.7" top="0.75" bottom="0.75" header="0.3" footer="0.3"/>
  <pageSetup paperSize="9" orientation="portrait" horizontalDpi="200" verticalDpi="2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3EBC-2DC3-CD4D-B963-9D3D0FE5E154}">
  <dimension ref="A2:B18"/>
  <sheetViews>
    <sheetView workbookViewId="0">
      <selection activeCell="F8" sqref="F8"/>
    </sheetView>
  </sheetViews>
  <sheetFormatPr baseColWidth="10" defaultRowHeight="15"/>
  <cols>
    <col min="2" max="2" width="19.6640625" customWidth="1"/>
  </cols>
  <sheetData>
    <row r="2" spans="1:2" ht="34">
      <c r="A2" s="7" t="s">
        <v>73</v>
      </c>
    </row>
    <row r="4" spans="1:2">
      <c r="A4" t="s">
        <v>74</v>
      </c>
      <c r="B4" t="s">
        <v>106</v>
      </c>
    </row>
    <row r="5" spans="1:2">
      <c r="A5" s="19" t="s">
        <v>4</v>
      </c>
      <c r="B5" t="s">
        <v>7</v>
      </c>
    </row>
    <row r="6" spans="1:2">
      <c r="A6" s="20" t="s">
        <v>57</v>
      </c>
      <c r="B6" t="s">
        <v>57</v>
      </c>
    </row>
    <row r="7" spans="1:2">
      <c r="A7" s="45" t="s">
        <v>83</v>
      </c>
      <c r="B7" t="s">
        <v>77</v>
      </c>
    </row>
    <row r="8" spans="1:2">
      <c r="A8" s="23" t="s">
        <v>55</v>
      </c>
      <c r="B8" t="s">
        <v>56</v>
      </c>
    </row>
    <row r="9" spans="1:2">
      <c r="A9" s="40" t="s">
        <v>82</v>
      </c>
      <c r="B9" t="s">
        <v>103</v>
      </c>
    </row>
    <row r="10" spans="1:2">
      <c r="A10" s="49" t="s">
        <v>98</v>
      </c>
      <c r="B10" t="s">
        <v>99</v>
      </c>
    </row>
    <row r="11" spans="1:2">
      <c r="A11" s="18" t="s">
        <v>71</v>
      </c>
      <c r="B11" t="s">
        <v>72</v>
      </c>
    </row>
    <row r="12" spans="1:2">
      <c r="A12" s="22" t="s">
        <v>11</v>
      </c>
      <c r="B12" t="s">
        <v>17</v>
      </c>
    </row>
    <row r="13" spans="1:2">
      <c r="A13" s="47" t="s">
        <v>80</v>
      </c>
      <c r="B13" t="s">
        <v>79</v>
      </c>
    </row>
    <row r="14" spans="1:2">
      <c r="A14" s="46" t="s">
        <v>81</v>
      </c>
      <c r="B14" t="s">
        <v>104</v>
      </c>
    </row>
    <row r="15" spans="1:2">
      <c r="A15" s="50" t="s">
        <v>100</v>
      </c>
      <c r="B15" t="s">
        <v>105</v>
      </c>
    </row>
    <row r="16" spans="1:2">
      <c r="A16" s="77" t="s">
        <v>114</v>
      </c>
      <c r="B16" t="s">
        <v>115</v>
      </c>
    </row>
    <row r="17" spans="1:2">
      <c r="A17" s="77" t="s">
        <v>117</v>
      </c>
      <c r="B17" t="s">
        <v>119</v>
      </c>
    </row>
    <row r="18" spans="1:2">
      <c r="A18" s="77" t="s">
        <v>118</v>
      </c>
      <c r="B18" t="s">
        <v>120</v>
      </c>
    </row>
  </sheetData>
  <conditionalFormatting sqref="A7">
    <cfRule type="containsText" dxfId="7" priority="12" stopIfTrue="1" operator="containsText" text="dim">
      <formula>NOT(ISERROR(SEARCH("dim",A7)))</formula>
    </cfRule>
  </conditionalFormatting>
  <conditionalFormatting sqref="A11">
    <cfRule type="containsText" dxfId="6" priority="8" stopIfTrue="1" operator="containsText" text="dim">
      <formula>NOT(ISERROR(SEARCH("dim",A11)))</formula>
    </cfRule>
  </conditionalFormatting>
  <conditionalFormatting sqref="A12:A13">
    <cfRule type="containsText" dxfId="5" priority="7" stopIfTrue="1" operator="containsText" text="dim">
      <formula>NOT(ISERROR(SEARCH("dim",A12)))</formula>
    </cfRule>
  </conditionalFormatting>
  <conditionalFormatting sqref="A13">
    <cfRule type="containsText" dxfId="4" priority="5" stopIfTrue="1" operator="containsText" text="dim">
      <formula>NOT(ISERROR(SEARCH("dim",A13)))</formula>
    </cfRule>
  </conditionalFormatting>
  <conditionalFormatting sqref="A6">
    <cfRule type="containsText" dxfId="3" priority="4" stopIfTrue="1" operator="containsText" text="dim">
      <formula>NOT(ISERROR(SEARCH("dim",A6)))</formula>
    </cfRule>
  </conditionalFormatting>
  <conditionalFormatting sqref="A8">
    <cfRule type="containsText" dxfId="2" priority="1" stopIfTrue="1" operator="containsText" text="dim">
      <formula>NOT(ISERROR(SEARCH("dim",A8)))</formula>
    </cfRule>
  </conditionalFormatting>
  <dataValidations count="1">
    <dataValidation allowBlank="1" showErrorMessage="1" prompt="Titre Noms des employés" sqref="A2" xr:uid="{DE7B1CE5-8532-DC4E-A7E1-5965D0AA4043}"/>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0" stopIfTrue="1" operator="containsText" text="dim" id="{052029A0-A883-9647-81E9-C193C18ED300}">
            <xm:f>NOT(ISERROR(SEARCH("dim",Janvier!A8)))</xm:f>
            <x14:dxf>
              <font>
                <color theme="0" tint="-0.24994659260841701"/>
              </font>
              <fill>
                <patternFill patternType="none">
                  <bgColor auto="1"/>
                </patternFill>
              </fill>
            </x14:dxf>
          </x14:cfRule>
          <xm:sqref>A9</xm:sqref>
        </x14:conditionalFormatting>
        <x14:conditionalFormatting xmlns:xm="http://schemas.microsoft.com/office/excel/2006/main">
          <x14:cfRule type="containsText" priority="6" stopIfTrue="1" operator="containsText" text="dim" id="{B6FCCD0D-BD6F-2F48-B957-E8C3A8D5D59E}">
            <xm:f>NOT(ISERROR(SEARCH("dim",Janvier!A11)))</xm:f>
            <x14:dxf>
              <font>
                <color theme="0" tint="-0.24994659260841701"/>
              </font>
              <fill>
                <patternFill patternType="none">
                  <bgColor auto="1"/>
                </patternFill>
              </fill>
            </x14:dxf>
          </x14:cfRule>
          <xm:sqref>A14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14</vt:i4>
      </vt:variant>
      <vt:variant>
        <vt:lpstr>Plages nommées</vt:lpstr>
      </vt:variant>
      <vt:variant>
        <vt:i4>241</vt:i4>
      </vt:variant>
    </vt:vector>
  </HeadingPairs>
  <TitlesOfParts>
    <vt:vector size="255" baseType="lpstr">
      <vt:lpstr>Janvier</vt:lpstr>
      <vt:lpstr>Février</vt:lpstr>
      <vt:lpstr>Mars</vt:lpstr>
      <vt:lpstr>Avril</vt:lpstr>
      <vt:lpstr>Mai</vt:lpstr>
      <vt:lpstr>Juin</vt:lpstr>
      <vt:lpstr>Juillet</vt:lpstr>
      <vt:lpstr>Août</vt:lpstr>
      <vt:lpstr>Septembre</vt:lpstr>
      <vt:lpstr>Octobre</vt:lpstr>
      <vt:lpstr>Novembre</vt:lpstr>
      <vt:lpstr>Décembre</vt:lpstr>
      <vt:lpstr>Noms des employés</vt:lpstr>
      <vt:lpstr>Type d'absence</vt:lpstr>
      <vt:lpstr>Août!AnnéeCalendrier</vt:lpstr>
      <vt:lpstr>Avril!AnnéeCalendrier</vt:lpstr>
      <vt:lpstr>Décembre!AnnéeCalendrier</vt:lpstr>
      <vt:lpstr>Février!AnnéeCalendrier</vt:lpstr>
      <vt:lpstr>Juillet!AnnéeCalendrier</vt:lpstr>
      <vt:lpstr>Juin!AnnéeCalendrier</vt:lpstr>
      <vt:lpstr>Mai!AnnéeCalendrier</vt:lpstr>
      <vt:lpstr>Mars!AnnéeCalendrier</vt:lpstr>
      <vt:lpstr>Novembre!AnnéeCalendrier</vt:lpstr>
      <vt:lpstr>Octobre!AnnéeCalendrier</vt:lpstr>
      <vt:lpstr>Septembre!AnnéeCalendrier</vt:lpstr>
      <vt:lpstr>AnnéeCalendrier</vt:lpstr>
      <vt:lpstr>AnnéeCalendrier01</vt:lpstr>
      <vt:lpstr>CléAbsenceJustifiée</vt:lpstr>
      <vt:lpstr>CléCompteEpargneTemps</vt:lpstr>
      <vt:lpstr>Août!CléCongé</vt:lpstr>
      <vt:lpstr>Avril!CléCongé</vt:lpstr>
      <vt:lpstr>Décembre!CléCongé</vt:lpstr>
      <vt:lpstr>Février!CléCongé</vt:lpstr>
      <vt:lpstr>Juillet!CléCongé</vt:lpstr>
      <vt:lpstr>Juin!CléCongé</vt:lpstr>
      <vt:lpstr>Mai!CléCongé</vt:lpstr>
      <vt:lpstr>Mars!CléCongé</vt:lpstr>
      <vt:lpstr>Novembre!CléCongé</vt:lpstr>
      <vt:lpstr>Octobre!CléCongé</vt:lpstr>
      <vt:lpstr>Septembre!CléCongé</vt:lpstr>
      <vt:lpstr>CléCongé</vt:lpstr>
      <vt:lpstr>CléCongéMalade</vt:lpstr>
      <vt:lpstr>CléCongéSpécial</vt:lpstr>
      <vt:lpstr>CléDemiCompteEpargneTemps</vt:lpstr>
      <vt:lpstr>CléDemiEnfantMalade</vt:lpstr>
      <vt:lpstr>CléDemiRécupération</vt:lpstr>
      <vt:lpstr>CléDemiRtt</vt:lpstr>
      <vt:lpstr>CléEnfantMalade</vt:lpstr>
      <vt:lpstr>CléFormation</vt:lpstr>
      <vt:lpstr>CléMaladie</vt:lpstr>
      <vt:lpstr>CléNonTravaillé</vt:lpstr>
      <vt:lpstr>CléPrésenceExceptionnelle</vt:lpstr>
      <vt:lpstr>CléRécupération</vt:lpstr>
      <vt:lpstr>CléRTT</vt:lpstr>
      <vt:lpstr>CléTélétravail</vt:lpstr>
      <vt:lpstr>Enfant_malade</vt:lpstr>
      <vt:lpstr>Entrez_l’année</vt:lpstr>
      <vt:lpstr>ÉtiquetteCléAbsenceJustifiée</vt:lpstr>
      <vt:lpstr>ÉtiquetteCléCongé</vt:lpstr>
      <vt:lpstr>EtiquetteCléCongéMaladie</vt:lpstr>
      <vt:lpstr>ÉtiquetteCléCongéSpécial</vt:lpstr>
      <vt:lpstr>EtiquetteCléDemiCompteEpargneTemps</vt:lpstr>
      <vt:lpstr>ÉtiquetteCléDemiEnfantMalade</vt:lpstr>
      <vt:lpstr>ÉtiquetteCléDemiRécupération</vt:lpstr>
      <vt:lpstr>ÉtiquetteCléDemiRTT</vt:lpstr>
      <vt:lpstr>ÉtiquetteCléEnfantMalade</vt:lpstr>
      <vt:lpstr>EtiquetteCléEpargneTemps</vt:lpstr>
      <vt:lpstr>ÉtiquetteCléFormation</vt:lpstr>
      <vt:lpstr>ÉtiquetteCléNontravaillé</vt:lpstr>
      <vt:lpstr>ÉtiquetteCléPrésenceExceptionnelle</vt:lpstr>
      <vt:lpstr>ÉtiquetteCléRécupération</vt:lpstr>
      <vt:lpstr>ÉtiquetteCléRTT</vt:lpstr>
      <vt:lpstr>EtiquetteCléTélétravail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Août!Titre_Absence_Employé</vt:lpstr>
      <vt:lpstr>Avril!Titre_Absence_Employé</vt:lpstr>
      <vt:lpstr>Décembre!Titre_Absence_Employé</vt:lpstr>
      <vt:lpstr>Février!Titre_Absence_Employé</vt:lpstr>
      <vt:lpstr>Juillet!Titre_Absence_Employé</vt:lpstr>
      <vt:lpstr>Juin!Titre_Absence_Employé</vt:lpstr>
      <vt:lpstr>Mai!Titre_Absence_Employé</vt:lpstr>
      <vt:lpstr>Mars!Titre_Absence_Employé</vt:lpstr>
      <vt:lpstr>Novembre!Titre_Absence_Employé</vt:lpstr>
      <vt:lpstr>Octobre!Titre_Absence_Employé</vt:lpstr>
      <vt:lpstr>Septembre!Titre_Absence_Employé</vt:lpstr>
      <vt:lpstr>Titre_Absence_Employé</vt:lpstr>
      <vt:lpstr>Août!Titre1</vt:lpstr>
      <vt:lpstr>Avril!Titre1</vt:lpstr>
      <vt:lpstr>Décembre!Titre1</vt:lpstr>
      <vt:lpstr>Février!Titre1</vt:lpstr>
      <vt:lpstr>Juillet!Titre1</vt:lpstr>
      <vt:lpstr>Juin!Titre1</vt:lpstr>
      <vt:lpstr>Mai!Titre1</vt:lpstr>
      <vt:lpstr>Mars!Titre1</vt:lpstr>
      <vt:lpstr>Novembre!Titre1</vt:lpstr>
      <vt:lpstr>Octobre!Titre1</vt:lpstr>
      <vt:lpstr>Septembre!Titre1</vt:lpstr>
      <vt:lpstr>Titre1</vt:lpstr>
      <vt:lpstr>Août!Titre10</vt:lpstr>
      <vt:lpstr>Avril!Titre10</vt:lpstr>
      <vt:lpstr>Décembre!Titre10</vt:lpstr>
      <vt:lpstr>Février!Titre10</vt:lpstr>
      <vt:lpstr>Juillet!Titre10</vt:lpstr>
      <vt:lpstr>Juin!Titre10</vt:lpstr>
      <vt:lpstr>Mai!Titre10</vt:lpstr>
      <vt:lpstr>Mars!Titre10</vt:lpstr>
      <vt:lpstr>Novembre!Titre10</vt:lpstr>
      <vt:lpstr>Octobre!Titre10</vt:lpstr>
      <vt:lpstr>Septembre!Titre10</vt:lpstr>
      <vt:lpstr>Août!Titre11</vt:lpstr>
      <vt:lpstr>Avril!Titre11</vt:lpstr>
      <vt:lpstr>Décembre!Titre11</vt:lpstr>
      <vt:lpstr>Février!Titre11</vt:lpstr>
      <vt:lpstr>Juillet!Titre11</vt:lpstr>
      <vt:lpstr>Juin!Titre11</vt:lpstr>
      <vt:lpstr>Mai!Titre11</vt:lpstr>
      <vt:lpstr>Mars!Titre11</vt:lpstr>
      <vt:lpstr>Novembre!Titre11</vt:lpstr>
      <vt:lpstr>Octobre!Titre11</vt:lpstr>
      <vt:lpstr>Septembre!Titre11</vt:lpstr>
      <vt:lpstr>Août!Titre12</vt:lpstr>
      <vt:lpstr>Avril!Titre12</vt:lpstr>
      <vt:lpstr>Décembre!Titre12</vt:lpstr>
      <vt:lpstr>Février!Titre12</vt:lpstr>
      <vt:lpstr>Juillet!Titre12</vt:lpstr>
      <vt:lpstr>Juin!Titre12</vt:lpstr>
      <vt:lpstr>Mai!Titre12</vt:lpstr>
      <vt:lpstr>Mars!Titre12</vt:lpstr>
      <vt:lpstr>Novembre!Titre12</vt:lpstr>
      <vt:lpstr>Octobre!Titre12</vt:lpstr>
      <vt:lpstr>Septembre!Titre12</vt:lpstr>
      <vt:lpstr>Août!Titre2</vt:lpstr>
      <vt:lpstr>Avril!Titre2</vt:lpstr>
      <vt:lpstr>Décembre!Titre2</vt:lpstr>
      <vt:lpstr>Février!Titre2</vt:lpstr>
      <vt:lpstr>Juillet!Titre2</vt:lpstr>
      <vt:lpstr>Juin!Titre2</vt:lpstr>
      <vt:lpstr>Mai!Titre2</vt:lpstr>
      <vt:lpstr>Mars!Titre2</vt:lpstr>
      <vt:lpstr>Novembre!Titre2</vt:lpstr>
      <vt:lpstr>Octobre!Titre2</vt:lpstr>
      <vt:lpstr>Septembre!Titre2</vt:lpstr>
      <vt:lpstr>Août!Titre3</vt:lpstr>
      <vt:lpstr>Avril!Titre3</vt:lpstr>
      <vt:lpstr>Décembre!Titre3</vt:lpstr>
      <vt:lpstr>Février!Titre3</vt:lpstr>
      <vt:lpstr>Juillet!Titre3</vt:lpstr>
      <vt:lpstr>Juin!Titre3</vt:lpstr>
      <vt:lpstr>Mai!Titre3</vt:lpstr>
      <vt:lpstr>Mars!Titre3</vt:lpstr>
      <vt:lpstr>Novembre!Titre3</vt:lpstr>
      <vt:lpstr>Octobre!Titre3</vt:lpstr>
      <vt:lpstr>Septembre!Titre3</vt:lpstr>
      <vt:lpstr>Août!Titre4</vt:lpstr>
      <vt:lpstr>Avril!Titre4</vt:lpstr>
      <vt:lpstr>Décembre!Titre4</vt:lpstr>
      <vt:lpstr>Février!Titre4</vt:lpstr>
      <vt:lpstr>Juillet!Titre4</vt:lpstr>
      <vt:lpstr>Juin!Titre4</vt:lpstr>
      <vt:lpstr>Mai!Titre4</vt:lpstr>
      <vt:lpstr>Mars!Titre4</vt:lpstr>
      <vt:lpstr>Novembre!Titre4</vt:lpstr>
      <vt:lpstr>Octobre!Titre4</vt:lpstr>
      <vt:lpstr>Septembre!Titre4</vt:lpstr>
      <vt:lpstr>Août!Titre5</vt:lpstr>
      <vt:lpstr>Avril!Titre5</vt:lpstr>
      <vt:lpstr>Décembre!Titre5</vt:lpstr>
      <vt:lpstr>Février!Titre5</vt:lpstr>
      <vt:lpstr>Juillet!Titre5</vt:lpstr>
      <vt:lpstr>Juin!Titre5</vt:lpstr>
      <vt:lpstr>Mai!Titre5</vt:lpstr>
      <vt:lpstr>Mars!Titre5</vt:lpstr>
      <vt:lpstr>Novembre!Titre5</vt:lpstr>
      <vt:lpstr>Octobre!Titre5</vt:lpstr>
      <vt:lpstr>Septembre!Titre5</vt:lpstr>
      <vt:lpstr>Août!Titre6</vt:lpstr>
      <vt:lpstr>Avril!Titre6</vt:lpstr>
      <vt:lpstr>Décembre!Titre6</vt:lpstr>
      <vt:lpstr>Février!Titre6</vt:lpstr>
      <vt:lpstr>Juillet!Titre6</vt:lpstr>
      <vt:lpstr>Juin!Titre6</vt:lpstr>
      <vt:lpstr>Mai!Titre6</vt:lpstr>
      <vt:lpstr>Mars!Titre6</vt:lpstr>
      <vt:lpstr>Novembre!Titre6</vt:lpstr>
      <vt:lpstr>Octobre!Titre6</vt:lpstr>
      <vt:lpstr>Septembre!Titre6</vt:lpstr>
      <vt:lpstr>Août!Titre7</vt:lpstr>
      <vt:lpstr>Avril!Titre7</vt:lpstr>
      <vt:lpstr>Décembre!Titre7</vt:lpstr>
      <vt:lpstr>Février!Titre7</vt:lpstr>
      <vt:lpstr>Juillet!Titre7</vt:lpstr>
      <vt:lpstr>Juin!Titre7</vt:lpstr>
      <vt:lpstr>Mai!Titre7</vt:lpstr>
      <vt:lpstr>Mars!Titre7</vt:lpstr>
      <vt:lpstr>Novembre!Titre7</vt:lpstr>
      <vt:lpstr>Octobre!Titre7</vt:lpstr>
      <vt:lpstr>Septembre!Titre7</vt:lpstr>
      <vt:lpstr>Août!Titre8</vt:lpstr>
      <vt:lpstr>Avril!Titre8</vt:lpstr>
      <vt:lpstr>Décembre!Titre8</vt:lpstr>
      <vt:lpstr>Février!Titre8</vt:lpstr>
      <vt:lpstr>Juillet!Titre8</vt:lpstr>
      <vt:lpstr>Juin!Titre8</vt:lpstr>
      <vt:lpstr>Mai!Titre8</vt:lpstr>
      <vt:lpstr>Mars!Titre8</vt:lpstr>
      <vt:lpstr>Novembre!Titre8</vt:lpstr>
      <vt:lpstr>Octobre!Titre8</vt:lpstr>
      <vt:lpstr>Septembre!Titre8</vt:lpstr>
      <vt:lpstr>Août!Titre9</vt:lpstr>
      <vt:lpstr>Avril!Titre9</vt:lpstr>
      <vt:lpstr>Décembre!Titre9</vt:lpstr>
      <vt:lpstr>Février!Titre9</vt:lpstr>
      <vt:lpstr>Juillet!Titre9</vt:lpstr>
      <vt:lpstr>Juin!Titre9</vt:lpstr>
      <vt:lpstr>Mai!Titre9</vt:lpstr>
      <vt:lpstr>Mars!Titre9</vt:lpstr>
      <vt:lpstr>Novembre!Titre9</vt:lpstr>
      <vt:lpstr>Octobre!Titre9</vt:lpstr>
      <vt:lpstr>Septembre!Titre9</vt:lpstr>
      <vt:lpstr>Août!TitreColonne13</vt:lpstr>
      <vt:lpstr>Avril!TitreColonne13</vt:lpstr>
      <vt:lpstr>Décembre!TitreColonne13</vt:lpstr>
      <vt:lpstr>Février!TitreColonne13</vt:lpstr>
      <vt:lpstr>Juillet!TitreColonne13</vt:lpstr>
      <vt:lpstr>Juin!TitreColonne13</vt:lpstr>
      <vt:lpstr>Mai!TitreColonne13</vt:lpstr>
      <vt:lpstr>Mars!TitreColonne13</vt:lpstr>
      <vt:lpstr>Novembre!TitreColonne13</vt:lpstr>
      <vt:lpstr>Octobre!TitreColonne13</vt:lpstr>
      <vt:lpstr>Septembre!TitreColonne13</vt:lpstr>
      <vt:lpstr>TitreColonne13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Charlotte Rogic</cp:lastModifiedBy>
  <dcterms:created xsi:type="dcterms:W3CDTF">2016-12-06T04:52:27Z</dcterms:created>
  <dcterms:modified xsi:type="dcterms:W3CDTF">2021-10-07T13:28:41Z</dcterms:modified>
</cp:coreProperties>
</file>