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externalLinks/externalLink1.xml" ContentType="application/vnd.openxmlformats-officedocument.spreadsheetml.externalLink+xml"/>
  <Override PartName="/xl/pivotCache/pivotCacheDefinition1.xml" ContentType="application/vnd.openxmlformats-officedocument.spreadsheetml.pivotCacheDefinition+xml"/>
  <Override PartName="/xl/pivotCache/pivotCacheRecords1.xml" ContentType="application/vnd.openxmlformats-officedocument.spreadsheetml.pivotCacheRecords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tables/table1.xml" ContentType="application/vnd.openxmlformats-officedocument.spreadsheetml.table+xml"/>
  <Override PartName="/xl/tables/table2.xml" ContentType="application/vnd.openxmlformats-officedocument.spreadsheetml.table+xml"/>
  <Override PartName="/xl/comments1.xml" ContentType="application/vnd.openxmlformats-officedocument.spreadsheetml.comments+xml"/>
  <Override PartName="/xl/pivotTables/pivotTable1.xml" ContentType="application/vnd.openxmlformats-officedocument.spreadsheetml.pivotTable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codeName="ThisWorkbook" defaultThemeVersion="164011"/>
  <mc:AlternateContent xmlns:mc="http://schemas.openxmlformats.org/markup-compatibility/2006">
    <mc:Choice Requires="x15">
      <x15ac:absPath xmlns:x15ac="http://schemas.microsoft.com/office/spreadsheetml/2010/11/ac" url="C:\Users\Hayottej\Desktop\"/>
    </mc:Choice>
  </mc:AlternateContent>
  <bookViews>
    <workbookView xWindow="0" yWindow="0" windowWidth="28800" windowHeight="11700" activeTab="1"/>
  </bookViews>
  <sheets>
    <sheet name="COSTING" sheetId="2" r:id="rId1"/>
    <sheet name="TCD" sheetId="1" r:id="rId2"/>
  </sheets>
  <externalReferences>
    <externalReference r:id="rId3"/>
  </externalReferences>
  <definedNames>
    <definedName name="_xlnm._FilterDatabase" localSheetId="0" hidden="1">COSTING!$A$2:$K$81</definedName>
    <definedName name="HI">#REF!</definedName>
    <definedName name="PC">#REF!</definedName>
  </definedNames>
  <calcPr calcId="162913"/>
  <pivotCaches>
    <pivotCache cacheId="398" r:id="rId4"/>
  </pivotCaches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AH82" i="2" l="1"/>
  <c r="AG82" i="2"/>
  <c r="AE82" i="2"/>
  <c r="AF81" i="2"/>
  <c r="AC81" i="2"/>
  <c r="AB81" i="2"/>
  <c r="W81" i="2"/>
  <c r="AF80" i="2"/>
  <c r="AC80" i="2"/>
  <c r="AD80" i="2" s="1"/>
  <c r="AB80" i="2"/>
  <c r="W80" i="2"/>
  <c r="AF79" i="2"/>
  <c r="AC79" i="2"/>
  <c r="AB79" i="2"/>
  <c r="W79" i="2"/>
  <c r="AF78" i="2"/>
  <c r="AD78" i="2"/>
  <c r="AC78" i="2"/>
  <c r="AB78" i="2"/>
  <c r="W78" i="2"/>
  <c r="AF77" i="2"/>
  <c r="AC77" i="2"/>
  <c r="AB77" i="2"/>
  <c r="W77" i="2"/>
  <c r="AF76" i="2"/>
  <c r="AC76" i="2"/>
  <c r="AD76" i="2" s="1"/>
  <c r="AB76" i="2"/>
  <c r="W76" i="2"/>
  <c r="AF75" i="2"/>
  <c r="AC75" i="2"/>
  <c r="AD75" i="2" s="1"/>
  <c r="AB75" i="2"/>
  <c r="W75" i="2"/>
  <c r="AF74" i="2"/>
  <c r="AC74" i="2"/>
  <c r="AD74" i="2" s="1"/>
  <c r="AB74" i="2"/>
  <c r="W74" i="2"/>
  <c r="AF73" i="2"/>
  <c r="AO8" i="2" s="1"/>
  <c r="AC73" i="2"/>
  <c r="AD73" i="2" s="1"/>
  <c r="AB73" i="2"/>
  <c r="W73" i="2"/>
  <c r="AF72" i="2"/>
  <c r="AC72" i="2"/>
  <c r="AB72" i="2"/>
  <c r="AL8" i="2" s="1"/>
  <c r="W72" i="2"/>
  <c r="AF71" i="2"/>
  <c r="AC71" i="2"/>
  <c r="AD71" i="2" s="1"/>
  <c r="AB71" i="2"/>
  <c r="W71" i="2"/>
  <c r="AF70" i="2"/>
  <c r="AC70" i="2"/>
  <c r="AD70" i="2" s="1"/>
  <c r="AB70" i="2"/>
  <c r="W70" i="2"/>
  <c r="AF69" i="2"/>
  <c r="AC69" i="2"/>
  <c r="AB69" i="2"/>
  <c r="W69" i="2"/>
  <c r="AF68" i="2"/>
  <c r="AC68" i="2"/>
  <c r="AD68" i="2" s="1"/>
  <c r="AB68" i="2"/>
  <c r="W68" i="2"/>
  <c r="AF67" i="2"/>
  <c r="AC67" i="2"/>
  <c r="AB67" i="2"/>
  <c r="W67" i="2"/>
  <c r="AF66" i="2"/>
  <c r="AD66" i="2"/>
  <c r="AC66" i="2"/>
  <c r="AB66" i="2"/>
  <c r="W66" i="2"/>
  <c r="AF65" i="2"/>
  <c r="AC65" i="2"/>
  <c r="AB65" i="2"/>
  <c r="W65" i="2"/>
  <c r="AF64" i="2"/>
  <c r="AC64" i="2"/>
  <c r="AB64" i="2"/>
  <c r="W64" i="2"/>
  <c r="AF63" i="2"/>
  <c r="AC63" i="2"/>
  <c r="AB63" i="2"/>
  <c r="W63" i="2"/>
  <c r="AF62" i="2"/>
  <c r="AC62" i="2"/>
  <c r="AD62" i="2" s="1"/>
  <c r="AB62" i="2"/>
  <c r="W62" i="2"/>
  <c r="AF61" i="2"/>
  <c r="AC61" i="2"/>
  <c r="AB61" i="2"/>
  <c r="W61" i="2"/>
  <c r="AF60" i="2"/>
  <c r="AD60" i="2"/>
  <c r="AC60" i="2"/>
  <c r="AB60" i="2"/>
  <c r="W60" i="2"/>
  <c r="AF59" i="2"/>
  <c r="AC59" i="2"/>
  <c r="AB59" i="2"/>
  <c r="W59" i="2"/>
  <c r="AF58" i="2"/>
  <c r="AC58" i="2"/>
  <c r="AD58" i="2" s="1"/>
  <c r="AB58" i="2"/>
  <c r="W58" i="2"/>
  <c r="AF57" i="2"/>
  <c r="AC57" i="2"/>
  <c r="AD57" i="2" s="1"/>
  <c r="AB57" i="2"/>
  <c r="W57" i="2"/>
  <c r="AF56" i="2"/>
  <c r="AC56" i="2"/>
  <c r="AB56" i="2"/>
  <c r="W56" i="2"/>
  <c r="W55" i="2"/>
  <c r="O55" i="2"/>
  <c r="AF55" i="2" s="1"/>
  <c r="N55" i="2"/>
  <c r="AC55" i="2" s="1"/>
  <c r="M55" i="2"/>
  <c r="AB55" i="2" s="1"/>
  <c r="AF54" i="2"/>
  <c r="AC54" i="2"/>
  <c r="AB54" i="2"/>
  <c r="W54" i="2"/>
  <c r="AF53" i="2"/>
  <c r="AD53" i="2"/>
  <c r="AC53" i="2"/>
  <c r="AB53" i="2"/>
  <c r="W53" i="2"/>
  <c r="AF52" i="2"/>
  <c r="AC52" i="2"/>
  <c r="AB52" i="2"/>
  <c r="W52" i="2"/>
  <c r="AF51" i="2"/>
  <c r="AC51" i="2"/>
  <c r="AD51" i="2" s="1"/>
  <c r="AB51" i="2"/>
  <c r="W51" i="2"/>
  <c r="AF50" i="2"/>
  <c r="AC50" i="2"/>
  <c r="AB50" i="2"/>
  <c r="W50" i="2"/>
  <c r="AF49" i="2"/>
  <c r="AD49" i="2"/>
  <c r="AC49" i="2"/>
  <c r="AB49" i="2"/>
  <c r="W49" i="2"/>
  <c r="AF48" i="2"/>
  <c r="AC48" i="2"/>
  <c r="AB48" i="2"/>
  <c r="W48" i="2"/>
  <c r="AF47" i="2"/>
  <c r="AC47" i="2"/>
  <c r="AB47" i="2"/>
  <c r="W47" i="2"/>
  <c r="AF46" i="2"/>
  <c r="AC46" i="2"/>
  <c r="AB46" i="2"/>
  <c r="W46" i="2"/>
  <c r="AF45" i="2"/>
  <c r="AC45" i="2"/>
  <c r="AB45" i="2"/>
  <c r="W45" i="2"/>
  <c r="AF44" i="2"/>
  <c r="AC44" i="2"/>
  <c r="AD44" i="2" s="1"/>
  <c r="AB44" i="2"/>
  <c r="W44" i="2"/>
  <c r="AF43" i="2"/>
  <c r="AC43" i="2"/>
  <c r="AD43" i="2" s="1"/>
  <c r="AB43" i="2"/>
  <c r="W43" i="2"/>
  <c r="AF42" i="2"/>
  <c r="AC42" i="2"/>
  <c r="AD42" i="2" s="1"/>
  <c r="AB42" i="2"/>
  <c r="W42" i="2"/>
  <c r="AF41" i="2"/>
  <c r="AC41" i="2"/>
  <c r="AD41" i="2" s="1"/>
  <c r="AB41" i="2"/>
  <c r="W41" i="2"/>
  <c r="AF40" i="2"/>
  <c r="AC40" i="2"/>
  <c r="AD40" i="2" s="1"/>
  <c r="AB40" i="2"/>
  <c r="W40" i="2"/>
  <c r="AF39" i="2"/>
  <c r="AC39" i="2"/>
  <c r="AB39" i="2"/>
  <c r="W39" i="2"/>
  <c r="AF38" i="2"/>
  <c r="AC38" i="2"/>
  <c r="AD38" i="2" s="1"/>
  <c r="AB38" i="2"/>
  <c r="W38" i="2"/>
  <c r="AC37" i="2"/>
  <c r="AD37" i="2" s="1"/>
  <c r="AB37" i="2"/>
  <c r="W37" i="2"/>
  <c r="O37" i="2"/>
  <c r="AF37" i="2" s="1"/>
  <c r="N37" i="2"/>
  <c r="M37" i="2"/>
  <c r="AF36" i="2"/>
  <c r="AC36" i="2"/>
  <c r="AD36" i="2" s="1"/>
  <c r="AB36" i="2"/>
  <c r="W36" i="2"/>
  <c r="AF35" i="2"/>
  <c r="AC35" i="2"/>
  <c r="AB35" i="2"/>
  <c r="W35" i="2"/>
  <c r="AF34" i="2"/>
  <c r="AC34" i="2"/>
  <c r="AD34" i="2" s="1"/>
  <c r="AB34" i="2"/>
  <c r="W34" i="2"/>
  <c r="AF33" i="2"/>
  <c r="AC33" i="2"/>
  <c r="AB33" i="2"/>
  <c r="W33" i="2"/>
  <c r="AF32" i="2"/>
  <c r="AD32" i="2"/>
  <c r="AC32" i="2"/>
  <c r="AB32" i="2"/>
  <c r="W32" i="2"/>
  <c r="AF31" i="2"/>
  <c r="AC31" i="2"/>
  <c r="AB31" i="2"/>
  <c r="W31" i="2"/>
  <c r="AC30" i="2"/>
  <c r="AD30" i="2" s="1"/>
  <c r="AB30" i="2"/>
  <c r="W30" i="2"/>
  <c r="O30" i="2"/>
  <c r="AF30" i="2" s="1"/>
  <c r="N30" i="2"/>
  <c r="M30" i="2"/>
  <c r="AF29" i="2"/>
  <c r="AC29" i="2"/>
  <c r="AB29" i="2"/>
  <c r="AL7" i="2" s="1"/>
  <c r="W29" i="2"/>
  <c r="AF28" i="2"/>
  <c r="AC28" i="2"/>
  <c r="AB28" i="2"/>
  <c r="W28" i="2"/>
  <c r="AF27" i="2"/>
  <c r="AC27" i="2"/>
  <c r="AD27" i="2" s="1"/>
  <c r="AB27" i="2"/>
  <c r="W27" i="2"/>
  <c r="AF26" i="2"/>
  <c r="AC26" i="2"/>
  <c r="AB26" i="2"/>
  <c r="W26" i="2"/>
  <c r="AF25" i="2"/>
  <c r="AC25" i="2"/>
  <c r="AB25" i="2"/>
  <c r="W25" i="2"/>
  <c r="AF24" i="2"/>
  <c r="AC24" i="2"/>
  <c r="AB24" i="2"/>
  <c r="W24" i="2"/>
  <c r="W23" i="2"/>
  <c r="O23" i="2"/>
  <c r="AF23" i="2" s="1"/>
  <c r="N23" i="2"/>
  <c r="AC23" i="2" s="1"/>
  <c r="AD23" i="2" s="1"/>
  <c r="M23" i="2"/>
  <c r="AB23" i="2" s="1"/>
  <c r="AF22" i="2"/>
  <c r="AC22" i="2"/>
  <c r="AD22" i="2" s="1"/>
  <c r="AB22" i="2"/>
  <c r="W22" i="2"/>
  <c r="AF21" i="2"/>
  <c r="AO5" i="2" s="1"/>
  <c r="AC21" i="2"/>
  <c r="AD21" i="2" s="1"/>
  <c r="AB21" i="2"/>
  <c r="W21" i="2"/>
  <c r="AF20" i="2"/>
  <c r="AC20" i="2"/>
  <c r="AB20" i="2"/>
  <c r="AL5" i="2" s="1"/>
  <c r="W20" i="2"/>
  <c r="AF19" i="2"/>
  <c r="AC19" i="2"/>
  <c r="AD19" i="2" s="1"/>
  <c r="AB19" i="2"/>
  <c r="W19" i="2"/>
  <c r="AF18" i="2"/>
  <c r="AC18" i="2"/>
  <c r="AD18" i="2" s="1"/>
  <c r="AB18" i="2"/>
  <c r="W18" i="2"/>
  <c r="AF17" i="2"/>
  <c r="AC17" i="2"/>
  <c r="AB17" i="2"/>
  <c r="W17" i="2"/>
  <c r="AF16" i="2"/>
  <c r="AC16" i="2"/>
  <c r="AB16" i="2"/>
  <c r="AD16" i="2" s="1"/>
  <c r="W16" i="2"/>
  <c r="AF15" i="2"/>
  <c r="AC15" i="2"/>
  <c r="AD15" i="2" s="1"/>
  <c r="AB15" i="2"/>
  <c r="W15" i="2"/>
  <c r="AF14" i="2"/>
  <c r="AC14" i="2"/>
  <c r="AD14" i="2" s="1"/>
  <c r="AB14" i="2"/>
  <c r="W14" i="2"/>
  <c r="AF13" i="2"/>
  <c r="AC13" i="2"/>
  <c r="AB13" i="2"/>
  <c r="W13" i="2"/>
  <c r="AC12" i="2"/>
  <c r="AB12" i="2"/>
  <c r="W12" i="2"/>
  <c r="O12" i="2"/>
  <c r="AF12" i="2" s="1"/>
  <c r="N12" i="2"/>
  <c r="M12" i="2"/>
  <c r="AF11" i="2"/>
  <c r="AC11" i="2"/>
  <c r="AB11" i="2"/>
  <c r="W11" i="2"/>
  <c r="AF10" i="2"/>
  <c r="AC10" i="2"/>
  <c r="AD10" i="2" s="1"/>
  <c r="AB10" i="2"/>
  <c r="W10" i="2"/>
  <c r="AF9" i="2"/>
  <c r="AC9" i="2"/>
  <c r="AD9" i="2" s="1"/>
  <c r="AB9" i="2"/>
  <c r="W9" i="2"/>
  <c r="AF8" i="2"/>
  <c r="AC8" i="2"/>
  <c r="AB8" i="2"/>
  <c r="AD8" i="2" s="1"/>
  <c r="W8" i="2"/>
  <c r="AF7" i="2"/>
  <c r="AC7" i="2"/>
  <c r="AB7" i="2"/>
  <c r="W7" i="2"/>
  <c r="AF6" i="2"/>
  <c r="AC6" i="2"/>
  <c r="AB6" i="2"/>
  <c r="W6" i="2"/>
  <c r="AF5" i="2"/>
  <c r="AC5" i="2"/>
  <c r="AD5" i="2" s="1"/>
  <c r="AB5" i="2"/>
  <c r="W5" i="2"/>
  <c r="AF4" i="2"/>
  <c r="AC4" i="2"/>
  <c r="AD4" i="2" s="1"/>
  <c r="AB4" i="2"/>
  <c r="W4" i="2"/>
  <c r="AF3" i="2"/>
  <c r="AC3" i="2"/>
  <c r="AB3" i="2"/>
  <c r="AB82" i="2" s="1"/>
  <c r="W3" i="2"/>
  <c r="AD77" i="2" l="1"/>
  <c r="AD12" i="2"/>
  <c r="AM8" i="2"/>
  <c r="AN8" i="2" s="1"/>
  <c r="AD79" i="2"/>
  <c r="AD81" i="2"/>
  <c r="AM7" i="2"/>
  <c r="AN7" i="2" s="1"/>
  <c r="AD46" i="2"/>
  <c r="AD59" i="2"/>
  <c r="AM5" i="2"/>
  <c r="AN5" i="2" s="1"/>
  <c r="AD31" i="2"/>
  <c r="AD52" i="2"/>
  <c r="AD63" i="2"/>
  <c r="AD65" i="2"/>
  <c r="AD24" i="2"/>
  <c r="AD26" i="2"/>
  <c r="AD33" i="2"/>
  <c r="AC82" i="2"/>
  <c r="AD82" i="2" s="1"/>
  <c r="AD54" i="2"/>
  <c r="AD56" i="2"/>
  <c r="AD67" i="2"/>
  <c r="AD7" i="2"/>
  <c r="AD48" i="2"/>
  <c r="AO7" i="2"/>
  <c r="AD39" i="2"/>
  <c r="AD50" i="2"/>
  <c r="AD61" i="2"/>
  <c r="AD11" i="2"/>
  <c r="AD6" i="2"/>
  <c r="AD13" i="2"/>
  <c r="AD17" i="2"/>
  <c r="AD28" i="2"/>
  <c r="AD35" i="2"/>
  <c r="AD45" i="2"/>
  <c r="AD47" i="2"/>
  <c r="AD69" i="2"/>
  <c r="AL3" i="2"/>
  <c r="AF82" i="2"/>
  <c r="AM3" i="2"/>
  <c r="AN3" i="2" s="1"/>
  <c r="AD25" i="2"/>
  <c r="AL4" i="2"/>
  <c r="AD64" i="2"/>
  <c r="AO3" i="2"/>
  <c r="AD55" i="2"/>
  <c r="AM4" i="2"/>
  <c r="AL2" i="2"/>
  <c r="AM2" i="2"/>
  <c r="AD3" i="2"/>
  <c r="AO4" i="2"/>
  <c r="AD20" i="2"/>
  <c r="AD29" i="2"/>
  <c r="AD72" i="2"/>
  <c r="AL6" i="2"/>
  <c r="AO2" i="2"/>
  <c r="AO9" i="2" s="1"/>
  <c r="AM6" i="2"/>
  <c r="AN6" i="2" s="1"/>
  <c r="AO6" i="2"/>
  <c r="AS4" i="2" l="1"/>
  <c r="AU4" i="2" s="1"/>
  <c r="AS2" i="2"/>
  <c r="AU2" i="2" s="1"/>
  <c r="AM9" i="2"/>
  <c r="AN2" i="2"/>
  <c r="AL9" i="2"/>
  <c r="AS3" i="2"/>
  <c r="AU3" i="2" s="1"/>
  <c r="AN4" i="2"/>
  <c r="AN9" i="2" l="1"/>
</calcChain>
</file>

<file path=xl/comments1.xml><?xml version="1.0" encoding="utf-8"?>
<comments xmlns="http://schemas.openxmlformats.org/spreadsheetml/2006/main">
  <authors>
    <author>brissons</author>
  </authors>
  <commentList>
    <comment ref="V2" authorId="0" shapeId="0">
      <text>
        <r>
          <rPr>
            <b/>
            <sz val="9"/>
            <color indexed="81"/>
            <rFont val="Tahoma"/>
            <family val="2"/>
          </rPr>
          <t>brissons:</t>
        </r>
        <r>
          <rPr>
            <sz val="9"/>
            <color indexed="81"/>
            <rFont val="Tahoma"/>
            <family val="2"/>
          </rPr>
          <t xml:space="preserve">
ANCIEN LANCES</t>
        </r>
      </text>
    </comment>
  </commentList>
</comments>
</file>

<file path=xl/sharedStrings.xml><?xml version="1.0" encoding="utf-8"?>
<sst xmlns="http://schemas.openxmlformats.org/spreadsheetml/2006/main" count="988" uniqueCount="204">
  <si>
    <t>Costing Report</t>
  </si>
  <si>
    <t>Adjustments (Manual)</t>
  </si>
  <si>
    <t>Adjusted</t>
  </si>
  <si>
    <t>RECAP ADJ.</t>
  </si>
  <si>
    <t>Launched Qty</t>
  </si>
  <si>
    <t>Good Qty</t>
  </si>
  <si>
    <t>Yield (%)</t>
  </si>
  <si>
    <t>WIP Production</t>
  </si>
  <si>
    <t>XLS ATELIER</t>
  </si>
  <si>
    <t>GAP</t>
  </si>
  <si>
    <t>ECART</t>
  </si>
  <si>
    <t>RPL Family</t>
  </si>
  <si>
    <t>Family Description</t>
  </si>
  <si>
    <t>Index</t>
  </si>
  <si>
    <t>VA</t>
  </si>
  <si>
    <t>Design</t>
  </si>
  <si>
    <t>Shipment (Stock Lens)</t>
  </si>
  <si>
    <t xml:space="preserve">Wip Stock </t>
  </si>
  <si>
    <t>Commentaires</t>
  </si>
  <si>
    <t>Colonne1</t>
  </si>
  <si>
    <t>DIAM</t>
  </si>
  <si>
    <t>LIAISON RPL</t>
  </si>
  <si>
    <t>CAT</t>
  </si>
  <si>
    <t>CLIENT</t>
  </si>
  <si>
    <t>SECTION</t>
  </si>
  <si>
    <t>PRIX</t>
  </si>
  <si>
    <t>TOTAL HI FSV</t>
  </si>
  <si>
    <t>1,6 FSV/BCT</t>
  </si>
  <si>
    <t>3518100650719EF</t>
  </si>
  <si>
    <t>SAPPHIR LAGOON</t>
  </si>
  <si>
    <t>1.6</t>
  </si>
  <si>
    <t>HMC</t>
  </si>
  <si>
    <t>FSV</t>
  </si>
  <si>
    <t>1,6 FSV</t>
  </si>
  <si>
    <t>1,67 FSV</t>
  </si>
  <si>
    <t>3518100750719EF</t>
  </si>
  <si>
    <t>PCF</t>
  </si>
  <si>
    <t>3524100650237EF</t>
  </si>
  <si>
    <t>CRIZAL ALIZE</t>
  </si>
  <si>
    <t>CHALON</t>
  </si>
  <si>
    <t>BCT</t>
  </si>
  <si>
    <t>3524100650640EF</t>
  </si>
  <si>
    <t>ROCK GREEN</t>
  </si>
  <si>
    <t>TITANIUM</t>
  </si>
  <si>
    <t>TOTAL PC</t>
  </si>
  <si>
    <t>3524100650675EF</t>
  </si>
  <si>
    <t>CRIZAL FORTE UV35</t>
  </si>
  <si>
    <t>352410065067600</t>
  </si>
  <si>
    <t>PREVENCIA NON OFG</t>
  </si>
  <si>
    <t>EOLP</t>
  </si>
  <si>
    <t>F41D</t>
  </si>
  <si>
    <t>PCSF</t>
  </si>
  <si>
    <t>3524100650676EF</t>
  </si>
  <si>
    <t>CRIZAL PREVENCIA UV35</t>
  </si>
  <si>
    <t>HI +PC</t>
  </si>
  <si>
    <t>3524100650719EF</t>
  </si>
  <si>
    <t>3524100650876EF</t>
  </si>
  <si>
    <t>FSV SAPPHIRE HR BLUE 65 OFG</t>
  </si>
  <si>
    <t>352410075000000</t>
  </si>
  <si>
    <t>SPH NU</t>
  </si>
  <si>
    <t>UNC</t>
  </si>
  <si>
    <t>3524100750237EF</t>
  </si>
  <si>
    <t>3524100750640EF</t>
  </si>
  <si>
    <t>3524100750675EF</t>
  </si>
  <si>
    <t>352410075067600</t>
  </si>
  <si>
    <t>3524100750676EF</t>
  </si>
  <si>
    <t>3524100750719EF</t>
  </si>
  <si>
    <t>3524100750876EF</t>
  </si>
  <si>
    <t>FSV SAPPHIRE HR BLUE 75 OFG</t>
  </si>
  <si>
    <t>3524942650640EF</t>
  </si>
  <si>
    <t>BCT OXA ROCK</t>
  </si>
  <si>
    <t>TITANIUM OXA BCT</t>
  </si>
  <si>
    <t>3524942650667EF</t>
  </si>
  <si>
    <t>BCT OXA ALIZEE</t>
  </si>
  <si>
    <t>BCT OXA</t>
  </si>
  <si>
    <t>F41DBCT</t>
  </si>
  <si>
    <t>3524942650876EF</t>
  </si>
  <si>
    <t>FSV BCT OXA SAPPHIRE HR D65 OFG</t>
  </si>
  <si>
    <t>352494275000000</t>
  </si>
  <si>
    <t>3524942750640EF</t>
  </si>
  <si>
    <t>3524942750667EF</t>
  </si>
  <si>
    <t>3524942750876EF</t>
  </si>
  <si>
    <t>BCT OXA SAPPHIRE HR</t>
  </si>
  <si>
    <t>3547100550676EF</t>
  </si>
  <si>
    <t>FSV KIDS 55 OFG</t>
  </si>
  <si>
    <t>Poly</t>
  </si>
  <si>
    <t>F79D</t>
  </si>
  <si>
    <t>3547100600676EF</t>
  </si>
  <si>
    <t>FSV KIDS 60 OFG</t>
  </si>
  <si>
    <t>3547100650237EF</t>
  </si>
  <si>
    <t>FSV SPHPC CZ AL+UV EU 65 OFG</t>
  </si>
  <si>
    <t>ZSI3547100650237EFS</t>
  </si>
  <si>
    <t>354710065031400</t>
  </si>
  <si>
    <t>FSV SPH POLY NTPC D65</t>
  </si>
  <si>
    <t>HC</t>
  </si>
  <si>
    <t>354710065060NEF</t>
  </si>
  <si>
    <t>FSV ROCK GREEN 65 OFG</t>
  </si>
  <si>
    <t>3547100650675EF</t>
  </si>
  <si>
    <t>FSV SPH PC CZ D65 FORTE UV35</t>
  </si>
  <si>
    <t>3547100650676EF</t>
  </si>
  <si>
    <t>FSV KIDS 65 OFG</t>
  </si>
  <si>
    <t>3547100650770EF</t>
  </si>
  <si>
    <t>SAPPHIR LAGOON D65</t>
  </si>
  <si>
    <t>354710065087NEF</t>
  </si>
  <si>
    <t>3547100700237EF</t>
  </si>
  <si>
    <t>FSV SPH PC CZ AL+UV EU 70 OFG</t>
  </si>
  <si>
    <t>ZSI3547100700237EFS</t>
  </si>
  <si>
    <t>354710070031401</t>
  </si>
  <si>
    <t>FSV SPH PC 70 HC NTPC EP</t>
  </si>
  <si>
    <t>354710070060NEF</t>
  </si>
  <si>
    <t>FSV ROCK GREEN 70 OFG</t>
  </si>
  <si>
    <t>3547100700675EF</t>
  </si>
  <si>
    <t>FSV SPH PC CZ D70 FORTE UV35</t>
  </si>
  <si>
    <t>3547100700770EF</t>
  </si>
  <si>
    <t>SAPPHIR LAGOON D70</t>
  </si>
  <si>
    <t>354710070087NEF</t>
  </si>
  <si>
    <t>FSV SAPPHIRE HR BLUE 70 OFG</t>
  </si>
  <si>
    <t>3555100650719EF</t>
  </si>
  <si>
    <t>1.67</t>
  </si>
  <si>
    <t>3555100750719EF</t>
  </si>
  <si>
    <t>3555100800719EF</t>
  </si>
  <si>
    <t>3561100650237EF</t>
  </si>
  <si>
    <t>F42D</t>
  </si>
  <si>
    <t>3561100650640EF</t>
  </si>
  <si>
    <t>3561100650675EF</t>
  </si>
  <si>
    <t>3561100650719EF</t>
  </si>
  <si>
    <t>3561100650876EF</t>
  </si>
  <si>
    <t>3561100700237EF</t>
  </si>
  <si>
    <t>3561100700640EF</t>
  </si>
  <si>
    <t>3561100700675EF</t>
  </si>
  <si>
    <t>3561100700719EF</t>
  </si>
  <si>
    <t>3561100700876EF</t>
  </si>
  <si>
    <t>356110075000000</t>
  </si>
  <si>
    <t>3561100750237EF</t>
  </si>
  <si>
    <t>3561100750640EF</t>
  </si>
  <si>
    <t>3561100750675EF</t>
  </si>
  <si>
    <t>3561100750719EF</t>
  </si>
  <si>
    <t>3561100750876EF</t>
  </si>
  <si>
    <t>3T24100650667EF</t>
  </si>
  <si>
    <t>CRIZAL ALIZE BCT</t>
  </si>
  <si>
    <t>3T2410065071900</t>
  </si>
  <si>
    <t>SAPPHIRE BCT EOLP</t>
  </si>
  <si>
    <t>3T24100650719EF</t>
  </si>
  <si>
    <t>SAPPHIR LAGOON BCT</t>
  </si>
  <si>
    <t>BCT NEXT GEN</t>
  </si>
  <si>
    <t>3T24100650A2EB1</t>
  </si>
  <si>
    <t>MC5 BCT EOLP</t>
  </si>
  <si>
    <t>3T24100650A2EK1</t>
  </si>
  <si>
    <t>MC5 BCT-NIKON</t>
  </si>
  <si>
    <t>3T24100750667EF</t>
  </si>
  <si>
    <t>3T2410075071900</t>
  </si>
  <si>
    <t>3T24100750719EF</t>
  </si>
  <si>
    <t>3T24100750A2EB1</t>
  </si>
  <si>
    <t>3T24100750A2EK1</t>
  </si>
  <si>
    <t>547410081200000</t>
  </si>
  <si>
    <t>SF GX PC 80 UNCOAT</t>
  </si>
  <si>
    <t>SFPAL</t>
  </si>
  <si>
    <t>ZSZ5474100812000C02U</t>
  </si>
  <si>
    <t>US</t>
  </si>
  <si>
    <t>F73D</t>
  </si>
  <si>
    <t>547410081231401</t>
  </si>
  <si>
    <t>SF GX PC 80 NTPC</t>
  </si>
  <si>
    <t>ZSZ5474100812314C02U</t>
  </si>
  <si>
    <t>ESSILOR /PROVINS</t>
  </si>
  <si>
    <t>F67D</t>
  </si>
  <si>
    <t>548410081200000</t>
  </si>
  <si>
    <t>SF ROCKY PC 80 UNCOAT</t>
  </si>
  <si>
    <t>ZSZ5484100812000C02U</t>
  </si>
  <si>
    <t>548410081231400</t>
  </si>
  <si>
    <t>SF ROCKY PC 80 NTPC</t>
  </si>
  <si>
    <t>ZSZ5484100812314C02U</t>
  </si>
  <si>
    <t>554410076000000</t>
  </si>
  <si>
    <t>SFSV ASPH PC 76 UNCOAT</t>
  </si>
  <si>
    <t>SFSV</t>
  </si>
  <si>
    <t>ZSZ5544100760000C02U</t>
  </si>
  <si>
    <t>UNCOAT TS DESTINATAIRE</t>
  </si>
  <si>
    <t>F70D</t>
  </si>
  <si>
    <t>554410076031400</t>
  </si>
  <si>
    <t>SFSV ASPH PC 76 NTPC AIRWEAR</t>
  </si>
  <si>
    <t>ZSZ5544100760314C02U</t>
  </si>
  <si>
    <t>554710076000000</t>
  </si>
  <si>
    <t>SFSV SPH PC 76 UNCOAT</t>
  </si>
  <si>
    <t>ZSZ5547100760000C02U</t>
  </si>
  <si>
    <t>554710076031400</t>
  </si>
  <si>
    <t>SFSV SPH PC 76 NTPC AIRWEAR</t>
  </si>
  <si>
    <t>ZSZ5547100760314C02U</t>
  </si>
  <si>
    <t>5673100802314B1</t>
  </si>
  <si>
    <t>SF SNL6 PC 80 NTPC</t>
  </si>
  <si>
    <t>ZSZ5673100802314B02U</t>
  </si>
  <si>
    <t>580410080231400</t>
  </si>
  <si>
    <t>SF CONDE PC 80 NTPC</t>
  </si>
  <si>
    <t>ZSZ5804100802314B02U</t>
  </si>
  <si>
    <t>580910080231400</t>
  </si>
  <si>
    <t>SF OVATION PC 80 NTPC</t>
  </si>
  <si>
    <t>ZSZ5809OVA803140C02U</t>
  </si>
  <si>
    <t>TOTAL</t>
  </si>
  <si>
    <t>Étiquettes de lignes</t>
  </si>
  <si>
    <t>Total général</t>
  </si>
  <si>
    <t>65</t>
  </si>
  <si>
    <t>75</t>
  </si>
  <si>
    <t>Somme de Launched Qty</t>
  </si>
  <si>
    <t>Somme de Good Qty</t>
  </si>
  <si>
    <t>Somme de WIP Production</t>
  </si>
  <si>
    <t>Somme de Yield (%)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</si>
</sst>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3">
    <numFmt numFmtId="164" formatCode="_-* #,##0\ _F_-;\-* #,##0\ _F_-;_-* &quot;-&quot;??\ _F_-;_-@_-"/>
    <numFmt numFmtId="165" formatCode="_-* #,##0.00\ _F_-;\-* #,##0.00\ _F_-;_-* &quot;-&quot;??\ _F_-;_-@_-"/>
    <numFmt numFmtId="166" formatCode="[$-10409]0.00%"/>
  </numFmts>
  <fonts count="16" x14ac:knownFonts="1">
    <font>
      <sz val="11"/>
      <color theme="1"/>
      <name val="Calibri"/>
      <family val="2"/>
      <scheme val="minor"/>
    </font>
    <font>
      <sz val="8"/>
      <color rgb="FF000000"/>
      <name val="Arial"/>
      <family val="2"/>
    </font>
    <font>
      <sz val="10"/>
      <name val="Arial"/>
    </font>
    <font>
      <sz val="10"/>
      <name val="Arial"/>
      <family val="2"/>
    </font>
    <font>
      <b/>
      <sz val="8"/>
      <color rgb="FFFFFFFF"/>
      <name val="Arial"/>
      <family val="2"/>
    </font>
    <font>
      <b/>
      <sz val="9"/>
      <color rgb="FFFFFFFF"/>
      <name val="Arial"/>
      <family val="2"/>
    </font>
    <font>
      <sz val="11"/>
      <name val="Calibri"/>
      <family val="2"/>
    </font>
    <font>
      <b/>
      <sz val="8"/>
      <color rgb="FF000000"/>
      <name val="Arial"/>
      <family val="2"/>
    </font>
    <font>
      <sz val="10"/>
      <color theme="8"/>
      <name val="Arial"/>
      <family val="2"/>
    </font>
    <font>
      <sz val="18"/>
      <color theme="8"/>
      <name val="Arial"/>
      <family val="2"/>
    </font>
    <font>
      <sz val="8"/>
      <color rgb="FFFF0000"/>
      <name val="Arial"/>
      <family val="2"/>
    </font>
    <font>
      <b/>
      <sz val="8"/>
      <color rgb="FFFF0000"/>
      <name val="Arial"/>
      <family val="2"/>
    </font>
    <font>
      <b/>
      <sz val="9"/>
      <color rgb="FFFF0000"/>
      <name val="Arial"/>
      <family val="2"/>
    </font>
    <font>
      <b/>
      <sz val="10"/>
      <color theme="8"/>
      <name val="Arial"/>
      <family val="2"/>
    </font>
    <font>
      <b/>
      <sz val="9"/>
      <color indexed="81"/>
      <name val="Tahoma"/>
      <family val="2"/>
    </font>
    <font>
      <sz val="9"/>
      <color indexed="81"/>
      <name val="Tahoma"/>
      <family val="2"/>
    </font>
  </fonts>
  <fills count="12">
    <fill>
      <patternFill patternType="none"/>
    </fill>
    <fill>
      <patternFill patternType="gray125"/>
    </fill>
    <fill>
      <patternFill patternType="solid">
        <fgColor theme="2"/>
        <bgColor indexed="64"/>
      </patternFill>
    </fill>
    <fill>
      <patternFill patternType="solid">
        <fgColor rgb="FF00B050"/>
        <bgColor rgb="FF4682B4"/>
      </patternFill>
    </fill>
    <fill>
      <patternFill patternType="solid">
        <fgColor theme="1"/>
        <bgColor rgb="FF4682B4"/>
      </patternFill>
    </fill>
    <fill>
      <patternFill patternType="solid">
        <fgColor rgb="FF00B0F0"/>
        <bgColor rgb="FF4682B4"/>
      </patternFill>
    </fill>
    <fill>
      <patternFill patternType="solid">
        <fgColor rgb="FF4682B4"/>
        <bgColor rgb="FF4682B4"/>
      </patternFill>
    </fill>
    <fill>
      <patternFill patternType="solid">
        <fgColor rgb="FF00B0F0"/>
        <bgColor indexed="64"/>
      </patternFill>
    </fill>
    <fill>
      <patternFill patternType="solid">
        <fgColor theme="9" tint="0.39997558519241921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theme="8" tint="0.59999389629810485"/>
        <bgColor indexed="64"/>
      </patternFill>
    </fill>
    <fill>
      <patternFill patternType="solid">
        <fgColor rgb="FFFF0000"/>
        <bgColor indexed="64"/>
      </patternFill>
    </fill>
  </fills>
  <borders count="30">
    <border>
      <left/>
      <right/>
      <top/>
      <bottom/>
      <diagonal/>
    </border>
    <border>
      <left/>
      <right/>
      <top/>
      <bottom style="thin">
        <color rgb="FFD3D3D3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rgb="FFD3D3D3"/>
      </left>
      <right style="thin">
        <color rgb="FFD3D3D3"/>
      </right>
      <top style="thin">
        <color rgb="FFD3D3D3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rgb="FFD3D3D3"/>
      </left>
      <right style="thin">
        <color rgb="FFD3D3D3"/>
      </right>
      <top style="thin">
        <color rgb="FFD3D3D3"/>
      </top>
      <bottom style="thin">
        <color rgb="FFD3D3D3"/>
      </bottom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rgb="FFD3D3D3"/>
      </left>
      <right style="thin">
        <color rgb="FFD3D3D3"/>
      </right>
      <top/>
      <bottom style="thin">
        <color rgb="FFD3D3D3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rgb="FFD3D3D3"/>
      </right>
      <top style="thin">
        <color indexed="64"/>
      </top>
      <bottom style="thin">
        <color indexed="64"/>
      </bottom>
      <diagonal/>
    </border>
    <border>
      <left style="thin">
        <color rgb="FFD3D3D3"/>
      </left>
      <right style="thin">
        <color rgb="FFD3D3D3"/>
      </right>
      <top style="thin">
        <color indexed="64"/>
      </top>
      <bottom style="thin">
        <color indexed="64"/>
      </bottom>
      <diagonal/>
    </border>
    <border>
      <left style="thin">
        <color rgb="FFD3D3D3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 style="thin">
        <color rgb="FFD3D3D3"/>
      </bottom>
      <diagonal/>
    </border>
    <border>
      <left style="thin">
        <color indexed="64"/>
      </left>
      <right style="thin">
        <color indexed="64"/>
      </right>
      <top/>
      <bottom style="thin">
        <color rgb="FFD3D3D3"/>
      </bottom>
      <diagonal/>
    </border>
    <border>
      <left/>
      <right style="thin">
        <color rgb="FFD3D3D3"/>
      </right>
      <top/>
      <bottom style="thin">
        <color rgb="FFD3D3D3"/>
      </bottom>
      <diagonal/>
    </border>
    <border>
      <left style="thin">
        <color rgb="FFD3D3D3"/>
      </left>
      <right style="thin">
        <color indexed="64"/>
      </right>
      <top/>
      <bottom style="thin">
        <color rgb="FFD3D3D3"/>
      </bottom>
      <diagonal/>
    </border>
    <border>
      <left style="thin">
        <color indexed="64"/>
      </left>
      <right/>
      <top style="thin">
        <color rgb="FFD3D3D3"/>
      </top>
      <bottom style="thin">
        <color rgb="FFD3D3D3"/>
      </bottom>
      <diagonal/>
    </border>
    <border>
      <left style="thin">
        <color indexed="64"/>
      </left>
      <right style="thin">
        <color indexed="64"/>
      </right>
      <top style="thin">
        <color rgb="FFD3D3D3"/>
      </top>
      <bottom style="thin">
        <color rgb="FFD3D3D3"/>
      </bottom>
      <diagonal/>
    </border>
    <border>
      <left/>
      <right style="thin">
        <color rgb="FFD3D3D3"/>
      </right>
      <top style="thin">
        <color rgb="FFD3D3D3"/>
      </top>
      <bottom style="thin">
        <color rgb="FFD3D3D3"/>
      </bottom>
      <diagonal/>
    </border>
    <border>
      <left style="thin">
        <color rgb="FFD3D3D3"/>
      </left>
      <right style="thin">
        <color indexed="64"/>
      </right>
      <top style="thin">
        <color rgb="FFD3D3D3"/>
      </top>
      <bottom style="thin">
        <color rgb="FFD3D3D3"/>
      </bottom>
      <diagonal/>
    </border>
    <border>
      <left style="thin">
        <color indexed="64"/>
      </left>
      <right/>
      <top style="thin">
        <color rgb="FFD3D3D3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rgb="FFD3D3D3"/>
      </right>
      <top style="thin">
        <color rgb="FFD3D3D3"/>
      </top>
      <bottom style="thin">
        <color indexed="64"/>
      </bottom>
      <diagonal/>
    </border>
    <border>
      <left style="thin">
        <color rgb="FFD3D3D3"/>
      </left>
      <right style="thin">
        <color rgb="FFD3D3D3"/>
      </right>
      <top style="thin">
        <color rgb="FFD3D3D3"/>
      </top>
      <bottom style="thin">
        <color indexed="64"/>
      </bottom>
      <diagonal/>
    </border>
    <border>
      <left style="thin">
        <color rgb="FFD3D3D3"/>
      </left>
      <right style="thin">
        <color indexed="64"/>
      </right>
      <top style="thin">
        <color rgb="FFD3D3D3"/>
      </top>
      <bottom style="thin">
        <color indexed="64"/>
      </bottom>
      <diagonal/>
    </border>
    <border>
      <left style="thin">
        <color indexed="64"/>
      </left>
      <right/>
      <top style="thin">
        <color rgb="FFD3D3D3"/>
      </top>
      <bottom/>
      <diagonal/>
    </border>
    <border>
      <left style="thin">
        <color indexed="64"/>
      </left>
      <right style="thin">
        <color indexed="64"/>
      </right>
      <top style="thin">
        <color rgb="FFD3D3D3"/>
      </top>
      <bottom/>
      <diagonal/>
    </border>
    <border>
      <left/>
      <right style="thin">
        <color rgb="FFD3D3D3"/>
      </right>
      <top style="thin">
        <color rgb="FFD3D3D3"/>
      </top>
      <bottom/>
      <diagonal/>
    </border>
    <border>
      <left style="thin">
        <color rgb="FFD3D3D3"/>
      </left>
      <right style="thin">
        <color indexed="64"/>
      </right>
      <top style="thin">
        <color rgb="FFD3D3D3"/>
      </top>
      <bottom/>
      <diagonal/>
    </border>
  </borders>
  <cellStyleXfs count="4">
    <xf numFmtId="0" fontId="0" fillId="0" borderId="0"/>
    <xf numFmtId="0" fontId="2" fillId="0" borderId="0"/>
    <xf numFmtId="9" fontId="3" fillId="0" borderId="0" applyFont="0" applyFill="0" applyBorder="0" applyAlignment="0" applyProtection="0"/>
    <xf numFmtId="165" fontId="3" fillId="0" borderId="0" applyFont="0" applyFill="0" applyBorder="0" applyAlignment="0" applyProtection="0"/>
  </cellStyleXfs>
  <cellXfs count="96">
    <xf numFmtId="0" fontId="0" fillId="0" borderId="0" xfId="0"/>
    <xf numFmtId="0" fontId="3" fillId="2" borderId="1" xfId="1" applyFont="1" applyFill="1" applyBorder="1" applyAlignment="1">
      <alignment horizontal="center" vertical="center"/>
    </xf>
    <xf numFmtId="0" fontId="2" fillId="0" borderId="0" xfId="1"/>
    <xf numFmtId="3" fontId="4" fillId="3" borderId="2" xfId="1" applyNumberFormat="1" applyFont="1" applyFill="1" applyBorder="1" applyAlignment="1">
      <alignment horizontal="center" vertical="top" wrapText="1" readingOrder="1"/>
    </xf>
    <xf numFmtId="0" fontId="3" fillId="2" borderId="0" xfId="1" applyFont="1" applyFill="1" applyBorder="1" applyAlignment="1">
      <alignment horizontal="center"/>
    </xf>
    <xf numFmtId="0" fontId="5" fillId="4" borderId="3" xfId="1" applyNumberFormat="1" applyFont="1" applyFill="1" applyBorder="1" applyAlignment="1">
      <alignment horizontal="left" vertical="center" wrapText="1"/>
    </xf>
    <xf numFmtId="0" fontId="6" fillId="0" borderId="0" xfId="1" applyFont="1" applyFill="1" applyBorder="1" applyAlignment="1">
      <alignment horizontal="left"/>
    </xf>
    <xf numFmtId="3" fontId="4" fillId="5" borderId="3" xfId="1" applyNumberFormat="1" applyFont="1" applyFill="1" applyBorder="1" applyAlignment="1">
      <alignment horizontal="center" vertical="center" wrapText="1" readingOrder="1"/>
    </xf>
    <xf numFmtId="10" fontId="4" fillId="5" borderId="3" xfId="2" applyNumberFormat="1" applyFont="1" applyFill="1" applyBorder="1" applyAlignment="1">
      <alignment horizontal="center" vertical="center" wrapText="1" readingOrder="1"/>
    </xf>
    <xf numFmtId="3" fontId="4" fillId="5" borderId="2" xfId="1" applyNumberFormat="1" applyFont="1" applyFill="1" applyBorder="1" applyAlignment="1">
      <alignment horizontal="center" vertical="center" wrapText="1" readingOrder="1"/>
    </xf>
    <xf numFmtId="3" fontId="4" fillId="5" borderId="4" xfId="1" applyNumberFormat="1" applyFont="1" applyFill="1" applyBorder="1" applyAlignment="1">
      <alignment horizontal="center" vertical="center" wrapText="1" readingOrder="1"/>
    </xf>
    <xf numFmtId="0" fontId="4" fillId="6" borderId="5" xfId="1" applyNumberFormat="1" applyFont="1" applyFill="1" applyBorder="1" applyAlignment="1">
      <alignment horizontal="center" vertical="top" wrapText="1" readingOrder="1"/>
    </xf>
    <xf numFmtId="3" fontId="4" fillId="3" borderId="6" xfId="1" applyNumberFormat="1" applyFont="1" applyFill="1" applyBorder="1" applyAlignment="1">
      <alignment horizontal="center" vertical="center" wrapText="1" readingOrder="1"/>
    </xf>
    <xf numFmtId="3" fontId="4" fillId="3" borderId="7" xfId="1" applyNumberFormat="1" applyFont="1" applyFill="1" applyBorder="1" applyAlignment="1">
      <alignment horizontal="center" vertical="center" wrapText="1" readingOrder="1"/>
    </xf>
    <xf numFmtId="3" fontId="4" fillId="3" borderId="0" xfId="1" applyNumberFormat="1" applyFont="1" applyFill="1" applyAlignment="1">
      <alignment horizontal="center" vertical="center" wrapText="1" readingOrder="1"/>
    </xf>
    <xf numFmtId="0" fontId="4" fillId="6" borderId="8" xfId="1" applyNumberFormat="1" applyFont="1" applyFill="1" applyBorder="1" applyAlignment="1">
      <alignment horizontal="center" vertical="center" wrapText="1"/>
    </xf>
    <xf numFmtId="49" fontId="4" fillId="6" borderId="8" xfId="1" applyNumberFormat="1" applyFont="1" applyFill="1" applyBorder="1" applyAlignment="1">
      <alignment horizontal="center" vertical="center" wrapText="1"/>
    </xf>
    <xf numFmtId="0" fontId="4" fillId="6" borderId="5" xfId="1" applyNumberFormat="1" applyFont="1" applyFill="1" applyBorder="1" applyAlignment="1">
      <alignment horizontal="center" vertical="center" wrapText="1"/>
    </xf>
    <xf numFmtId="9" fontId="4" fillId="6" borderId="8" xfId="2" applyFont="1" applyFill="1" applyBorder="1" applyAlignment="1">
      <alignment horizontal="center" vertical="center" wrapText="1"/>
    </xf>
    <xf numFmtId="0" fontId="7" fillId="7" borderId="9" xfId="1" applyNumberFormat="1" applyFont="1" applyFill="1" applyBorder="1" applyAlignment="1">
      <alignment horizontal="center" vertical="center" wrapText="1"/>
    </xf>
    <xf numFmtId="164" fontId="7" fillId="7" borderId="2" xfId="1" applyNumberFormat="1" applyFont="1" applyFill="1" applyBorder="1" applyAlignment="1">
      <alignment horizontal="left" vertical="top" wrapText="1" readingOrder="1"/>
    </xf>
    <xf numFmtId="164" fontId="7" fillId="7" borderId="10" xfId="3" applyNumberFormat="1" applyFont="1" applyFill="1" applyBorder="1" applyAlignment="1">
      <alignment horizontal="center" vertical="center" wrapText="1" readingOrder="1"/>
    </xf>
    <xf numFmtId="164" fontId="7" fillId="7" borderId="11" xfId="3" applyNumberFormat="1" applyFont="1" applyFill="1" applyBorder="1" applyAlignment="1">
      <alignment horizontal="center" vertical="center" wrapText="1" readingOrder="1"/>
    </xf>
    <xf numFmtId="10" fontId="7" fillId="7" borderId="11" xfId="2" applyNumberFormat="1" applyFont="1" applyFill="1" applyBorder="1" applyAlignment="1">
      <alignment horizontal="center" vertical="center" wrapText="1" readingOrder="1"/>
    </xf>
    <xf numFmtId="164" fontId="7" fillId="7" borderId="12" xfId="3" applyNumberFormat="1" applyFont="1" applyFill="1" applyBorder="1" applyAlignment="1">
      <alignment horizontal="center" vertical="center" wrapText="1" readingOrder="1"/>
    </xf>
    <xf numFmtId="164" fontId="7" fillId="8" borderId="2" xfId="1" applyNumberFormat="1" applyFont="1" applyFill="1" applyBorder="1" applyAlignment="1">
      <alignment horizontal="left" vertical="top" wrapText="1" readingOrder="1"/>
    </xf>
    <xf numFmtId="164" fontId="7" fillId="7" borderId="2" xfId="3" applyNumberFormat="1" applyFont="1" applyFill="1" applyBorder="1" applyAlignment="1">
      <alignment horizontal="center" vertical="center" wrapText="1" readingOrder="1"/>
    </xf>
    <xf numFmtId="1" fontId="1" fillId="8" borderId="2" xfId="2" applyNumberFormat="1" applyFont="1" applyFill="1" applyBorder="1" applyAlignment="1">
      <alignment horizontal="center" vertical="center" wrapText="1" readingOrder="1"/>
    </xf>
    <xf numFmtId="0" fontId="1" fillId="0" borderId="5" xfId="1" applyNumberFormat="1" applyFont="1" applyFill="1" applyBorder="1" applyAlignment="1">
      <alignment vertical="top" wrapText="1" readingOrder="1"/>
    </xf>
    <xf numFmtId="0" fontId="1" fillId="0" borderId="5" xfId="1" applyNumberFormat="1" applyFont="1" applyFill="1" applyBorder="1" applyAlignment="1">
      <alignment horizontal="right" vertical="top" wrapText="1" readingOrder="1"/>
    </xf>
    <xf numFmtId="166" fontId="1" fillId="0" borderId="5" xfId="1" applyNumberFormat="1" applyFont="1" applyFill="1" applyBorder="1" applyAlignment="1">
      <alignment horizontal="right" vertical="top" wrapText="1" readingOrder="1"/>
    </xf>
    <xf numFmtId="0" fontId="8" fillId="2" borderId="2" xfId="1" applyFont="1" applyFill="1" applyBorder="1" applyAlignment="1">
      <alignment horizontal="center" vertical="center"/>
    </xf>
    <xf numFmtId="0" fontId="9" fillId="2" borderId="2" xfId="1" applyFont="1" applyFill="1" applyBorder="1" applyAlignment="1">
      <alignment horizontal="center" vertical="center" wrapText="1"/>
    </xf>
    <xf numFmtId="49" fontId="3" fillId="2" borderId="0" xfId="1" applyNumberFormat="1" applyFont="1" applyFill="1" applyAlignment="1">
      <alignment vertical="center"/>
    </xf>
    <xf numFmtId="49" fontId="2" fillId="2" borderId="0" xfId="1" applyNumberFormat="1" applyFill="1" applyAlignment="1">
      <alignment vertical="center"/>
    </xf>
    <xf numFmtId="0" fontId="2" fillId="2" borderId="0" xfId="1" applyFill="1" applyAlignment="1">
      <alignment vertical="center"/>
    </xf>
    <xf numFmtId="0" fontId="2" fillId="2" borderId="0" xfId="1" applyNumberFormat="1" applyFill="1" applyAlignment="1">
      <alignment vertical="center"/>
    </xf>
    <xf numFmtId="166" fontId="2" fillId="2" borderId="0" xfId="1" applyNumberFormat="1" applyFill="1" applyAlignment="1">
      <alignment vertical="center"/>
    </xf>
    <xf numFmtId="3" fontId="2" fillId="2" borderId="0" xfId="1" applyNumberFormat="1" applyFill="1" applyAlignment="1">
      <alignment vertical="center"/>
    </xf>
    <xf numFmtId="9" fontId="3" fillId="2" borderId="0" xfId="2" applyNumberFormat="1" applyFont="1" applyFill="1" applyAlignment="1">
      <alignment vertical="center"/>
    </xf>
    <xf numFmtId="0" fontId="1" fillId="8" borderId="13" xfId="1" applyNumberFormat="1" applyFont="1" applyFill="1" applyBorder="1" applyAlignment="1">
      <alignment horizontal="center" vertical="center" wrapText="1"/>
    </xf>
    <xf numFmtId="164" fontId="7" fillId="8" borderId="14" xfId="1" applyNumberFormat="1" applyFont="1" applyFill="1" applyBorder="1" applyAlignment="1">
      <alignment horizontal="left" vertical="top" wrapText="1" readingOrder="1"/>
    </xf>
    <xf numFmtId="164" fontId="7" fillId="7" borderId="15" xfId="3" applyNumberFormat="1" applyFont="1" applyFill="1" applyBorder="1" applyAlignment="1">
      <alignment horizontal="center" vertical="center" wrapText="1" readingOrder="1"/>
    </xf>
    <xf numFmtId="164" fontId="7" fillId="7" borderId="8" xfId="3" applyNumberFormat="1" applyFont="1" applyFill="1" applyBorder="1" applyAlignment="1">
      <alignment horizontal="center" vertical="center" wrapText="1" readingOrder="1"/>
    </xf>
    <xf numFmtId="10" fontId="1" fillId="8" borderId="8" xfId="2" applyNumberFormat="1" applyFont="1" applyFill="1" applyBorder="1" applyAlignment="1">
      <alignment horizontal="center" vertical="center" wrapText="1" readingOrder="1"/>
    </xf>
    <xf numFmtId="164" fontId="7" fillId="7" borderId="16" xfId="3" applyNumberFormat="1" applyFont="1" applyFill="1" applyBorder="1" applyAlignment="1">
      <alignment horizontal="center" vertical="center" wrapText="1" readingOrder="1"/>
    </xf>
    <xf numFmtId="0" fontId="8" fillId="2" borderId="2" xfId="1" applyFont="1" applyFill="1" applyBorder="1" applyAlignment="1">
      <alignment horizontal="center" vertical="center" wrapText="1"/>
    </xf>
    <xf numFmtId="0" fontId="1" fillId="8" borderId="17" xfId="1" applyNumberFormat="1" applyFont="1" applyFill="1" applyBorder="1" applyAlignment="1">
      <alignment horizontal="center" vertical="center" wrapText="1"/>
    </xf>
    <xf numFmtId="164" fontId="7" fillId="8" borderId="18" xfId="1" applyNumberFormat="1" applyFont="1" applyFill="1" applyBorder="1" applyAlignment="1">
      <alignment horizontal="left" vertical="top" wrapText="1" readingOrder="1"/>
    </xf>
    <xf numFmtId="164" fontId="7" fillId="7" borderId="19" xfId="3" applyNumberFormat="1" applyFont="1" applyFill="1" applyBorder="1" applyAlignment="1">
      <alignment horizontal="center" vertical="center" wrapText="1" readingOrder="1"/>
    </xf>
    <xf numFmtId="164" fontId="7" fillId="7" borderId="5" xfId="3" applyNumberFormat="1" applyFont="1" applyFill="1" applyBorder="1" applyAlignment="1">
      <alignment horizontal="center" vertical="center" wrapText="1" readingOrder="1"/>
    </xf>
    <xf numFmtId="10" fontId="1" fillId="8" borderId="5" xfId="2" applyNumberFormat="1" applyFont="1" applyFill="1" applyBorder="1" applyAlignment="1">
      <alignment horizontal="center" vertical="center" wrapText="1" readingOrder="1"/>
    </xf>
    <xf numFmtId="164" fontId="7" fillId="7" borderId="20" xfId="3" applyNumberFormat="1" applyFont="1" applyFill="1" applyBorder="1" applyAlignment="1">
      <alignment horizontal="center" vertical="center" wrapText="1" readingOrder="1"/>
    </xf>
    <xf numFmtId="1" fontId="10" fillId="8" borderId="2" xfId="2" applyNumberFormat="1" applyFont="1" applyFill="1" applyBorder="1" applyAlignment="1">
      <alignment horizontal="center" vertical="center" wrapText="1" readingOrder="1"/>
    </xf>
    <xf numFmtId="164" fontId="11" fillId="7" borderId="2" xfId="3" applyNumberFormat="1" applyFont="1" applyFill="1" applyBorder="1" applyAlignment="1">
      <alignment horizontal="center" vertical="center" wrapText="1" readingOrder="1"/>
    </xf>
    <xf numFmtId="164" fontId="11" fillId="9" borderId="2" xfId="3" applyNumberFormat="1" applyFont="1" applyFill="1" applyBorder="1" applyAlignment="1">
      <alignment horizontal="center" vertical="center" wrapText="1" readingOrder="1"/>
    </xf>
    <xf numFmtId="0" fontId="1" fillId="8" borderId="21" xfId="1" applyNumberFormat="1" applyFont="1" applyFill="1" applyBorder="1" applyAlignment="1">
      <alignment horizontal="center" vertical="center" wrapText="1"/>
    </xf>
    <xf numFmtId="164" fontId="7" fillId="8" borderId="22" xfId="1" applyNumberFormat="1" applyFont="1" applyFill="1" applyBorder="1" applyAlignment="1">
      <alignment horizontal="left" vertical="top" wrapText="1" readingOrder="1"/>
    </xf>
    <xf numFmtId="164" fontId="7" fillId="7" borderId="23" xfId="3" applyNumberFormat="1" applyFont="1" applyFill="1" applyBorder="1" applyAlignment="1">
      <alignment horizontal="center" vertical="center" wrapText="1" readingOrder="1"/>
    </xf>
    <xf numFmtId="164" fontId="7" fillId="7" borderId="24" xfId="3" applyNumberFormat="1" applyFont="1" applyFill="1" applyBorder="1" applyAlignment="1">
      <alignment horizontal="center" vertical="center" wrapText="1" readingOrder="1"/>
    </xf>
    <xf numFmtId="10" fontId="1" fillId="8" borderId="24" xfId="2" applyNumberFormat="1" applyFont="1" applyFill="1" applyBorder="1" applyAlignment="1">
      <alignment horizontal="center" vertical="center" wrapText="1" readingOrder="1"/>
    </xf>
    <xf numFmtId="164" fontId="7" fillId="7" borderId="25" xfId="3" applyNumberFormat="1" applyFont="1" applyFill="1" applyBorder="1" applyAlignment="1">
      <alignment horizontal="center" vertical="center" wrapText="1" readingOrder="1"/>
    </xf>
    <xf numFmtId="164" fontId="11" fillId="9" borderId="16" xfId="3" applyNumberFormat="1" applyFont="1" applyFill="1" applyBorder="1" applyAlignment="1">
      <alignment horizontal="center" vertical="center" wrapText="1" readingOrder="1"/>
    </xf>
    <xf numFmtId="0" fontId="1" fillId="8" borderId="26" xfId="1" applyNumberFormat="1" applyFont="1" applyFill="1" applyBorder="1" applyAlignment="1">
      <alignment horizontal="center" vertical="center" wrapText="1"/>
    </xf>
    <xf numFmtId="164" fontId="7" fillId="8" borderId="27" xfId="1" applyNumberFormat="1" applyFont="1" applyFill="1" applyBorder="1" applyAlignment="1">
      <alignment horizontal="left" vertical="top" wrapText="1" readingOrder="1"/>
    </xf>
    <xf numFmtId="164" fontId="7" fillId="7" borderId="28" xfId="3" applyNumberFormat="1" applyFont="1" applyFill="1" applyBorder="1" applyAlignment="1">
      <alignment horizontal="center" vertical="center" wrapText="1" readingOrder="1"/>
    </xf>
    <xf numFmtId="164" fontId="7" fillId="7" borderId="3" xfId="3" applyNumberFormat="1" applyFont="1" applyFill="1" applyBorder="1" applyAlignment="1">
      <alignment horizontal="center" vertical="center" wrapText="1" readingOrder="1"/>
    </xf>
    <xf numFmtId="10" fontId="1" fillId="8" borderId="3" xfId="2" applyNumberFormat="1" applyFont="1" applyFill="1" applyBorder="1" applyAlignment="1">
      <alignment horizontal="center" vertical="center" wrapText="1" readingOrder="1"/>
    </xf>
    <xf numFmtId="164" fontId="7" fillId="7" borderId="29" xfId="3" applyNumberFormat="1" applyFont="1" applyFill="1" applyBorder="1" applyAlignment="1">
      <alignment horizontal="center" vertical="center" wrapText="1" readingOrder="1"/>
    </xf>
    <xf numFmtId="0" fontId="12" fillId="10" borderId="9" xfId="1" applyNumberFormat="1" applyFont="1" applyFill="1" applyBorder="1" applyAlignment="1">
      <alignment horizontal="center" vertical="center" wrapText="1"/>
    </xf>
    <xf numFmtId="164" fontId="12" fillId="10" borderId="2" xfId="1" applyNumberFormat="1" applyFont="1" applyFill="1" applyBorder="1" applyAlignment="1">
      <alignment horizontal="left" vertical="top" wrapText="1" readingOrder="1"/>
    </xf>
    <xf numFmtId="164" fontId="12" fillId="10" borderId="10" xfId="3" applyNumberFormat="1" applyFont="1" applyFill="1" applyBorder="1" applyAlignment="1">
      <alignment horizontal="center" vertical="center" wrapText="1" readingOrder="1"/>
    </xf>
    <xf numFmtId="164" fontId="12" fillId="10" borderId="11" xfId="3" applyNumberFormat="1" applyFont="1" applyFill="1" applyBorder="1" applyAlignment="1">
      <alignment horizontal="center" vertical="center" wrapText="1" readingOrder="1"/>
    </xf>
    <xf numFmtId="9" fontId="12" fillId="10" borderId="11" xfId="2" applyFont="1" applyFill="1" applyBorder="1" applyAlignment="1">
      <alignment horizontal="center" vertical="center" wrapText="1" readingOrder="1"/>
    </xf>
    <xf numFmtId="164" fontId="12" fillId="10" borderId="12" xfId="3" applyNumberFormat="1" applyFont="1" applyFill="1" applyBorder="1" applyAlignment="1">
      <alignment horizontal="center" vertical="center" wrapText="1" readingOrder="1"/>
    </xf>
    <xf numFmtId="164" fontId="2" fillId="0" borderId="0" xfId="1" applyNumberFormat="1"/>
    <xf numFmtId="0" fontId="3" fillId="0" borderId="0" xfId="1" applyFont="1"/>
    <xf numFmtId="0" fontId="1" fillId="9" borderId="5" xfId="1" applyNumberFormat="1" applyFont="1" applyFill="1" applyBorder="1" applyAlignment="1">
      <alignment horizontal="right" vertical="top" wrapText="1" readingOrder="1"/>
    </xf>
    <xf numFmtId="0" fontId="8" fillId="9" borderId="2" xfId="1" applyFont="1" applyFill="1" applyBorder="1" applyAlignment="1">
      <alignment horizontal="center" vertical="center"/>
    </xf>
    <xf numFmtId="3" fontId="2" fillId="11" borderId="0" xfId="1" applyNumberFormat="1" applyFill="1" applyAlignment="1">
      <alignment vertical="center"/>
    </xf>
    <xf numFmtId="0" fontId="13" fillId="2" borderId="2" xfId="1" applyNumberFormat="1" applyFont="1" applyFill="1" applyBorder="1" applyAlignment="1">
      <alignment horizontal="center" vertical="center"/>
    </xf>
    <xf numFmtId="0" fontId="13" fillId="2" borderId="2" xfId="1" applyFont="1" applyFill="1" applyBorder="1" applyAlignment="1">
      <alignment horizontal="center" vertical="center"/>
    </xf>
    <xf numFmtId="0" fontId="13" fillId="9" borderId="2" xfId="1" applyFont="1" applyFill="1" applyBorder="1" applyAlignment="1">
      <alignment horizontal="center" vertical="center"/>
    </xf>
    <xf numFmtId="0" fontId="8" fillId="2" borderId="2" xfId="1" applyNumberFormat="1" applyFont="1" applyFill="1" applyBorder="1" applyAlignment="1">
      <alignment horizontal="center" vertical="center"/>
    </xf>
    <xf numFmtId="0" fontId="3" fillId="2" borderId="0" xfId="1" applyFont="1" applyFill="1" applyAlignment="1">
      <alignment horizontal="center" vertical="center"/>
    </xf>
    <xf numFmtId="9" fontId="3" fillId="2" borderId="0" xfId="1" applyNumberFormat="1" applyFont="1" applyFill="1" applyAlignment="1">
      <alignment vertical="center"/>
    </xf>
    <xf numFmtId="0" fontId="3" fillId="0" borderId="0" xfId="1" applyFont="1" applyAlignment="1">
      <alignment wrapText="1"/>
    </xf>
    <xf numFmtId="0" fontId="2" fillId="0" borderId="0" xfId="1" applyAlignment="1">
      <alignment vertical="center"/>
    </xf>
    <xf numFmtId="49" fontId="2" fillId="0" borderId="0" xfId="1" applyNumberFormat="1" applyAlignment="1">
      <alignment vertical="center"/>
    </xf>
    <xf numFmtId="9" fontId="0" fillId="0" borderId="0" xfId="2" applyFont="1" applyAlignment="1">
      <alignment vertical="center"/>
    </xf>
    <xf numFmtId="0" fontId="0" fillId="0" borderId="0" xfId="0" pivotButton="1"/>
    <xf numFmtId="0" fontId="0" fillId="0" borderId="0" xfId="0" applyAlignment="1">
      <alignment horizontal="left"/>
    </xf>
    <xf numFmtId="0" fontId="0" fillId="0" borderId="0" xfId="0" applyAlignment="1">
      <alignment horizontal="left" indent="1"/>
    </xf>
    <xf numFmtId="0" fontId="0" fillId="0" borderId="0" xfId="0" applyAlignment="1">
      <alignment horizontal="left" indent="2"/>
    </xf>
    <xf numFmtId="0" fontId="0" fillId="0" borderId="0" xfId="0" applyNumberFormat="1"/>
    <xf numFmtId="0" fontId="0" fillId="11" borderId="0" xfId="0" applyNumberFormat="1" applyFill="1"/>
  </cellXfs>
  <cellStyles count="4">
    <cellStyle name="Milliers 2" xfId="3"/>
    <cellStyle name="Normal" xfId="0" builtinId="0"/>
    <cellStyle name="Normal 2" xfId="1"/>
    <cellStyle name="Pourcentage 2" xfId="2"/>
  </cellStyles>
  <dxfs count="165">
    <dxf>
      <fill>
        <patternFill patternType="solid">
          <bgColor rgb="FFFF0000"/>
        </patternFill>
      </fill>
    </dxf>
    <dxf>
      <fill>
        <patternFill patternType="solid">
          <bgColor rgb="FFFF0000"/>
        </patternFill>
      </fill>
    </dxf>
    <dxf>
      <fill>
        <patternFill patternType="solid">
          <bgColor rgb="FFFF0000"/>
        </patternFill>
      </fill>
    </dxf>
    <dxf>
      <fill>
        <patternFill patternType="solid">
          <bgColor rgb="FFFF0000"/>
        </patternFill>
      </fill>
    </dxf>
    <dxf>
      <fill>
        <patternFill patternType="solid">
          <bgColor rgb="FFFF0000"/>
        </patternFill>
      </fill>
    </dxf>
    <dxf>
      <fill>
        <patternFill patternType="solid">
          <bgColor rgb="FFFF0000"/>
        </patternFill>
      </fill>
    </dxf>
    <dxf>
      <fill>
        <patternFill patternType="solid">
          <bgColor rgb="FFFF0000"/>
        </patternFill>
      </fill>
    </dxf>
    <dxf>
      <fill>
        <patternFill patternType="solid">
          <bgColor rgb="FFFF0000"/>
        </patternFill>
      </fill>
    </dxf>
    <dxf>
      <fill>
        <patternFill patternType="solid">
          <bgColor rgb="FFFF0000"/>
        </patternFill>
      </fill>
    </dxf>
    <dxf>
      <font>
        <color theme="8"/>
      </font>
      <fill>
        <patternFill patternType="solid">
          <fgColor indexed="64"/>
          <bgColor theme="2"/>
        </patternFill>
      </fill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font>
        <color theme="8"/>
      </font>
      <fill>
        <patternFill patternType="solid">
          <fgColor indexed="64"/>
          <bgColor theme="2"/>
        </patternFill>
      </fill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font>
        <color theme="8"/>
      </font>
      <fill>
        <patternFill patternType="solid">
          <fgColor indexed="64"/>
          <bgColor theme="2"/>
        </patternFill>
      </fill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font>
        <color theme="8"/>
      </font>
      <numFmt numFmtId="0" formatCode="General"/>
      <fill>
        <patternFill patternType="solid">
          <fgColor indexed="64"/>
          <bgColor theme="2"/>
        </patternFill>
      </fill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border outline="0">
        <top style="thin">
          <color indexed="64"/>
        </top>
      </border>
    </dxf>
    <dxf>
      <border outline="0">
        <top style="thin">
          <color rgb="FFD3D3D3"/>
        </top>
      </border>
    </dxf>
    <dxf>
      <fill>
        <patternFill patternType="solid">
          <fgColor indexed="64"/>
          <bgColor theme="2"/>
        </patternFill>
      </fill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8"/>
        <color rgb="FFFFFFFF"/>
        <name val="Arial"/>
        <scheme val="none"/>
      </font>
      <numFmt numFmtId="3" formatCode="#,##0"/>
      <fill>
        <patternFill patternType="solid">
          <fgColor rgb="FF4682B4"/>
          <bgColor rgb="FF00B050"/>
        </patternFill>
      </fill>
      <alignment horizontal="center" vertical="center" textRotation="0" wrapText="1" indent="0" justifyLastLine="0" shrinkToFit="0" readingOrder="1"/>
    </dxf>
    <dxf>
      <numFmt numFmtId="0" formatCode="General"/>
      <fill>
        <patternFill patternType="solid">
          <fgColor indexed="64"/>
          <bgColor theme="2"/>
        </patternFill>
      </fill>
      <alignment horizontal="general" vertical="center" textRotation="0" indent="0" justifyLastLine="0" shrinkToFit="0" readingOrder="0"/>
    </dxf>
    <dxf>
      <fill>
        <patternFill patternType="solid">
          <fgColor indexed="64"/>
          <bgColor theme="2"/>
        </patternFill>
      </fill>
      <alignment horizontal="general" vertical="center" textRotation="0" wrapText="0" indent="0" justifyLastLine="0" shrinkToFit="0" readingOrder="0"/>
    </dxf>
    <dxf>
      <numFmt numFmtId="0" formatCode="General"/>
      <fill>
        <patternFill patternType="solid">
          <fgColor indexed="64"/>
          <bgColor theme="2"/>
        </patternFill>
      </fill>
      <alignment horizontal="general" vertical="center" textRotation="0" indent="0" justifyLastLine="0" shrinkToFit="0" readingOrder="0"/>
    </dxf>
    <dxf>
      <fill>
        <patternFill patternType="solid">
          <fgColor indexed="64"/>
          <bgColor theme="2"/>
        </patternFill>
      </fill>
      <alignment horizontal="general" vertical="center" textRotation="0" wrapText="0" indent="0" justifyLastLine="0" shrinkToFit="0" readingOrder="0"/>
    </dxf>
    <dxf>
      <numFmt numFmtId="3" formatCode="#,##0"/>
      <fill>
        <patternFill patternType="solid">
          <fgColor indexed="64"/>
          <bgColor theme="2"/>
        </patternFill>
      </fill>
      <alignment horizontal="general" vertical="center" textRotation="0" indent="0" justifyLastLine="0" shrinkToFit="0" readingOrder="0"/>
    </dxf>
    <dxf>
      <fill>
        <patternFill patternType="solid">
          <fgColor indexed="64"/>
          <bgColor theme="2"/>
        </patternFill>
      </fill>
      <alignment horizontal="general" vertical="center" textRotation="0" wrapText="0" indent="0" justifyLastLine="0" shrinkToFit="0" readingOrder="0"/>
    </dxf>
    <dxf>
      <fill>
        <patternFill patternType="solid">
          <fgColor indexed="64"/>
          <bgColor theme="2"/>
        </patternFill>
      </fill>
      <alignment horizontal="general" vertical="center" textRotation="0" indent="0" justifyLastLine="0" shrinkToFit="0" readingOrder="0"/>
    </dxf>
    <dxf>
      <fill>
        <patternFill patternType="solid">
          <fgColor indexed="64"/>
          <bgColor theme="2"/>
        </patternFill>
      </fill>
      <alignment horizontal="general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Arial"/>
        <scheme val="none"/>
      </font>
      <numFmt numFmtId="13" formatCode="0%"/>
      <fill>
        <patternFill patternType="solid">
          <fgColor indexed="64"/>
          <bgColor theme="2"/>
        </patternFill>
      </fill>
      <alignment horizontal="general" vertical="center" textRotation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Arial"/>
        <scheme val="none"/>
      </font>
      <numFmt numFmtId="13" formatCode="0%"/>
      <fill>
        <patternFill patternType="solid">
          <fgColor indexed="64"/>
          <bgColor theme="2"/>
        </patternFill>
      </fill>
      <alignment horizontal="general" vertical="center" textRotation="0" wrapText="0" indent="0" justifyLastLine="0" shrinkToFit="0" readingOrder="0"/>
    </dxf>
    <dxf>
      <numFmt numFmtId="3" formatCode="#,##0"/>
      <fill>
        <patternFill patternType="solid">
          <fgColor indexed="64"/>
          <bgColor theme="2"/>
        </patternFill>
      </fill>
      <alignment horizontal="general" vertical="center" textRotation="0" indent="0" justifyLastLine="0" shrinkToFit="0" readingOrder="0"/>
    </dxf>
    <dxf>
      <fill>
        <patternFill patternType="solid">
          <fgColor indexed="64"/>
          <bgColor theme="2"/>
        </patternFill>
      </fill>
      <alignment horizontal="general" vertical="center" textRotation="0" wrapText="0" indent="0" justifyLastLine="0" shrinkToFit="0" readingOrder="0"/>
    </dxf>
    <dxf>
      <numFmt numFmtId="3" formatCode="#,##0"/>
      <fill>
        <patternFill patternType="solid">
          <fgColor indexed="64"/>
          <bgColor theme="2"/>
        </patternFill>
      </fill>
      <alignment horizontal="general" vertical="center" textRotation="0" indent="0" justifyLastLine="0" shrinkToFit="0" readingOrder="0"/>
    </dxf>
    <dxf>
      <fill>
        <patternFill patternType="solid">
          <fgColor indexed="64"/>
          <bgColor theme="2"/>
        </patternFill>
      </fill>
      <alignment horizontal="general" vertical="center" textRotation="0" wrapText="0" indent="0" justifyLastLine="0" shrinkToFit="0" readingOrder="0"/>
    </dxf>
    <dxf>
      <numFmt numFmtId="166" formatCode="[$-10409]0.00%"/>
      <fill>
        <patternFill patternType="solid">
          <fgColor indexed="64"/>
          <bgColor theme="2"/>
        </patternFill>
      </fill>
      <alignment horizontal="general" vertical="center" textRotation="0" wrapText="0" indent="0" justifyLastLine="0" shrinkToFit="0" readingOrder="0"/>
    </dxf>
    <dxf>
      <fill>
        <patternFill patternType="solid">
          <fgColor indexed="64"/>
          <bgColor theme="2"/>
        </patternFill>
      </fill>
      <alignment horizontal="general" vertical="center" textRotation="0" wrapText="0" indent="0" justifyLastLine="0" shrinkToFit="0" readingOrder="0"/>
    </dxf>
    <dxf>
      <numFmt numFmtId="0" formatCode="General"/>
      <fill>
        <patternFill patternType="solid">
          <fgColor indexed="64"/>
          <bgColor theme="2"/>
        </patternFill>
      </fill>
      <alignment horizontal="general" vertical="center" textRotation="0" indent="0" justifyLastLine="0" shrinkToFit="0" readingOrder="0"/>
    </dxf>
    <dxf>
      <fill>
        <patternFill patternType="solid">
          <fgColor indexed="64"/>
          <bgColor theme="2"/>
        </patternFill>
      </fill>
      <alignment horizontal="general" vertical="center" textRotation="0" wrapText="0" indent="0" justifyLastLine="0" shrinkToFit="0" readingOrder="0"/>
    </dxf>
    <dxf>
      <numFmt numFmtId="0" formatCode="General"/>
      <fill>
        <patternFill patternType="solid">
          <fgColor indexed="64"/>
          <bgColor theme="2"/>
        </patternFill>
      </fill>
      <alignment horizontal="general" vertical="center" textRotation="0" indent="0" justifyLastLine="0" shrinkToFit="0" readingOrder="0"/>
    </dxf>
    <dxf>
      <fill>
        <patternFill patternType="solid">
          <fgColor indexed="64"/>
          <bgColor theme="2"/>
        </patternFill>
      </fill>
      <alignment horizontal="general" vertical="center" textRotation="0" wrapText="0" indent="0" justifyLastLine="0" shrinkToFit="0" readingOrder="0"/>
    </dxf>
    <dxf>
      <fill>
        <patternFill patternType="solid">
          <fgColor indexed="64"/>
          <bgColor theme="2"/>
        </patternFill>
      </fill>
      <alignment horizontal="general" vertical="center" textRotation="0" wrapText="0" indent="0" justifyLastLine="0" shrinkToFit="0" readingOrder="0"/>
    </dxf>
    <dxf>
      <fill>
        <patternFill patternType="solid">
          <fgColor indexed="64"/>
          <bgColor theme="2"/>
        </patternFill>
      </fill>
      <alignment horizontal="general" vertical="center" textRotation="0" wrapText="0" indent="0" justifyLastLine="0" shrinkToFit="0" readingOrder="0"/>
    </dxf>
    <dxf>
      <numFmt numFmtId="0" formatCode="General"/>
      <fill>
        <patternFill patternType="solid">
          <fgColor indexed="64"/>
          <bgColor theme="2"/>
        </patternFill>
      </fill>
      <alignment horizontal="general" vertical="center" textRotation="0" wrapText="0" indent="0" justifyLastLine="0" shrinkToFit="0" readingOrder="0"/>
    </dxf>
    <dxf>
      <fill>
        <patternFill patternType="solid">
          <fgColor indexed="64"/>
          <bgColor theme="2"/>
        </patternFill>
      </fill>
      <alignment horizontal="general" vertical="center" textRotation="0" wrapText="0" indent="0" justifyLastLine="0" shrinkToFit="0" readingOrder="0"/>
    </dxf>
    <dxf>
      <fill>
        <patternFill patternType="solid">
          <fgColor indexed="64"/>
          <bgColor theme="2"/>
        </patternFill>
      </fill>
      <alignment horizontal="general" vertical="center" textRotation="0" wrapText="0" indent="0" justifyLastLine="0" shrinkToFit="0" readingOrder="0"/>
    </dxf>
    <dxf>
      <fill>
        <patternFill patternType="solid">
          <fgColor indexed="64"/>
          <bgColor theme="2"/>
        </patternFill>
      </fill>
      <alignment horizontal="general" vertical="center" textRotation="0" wrapText="0" indent="0" justifyLastLine="0" shrinkToFit="0" readingOrder="0"/>
    </dxf>
    <dxf>
      <fill>
        <patternFill patternType="solid">
          <fgColor indexed="64"/>
          <bgColor theme="2"/>
        </patternFill>
      </fill>
      <alignment horizontal="general" vertical="center" textRotation="0" wrapText="0" indent="0" justifyLastLine="0" shrinkToFit="0" readingOrder="0"/>
    </dxf>
    <dxf>
      <fill>
        <patternFill patternType="solid">
          <fgColor indexed="64"/>
          <bgColor theme="2"/>
        </patternFill>
      </fill>
      <alignment horizontal="general" vertical="center" textRotation="0" wrapText="0" indent="0" justifyLastLine="0" shrinkToFit="0" readingOrder="0"/>
    </dxf>
    <dxf>
      <fill>
        <patternFill patternType="solid">
          <fgColor indexed="64"/>
          <bgColor theme="2"/>
        </patternFill>
      </fill>
      <alignment horizontal="general" vertical="center" textRotation="0" wrapText="0" indent="0" justifyLastLine="0" shrinkToFit="0" readingOrder="0"/>
    </dxf>
    <dxf>
      <fill>
        <patternFill patternType="solid">
          <fgColor indexed="64"/>
          <bgColor theme="2"/>
        </patternFill>
      </fill>
      <alignment horizontal="general" vertical="center" textRotation="0" wrapText="0" indent="0" justifyLastLine="0" shrinkToFit="0" readingOrder="0"/>
    </dxf>
    <dxf>
      <numFmt numFmtId="30" formatCode="@"/>
      <fill>
        <patternFill patternType="solid">
          <fgColor indexed="64"/>
          <bgColor theme="2"/>
        </patternFill>
      </fill>
      <alignment horizontal="general" vertical="center" textRotation="0" wrapText="0" indent="0" justifyLastLine="0" shrinkToFit="0" readingOrder="0"/>
    </dxf>
    <dxf>
      <numFmt numFmtId="30" formatCode="@"/>
      <fill>
        <patternFill patternType="solid">
          <fgColor indexed="64"/>
          <bgColor theme="2"/>
        </patternFill>
      </fill>
      <alignment horizontal="general" vertical="center" textRotation="0" wrapText="0" indent="0" justifyLastLine="0" shrinkToFit="0" readingOrder="0"/>
    </dxf>
    <dxf>
      <numFmt numFmtId="30" formatCode="@"/>
      <fill>
        <patternFill patternType="solid">
          <fgColor indexed="64"/>
          <bgColor theme="2"/>
        </patternFill>
      </fill>
      <alignment horizontal="general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Arial"/>
        <scheme val="none"/>
      </font>
      <fill>
        <patternFill patternType="solid">
          <fgColor indexed="64"/>
          <bgColor theme="2"/>
        </patternFill>
      </fill>
      <alignment horizontal="center" vertical="center" textRotation="0" wrapText="0" indent="0" justifyLastLine="0" shrinkToFit="0" readingOrder="0"/>
    </dxf>
    <dxf>
      <border outline="0">
        <bottom style="thin">
          <color rgb="FFD3D3D3"/>
        </bottom>
      </border>
    </dxf>
    <dxf>
      <border outline="0">
        <top style="thin">
          <color rgb="FFD3D3D3"/>
        </top>
      </border>
    </dxf>
    <dxf>
      <numFmt numFmtId="0" formatCode="General"/>
      <fill>
        <patternFill patternType="solid">
          <fgColor indexed="64"/>
          <bgColor theme="2"/>
        </patternFill>
      </fill>
      <alignment horizontal="general" vertical="center" textRotation="0" indent="0" justifyLastLine="0" shrinkToFit="0" readingOrder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8"/>
        <color rgb="FFFFFFFF"/>
        <name val="Arial"/>
        <scheme val="none"/>
      </font>
      <numFmt numFmtId="0" formatCode="General"/>
      <fill>
        <patternFill patternType="solid">
          <fgColor rgb="FF4682B4"/>
          <bgColor rgb="FF4682B4"/>
        </patternFill>
      </fill>
      <alignment horizontal="center" vertical="center" textRotation="0" wrapText="1" indent="0" justifyLastLine="0" shrinkToFit="0" readingOrder="0"/>
      <border diagonalUp="0" diagonalDown="0" outline="0">
        <left style="thin">
          <color rgb="FFD3D3D3"/>
        </left>
        <right style="thin">
          <color rgb="FFD3D3D3"/>
        </right>
        <top/>
        <bottom/>
      </border>
    </dxf>
    <dxf>
      <fill>
        <patternFill>
          <bgColor theme="6" tint="0.59996337778862885"/>
        </patternFill>
      </fill>
    </dxf>
    <dxf>
      <fill>
        <patternFill>
          <bgColor theme="6" tint="0.59996337778862885"/>
        </patternFill>
      </fill>
    </dxf>
    <dxf>
      <fill>
        <patternFill>
          <bgColor rgb="FFFFFF00"/>
        </patternFill>
      </fill>
    </dxf>
    <dxf>
      <fill>
        <patternFill>
          <bgColor theme="6" tint="0.59996337778862885"/>
        </patternFill>
      </fill>
    </dxf>
    <dxf>
      <fill>
        <patternFill>
          <bgColor theme="6" tint="0.59996337778862885"/>
        </patternFill>
      </fill>
    </dxf>
    <dxf>
      <fill>
        <patternFill>
          <bgColor rgb="FFFFFF00"/>
        </patternFill>
      </fill>
    </dxf>
    <dxf>
      <fill>
        <patternFill>
          <bgColor theme="6" tint="0.59996337778862885"/>
        </patternFill>
      </fill>
    </dxf>
    <dxf>
      <fill>
        <patternFill>
          <bgColor theme="6" tint="0.59996337778862885"/>
        </patternFill>
      </fill>
    </dxf>
    <dxf>
      <fill>
        <patternFill>
          <bgColor rgb="FFFFFF00"/>
        </patternFill>
      </fill>
    </dxf>
    <dxf>
      <fill>
        <patternFill>
          <bgColor theme="6" tint="0.59996337778862885"/>
        </patternFill>
      </fill>
    </dxf>
    <dxf>
      <fill>
        <patternFill>
          <bgColor theme="6" tint="0.59996337778862885"/>
        </patternFill>
      </fill>
    </dxf>
    <dxf>
      <fill>
        <patternFill>
          <bgColor rgb="FFFFFF00"/>
        </patternFill>
      </fill>
    </dxf>
    <dxf>
      <fill>
        <patternFill>
          <bgColor theme="6" tint="0.59996337778862885"/>
        </patternFill>
      </fill>
    </dxf>
    <dxf>
      <fill>
        <patternFill>
          <bgColor theme="6" tint="0.59996337778862885"/>
        </patternFill>
      </fill>
    </dxf>
    <dxf>
      <fill>
        <patternFill>
          <bgColor rgb="FFFFFF00"/>
        </patternFill>
      </fill>
    </dxf>
    <dxf>
      <fill>
        <patternFill>
          <bgColor theme="6" tint="0.59996337778862885"/>
        </patternFill>
      </fill>
    </dxf>
    <dxf>
      <fill>
        <patternFill>
          <bgColor theme="6" tint="0.59996337778862885"/>
        </patternFill>
      </fill>
    </dxf>
    <dxf>
      <fill>
        <patternFill>
          <bgColor rgb="FFFFFF00"/>
        </patternFill>
      </fill>
    </dxf>
    <dxf>
      <fill>
        <patternFill>
          <bgColor theme="6" tint="0.59996337778862885"/>
        </patternFill>
      </fill>
    </dxf>
    <dxf>
      <fill>
        <patternFill>
          <bgColor theme="6" tint="0.59996337778862885"/>
        </patternFill>
      </fill>
    </dxf>
    <dxf>
      <fill>
        <patternFill>
          <bgColor rgb="FFFFFF00"/>
        </patternFill>
      </fill>
    </dxf>
    <dxf>
      <fill>
        <patternFill>
          <bgColor theme="6" tint="0.59996337778862885"/>
        </patternFill>
      </fill>
    </dxf>
    <dxf>
      <fill>
        <patternFill>
          <bgColor theme="6" tint="0.59996337778862885"/>
        </patternFill>
      </fill>
    </dxf>
    <dxf>
      <fill>
        <patternFill>
          <bgColor rgb="FFFFFF00"/>
        </patternFill>
      </fill>
    </dxf>
    <dxf>
      <fill>
        <patternFill>
          <bgColor theme="6" tint="0.59996337778862885"/>
        </patternFill>
      </fill>
    </dxf>
    <dxf>
      <fill>
        <patternFill>
          <bgColor theme="6" tint="0.59996337778862885"/>
        </patternFill>
      </fill>
    </dxf>
    <dxf>
      <fill>
        <patternFill>
          <bgColor rgb="FFFFFF00"/>
        </patternFill>
      </fill>
    </dxf>
    <dxf>
      <fill>
        <patternFill>
          <bgColor theme="6" tint="0.59996337778862885"/>
        </patternFill>
      </fill>
    </dxf>
    <dxf>
      <fill>
        <patternFill>
          <bgColor theme="6" tint="0.59996337778862885"/>
        </patternFill>
      </fill>
    </dxf>
    <dxf>
      <fill>
        <patternFill>
          <bgColor rgb="FFFFFF00"/>
        </patternFill>
      </fill>
    </dxf>
    <dxf>
      <fill>
        <patternFill>
          <bgColor theme="6" tint="0.59996337778862885"/>
        </patternFill>
      </fill>
    </dxf>
    <dxf>
      <fill>
        <patternFill>
          <bgColor theme="6" tint="0.59996337778862885"/>
        </patternFill>
      </fill>
    </dxf>
    <dxf>
      <fill>
        <patternFill>
          <bgColor rgb="FFFFFF00"/>
        </patternFill>
      </fill>
    </dxf>
    <dxf>
      <fill>
        <patternFill>
          <bgColor theme="6" tint="0.59996337778862885"/>
        </patternFill>
      </fill>
    </dxf>
    <dxf>
      <fill>
        <patternFill>
          <bgColor theme="6" tint="0.59996337778862885"/>
        </patternFill>
      </fill>
    </dxf>
    <dxf>
      <fill>
        <patternFill>
          <bgColor rgb="FFFFFF00"/>
        </patternFill>
      </fill>
    </dxf>
    <dxf>
      <fill>
        <patternFill>
          <bgColor theme="6" tint="0.59996337778862885"/>
        </patternFill>
      </fill>
    </dxf>
    <dxf>
      <fill>
        <patternFill>
          <bgColor theme="6" tint="0.59996337778862885"/>
        </patternFill>
      </fill>
    </dxf>
    <dxf>
      <fill>
        <patternFill>
          <bgColor rgb="FFFFFF00"/>
        </patternFill>
      </fill>
    </dxf>
    <dxf>
      <fill>
        <patternFill>
          <bgColor theme="6" tint="0.59996337778862885"/>
        </patternFill>
      </fill>
    </dxf>
    <dxf>
      <fill>
        <patternFill>
          <bgColor theme="6" tint="0.59996337778862885"/>
        </patternFill>
      </fill>
    </dxf>
    <dxf>
      <fill>
        <patternFill>
          <bgColor rgb="FFFFFF00"/>
        </patternFill>
      </fill>
    </dxf>
    <dxf>
      <fill>
        <patternFill>
          <bgColor theme="6" tint="0.59996337778862885"/>
        </patternFill>
      </fill>
    </dxf>
    <dxf>
      <fill>
        <patternFill>
          <bgColor theme="6" tint="0.59996337778862885"/>
        </patternFill>
      </fill>
    </dxf>
    <dxf>
      <fill>
        <patternFill>
          <bgColor rgb="FFFFFF00"/>
        </patternFill>
      </fill>
    </dxf>
    <dxf>
      <fill>
        <patternFill>
          <bgColor theme="6" tint="0.59996337778862885"/>
        </patternFill>
      </fill>
    </dxf>
    <dxf>
      <fill>
        <patternFill>
          <bgColor theme="6" tint="0.59996337778862885"/>
        </patternFill>
      </fill>
    </dxf>
    <dxf>
      <fill>
        <patternFill>
          <bgColor rgb="FFFFFF00"/>
        </patternFill>
      </fill>
    </dxf>
    <dxf>
      <fill>
        <patternFill>
          <bgColor theme="6" tint="0.59996337778862885"/>
        </patternFill>
      </fill>
    </dxf>
    <dxf>
      <fill>
        <patternFill>
          <bgColor theme="6" tint="0.59996337778862885"/>
        </patternFill>
      </fill>
    </dxf>
    <dxf>
      <fill>
        <patternFill>
          <bgColor rgb="FFFFFF00"/>
        </patternFill>
      </fill>
    </dxf>
    <dxf>
      <fill>
        <patternFill>
          <bgColor theme="6" tint="0.59996337778862885"/>
        </patternFill>
      </fill>
    </dxf>
    <dxf>
      <fill>
        <patternFill>
          <bgColor theme="6" tint="0.59996337778862885"/>
        </patternFill>
      </fill>
    </dxf>
    <dxf>
      <fill>
        <patternFill>
          <bgColor rgb="FFFFFF00"/>
        </patternFill>
      </fill>
    </dxf>
    <dxf>
      <fill>
        <patternFill>
          <bgColor theme="6" tint="0.59996337778862885"/>
        </patternFill>
      </fill>
    </dxf>
    <dxf>
      <fill>
        <patternFill>
          <bgColor theme="6" tint="0.59996337778862885"/>
        </patternFill>
      </fill>
    </dxf>
    <dxf>
      <fill>
        <patternFill>
          <bgColor rgb="FFFFFF00"/>
        </patternFill>
      </fill>
    </dxf>
    <dxf>
      <fill>
        <patternFill>
          <bgColor theme="6" tint="0.59996337778862885"/>
        </patternFill>
      </fill>
    </dxf>
    <dxf>
      <fill>
        <patternFill>
          <bgColor theme="6" tint="0.59996337778862885"/>
        </patternFill>
      </fill>
    </dxf>
    <dxf>
      <fill>
        <patternFill>
          <bgColor rgb="FFFFFF00"/>
        </patternFill>
      </fill>
    </dxf>
    <dxf>
      <fill>
        <patternFill>
          <bgColor theme="6" tint="0.59996337778862885"/>
        </patternFill>
      </fill>
    </dxf>
    <dxf>
      <fill>
        <patternFill>
          <bgColor theme="6" tint="0.59996337778862885"/>
        </patternFill>
      </fill>
    </dxf>
    <dxf>
      <fill>
        <patternFill>
          <bgColor rgb="FFFFFF00"/>
        </patternFill>
      </fill>
    </dxf>
    <dxf>
      <fill>
        <patternFill>
          <bgColor theme="6" tint="0.59996337778862885"/>
        </patternFill>
      </fill>
    </dxf>
    <dxf>
      <fill>
        <patternFill>
          <bgColor theme="6" tint="0.59996337778862885"/>
        </patternFill>
      </fill>
    </dxf>
    <dxf>
      <fill>
        <patternFill>
          <bgColor rgb="FFFFFF00"/>
        </patternFill>
      </fill>
    </dxf>
    <dxf>
      <fill>
        <patternFill>
          <bgColor theme="6" tint="0.59996337778862885"/>
        </patternFill>
      </fill>
    </dxf>
    <dxf>
      <fill>
        <patternFill>
          <bgColor theme="6" tint="0.59996337778862885"/>
        </patternFill>
      </fill>
    </dxf>
    <dxf>
      <fill>
        <patternFill>
          <bgColor theme="6" tint="0.59996337778862885"/>
        </patternFill>
      </fill>
    </dxf>
    <dxf>
      <fill>
        <patternFill>
          <bgColor theme="6" tint="0.59996337778862885"/>
        </patternFill>
      </fill>
    </dxf>
    <dxf>
      <fill>
        <patternFill>
          <bgColor rgb="FFFFFF00"/>
        </patternFill>
      </fill>
    </dxf>
    <dxf>
      <fill>
        <patternFill>
          <bgColor theme="6" tint="0.59996337778862885"/>
        </patternFill>
      </fill>
    </dxf>
    <dxf>
      <fill>
        <patternFill>
          <bgColor theme="6" tint="0.59996337778862885"/>
        </patternFill>
      </fill>
    </dxf>
    <dxf>
      <fill>
        <patternFill>
          <bgColor rgb="FFFFFF00"/>
        </patternFill>
      </fill>
    </dxf>
    <dxf>
      <fill>
        <patternFill>
          <bgColor theme="6" tint="0.59996337778862885"/>
        </patternFill>
      </fill>
    </dxf>
    <dxf>
      <fill>
        <patternFill>
          <bgColor theme="6" tint="0.59996337778862885"/>
        </patternFill>
      </fill>
    </dxf>
    <dxf>
      <fill>
        <patternFill>
          <bgColor rgb="FFFFFF00"/>
        </patternFill>
      </fill>
    </dxf>
    <dxf>
      <fill>
        <patternFill>
          <bgColor theme="6" tint="0.59996337778862885"/>
        </patternFill>
      </fill>
    </dxf>
    <dxf>
      <fill>
        <patternFill>
          <bgColor theme="6" tint="0.59996337778862885"/>
        </patternFill>
      </fill>
    </dxf>
    <dxf>
      <fill>
        <patternFill>
          <bgColor rgb="FFFFFF00"/>
        </patternFill>
      </fill>
    </dxf>
    <dxf>
      <fill>
        <patternFill>
          <bgColor theme="6" tint="0.59996337778862885"/>
        </patternFill>
      </fill>
    </dxf>
    <dxf>
      <fill>
        <patternFill>
          <bgColor theme="6" tint="0.59996337778862885"/>
        </patternFill>
      </fill>
    </dxf>
    <dxf>
      <fill>
        <patternFill>
          <bgColor rgb="FFFFFF00"/>
        </patternFill>
      </fill>
    </dxf>
    <dxf>
      <fill>
        <patternFill>
          <bgColor theme="6" tint="0.59996337778862885"/>
        </patternFill>
      </fill>
    </dxf>
    <dxf>
      <fill>
        <patternFill>
          <bgColor theme="6" tint="0.59996337778862885"/>
        </patternFill>
      </fill>
    </dxf>
    <dxf>
      <fill>
        <patternFill>
          <bgColor rgb="FFFFFF00"/>
        </patternFill>
      </fill>
    </dxf>
    <dxf>
      <fill>
        <patternFill>
          <bgColor theme="6" tint="0.59996337778862885"/>
        </patternFill>
      </fill>
    </dxf>
    <dxf>
      <fill>
        <patternFill>
          <bgColor theme="6" tint="0.59996337778862885"/>
        </patternFill>
      </fill>
    </dxf>
    <dxf>
      <fill>
        <patternFill>
          <bgColor rgb="FFFFFF00"/>
        </patternFill>
      </fill>
    </dxf>
    <dxf>
      <fill>
        <patternFill>
          <bgColor theme="6" tint="0.59996337778862885"/>
        </patternFill>
      </fill>
    </dxf>
    <dxf>
      <fill>
        <patternFill>
          <bgColor theme="6" tint="0.59996337778862885"/>
        </patternFill>
      </fill>
    </dxf>
    <dxf>
      <fill>
        <patternFill>
          <bgColor rgb="FFFFFF00"/>
        </patternFill>
      </fill>
    </dxf>
    <dxf>
      <fill>
        <patternFill>
          <bgColor theme="6" tint="0.59996337778862885"/>
        </patternFill>
      </fill>
    </dxf>
    <dxf>
      <fill>
        <patternFill>
          <bgColor theme="6" tint="0.59996337778862885"/>
        </patternFill>
      </fill>
    </dxf>
    <dxf>
      <fill>
        <patternFill>
          <bgColor rgb="FFFFFF00"/>
        </patternFill>
      </fill>
    </dxf>
    <dxf>
      <fill>
        <patternFill>
          <bgColor theme="6" tint="0.59996337778862885"/>
        </patternFill>
      </fill>
    </dxf>
    <dxf>
      <fill>
        <patternFill>
          <bgColor theme="6" tint="0.59996337778862885"/>
        </patternFill>
      </fill>
    </dxf>
    <dxf>
      <fill>
        <patternFill>
          <bgColor rgb="FFFFFF00"/>
        </patternFill>
      </fill>
    </dxf>
    <dxf>
      <fill>
        <patternFill>
          <bgColor theme="6" tint="0.59996337778862885"/>
        </patternFill>
      </fill>
    </dxf>
    <dxf>
      <fill>
        <patternFill>
          <bgColor theme="6" tint="0.59996337778862885"/>
        </patternFill>
      </fill>
    </dxf>
    <dxf>
      <fill>
        <patternFill>
          <bgColor rgb="FFFFFF00"/>
        </patternFill>
      </fill>
    </dxf>
    <dxf>
      <fill>
        <patternFill>
          <bgColor theme="6" tint="0.59996337778862885"/>
        </patternFill>
      </fill>
    </dxf>
    <dxf>
      <fill>
        <patternFill>
          <bgColor theme="6" tint="0.59996337778862885"/>
        </patternFill>
      </fill>
    </dxf>
    <dxf>
      <fill>
        <patternFill>
          <bgColor rgb="FFFFFF00"/>
        </patternFill>
      </fill>
    </dxf>
    <dxf>
      <fill>
        <patternFill>
          <bgColor theme="6" tint="0.59996337778862885"/>
        </patternFill>
      </fill>
    </dxf>
    <dxf>
      <fill>
        <patternFill>
          <bgColor theme="6" tint="0.59996337778862885"/>
        </patternFill>
      </fill>
    </dxf>
    <dxf>
      <fill>
        <patternFill>
          <bgColor rgb="FFFFFF00"/>
        </patternFill>
      </fill>
    </dxf>
    <dxf>
      <fill>
        <patternFill>
          <bgColor theme="6" tint="0.59996337778862885"/>
        </patternFill>
      </fill>
    </dxf>
    <dxf>
      <fill>
        <patternFill>
          <bgColor theme="6" tint="0.59996337778862885"/>
        </patternFill>
      </fill>
    </dxf>
    <dxf>
      <fill>
        <patternFill>
          <bgColor rgb="FFFFFF00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alcChain" Target="calcChain.xml"/><Relationship Id="rId3" Type="http://schemas.openxmlformats.org/officeDocument/2006/relationships/externalLink" Target="externalLinks/externalLink1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pivotCacheDefinition" Target="pivotCache/pivotCacheDefinition1.xml"/></Relationships>
</file>

<file path=xl/ctrlProps/ctrlProp1.xml><?xml version="1.0" encoding="utf-8"?>
<formControlPr xmlns="http://schemas.microsoft.com/office/spreadsheetml/2009/9/main" objectType="Button" lockText="1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16</xdr:col>
          <xdr:colOff>9525</xdr:colOff>
          <xdr:row>0</xdr:row>
          <xdr:rowOff>19050</xdr:rowOff>
        </xdr:from>
        <xdr:to>
          <xdr:col>17</xdr:col>
          <xdr:colOff>0</xdr:colOff>
          <xdr:row>2</xdr:row>
          <xdr:rowOff>0</xdr:rowOff>
        </xdr:to>
        <xdr:sp macro="" textlink="">
          <xdr:nvSpPr>
            <xdr:cNvPr id="1025" name="Button 1" hidden="1">
              <a:extLst>
                <a:ext uri="{63B3BB69-23CF-44E3-9099-C40C66FF867C}">
                  <a14:compatExt spid="_x0000_s1025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2860" rIns="27432" bIns="22860" anchor="ctr" upright="1"/>
            <a:lstStyle/>
            <a:p>
              <a:pPr algn="ctr" rtl="0">
                <a:defRPr sz="1000"/>
              </a:pPr>
              <a:r>
                <a:rPr lang="fr-FR" sz="800" b="0" i="0" u="none" strike="noStrike" baseline="0">
                  <a:solidFill>
                    <a:srgbClr val="000000"/>
                  </a:solidFill>
                  <a:latin typeface="Arial"/>
                  <a:cs typeface="Arial"/>
                </a:rPr>
                <a:t>Adjustment</a:t>
              </a:r>
            </a:p>
          </xdr:txBody>
        </xdr:sp>
        <xdr:clientData fPrintsWithSheet="0"/>
      </xdr:twoCellAnchor>
    </mc:Choice>
    <mc:Fallback/>
  </mc:AlternateContent>
</xdr:wsDr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R:\Commun\LOGISTIQUE\30_ORDONNANCEMENT\COSTING\Verif-Costing.xlsm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GUIDE"/>
      <sheetName val="COSTING"/>
      <sheetName val="BS"/>
      <sheetName val="Suivi Damien"/>
      <sheetName val="FILTRE"/>
      <sheetName val="REMARQUE"/>
      <sheetName val="Feuil1"/>
      <sheetName val="RECAP"/>
    </sheetNames>
    <definedNames>
      <definedName name="Adjustment"/>
    </definedNames>
    <sheetDataSet>
      <sheetData sheetId="0"/>
      <sheetData sheetId="1"/>
      <sheetData sheetId="2"/>
      <sheetData sheetId="3"/>
      <sheetData sheetId="4"/>
      <sheetData sheetId="5"/>
      <sheetData sheetId="6"/>
      <sheetData sheetId="7"/>
    </sheetDataSet>
  </externalBook>
</externalLink>
</file>

<file path=xl/pivotCache/_rels/pivotCacheDefinition1.xml.rels><?xml version="1.0" encoding="UTF-8" standalone="yes"?>
<Relationships xmlns="http://schemas.openxmlformats.org/package/2006/relationships"><Relationship Id="rId1" Type="http://schemas.openxmlformats.org/officeDocument/2006/relationships/pivotCacheRecords" Target="pivotCacheRecords1.xml"/></Relationships>
</file>

<file path=xl/pivotCache/pivotCacheDefinition1.xml><?xml version="1.0" encoding="utf-8"?>
<pivotCacheDefinition xmlns="http://schemas.openxmlformats.org/spreadsheetml/2006/main" xmlns:r="http://schemas.openxmlformats.org/officeDocument/2006/relationships" r:id="rId1" refreshedBy="HAYOTTE Jérémy" refreshedDate="44818.654814467591" createdVersion="6" refreshedVersion="6" minRefreshableVersion="3" recordCount="79">
  <cacheSource type="worksheet">
    <worksheetSource name="tabcosting"/>
  </cacheSource>
  <cacheFields count="17">
    <cacheField name="RPL Family" numFmtId="49">
      <sharedItems/>
    </cacheField>
    <cacheField name="Family Description" numFmtId="49">
      <sharedItems count="43">
        <s v="SAPPHIR LAGOON"/>
        <s v="CRIZAL ALIZE"/>
        <s v="ROCK GREEN"/>
        <s v="CRIZAL FORTE UV35"/>
        <s v="PREVENCIA NON OFG"/>
        <s v="CRIZAL PREVENCIA UV35"/>
        <s v="FSV SAPPHIRE HR BLUE 65 OFG"/>
        <s v="SPH NU"/>
        <s v="FSV SAPPHIRE HR BLUE 75 OFG"/>
        <s v="BCT OXA ROCK"/>
        <s v="BCT OXA ALIZEE"/>
        <s v="FSV BCT OXA SAPPHIRE HR D65 OFG"/>
        <s v="BCT OXA SAPPHIRE HR"/>
        <s v="FSV KIDS 55 OFG"/>
        <s v="FSV KIDS 60 OFG"/>
        <s v="FSV SPHPC CZ AL+UV EU 65 OFG"/>
        <s v="FSV SPH POLY NTPC D65"/>
        <s v="FSV ROCK GREEN 65 OFG"/>
        <s v="FSV SPH PC CZ D65 FORTE UV35"/>
        <s v="FSV KIDS 65 OFG"/>
        <s v="SAPPHIR LAGOON D65"/>
        <s v="FSV SPH PC CZ AL+UV EU 70 OFG"/>
        <s v="FSV SPH PC 70 HC NTPC EP"/>
        <s v="FSV ROCK GREEN 70 OFG"/>
        <s v="FSV SPH PC CZ D70 FORTE UV35"/>
        <s v="SAPPHIR LAGOON D70"/>
        <s v="FSV SAPPHIRE HR BLUE 70 OFG"/>
        <s v="CRIZAL ALIZE BCT"/>
        <s v="SAPPHIRE BCT EOLP"/>
        <s v="SAPPHIR LAGOON BCT"/>
        <s v="MC5 BCT EOLP"/>
        <s v="MC5 BCT-NIKON"/>
        <s v="SF GX PC 80 UNCOAT"/>
        <s v="SF GX PC 80 NTPC"/>
        <s v="SF ROCKY PC 80 UNCOAT"/>
        <s v="SF ROCKY PC 80 NTPC"/>
        <s v="SFSV ASPH PC 76 UNCOAT"/>
        <s v="SFSV ASPH PC 76 NTPC AIRWEAR"/>
        <s v="SFSV SPH PC 76 UNCOAT"/>
        <s v="SFSV SPH PC 76 NTPC AIRWEAR"/>
        <s v="SF SNL6 PC 80 NTPC"/>
        <s v="SF CONDE PC 80 NTPC"/>
        <s v="SF OVATION PC 80 NTPC"/>
      </sharedItems>
    </cacheField>
    <cacheField name="Index" numFmtId="0">
      <sharedItems count="3">
        <s v="1.6"/>
        <s v="Poly"/>
        <s v="1.67"/>
      </sharedItems>
    </cacheField>
    <cacheField name="VA" numFmtId="0">
      <sharedItems/>
    </cacheField>
    <cacheField name="Design" numFmtId="0">
      <sharedItems/>
    </cacheField>
    <cacheField name="DIAM" numFmtId="0">
      <sharedItems count="8">
        <s v="65"/>
        <s v="75"/>
        <s v="55"/>
        <s v="60"/>
        <s v="70"/>
        <s v="80"/>
        <s v="81"/>
        <s v="76"/>
      </sharedItems>
    </cacheField>
    <cacheField name="LIAISON RPL" numFmtId="0">
      <sharedItems containsBlank="1"/>
    </cacheField>
    <cacheField name="CAT" numFmtId="0">
      <sharedItems containsBlank="1"/>
    </cacheField>
    <cacheField name="CLIENT" numFmtId="0">
      <sharedItems containsBlank="1"/>
    </cacheField>
    <cacheField name="SECTION" numFmtId="166">
      <sharedItems containsBlank="1"/>
    </cacheField>
    <cacheField name="Launched Qty" numFmtId="3">
      <sharedItems containsSemiMixedTypes="0" containsString="0" containsNumber="1" containsInteger="1" minValue="0" maxValue="90904"/>
    </cacheField>
    <cacheField name="Good Qty" numFmtId="3">
      <sharedItems containsSemiMixedTypes="0" containsString="0" containsNumber="1" containsInteger="1" minValue="0" maxValue="88252"/>
    </cacheField>
    <cacheField name="Yield (%)" numFmtId="9">
      <sharedItems containsMixedTypes="1" containsNumber="1" minValue="0.48356807511737088" maxValue="0.97415611814345993" count="46">
        <s v=""/>
        <n v="0.80989180834621333"/>
        <n v="0.79903466432645898"/>
        <n v="0.81144343302990896"/>
        <n v="0.83268619837627955"/>
        <n v="0.79681274900398402"/>
        <n v="0.84013900955690701"/>
        <n v="0.8110787172011662"/>
        <n v="0.8195461200585652"/>
        <n v="0.860080058224163"/>
        <n v="0.84836471754212095"/>
        <n v="0.75471698113207553"/>
        <n v="0.79351921627731725"/>
        <n v="0.84895833333333337"/>
        <n v="0.83169291338582674"/>
        <n v="0.84546472564389696"/>
        <n v="0.8510882016036655"/>
        <n v="0.77472527472527475"/>
        <n v="0.76781425140112092"/>
        <n v="0.87296416938110755"/>
        <n v="0.8127208480565371"/>
        <n v="0.80977198697068409"/>
        <n v="0.85483870967741937"/>
        <n v="0.80542986425339369"/>
        <n v="0.79112271540469969"/>
        <n v="0.87735849056603776"/>
        <n v="0.58510638297872342"/>
        <n v="0.48356807511737088"/>
        <n v="0.62576687116564422"/>
        <n v="0.82352941176470584"/>
        <n v="0.76415094339622647"/>
        <n v="0.73684210526315785"/>
        <n v="0.80689655172413788"/>
        <n v="0.84516129032258069"/>
        <n v="0.78203240058910162"/>
        <n v="0.96941337889613755"/>
        <n v="0.90715520968439256"/>
        <n v="0.96735983788478241"/>
        <n v="0.95363811976819057"/>
        <n v="0.96085526315789471"/>
        <n v="0.97415611814345993"/>
        <n v="0.97082636627651153"/>
        <n v="0.96603798470060676"/>
        <n v="0.78125"/>
        <n v="0.89488636363636365"/>
        <n v="0.9393228164678723"/>
      </sharedItems>
    </cacheField>
    <cacheField name="Shipment (Stock Lens)" numFmtId="0">
      <sharedItems containsSemiMixedTypes="0" containsString="0" containsNumber="1" containsInteger="1" minValue="0" maxValue="88590"/>
    </cacheField>
    <cacheField name="WIP Production" numFmtId="3">
      <sharedItems containsSemiMixedTypes="0" containsString="0" containsNumber="1" containsInteger="1" minValue="0" maxValue="8609"/>
    </cacheField>
    <cacheField name="Wip Stock " numFmtId="0">
      <sharedItems containsSemiMixedTypes="0" containsString="0" containsNumber="1" containsInteger="1" minValue="0" maxValue="7413"/>
    </cacheField>
    <cacheField name="PRIX" numFmtId="0">
      <sharedItems containsString="0" containsBlank="1" containsNumber="1" minValue="1.82" maxValue="16.940000000000001"/>
    </cacheField>
  </cacheFields>
  <extLst>
    <ext xmlns:x14="http://schemas.microsoft.com/office/spreadsheetml/2009/9/main" uri="{725AE2AE-9491-48be-B2B4-4EB974FC3084}">
      <x14:pivotCacheDefinition/>
    </ext>
  </extLst>
</pivotCacheDefinition>
</file>

<file path=xl/pivotCache/pivotCacheRecords1.xml><?xml version="1.0" encoding="utf-8"?>
<pivotCacheRecords xmlns="http://schemas.openxmlformats.org/spreadsheetml/2006/main" xmlns:r="http://schemas.openxmlformats.org/officeDocument/2006/relationships" count="79">
  <r>
    <s v="3518100650719EF"/>
    <x v="0"/>
    <x v="0"/>
    <s v="HMC"/>
    <s v="FSV"/>
    <x v="0"/>
    <m/>
    <m/>
    <m/>
    <m/>
    <n v="0"/>
    <n v="0"/>
    <x v="0"/>
    <n v="0"/>
    <n v="0"/>
    <n v="0"/>
    <m/>
  </r>
  <r>
    <s v="3518100750719EF"/>
    <x v="0"/>
    <x v="0"/>
    <s v="HMC"/>
    <s v="FSV"/>
    <x v="1"/>
    <m/>
    <m/>
    <m/>
    <m/>
    <n v="0"/>
    <n v="0"/>
    <x v="0"/>
    <n v="0"/>
    <n v="0"/>
    <n v="0"/>
    <m/>
  </r>
  <r>
    <s v="3524100650237EF"/>
    <x v="1"/>
    <x v="0"/>
    <s v="HMC"/>
    <s v="FSV"/>
    <x v="0"/>
    <m/>
    <m/>
    <s v="CHALON"/>
    <m/>
    <n v="647"/>
    <n v="524"/>
    <x v="1"/>
    <n v="1054"/>
    <n v="340"/>
    <n v="0"/>
    <n v="15.1"/>
  </r>
  <r>
    <s v="3524100650640EF"/>
    <x v="2"/>
    <x v="0"/>
    <s v="HMC"/>
    <s v="FSV"/>
    <x v="0"/>
    <m/>
    <s v="TITANIUM"/>
    <s v="CHALON"/>
    <m/>
    <n v="2279"/>
    <n v="1821"/>
    <x v="2"/>
    <n v="3965"/>
    <n v="488"/>
    <n v="0"/>
    <n v="15.49"/>
  </r>
  <r>
    <s v="3524100650675EF"/>
    <x v="3"/>
    <x v="0"/>
    <s v="HMC"/>
    <s v="FSV"/>
    <x v="0"/>
    <m/>
    <m/>
    <m/>
    <m/>
    <n v="0"/>
    <n v="0"/>
    <x v="0"/>
    <n v="0"/>
    <n v="0"/>
    <n v="0"/>
    <m/>
  </r>
  <r>
    <s v="352410065067600"/>
    <x v="4"/>
    <x v="0"/>
    <s v="HMC"/>
    <s v="FSV"/>
    <x v="0"/>
    <m/>
    <m/>
    <s v="EOLP"/>
    <s v="F41D"/>
    <n v="1538"/>
    <n v="1248"/>
    <x v="3"/>
    <n v="3148"/>
    <n v="329"/>
    <n v="0"/>
    <n v="15.1"/>
  </r>
  <r>
    <s v="3524100650676EF"/>
    <x v="5"/>
    <x v="0"/>
    <s v="HMC"/>
    <s v="FSV"/>
    <x v="0"/>
    <m/>
    <m/>
    <s v="CHALON"/>
    <m/>
    <n v="2833"/>
    <n v="2359"/>
    <x v="4"/>
    <n v="4832"/>
    <n v="438"/>
    <n v="14"/>
    <n v="15.1"/>
  </r>
  <r>
    <s v="3524100650719EF"/>
    <x v="0"/>
    <x v="0"/>
    <s v="HMC"/>
    <s v="FSV"/>
    <x v="0"/>
    <m/>
    <m/>
    <m/>
    <m/>
    <n v="0"/>
    <n v="0"/>
    <x v="0"/>
    <n v="0"/>
    <n v="0"/>
    <n v="0"/>
    <m/>
  </r>
  <r>
    <s v="3524100650876EF"/>
    <x v="6"/>
    <x v="0"/>
    <s v="HMC"/>
    <s v="FSV"/>
    <x v="0"/>
    <m/>
    <s v="TITANIUM"/>
    <s v="CHALON"/>
    <m/>
    <n v="1506"/>
    <n v="1200"/>
    <x v="5"/>
    <n v="2637"/>
    <n v="351"/>
    <n v="6"/>
    <n v="15.49"/>
  </r>
  <r>
    <s v="352410075000000"/>
    <x v="7"/>
    <x v="0"/>
    <s v="UNC"/>
    <s v="FSV"/>
    <x v="1"/>
    <m/>
    <m/>
    <s v="CHALON"/>
    <m/>
    <n v="0"/>
    <n v="0"/>
    <x v="0"/>
    <n v="0"/>
    <n v="0"/>
    <n v="0"/>
    <m/>
  </r>
  <r>
    <s v="3524100750237EF"/>
    <x v="1"/>
    <x v="0"/>
    <s v="HMC"/>
    <s v="FSV"/>
    <x v="1"/>
    <m/>
    <m/>
    <s v="CHALON"/>
    <m/>
    <n v="1151"/>
    <n v="967"/>
    <x v="6"/>
    <n v="1829"/>
    <n v="643"/>
    <n v="5"/>
    <n v="15.1"/>
  </r>
  <r>
    <s v="3524100750640EF"/>
    <x v="2"/>
    <x v="0"/>
    <s v="HMC"/>
    <s v="FSV"/>
    <x v="1"/>
    <m/>
    <s v="TITANIUM"/>
    <s v="CHALON"/>
    <m/>
    <n v="3430"/>
    <n v="2782"/>
    <x v="7"/>
    <n v="5967"/>
    <n v="685"/>
    <n v="1"/>
    <n v="15.49"/>
  </r>
  <r>
    <s v="3524100750675EF"/>
    <x v="3"/>
    <x v="0"/>
    <s v="HMC"/>
    <s v="FSV"/>
    <x v="1"/>
    <m/>
    <m/>
    <m/>
    <m/>
    <n v="0"/>
    <n v="0"/>
    <x v="0"/>
    <n v="0"/>
    <n v="0"/>
    <n v="0"/>
    <m/>
  </r>
  <r>
    <s v="352410075067600"/>
    <x v="4"/>
    <x v="0"/>
    <s v="HMC"/>
    <s v="FSV"/>
    <x v="1"/>
    <m/>
    <m/>
    <s v="EOLP"/>
    <s v="F41D"/>
    <n v="2732"/>
    <n v="2239"/>
    <x v="8"/>
    <n v="4834"/>
    <n v="803"/>
    <n v="0"/>
    <n v="15.1"/>
  </r>
  <r>
    <s v="3524100750676EF"/>
    <x v="5"/>
    <x v="0"/>
    <s v="HMC"/>
    <s v="FSV"/>
    <x v="1"/>
    <m/>
    <m/>
    <s v="CHALON"/>
    <m/>
    <n v="5496"/>
    <n v="4727"/>
    <x v="9"/>
    <n v="10207"/>
    <n v="663"/>
    <n v="1"/>
    <n v="15.1"/>
  </r>
  <r>
    <s v="3524100750719EF"/>
    <x v="0"/>
    <x v="0"/>
    <s v="HMC"/>
    <s v="FSV"/>
    <x v="1"/>
    <m/>
    <m/>
    <m/>
    <m/>
    <n v="0"/>
    <n v="0"/>
    <x v="0"/>
    <n v="0"/>
    <n v="0"/>
    <n v="0"/>
    <m/>
  </r>
  <r>
    <s v="3524100750876EF"/>
    <x v="8"/>
    <x v="0"/>
    <s v="HMC"/>
    <s v="FSV"/>
    <x v="1"/>
    <m/>
    <s v="TITANIUM"/>
    <s v="CHALON"/>
    <m/>
    <n v="3027"/>
    <n v="2568"/>
    <x v="10"/>
    <n v="4466"/>
    <n v="671"/>
    <n v="797"/>
    <n v="15.49"/>
  </r>
  <r>
    <s v="3524942650640EF"/>
    <x v="9"/>
    <x v="0"/>
    <s v="HMC"/>
    <s v="FSV"/>
    <x v="0"/>
    <m/>
    <s v="TITANIUM OXA BCT"/>
    <s v="CHALON"/>
    <m/>
    <n v="53"/>
    <n v="40"/>
    <x v="11"/>
    <n v="34"/>
    <n v="15"/>
    <n v="46"/>
    <n v="15.81"/>
  </r>
  <r>
    <s v="3524942650667EF"/>
    <x v="10"/>
    <x v="0"/>
    <s v="HMC"/>
    <s v="FSV"/>
    <x v="0"/>
    <m/>
    <s v="BCT OXA"/>
    <s v="CHALON"/>
    <s v="F41DBCT"/>
    <n v="1327"/>
    <n v="1053"/>
    <x v="12"/>
    <n v="2102"/>
    <n v="377"/>
    <n v="0"/>
    <n v="14.75"/>
  </r>
  <r>
    <s v="3524942650876EF"/>
    <x v="11"/>
    <x v="0"/>
    <s v="HMC"/>
    <s v="FSV"/>
    <x v="0"/>
    <m/>
    <s v="TITANIUM OXA BCT"/>
    <s v="CHALON"/>
    <m/>
    <n v="576"/>
    <n v="489"/>
    <x v="13"/>
    <n v="886"/>
    <n v="266"/>
    <n v="284"/>
    <n v="15.81"/>
  </r>
  <r>
    <s v="352494275000000"/>
    <x v="7"/>
    <x v="0"/>
    <s v="UNC"/>
    <s v="FSV"/>
    <x v="1"/>
    <m/>
    <m/>
    <m/>
    <m/>
    <n v="0"/>
    <n v="0"/>
    <x v="0"/>
    <n v="0"/>
    <n v="0"/>
    <n v="0"/>
    <m/>
  </r>
  <r>
    <s v="3524942750640EF"/>
    <x v="9"/>
    <x v="0"/>
    <s v="HMC"/>
    <s v="FSV"/>
    <x v="1"/>
    <m/>
    <s v="TITANIUM OXA BCT"/>
    <s v="CHALON"/>
    <m/>
    <n v="1016"/>
    <n v="845"/>
    <x v="14"/>
    <n v="1625"/>
    <n v="75"/>
    <n v="124"/>
    <n v="15.81"/>
  </r>
  <r>
    <s v="3524942750667EF"/>
    <x v="10"/>
    <x v="0"/>
    <s v="HMC"/>
    <s v="FSV"/>
    <x v="1"/>
    <m/>
    <s v="BCT OXA"/>
    <s v="CHALON"/>
    <s v="F41DBCT"/>
    <n v="893"/>
    <n v="755"/>
    <x v="15"/>
    <n v="1482"/>
    <n v="199"/>
    <n v="0"/>
    <n v="14.75"/>
  </r>
  <r>
    <s v="3524942750876EF"/>
    <x v="12"/>
    <x v="0"/>
    <s v="HMC"/>
    <s v="FSV"/>
    <x v="1"/>
    <m/>
    <s v="TITANIUM OXA BCT"/>
    <s v="CHALON"/>
    <m/>
    <n v="873"/>
    <n v="743"/>
    <x v="16"/>
    <n v="1225"/>
    <n v="321"/>
    <n v="232"/>
    <n v="15.81"/>
  </r>
  <r>
    <s v="3547100550676EF"/>
    <x v="13"/>
    <x v="1"/>
    <s v="HMC"/>
    <s v="FSV"/>
    <x v="2"/>
    <m/>
    <m/>
    <s v="CHALON"/>
    <s v="F79D"/>
    <n v="728"/>
    <n v="564"/>
    <x v="17"/>
    <n v="1127"/>
    <n v="569"/>
    <n v="0"/>
    <n v="10.75"/>
  </r>
  <r>
    <s v="3547100600676EF"/>
    <x v="14"/>
    <x v="1"/>
    <s v="HMC"/>
    <s v="FSV"/>
    <x v="3"/>
    <m/>
    <m/>
    <s v="CHALON"/>
    <s v="F79D"/>
    <n v="3747"/>
    <n v="2877"/>
    <x v="18"/>
    <n v="5586"/>
    <n v="2998"/>
    <n v="181"/>
    <n v="10.75"/>
  </r>
  <r>
    <s v="3547100650237EF"/>
    <x v="15"/>
    <x v="1"/>
    <s v="HMC"/>
    <s v="FSV"/>
    <x v="0"/>
    <s v="ZSI3547100650237EFS"/>
    <m/>
    <s v="CHALON"/>
    <s v="F79D"/>
    <n v="307"/>
    <n v="268"/>
    <x v="19"/>
    <n v="536"/>
    <n v="87"/>
    <n v="0"/>
    <n v="10.75"/>
  </r>
  <r>
    <s v="354710065031400"/>
    <x v="16"/>
    <x v="1"/>
    <s v="HC"/>
    <s v="FSV"/>
    <x v="0"/>
    <m/>
    <m/>
    <m/>
    <m/>
    <n v="0"/>
    <n v="0"/>
    <x v="0"/>
    <n v="0"/>
    <n v="1710"/>
    <n v="2163"/>
    <m/>
  </r>
  <r>
    <s v="354710065060NEF"/>
    <x v="17"/>
    <x v="1"/>
    <s v="HMC"/>
    <s v="FSV"/>
    <x v="0"/>
    <m/>
    <s v="TITANIUM"/>
    <s v="CHALON"/>
    <m/>
    <n v="283"/>
    <n v="230"/>
    <x v="20"/>
    <n v="500"/>
    <n v="5"/>
    <n v="0"/>
    <n v="11.19"/>
  </r>
  <r>
    <s v="3547100650675EF"/>
    <x v="18"/>
    <x v="1"/>
    <s v="HMC"/>
    <s v="FSV"/>
    <x v="0"/>
    <m/>
    <m/>
    <m/>
    <m/>
    <n v="0"/>
    <n v="0"/>
    <x v="0"/>
    <n v="0"/>
    <n v="0"/>
    <n v="0"/>
    <m/>
  </r>
  <r>
    <s v="3547100650676EF"/>
    <x v="19"/>
    <x v="1"/>
    <s v="HMC"/>
    <s v="FSV"/>
    <x v="0"/>
    <m/>
    <m/>
    <s v="CHALON"/>
    <s v="F79D"/>
    <n v="1535"/>
    <n v="1243"/>
    <x v="21"/>
    <n v="2787"/>
    <n v="333"/>
    <n v="1"/>
    <n v="10.75"/>
  </r>
  <r>
    <s v="3547100650770EF"/>
    <x v="20"/>
    <x v="1"/>
    <s v="HMC"/>
    <s v="FSV"/>
    <x v="0"/>
    <m/>
    <m/>
    <m/>
    <m/>
    <n v="0"/>
    <n v="0"/>
    <x v="0"/>
    <n v="0"/>
    <n v="0"/>
    <n v="0"/>
    <m/>
  </r>
  <r>
    <s v="354710065087NEF"/>
    <x v="6"/>
    <x v="1"/>
    <s v="HMC"/>
    <s v="FSV"/>
    <x v="0"/>
    <m/>
    <s v="TITANIUM"/>
    <s v="CHALON"/>
    <m/>
    <n v="62"/>
    <n v="53"/>
    <x v="22"/>
    <n v="106"/>
    <n v="18"/>
    <n v="4"/>
    <n v="11.19"/>
  </r>
  <r>
    <s v="3547100700237EF"/>
    <x v="21"/>
    <x v="1"/>
    <s v="HMC"/>
    <s v="FSV"/>
    <x v="4"/>
    <s v="ZSI3547100700237EFS"/>
    <m/>
    <s v="CHALON"/>
    <s v="F79D"/>
    <n v="442"/>
    <n v="356"/>
    <x v="23"/>
    <n v="710"/>
    <n v="50"/>
    <n v="0"/>
    <n v="10.75"/>
  </r>
  <r>
    <s v="354710070031401"/>
    <x v="22"/>
    <x v="1"/>
    <s v="HC"/>
    <s v="FSV"/>
    <x v="4"/>
    <m/>
    <m/>
    <m/>
    <m/>
    <n v="0"/>
    <n v="0"/>
    <x v="0"/>
    <n v="0"/>
    <n v="2846"/>
    <n v="6031"/>
    <m/>
  </r>
  <r>
    <s v="354710070060NEF"/>
    <x v="23"/>
    <x v="1"/>
    <s v="HMC"/>
    <s v="FSV"/>
    <x v="4"/>
    <m/>
    <s v="TITANIUM"/>
    <s v="CHALON"/>
    <m/>
    <n v="383"/>
    <n v="303"/>
    <x v="24"/>
    <n v="698"/>
    <n v="148"/>
    <n v="0"/>
    <n v="11.19"/>
  </r>
  <r>
    <s v="3547100700675EF"/>
    <x v="24"/>
    <x v="1"/>
    <s v="HMC"/>
    <s v="FSV"/>
    <x v="4"/>
    <m/>
    <m/>
    <m/>
    <m/>
    <n v="0"/>
    <n v="0"/>
    <x v="0"/>
    <n v="0"/>
    <n v="0"/>
    <n v="0"/>
    <m/>
  </r>
  <r>
    <s v="3547100700770EF"/>
    <x v="25"/>
    <x v="1"/>
    <s v="HMC"/>
    <s v="FSV"/>
    <x v="4"/>
    <m/>
    <m/>
    <m/>
    <m/>
    <n v="0"/>
    <n v="0"/>
    <x v="0"/>
    <n v="0"/>
    <n v="0"/>
    <n v="0"/>
    <m/>
  </r>
  <r>
    <s v="354710070087NEF"/>
    <x v="26"/>
    <x v="1"/>
    <s v="HMC"/>
    <s v="FSV"/>
    <x v="4"/>
    <m/>
    <s v="TITANIUM"/>
    <s v="CHALON"/>
    <m/>
    <n v="106"/>
    <n v="93"/>
    <x v="25"/>
    <n v="186"/>
    <n v="169"/>
    <n v="3"/>
    <n v="11.19"/>
  </r>
  <r>
    <s v="3555100650719EF"/>
    <x v="0"/>
    <x v="2"/>
    <s v="HMC"/>
    <s v="FSV"/>
    <x v="0"/>
    <m/>
    <m/>
    <m/>
    <m/>
    <n v="0"/>
    <n v="0"/>
    <x v="0"/>
    <n v="0"/>
    <n v="0"/>
    <n v="0"/>
    <m/>
  </r>
  <r>
    <s v="3555100750719EF"/>
    <x v="0"/>
    <x v="2"/>
    <s v="HMC"/>
    <s v="FSV"/>
    <x v="1"/>
    <m/>
    <m/>
    <m/>
    <m/>
    <n v="0"/>
    <n v="0"/>
    <x v="0"/>
    <n v="0"/>
    <n v="0"/>
    <n v="0"/>
    <m/>
  </r>
  <r>
    <s v="3555100800719EF"/>
    <x v="0"/>
    <x v="2"/>
    <s v="HMC"/>
    <s v="FSV"/>
    <x v="5"/>
    <m/>
    <m/>
    <m/>
    <m/>
    <n v="0"/>
    <n v="0"/>
    <x v="0"/>
    <n v="0"/>
    <n v="0"/>
    <n v="0"/>
    <m/>
  </r>
  <r>
    <s v="3561100650237EF"/>
    <x v="1"/>
    <x v="2"/>
    <s v="HMC"/>
    <s v="FSV"/>
    <x v="0"/>
    <m/>
    <m/>
    <s v="CHALON"/>
    <s v="F42D"/>
    <n v="94"/>
    <n v="55"/>
    <x v="26"/>
    <n v="110"/>
    <n v="9"/>
    <n v="0"/>
    <n v="16.649999999999999"/>
  </r>
  <r>
    <s v="3561100650640EF"/>
    <x v="2"/>
    <x v="2"/>
    <s v="HMC"/>
    <s v="FSV"/>
    <x v="0"/>
    <m/>
    <s v="TITANIUM"/>
    <s v="CHALON"/>
    <m/>
    <n v="213"/>
    <n v="103"/>
    <x v="27"/>
    <n v="206"/>
    <n v="37"/>
    <n v="0"/>
    <n v="16.940000000000001"/>
  </r>
  <r>
    <s v="3561100650675EF"/>
    <x v="3"/>
    <x v="2"/>
    <s v="HMC"/>
    <s v="FSV"/>
    <x v="0"/>
    <m/>
    <m/>
    <m/>
    <m/>
    <n v="0"/>
    <n v="0"/>
    <x v="0"/>
    <n v="0"/>
    <n v="0"/>
    <n v="0"/>
    <m/>
  </r>
  <r>
    <s v="3561100650719EF"/>
    <x v="0"/>
    <x v="2"/>
    <s v="HMC"/>
    <s v="FSV"/>
    <x v="0"/>
    <m/>
    <m/>
    <m/>
    <m/>
    <n v="0"/>
    <n v="0"/>
    <x v="0"/>
    <n v="0"/>
    <n v="0"/>
    <n v="0"/>
    <m/>
  </r>
  <r>
    <s v="3561100650876EF"/>
    <x v="6"/>
    <x v="2"/>
    <s v="HMC"/>
    <s v="FSV"/>
    <x v="0"/>
    <m/>
    <s v="TITANIUM"/>
    <s v="CHALON"/>
    <m/>
    <n v="163"/>
    <n v="102"/>
    <x v="28"/>
    <n v="204"/>
    <n v="30"/>
    <n v="0"/>
    <n v="16.940000000000001"/>
  </r>
  <r>
    <s v="3561100700237EF"/>
    <x v="1"/>
    <x v="2"/>
    <s v="HMC"/>
    <s v="FSV"/>
    <x v="4"/>
    <m/>
    <m/>
    <s v="CHALON"/>
    <s v="F42D"/>
    <n v="34"/>
    <n v="28"/>
    <x v="29"/>
    <n v="56"/>
    <n v="0"/>
    <n v="0"/>
    <n v="16.649999999999999"/>
  </r>
  <r>
    <s v="3561100700640EF"/>
    <x v="2"/>
    <x v="2"/>
    <s v="HMC"/>
    <s v="FSV"/>
    <x v="4"/>
    <m/>
    <s v="TITANIUM"/>
    <s v="CHALON"/>
    <m/>
    <n v="106"/>
    <n v="81"/>
    <x v="30"/>
    <n v="162"/>
    <n v="14"/>
    <n v="0"/>
    <n v="16.940000000000001"/>
  </r>
  <r>
    <s v="3561100700675EF"/>
    <x v="3"/>
    <x v="2"/>
    <s v="HMC"/>
    <s v="FSV"/>
    <x v="4"/>
    <m/>
    <m/>
    <m/>
    <m/>
    <n v="0"/>
    <n v="0"/>
    <x v="0"/>
    <n v="0"/>
    <n v="0"/>
    <n v="0"/>
    <m/>
  </r>
  <r>
    <s v="3561100700719EF"/>
    <x v="0"/>
    <x v="2"/>
    <s v="HMC"/>
    <s v="FSV"/>
    <x v="4"/>
    <m/>
    <m/>
    <m/>
    <m/>
    <n v="0"/>
    <n v="0"/>
    <x v="0"/>
    <n v="0"/>
    <n v="0"/>
    <n v="0"/>
    <m/>
  </r>
  <r>
    <s v="3561100700876EF"/>
    <x v="26"/>
    <x v="2"/>
    <s v="HMC"/>
    <s v="FSV"/>
    <x v="4"/>
    <m/>
    <s v="TITANIUM"/>
    <s v="CHALON"/>
    <m/>
    <n v="95"/>
    <n v="70"/>
    <x v="31"/>
    <n v="140"/>
    <n v="3"/>
    <n v="0"/>
    <n v="16.940000000000001"/>
  </r>
  <r>
    <s v="356110075000000"/>
    <x v="7"/>
    <x v="2"/>
    <s v="UNC"/>
    <s v="FSV"/>
    <x v="1"/>
    <m/>
    <m/>
    <m/>
    <m/>
    <n v="0"/>
    <n v="0"/>
    <x v="0"/>
    <n v="0"/>
    <n v="0"/>
    <n v="0"/>
    <m/>
  </r>
  <r>
    <s v="3561100750237EF"/>
    <x v="1"/>
    <x v="2"/>
    <s v="HMC"/>
    <s v="FSV"/>
    <x v="1"/>
    <m/>
    <m/>
    <s v="CHALON"/>
    <s v="F42D"/>
    <n v="145"/>
    <n v="117"/>
    <x v="32"/>
    <n v="234"/>
    <n v="9"/>
    <n v="0"/>
    <n v="16.649999999999999"/>
  </r>
  <r>
    <s v="3561100750640EF"/>
    <x v="2"/>
    <x v="2"/>
    <s v="HMC"/>
    <s v="FSV"/>
    <x v="1"/>
    <m/>
    <s v="TITANIUM"/>
    <s v="CHALON"/>
    <m/>
    <n v="465"/>
    <n v="393"/>
    <x v="33"/>
    <n v="778"/>
    <n v="346"/>
    <n v="0"/>
    <n v="16.940000000000001"/>
  </r>
  <r>
    <s v="3561100750675EF"/>
    <x v="3"/>
    <x v="2"/>
    <s v="HMC"/>
    <s v="FSV"/>
    <x v="1"/>
    <m/>
    <m/>
    <m/>
    <m/>
    <n v="0"/>
    <n v="0"/>
    <x v="0"/>
    <n v="0"/>
    <n v="0"/>
    <n v="0"/>
    <m/>
  </r>
  <r>
    <s v="3561100750719EF"/>
    <x v="0"/>
    <x v="2"/>
    <s v="HMC"/>
    <s v="FSV"/>
    <x v="1"/>
    <m/>
    <m/>
    <m/>
    <m/>
    <n v="0"/>
    <n v="0"/>
    <x v="0"/>
    <n v="0"/>
    <n v="0"/>
    <n v="0"/>
    <m/>
  </r>
  <r>
    <s v="3561100750876EF"/>
    <x v="8"/>
    <x v="2"/>
    <s v="HMC"/>
    <s v="FSV"/>
    <x v="1"/>
    <m/>
    <s v="TITANIUM"/>
    <s v="CHALON"/>
    <m/>
    <n v="679"/>
    <n v="531"/>
    <x v="34"/>
    <n v="1060"/>
    <n v="248"/>
    <n v="0"/>
    <n v="16.940000000000001"/>
  </r>
  <r>
    <s v="3T24100650667EF"/>
    <x v="27"/>
    <x v="0"/>
    <s v="HMC"/>
    <s v="FSV"/>
    <x v="0"/>
    <m/>
    <m/>
    <m/>
    <m/>
    <n v="0"/>
    <n v="0"/>
    <x v="0"/>
    <n v="0"/>
    <n v="0"/>
    <n v="0"/>
    <m/>
  </r>
  <r>
    <s v="3T2410065071900"/>
    <x v="28"/>
    <x v="0"/>
    <s v="HMC"/>
    <s v="FSV"/>
    <x v="0"/>
    <m/>
    <m/>
    <m/>
    <m/>
    <n v="0"/>
    <n v="0"/>
    <x v="0"/>
    <n v="0"/>
    <n v="0"/>
    <n v="0"/>
    <m/>
  </r>
  <r>
    <s v="3T24100650719EF"/>
    <x v="29"/>
    <x v="0"/>
    <s v="HMC"/>
    <s v="FSV"/>
    <x v="0"/>
    <m/>
    <s v="BCT NEXT GEN"/>
    <s v="CHALON"/>
    <m/>
    <n v="0"/>
    <n v="0"/>
    <x v="0"/>
    <n v="0"/>
    <n v="0"/>
    <n v="0"/>
    <m/>
  </r>
  <r>
    <s v="3T24100650A2EB1"/>
    <x v="30"/>
    <x v="0"/>
    <s v="HMC"/>
    <s v="FSV"/>
    <x v="0"/>
    <m/>
    <m/>
    <m/>
    <m/>
    <n v="0"/>
    <n v="0"/>
    <x v="0"/>
    <n v="0"/>
    <n v="0"/>
    <n v="0"/>
    <m/>
  </r>
  <r>
    <s v="3T24100650A2EK1"/>
    <x v="31"/>
    <x v="0"/>
    <s v="HMC"/>
    <s v="FSV"/>
    <x v="0"/>
    <m/>
    <m/>
    <m/>
    <m/>
    <n v="0"/>
    <n v="0"/>
    <x v="0"/>
    <n v="0"/>
    <n v="0"/>
    <n v="0"/>
    <m/>
  </r>
  <r>
    <s v="3T24100750667EF"/>
    <x v="27"/>
    <x v="0"/>
    <s v="HMC"/>
    <s v="FSV"/>
    <x v="1"/>
    <m/>
    <m/>
    <m/>
    <m/>
    <n v="0"/>
    <n v="0"/>
    <x v="0"/>
    <n v="0"/>
    <n v="0"/>
    <n v="0"/>
    <m/>
  </r>
  <r>
    <s v="3T2410075071900"/>
    <x v="28"/>
    <x v="0"/>
    <s v="HMC"/>
    <s v="FSV"/>
    <x v="1"/>
    <m/>
    <m/>
    <m/>
    <m/>
    <n v="0"/>
    <n v="0"/>
    <x v="0"/>
    <n v="0"/>
    <n v="0"/>
    <n v="0"/>
    <m/>
  </r>
  <r>
    <s v="3T24100750719EF"/>
    <x v="29"/>
    <x v="0"/>
    <s v="HMC"/>
    <s v="FSV"/>
    <x v="1"/>
    <m/>
    <s v="BCT NEXT GEN"/>
    <s v="CHALON"/>
    <m/>
    <n v="0"/>
    <n v="0"/>
    <x v="0"/>
    <n v="0"/>
    <n v="0"/>
    <n v="0"/>
    <m/>
  </r>
  <r>
    <s v="3T24100750A2EB1"/>
    <x v="30"/>
    <x v="0"/>
    <s v="HMC"/>
    <s v="FSV"/>
    <x v="1"/>
    <m/>
    <m/>
    <m/>
    <m/>
    <n v="0"/>
    <n v="0"/>
    <x v="0"/>
    <n v="0"/>
    <n v="0"/>
    <n v="0"/>
    <m/>
  </r>
  <r>
    <s v="3T24100750A2EK1"/>
    <x v="31"/>
    <x v="0"/>
    <s v="HMC"/>
    <s v="FSV"/>
    <x v="1"/>
    <m/>
    <m/>
    <m/>
    <m/>
    <n v="0"/>
    <n v="0"/>
    <x v="0"/>
    <n v="0"/>
    <n v="0"/>
    <n v="0"/>
    <m/>
  </r>
  <r>
    <s v="547410081200000"/>
    <x v="32"/>
    <x v="1"/>
    <s v="UNC"/>
    <s v="SFPAL"/>
    <x v="6"/>
    <s v="ZSZ5474100812000C02U"/>
    <m/>
    <s v="US"/>
    <s v="F73D"/>
    <n v="77256"/>
    <n v="74893"/>
    <x v="35"/>
    <n v="80070"/>
    <n v="3653"/>
    <n v="7413"/>
    <n v="1.82"/>
  </r>
  <r>
    <s v="547410081231401"/>
    <x v="33"/>
    <x v="1"/>
    <s v="HC"/>
    <s v="SFPAL"/>
    <x v="6"/>
    <s v="ZSZ5474100812314C02U"/>
    <m/>
    <s v="ESSILOR /PROVINS"/>
    <s v="F67D"/>
    <n v="18504"/>
    <n v="16786"/>
    <x v="36"/>
    <n v="0"/>
    <n v="0"/>
    <n v="0"/>
    <n v="2.1800000000000002"/>
  </r>
  <r>
    <s v="548410081200000"/>
    <x v="34"/>
    <x v="1"/>
    <s v="UNC"/>
    <s v="SFPAL"/>
    <x v="6"/>
    <s v="ZSZ5484100812000C02U"/>
    <m/>
    <m/>
    <m/>
    <n v="41452"/>
    <n v="40099"/>
    <x v="37"/>
    <n v="43530"/>
    <n v="1256"/>
    <n v="4340"/>
    <m/>
  </r>
  <r>
    <s v="548410081231400"/>
    <x v="35"/>
    <x v="1"/>
    <s v="HC"/>
    <s v="SFPAL"/>
    <x v="6"/>
    <s v="ZSZ5484100812314C02U"/>
    <m/>
    <s v="ESSILOR /PROVINS"/>
    <s v="F67D"/>
    <n v="12424"/>
    <n v="11848"/>
    <x v="38"/>
    <n v="11010"/>
    <n v="20"/>
    <n v="2122"/>
    <n v="2.1800000000000002"/>
  </r>
  <r>
    <s v="554410076000000"/>
    <x v="36"/>
    <x v="1"/>
    <s v="UNC"/>
    <s v="SFSV"/>
    <x v="7"/>
    <s v="ZSZ5544100760000C02U"/>
    <s v="UNCOAT TS DESTINATAIRE"/>
    <s v="US"/>
    <s v="F70D"/>
    <n v="6080"/>
    <n v="5842"/>
    <x v="39"/>
    <n v="5820"/>
    <n v="0"/>
    <n v="393"/>
    <n v="1.82"/>
  </r>
  <r>
    <s v="554410076031400"/>
    <x v="37"/>
    <x v="1"/>
    <s v="HC"/>
    <s v="SFSV"/>
    <x v="7"/>
    <s v="ZSZ5544100760314C02U"/>
    <m/>
    <s v="ESSILOR /PROVINS"/>
    <s v="F67D"/>
    <n v="1896"/>
    <n v="1847"/>
    <x v="40"/>
    <n v="0"/>
    <n v="0"/>
    <n v="0"/>
    <n v="2.16"/>
  </r>
  <r>
    <s v="554710076000000"/>
    <x v="38"/>
    <x v="1"/>
    <s v="UNC"/>
    <s v="SFSV"/>
    <x v="7"/>
    <s v="ZSZ5547100760000C02U"/>
    <s v="UNCOAT TS DESTINATAIRE"/>
    <s v="US"/>
    <s v="F70D"/>
    <n v="90904"/>
    <n v="88252"/>
    <x v="41"/>
    <n v="88590"/>
    <n v="8609"/>
    <n v="3939"/>
    <n v="1.82"/>
  </r>
  <r>
    <s v="554710076031400"/>
    <x v="39"/>
    <x v="1"/>
    <s v="HC"/>
    <s v="SFSV"/>
    <x v="7"/>
    <s v="ZSZ5547100760314C02U"/>
    <m/>
    <m/>
    <s v="F67D"/>
    <n v="15164"/>
    <n v="14649"/>
    <x v="42"/>
    <n v="21480"/>
    <n v="4650"/>
    <n v="770"/>
    <n v="2.16"/>
  </r>
  <r>
    <s v="5673100802314B1"/>
    <x v="40"/>
    <x v="1"/>
    <s v="HC"/>
    <s v="SFPAL"/>
    <x v="5"/>
    <s v="ZSZ5673100802314B02U"/>
    <m/>
    <m/>
    <m/>
    <n v="160"/>
    <n v="125"/>
    <x v="43"/>
    <n v="0"/>
    <n v="0"/>
    <n v="0"/>
    <m/>
  </r>
  <r>
    <s v="580410080231400"/>
    <x v="41"/>
    <x v="1"/>
    <s v="HC"/>
    <s v="SFPAL"/>
    <x v="5"/>
    <s v="ZSZ5804100802314B02U"/>
    <m/>
    <s v="ESSILOR /PROVINS"/>
    <s v="F67D"/>
    <n v="352"/>
    <n v="315"/>
    <x v="44"/>
    <n v="0"/>
    <n v="0"/>
    <n v="0"/>
    <n v="2.1800000000000002"/>
  </r>
  <r>
    <s v="580910080231400"/>
    <x v="42"/>
    <x v="1"/>
    <s v="HC"/>
    <s v="SFPAL"/>
    <x v="5"/>
    <s v="ZSZ5809OVA803140C02U"/>
    <m/>
    <m/>
    <m/>
    <n v="25990"/>
    <n v="24413"/>
    <x v="45"/>
    <n v="27180"/>
    <n v="1529"/>
    <n v="2062"/>
    <m/>
  </r>
</pivotCacheRecords>
</file>

<file path=xl/pivotTables/_rels/pivotTable1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1.xml"/></Relationships>
</file>

<file path=xl/pivotTables/pivotTable1.xml><?xml version="1.0" encoding="utf-8"?>
<pivotTableDefinition xmlns="http://schemas.openxmlformats.org/spreadsheetml/2006/main" name="Tableau croisé dynamique7" cacheId="398" applyNumberFormats="0" applyBorderFormats="0" applyFontFormats="0" applyPatternFormats="0" applyAlignmentFormats="0" applyWidthHeightFormats="1" dataCaption="Valeurs" updatedVersion="6" minRefreshableVersion="3" useAutoFormatting="1" itemPrintTitles="1" createdVersion="6" indent="0" outline="1" outlineData="1" multipleFieldFilters="0">
  <location ref="A2:E37" firstHeaderRow="0" firstDataRow="1" firstDataCol="1"/>
  <pivotFields count="17">
    <pivotField showAll="0"/>
    <pivotField axis="axisRow" showAll="0">
      <items count="44">
        <item x="10"/>
        <item x="9"/>
        <item x="12"/>
        <item x="1"/>
        <item x="27"/>
        <item x="3"/>
        <item x="5"/>
        <item x="11"/>
        <item x="13"/>
        <item x="14"/>
        <item x="19"/>
        <item x="17"/>
        <item x="23"/>
        <item x="6"/>
        <item x="26"/>
        <item x="8"/>
        <item x="22"/>
        <item x="21"/>
        <item x="18"/>
        <item x="24"/>
        <item x="16"/>
        <item x="15"/>
        <item x="30"/>
        <item x="31"/>
        <item x="4"/>
        <item x="2"/>
        <item x="0"/>
        <item x="29"/>
        <item x="20"/>
        <item x="25"/>
        <item x="28"/>
        <item x="41"/>
        <item x="33"/>
        <item x="32"/>
        <item x="42"/>
        <item x="35"/>
        <item x="34"/>
        <item x="40"/>
        <item x="37"/>
        <item x="36"/>
        <item x="39"/>
        <item x="38"/>
        <item x="7"/>
        <item t="default"/>
      </items>
    </pivotField>
    <pivotField axis="axisRow" showAll="0">
      <items count="4">
        <item x="0"/>
        <item h="1" x="2"/>
        <item h="1" x="1"/>
        <item t="default"/>
      </items>
    </pivotField>
    <pivotField showAll="0"/>
    <pivotField showAll="0"/>
    <pivotField axis="axisRow" showAll="0">
      <items count="9">
        <item x="2"/>
        <item x="3"/>
        <item x="0"/>
        <item x="4"/>
        <item x="1"/>
        <item x="7"/>
        <item x="5"/>
        <item x="6"/>
        <item t="default"/>
      </items>
    </pivotField>
    <pivotField showAll="0"/>
    <pivotField showAll="0"/>
    <pivotField showAll="0"/>
    <pivotField showAll="0"/>
    <pivotField dataField="1" numFmtId="3" showAll="0"/>
    <pivotField dataField="1" numFmtId="3" showAll="0"/>
    <pivotField dataField="1" showAll="0">
      <items count="47">
        <item x="27"/>
        <item x="26"/>
        <item x="28"/>
        <item x="31"/>
        <item x="11"/>
        <item x="30"/>
        <item x="18"/>
        <item x="17"/>
        <item x="43"/>
        <item x="34"/>
        <item x="24"/>
        <item x="12"/>
        <item x="5"/>
        <item x="2"/>
        <item x="23"/>
        <item x="32"/>
        <item x="21"/>
        <item x="1"/>
        <item x="7"/>
        <item x="3"/>
        <item x="20"/>
        <item x="8"/>
        <item x="29"/>
        <item x="14"/>
        <item x="4"/>
        <item x="6"/>
        <item x="33"/>
        <item x="15"/>
        <item x="10"/>
        <item x="13"/>
        <item x="16"/>
        <item x="22"/>
        <item x="9"/>
        <item x="19"/>
        <item x="25"/>
        <item x="44"/>
        <item x="36"/>
        <item x="45"/>
        <item x="38"/>
        <item x="39"/>
        <item x="42"/>
        <item x="37"/>
        <item x="35"/>
        <item x="41"/>
        <item x="40"/>
        <item x="0"/>
        <item t="default"/>
      </items>
    </pivotField>
    <pivotField showAll="0"/>
    <pivotField dataField="1" numFmtId="3" showAll="0"/>
    <pivotField showAll="0"/>
    <pivotField showAll="0"/>
  </pivotFields>
  <rowFields count="3">
    <field x="2"/>
    <field x="5"/>
    <field x="1"/>
  </rowFields>
  <rowItems count="35">
    <i>
      <x/>
    </i>
    <i r="1">
      <x v="2"/>
    </i>
    <i r="2">
      <x/>
    </i>
    <i r="2">
      <x v="1"/>
    </i>
    <i r="2">
      <x v="3"/>
    </i>
    <i r="2">
      <x v="4"/>
    </i>
    <i r="2">
      <x v="5"/>
    </i>
    <i r="2">
      <x v="6"/>
    </i>
    <i r="2">
      <x v="7"/>
    </i>
    <i r="2">
      <x v="13"/>
    </i>
    <i r="2">
      <x v="22"/>
    </i>
    <i r="2">
      <x v="23"/>
    </i>
    <i r="2">
      <x v="24"/>
    </i>
    <i r="2">
      <x v="25"/>
    </i>
    <i r="2">
      <x v="26"/>
    </i>
    <i r="2">
      <x v="27"/>
    </i>
    <i r="2">
      <x v="30"/>
    </i>
    <i r="1">
      <x v="4"/>
    </i>
    <i r="2">
      <x/>
    </i>
    <i r="2">
      <x v="1"/>
    </i>
    <i r="2">
      <x v="2"/>
    </i>
    <i r="2">
      <x v="3"/>
    </i>
    <i r="2">
      <x v="4"/>
    </i>
    <i r="2">
      <x v="5"/>
    </i>
    <i r="2">
      <x v="6"/>
    </i>
    <i r="2">
      <x v="15"/>
    </i>
    <i r="2">
      <x v="22"/>
    </i>
    <i r="2">
      <x v="23"/>
    </i>
    <i r="2">
      <x v="24"/>
    </i>
    <i r="2">
      <x v="25"/>
    </i>
    <i r="2">
      <x v="26"/>
    </i>
    <i r="2">
      <x v="27"/>
    </i>
    <i r="2">
      <x v="30"/>
    </i>
    <i r="2">
      <x v="42"/>
    </i>
    <i t="grand">
      <x/>
    </i>
  </rowItems>
  <colFields count="1">
    <field x="-2"/>
  </colFields>
  <colItems count="4">
    <i>
      <x/>
    </i>
    <i i="1">
      <x v="1"/>
    </i>
    <i i="2">
      <x v="2"/>
    </i>
    <i i="3">
      <x v="3"/>
    </i>
  </colItems>
  <dataFields count="4">
    <dataField name="Somme de Launched Qty" fld="10" baseField="0" baseItem="0"/>
    <dataField name="Somme de Good Qty" fld="11" baseField="0" baseItem="0"/>
    <dataField name="Somme de Yield (%)" fld="12" baseField="0" baseItem="0"/>
    <dataField name="Somme de WIP Production" fld="14" baseField="0" baseItem="0"/>
  </dataFields>
  <formats count="5">
    <format dxfId="8">
      <pivotArea collapsedLevelsAreSubtotals="1" fieldPosition="0">
        <references count="2">
          <reference field="4294967294" count="1" selected="0">
            <x v="2"/>
          </reference>
          <reference field="2" count="1">
            <x v="0"/>
          </reference>
        </references>
      </pivotArea>
    </format>
    <format dxfId="7">
      <pivotArea collapsedLevelsAreSubtotals="1" fieldPosition="0">
        <references count="3">
          <reference field="4294967294" count="1" selected="0">
            <x v="2"/>
          </reference>
          <reference field="2" count="1" selected="0">
            <x v="0"/>
          </reference>
          <reference field="5" count="1">
            <x v="2"/>
          </reference>
        </references>
      </pivotArea>
    </format>
    <format dxfId="6">
      <pivotArea collapsedLevelsAreSubtotals="1" fieldPosition="0">
        <references count="3">
          <reference field="4294967294" count="1" selected="0">
            <x v="2"/>
          </reference>
          <reference field="2" count="1" selected="0">
            <x v="0"/>
          </reference>
          <reference field="5" count="1">
            <x v="4"/>
          </reference>
        </references>
      </pivotArea>
    </format>
    <format dxfId="5">
      <pivotArea collapsedLevelsAreSubtotals="1" fieldPosition="0">
        <references count="2">
          <reference field="4294967294" count="1" selected="0">
            <x v="2"/>
          </reference>
          <reference field="2" count="1">
            <x v="1"/>
          </reference>
        </references>
      </pivotArea>
    </format>
    <format dxfId="0">
      <pivotArea field="2" grandRow="1" outline="0" collapsedLevelsAreSubtotals="1" axis="axisRow" fieldPosition="0">
        <references count="1">
          <reference field="4294967294" count="1" selected="0">
            <x v="2"/>
          </reference>
        </references>
      </pivotArea>
    </format>
  </formats>
  <pivotTableStyleInfo name="PivotStyleLight16" showRowHeaders="1" showColHeaders="1" showRowStripes="0" showColStripes="0" showLastColumn="1"/>
  <extLst>
    <ext xmlns:x14="http://schemas.microsoft.com/office/spreadsheetml/2009/9/main" uri="{962EF5D1-5CA2-4c93-8EF4-DBF5C05439D2}">
      <x14:pivotTableDefinition xmlns:xm="http://schemas.microsoft.com/office/excel/2006/main" hideValuesRow="1"/>
    </ext>
  </extLst>
</pivotTableDefinition>
</file>

<file path=xl/tables/table1.xml><?xml version="1.0" encoding="utf-8"?>
<table xmlns="http://schemas.openxmlformats.org/spreadsheetml/2006/main" id="1" name="Tabcosting" displayName="Tabcosting" ref="R2:AH82" totalsRowCount="1" headerRowDxfId="54" dataDxfId="53" headerRowBorderDxfId="51" tableBorderDxfId="52">
  <autoFilter ref="R2:AH81"/>
  <tableColumns count="17">
    <tableColumn id="1" name="RPL Family" totalsRowLabel="TOTAL" dataDxfId="49" totalsRowDxfId="50"/>
    <tableColumn id="2" name="Family Description" dataDxfId="47" totalsRowDxfId="48"/>
    <tableColumn id="3" name="Index" dataDxfId="45" totalsRowDxfId="46"/>
    <tableColumn id="4" name="VA" dataDxfId="43" totalsRowDxfId="44"/>
    <tableColumn id="5" name="Design" dataDxfId="41" totalsRowDxfId="42"/>
    <tableColumn id="18" name="DIAM" dataDxfId="39" totalsRowDxfId="40">
      <calculatedColumnFormula>MID(Tabcosting[[#This Row],[RPL Family]],8,2)</calculatedColumnFormula>
    </tableColumn>
    <tableColumn id="17" name="LIAISON RPL" dataDxfId="37" totalsRowDxfId="38"/>
    <tableColumn id="6" name="CAT" dataDxfId="35" totalsRowDxfId="36"/>
    <tableColumn id="12" name="CLIENT" dataDxfId="33" totalsRowDxfId="34"/>
    <tableColumn id="14" name="SECTION" dataDxfId="31" totalsRowDxfId="32"/>
    <tableColumn id="7" name="Launched Qty" totalsRowFunction="sum" dataDxfId="29" totalsRowDxfId="30">
      <calculatedColumnFormula>M3+F3</calculatedColumnFormula>
    </tableColumn>
    <tableColumn id="8" name="Good Qty" totalsRowFunction="sum" dataDxfId="27" totalsRowDxfId="28">
      <calculatedColumnFormula>N3+G3</calculatedColumnFormula>
    </tableColumn>
    <tableColumn id="9" name="Yield (%)" totalsRowFunction="custom" dataDxfId="25" totalsRowDxfId="26" dataCellStyle="Pourcentage">
      <calculatedColumnFormula>IFERROR(Tabcosting[[#This Row],[Good Qty]]/Tabcosting[[#This Row],[Launched Qty]],"")</calculatedColumnFormula>
      <totalsRowFormula>Tabcosting[[#Totals],[Good Qty]]/Tabcosting[[#Totals],[Launched Qty]]</totalsRowFormula>
    </tableColumn>
    <tableColumn id="10" name="Shipment (Stock Lens)" totalsRowFunction="sum" dataDxfId="23" totalsRowDxfId="24"/>
    <tableColumn id="11" name="WIP Production" totalsRowFunction="sum" dataDxfId="21" totalsRowDxfId="22">
      <calculatedColumnFormula>O3+J3</calculatedColumnFormula>
    </tableColumn>
    <tableColumn id="13" name="Wip Stock " totalsRowFunction="sum" dataDxfId="19" totalsRowDxfId="20"/>
    <tableColumn id="15" name="PRIX" totalsRowFunction="sum" dataDxfId="17" totalsRowDxfId="18"/>
  </tableColumns>
  <tableStyleInfo name="TableStyleMedium2" showFirstColumn="0" showLastColumn="0" showRowStripes="1" showColumnStripes="0"/>
</table>
</file>

<file path=xl/tables/table2.xml><?xml version="1.0" encoding="utf-8"?>
<table xmlns="http://schemas.openxmlformats.org/spreadsheetml/2006/main" id="2" name="Tableau2" displayName="Tableau2" ref="M2:P82" totalsRowCount="1" headerRowDxfId="16" dataDxfId="15" tableBorderDxfId="14" totalsRowBorderDxfId="13">
  <tableColumns count="4">
    <tableColumn id="1" name="Launched Qty" dataDxfId="12"/>
    <tableColumn id="2" name="Good Qty" dataDxfId="11"/>
    <tableColumn id="3" name="WIP Production" dataDxfId="10"/>
    <tableColumn id="4" name="Commentaires" dataDxfId="9"/>
  </tableColumns>
  <tableStyleInfo name="TableStyleMedium2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7" Type="http://schemas.openxmlformats.org/officeDocument/2006/relationships/comments" Target="../comments1.x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table" Target="../tables/table2.xml"/><Relationship Id="rId5" Type="http://schemas.openxmlformats.org/officeDocument/2006/relationships/table" Target="../tables/table1.xml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ivotTable" Target="../pivotTables/pivotTable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6"/>
  <dimension ref="A1:AV90"/>
  <sheetViews>
    <sheetView topLeftCell="R1" zoomScale="93" zoomScaleNormal="93" workbookViewId="0">
      <selection activeCell="AD3" sqref="AD3"/>
    </sheetView>
  </sheetViews>
  <sheetFormatPr baseColWidth="10" defaultRowHeight="20.100000000000001" customHeight="1" outlineLevelCol="1" x14ac:dyDescent="0.2"/>
  <cols>
    <col min="1" max="1" width="15" style="2" bestFit="1" customWidth="1"/>
    <col min="2" max="2" width="31.140625" style="2" customWidth="1" outlineLevel="1"/>
    <col min="3" max="3" width="11.42578125" style="2" customWidth="1" outlineLevel="1"/>
    <col min="4" max="4" width="17.42578125" style="2" customWidth="1" outlineLevel="1"/>
    <col min="5" max="5" width="11.42578125" style="2" customWidth="1" outlineLevel="1"/>
    <col min="6" max="12" width="11.42578125" style="2"/>
    <col min="13" max="13" width="15.5703125" style="2" customWidth="1"/>
    <col min="14" max="14" width="12.140625" style="2" customWidth="1"/>
    <col min="15" max="15" width="17.7109375" style="2" customWidth="1"/>
    <col min="16" max="16" width="21" style="2" customWidth="1"/>
    <col min="17" max="17" width="11.42578125" style="2"/>
    <col min="18" max="18" width="18" style="87" bestFit="1" customWidth="1"/>
    <col min="19" max="19" width="35.28515625" style="88" customWidth="1" outlineLevel="1"/>
    <col min="20" max="20" width="12" style="87" customWidth="1" outlineLevel="1"/>
    <col min="21" max="21" width="10" style="87" customWidth="1" outlineLevel="1"/>
    <col min="22" max="23" width="13.5703125" style="87" customWidth="1" outlineLevel="1"/>
    <col min="24" max="24" width="25" style="87" customWidth="1" outlineLevel="1"/>
    <col min="25" max="25" width="12" style="87" customWidth="1" outlineLevel="1"/>
    <col min="26" max="27" width="21.28515625" style="87" customWidth="1" outlineLevel="1"/>
    <col min="28" max="28" width="19.42578125" style="87" bestFit="1" customWidth="1"/>
    <col min="29" max="29" width="15.85546875" style="87" bestFit="1" customWidth="1"/>
    <col min="30" max="30" width="11.42578125" style="89"/>
    <col min="31" max="31" width="25.140625" style="87" customWidth="1"/>
    <col min="32" max="32" width="18.7109375" style="87" bestFit="1" customWidth="1"/>
    <col min="33" max="33" width="9.140625" style="2" customWidth="1"/>
    <col min="34" max="47" width="11.42578125" style="2"/>
    <col min="48" max="48" width="11.5703125" style="2" customWidth="1"/>
    <col min="49" max="49" width="20" style="2" bestFit="1" customWidth="1"/>
    <col min="50" max="50" width="24.28515625" style="2" bestFit="1" customWidth="1"/>
    <col min="51" max="51" width="20" style="2" bestFit="1" customWidth="1"/>
    <col min="52" max="52" width="24.28515625" style="2" bestFit="1" customWidth="1"/>
    <col min="53" max="53" width="20" style="2" bestFit="1" customWidth="1"/>
    <col min="54" max="54" width="24.28515625" style="2" bestFit="1" customWidth="1"/>
    <col min="55" max="55" width="20" style="2" bestFit="1" customWidth="1"/>
    <col min="56" max="56" width="24.28515625" style="2" bestFit="1" customWidth="1"/>
    <col min="57" max="57" width="20" style="2" bestFit="1" customWidth="1"/>
    <col min="58" max="58" width="24.28515625" style="2" bestFit="1" customWidth="1"/>
    <col min="59" max="59" width="20" style="2" bestFit="1" customWidth="1"/>
    <col min="60" max="60" width="24.28515625" style="2" bestFit="1" customWidth="1"/>
    <col min="61" max="61" width="20" style="2" bestFit="1" customWidth="1"/>
    <col min="62" max="62" width="24.28515625" style="2" bestFit="1" customWidth="1"/>
    <col min="63" max="63" width="20" style="2" bestFit="1" customWidth="1"/>
    <col min="64" max="64" width="24.28515625" style="2" bestFit="1" customWidth="1"/>
    <col min="65" max="65" width="20" style="2" bestFit="1" customWidth="1"/>
    <col min="66" max="66" width="24.28515625" style="2" bestFit="1" customWidth="1"/>
    <col min="67" max="67" width="20" style="2" bestFit="1" customWidth="1"/>
    <col min="68" max="68" width="24.28515625" style="2" bestFit="1" customWidth="1"/>
    <col min="69" max="69" width="20" style="2" bestFit="1" customWidth="1"/>
    <col min="70" max="70" width="24.28515625" style="2" bestFit="1" customWidth="1"/>
    <col min="71" max="71" width="20" style="2" bestFit="1" customWidth="1"/>
    <col min="72" max="72" width="24.28515625" style="2" bestFit="1" customWidth="1"/>
    <col min="73" max="73" width="20" style="2" bestFit="1" customWidth="1"/>
    <col min="74" max="74" width="24.28515625" style="2" bestFit="1" customWidth="1"/>
    <col min="75" max="75" width="20" style="2" bestFit="1" customWidth="1"/>
    <col min="76" max="76" width="24.28515625" style="2" bestFit="1" customWidth="1"/>
    <col min="77" max="77" width="20" style="2" bestFit="1" customWidth="1"/>
    <col min="78" max="78" width="24.28515625" style="2" bestFit="1" customWidth="1"/>
    <col min="79" max="79" width="20" style="2" bestFit="1" customWidth="1"/>
    <col min="80" max="80" width="24.28515625" style="2" bestFit="1" customWidth="1"/>
    <col min="81" max="81" width="20" style="2" bestFit="1" customWidth="1"/>
    <col min="82" max="82" width="24.28515625" style="2" bestFit="1" customWidth="1"/>
    <col min="83" max="83" width="20" style="2" bestFit="1" customWidth="1"/>
    <col min="84" max="84" width="24.28515625" style="2" bestFit="1" customWidth="1"/>
    <col min="85" max="85" width="20" style="2" bestFit="1" customWidth="1"/>
    <col min="86" max="86" width="24.28515625" style="2" bestFit="1" customWidth="1"/>
    <col min="87" max="87" width="20" style="2" bestFit="1" customWidth="1"/>
    <col min="88" max="88" width="24.28515625" style="2" bestFit="1" customWidth="1"/>
    <col min="89" max="89" width="20" style="2" bestFit="1" customWidth="1"/>
    <col min="90" max="90" width="24.28515625" style="2" bestFit="1" customWidth="1"/>
    <col min="91" max="91" width="20" style="2" bestFit="1" customWidth="1"/>
    <col min="92" max="92" width="24.28515625" style="2" bestFit="1" customWidth="1"/>
    <col min="93" max="93" width="20" style="2" bestFit="1" customWidth="1"/>
    <col min="94" max="94" width="24.28515625" style="2" bestFit="1" customWidth="1"/>
    <col min="95" max="95" width="20" style="2" bestFit="1" customWidth="1"/>
    <col min="96" max="96" width="24.28515625" style="2" bestFit="1" customWidth="1"/>
    <col min="97" max="97" width="20" style="2" bestFit="1" customWidth="1"/>
    <col min="98" max="98" width="24.28515625" style="2" bestFit="1" customWidth="1"/>
    <col min="99" max="99" width="20" style="2" bestFit="1" customWidth="1"/>
    <col min="100" max="100" width="24.28515625" style="2" bestFit="1" customWidth="1"/>
    <col min="101" max="101" width="20" style="2" bestFit="1" customWidth="1"/>
    <col min="102" max="102" width="24.28515625" style="2" bestFit="1" customWidth="1"/>
    <col min="103" max="103" width="20" style="2" bestFit="1" customWidth="1"/>
    <col min="104" max="104" width="24.28515625" style="2" bestFit="1" customWidth="1"/>
    <col min="105" max="105" width="20" style="2" bestFit="1" customWidth="1"/>
    <col min="106" max="106" width="24.28515625" style="2" bestFit="1" customWidth="1"/>
    <col min="107" max="107" width="20" style="2" bestFit="1" customWidth="1"/>
    <col min="108" max="108" width="24.28515625" style="2" bestFit="1" customWidth="1"/>
    <col min="109" max="109" width="20" style="2" bestFit="1" customWidth="1"/>
    <col min="110" max="110" width="24.28515625" style="2" bestFit="1" customWidth="1"/>
    <col min="111" max="111" width="20" style="2" bestFit="1" customWidth="1"/>
    <col min="112" max="112" width="24.28515625" style="2" bestFit="1" customWidth="1"/>
    <col min="113" max="113" width="20" style="2" bestFit="1" customWidth="1"/>
    <col min="114" max="114" width="24.28515625" style="2" bestFit="1" customWidth="1"/>
    <col min="115" max="115" width="20" style="2" bestFit="1" customWidth="1"/>
    <col min="116" max="116" width="24.28515625" style="2" bestFit="1" customWidth="1"/>
    <col min="117" max="117" width="20" style="2" bestFit="1" customWidth="1"/>
    <col min="118" max="118" width="24.28515625" style="2" bestFit="1" customWidth="1"/>
    <col min="119" max="119" width="20" style="2" bestFit="1" customWidth="1"/>
    <col min="120" max="120" width="24.28515625" style="2" bestFit="1" customWidth="1"/>
    <col min="121" max="121" width="20" style="2" bestFit="1" customWidth="1"/>
    <col min="122" max="122" width="24.28515625" style="2" bestFit="1" customWidth="1"/>
    <col min="123" max="123" width="20" style="2" bestFit="1" customWidth="1"/>
    <col min="124" max="124" width="24.28515625" style="2" bestFit="1" customWidth="1"/>
    <col min="125" max="125" width="25.28515625" style="2" bestFit="1" customWidth="1"/>
    <col min="126" max="126" width="29.5703125" style="2" bestFit="1" customWidth="1"/>
    <col min="127" max="16384" width="11.42578125" style="2"/>
  </cols>
  <sheetData>
    <row r="1" spans="1:48" ht="20.100000000000001" customHeight="1" x14ac:dyDescent="0.25">
      <c r="A1" s="1" t="s">
        <v>0</v>
      </c>
      <c r="B1" s="1"/>
      <c r="C1" s="1"/>
      <c r="D1" s="1"/>
      <c r="E1" s="1"/>
      <c r="F1" s="1"/>
      <c r="G1" s="1"/>
      <c r="H1" s="1"/>
      <c r="I1" s="1"/>
      <c r="J1" s="1"/>
      <c r="K1" s="1"/>
      <c r="M1" s="3" t="s">
        <v>1</v>
      </c>
      <c r="N1" s="3"/>
      <c r="O1" s="3"/>
      <c r="P1" s="3"/>
      <c r="R1" s="4" t="s">
        <v>2</v>
      </c>
      <c r="S1" s="4"/>
      <c r="T1" s="4"/>
      <c r="U1" s="4"/>
      <c r="V1" s="4"/>
      <c r="W1" s="4"/>
      <c r="X1" s="4"/>
      <c r="Y1" s="4"/>
      <c r="Z1" s="4"/>
      <c r="AA1" s="4"/>
      <c r="AB1" s="4"/>
      <c r="AC1" s="4"/>
      <c r="AD1" s="4"/>
      <c r="AE1" s="4"/>
      <c r="AF1" s="4"/>
      <c r="AG1" s="4"/>
      <c r="AH1" s="4"/>
      <c r="AJ1" s="5" t="s">
        <v>3</v>
      </c>
      <c r="AK1" s="6"/>
      <c r="AL1" s="7" t="s">
        <v>4</v>
      </c>
      <c r="AM1" s="7" t="s">
        <v>5</v>
      </c>
      <c r="AN1" s="8" t="s">
        <v>6</v>
      </c>
      <c r="AO1" s="7" t="s">
        <v>7</v>
      </c>
      <c r="AR1" s="6"/>
      <c r="AS1" s="9" t="s">
        <v>5</v>
      </c>
      <c r="AT1" s="9" t="s">
        <v>8</v>
      </c>
      <c r="AU1" s="10" t="s">
        <v>9</v>
      </c>
      <c r="AV1" s="9" t="s">
        <v>10</v>
      </c>
    </row>
    <row r="2" spans="1:48" ht="20.100000000000001" customHeight="1" x14ac:dyDescent="0.2">
      <c r="A2" s="11" t="s">
        <v>11</v>
      </c>
      <c r="B2" s="11" t="s">
        <v>12</v>
      </c>
      <c r="C2" s="11" t="s">
        <v>13</v>
      </c>
      <c r="D2" s="11" t="s">
        <v>14</v>
      </c>
      <c r="E2" s="11" t="s">
        <v>15</v>
      </c>
      <c r="F2" s="11" t="s">
        <v>4</v>
      </c>
      <c r="G2" s="11" t="s">
        <v>5</v>
      </c>
      <c r="H2" s="11" t="s">
        <v>6</v>
      </c>
      <c r="I2" s="11" t="s">
        <v>16</v>
      </c>
      <c r="J2" s="11" t="s">
        <v>7</v>
      </c>
      <c r="K2" s="11" t="s">
        <v>17</v>
      </c>
      <c r="M2" s="12" t="s">
        <v>4</v>
      </c>
      <c r="N2" s="12" t="s">
        <v>5</v>
      </c>
      <c r="O2" s="12" t="s">
        <v>7</v>
      </c>
      <c r="P2" s="13" t="s">
        <v>18</v>
      </c>
      <c r="Q2" s="14" t="s">
        <v>19</v>
      </c>
      <c r="R2" s="15" t="s">
        <v>11</v>
      </c>
      <c r="S2" s="16" t="s">
        <v>12</v>
      </c>
      <c r="T2" s="15" t="s">
        <v>13</v>
      </c>
      <c r="U2" s="15" t="s">
        <v>14</v>
      </c>
      <c r="V2" s="15" t="s">
        <v>15</v>
      </c>
      <c r="W2" s="15" t="s">
        <v>20</v>
      </c>
      <c r="X2" s="15" t="s">
        <v>21</v>
      </c>
      <c r="Y2" s="15" t="s">
        <v>22</v>
      </c>
      <c r="Z2" s="15" t="s">
        <v>23</v>
      </c>
      <c r="AA2" s="15" t="s">
        <v>24</v>
      </c>
      <c r="AB2" s="17" t="s">
        <v>4</v>
      </c>
      <c r="AC2" s="17" t="s">
        <v>5</v>
      </c>
      <c r="AD2" s="18" t="s">
        <v>6</v>
      </c>
      <c r="AE2" s="15" t="s">
        <v>16</v>
      </c>
      <c r="AF2" s="15" t="s">
        <v>7</v>
      </c>
      <c r="AG2" s="15" t="s">
        <v>17</v>
      </c>
      <c r="AH2" s="15" t="s">
        <v>25</v>
      </c>
      <c r="AJ2" s="19" t="s">
        <v>26</v>
      </c>
      <c r="AK2" s="20"/>
      <c r="AL2" s="21">
        <f>SUMIFS(Tabcosting[Launched Qty],Tabcosting[Index],"&lt;&gt;poly")</f>
        <v>31371</v>
      </c>
      <c r="AM2" s="22">
        <f>SUMIFS(Tabcosting[Good Qty],Tabcosting[Index],"&lt;&gt;poly")</f>
        <v>25840</v>
      </c>
      <c r="AN2" s="23">
        <f t="shared" ref="AN2:AN9" si="0">AM2/AL2</f>
        <v>0.82369066972681781</v>
      </c>
      <c r="AO2" s="24">
        <f>SUMIFS(Tabcosting[WIP Production],Tabcosting[Index],"&lt;&gt;poly")</f>
        <v>7360</v>
      </c>
      <c r="AR2" s="25" t="s">
        <v>27</v>
      </c>
      <c r="AS2" s="26">
        <f>AM3+AM5</f>
        <v>24360</v>
      </c>
      <c r="AT2" s="27">
        <v>24330</v>
      </c>
      <c r="AU2" s="26">
        <f>AS2-AT2</f>
        <v>30</v>
      </c>
      <c r="AV2" s="26"/>
    </row>
    <row r="3" spans="1:48" ht="20.100000000000001" customHeight="1" x14ac:dyDescent="0.2">
      <c r="A3" s="28" t="s">
        <v>28</v>
      </c>
      <c r="B3" s="28" t="s">
        <v>29</v>
      </c>
      <c r="C3" s="28" t="s">
        <v>30</v>
      </c>
      <c r="D3" s="28" t="s">
        <v>31</v>
      </c>
      <c r="E3" s="28" t="s">
        <v>32</v>
      </c>
      <c r="F3" s="29">
        <v>0</v>
      </c>
      <c r="G3" s="29">
        <v>0</v>
      </c>
      <c r="H3" s="30">
        <v>0</v>
      </c>
      <c r="I3" s="29">
        <v>0</v>
      </c>
      <c r="J3" s="29">
        <v>0</v>
      </c>
      <c r="K3" s="29">
        <v>0</v>
      </c>
      <c r="M3" s="31"/>
      <c r="N3" s="31"/>
      <c r="O3" s="31"/>
      <c r="P3" s="32"/>
      <c r="R3" s="33" t="s">
        <v>28</v>
      </c>
      <c r="S3" s="34" t="s">
        <v>29</v>
      </c>
      <c r="T3" s="35" t="s">
        <v>30</v>
      </c>
      <c r="U3" s="35" t="s">
        <v>31</v>
      </c>
      <c r="V3" s="35" t="s">
        <v>32</v>
      </c>
      <c r="W3" s="35" t="str">
        <f>MID(Tabcosting[[#This Row],[RPL Family]],8,2)</f>
        <v>65</v>
      </c>
      <c r="X3" s="35"/>
      <c r="Y3" s="36"/>
      <c r="Z3" s="36"/>
      <c r="AA3" s="37"/>
      <c r="AB3" s="38">
        <f t="shared" ref="AB3:AC34" si="1">M3+F3</f>
        <v>0</v>
      </c>
      <c r="AC3" s="38">
        <f t="shared" si="1"/>
        <v>0</v>
      </c>
      <c r="AD3" s="39" t="str">
        <f>IFERROR(Tabcosting[[#This Row],[Good Qty]]/Tabcosting[[#This Row],[Launched Qty]],"")</f>
        <v/>
      </c>
      <c r="AE3" s="35">
        <v>0</v>
      </c>
      <c r="AF3" s="38">
        <f t="shared" ref="AF3:AF66" si="2">O3+J3</f>
        <v>0</v>
      </c>
      <c r="AG3" s="36">
        <v>0</v>
      </c>
      <c r="AH3" s="36"/>
      <c r="AJ3" s="40"/>
      <c r="AK3" s="41" t="s">
        <v>33</v>
      </c>
      <c r="AL3" s="42">
        <f>SUMIFS(Tabcosting[Launched Qty],Tabcosting[Index],"1.6",Tabcosting[CAT],"&lt;&gt;*BCT*")</f>
        <v>24639</v>
      </c>
      <c r="AM3" s="43">
        <f>SUMIFS(Tabcosting[Good Qty],Tabcosting[Index],"1.6",Tabcosting[CAT],"&lt;&gt;*BCT*")</f>
        <v>20435</v>
      </c>
      <c r="AN3" s="44">
        <f t="shared" si="0"/>
        <v>0.82937619221559311</v>
      </c>
      <c r="AO3" s="45">
        <f>SUMIFS(Tabcosting[WIP Production],Tabcosting[Index],"1.6",Tabcosting[CAT],"&lt;&gt;*BCT*")</f>
        <v>5411</v>
      </c>
      <c r="AR3" s="25" t="s">
        <v>34</v>
      </c>
      <c r="AS3" s="26">
        <f>AM4</f>
        <v>1480</v>
      </c>
      <c r="AT3" s="27">
        <v>1474</v>
      </c>
      <c r="AU3" s="26">
        <f t="shared" ref="AU3:AU4" si="3">AS3-AT3</f>
        <v>6</v>
      </c>
      <c r="AV3" s="26"/>
    </row>
    <row r="4" spans="1:48" ht="20.100000000000001" customHeight="1" x14ac:dyDescent="0.2">
      <c r="A4" s="28" t="s">
        <v>35</v>
      </c>
      <c r="B4" s="28" t="s">
        <v>29</v>
      </c>
      <c r="C4" s="28" t="s">
        <v>30</v>
      </c>
      <c r="D4" s="28" t="s">
        <v>31</v>
      </c>
      <c r="E4" s="28" t="s">
        <v>32</v>
      </c>
      <c r="F4" s="29">
        <v>0</v>
      </c>
      <c r="G4" s="29">
        <v>0</v>
      </c>
      <c r="H4" s="30">
        <v>0</v>
      </c>
      <c r="I4" s="29">
        <v>0</v>
      </c>
      <c r="J4" s="29">
        <v>0</v>
      </c>
      <c r="K4" s="29">
        <v>0</v>
      </c>
      <c r="M4" s="31"/>
      <c r="N4" s="31"/>
      <c r="O4" s="31"/>
      <c r="P4" s="46"/>
      <c r="R4" s="34" t="s">
        <v>35</v>
      </c>
      <c r="S4" s="34" t="s">
        <v>29</v>
      </c>
      <c r="T4" s="35" t="s">
        <v>30</v>
      </c>
      <c r="U4" s="35" t="s">
        <v>31</v>
      </c>
      <c r="V4" s="35" t="s">
        <v>32</v>
      </c>
      <c r="W4" s="35" t="str">
        <f>MID(Tabcosting[[#This Row],[RPL Family]],8,2)</f>
        <v>75</v>
      </c>
      <c r="X4" s="35"/>
      <c r="Y4" s="36"/>
      <c r="Z4" s="36"/>
      <c r="AA4" s="37"/>
      <c r="AB4" s="38">
        <f t="shared" si="1"/>
        <v>0</v>
      </c>
      <c r="AC4" s="38">
        <f t="shared" si="1"/>
        <v>0</v>
      </c>
      <c r="AD4" s="39" t="str">
        <f>IFERROR(Tabcosting[[#This Row],[Good Qty]]/Tabcosting[[#This Row],[Launched Qty]],"")</f>
        <v/>
      </c>
      <c r="AE4" s="35">
        <v>0</v>
      </c>
      <c r="AF4" s="38">
        <f t="shared" si="2"/>
        <v>0</v>
      </c>
      <c r="AG4" s="36">
        <v>0</v>
      </c>
      <c r="AH4" s="36"/>
      <c r="AJ4" s="47"/>
      <c r="AK4" s="48" t="s">
        <v>34</v>
      </c>
      <c r="AL4" s="49">
        <f>SUMIFS(Tabcosting[Launched Qty],Tabcosting[Index],"1.67")</f>
        <v>1994</v>
      </c>
      <c r="AM4" s="50">
        <f>SUMIFS(Tabcosting[Good Qty],Tabcosting[Index],"1.67")</f>
        <v>1480</v>
      </c>
      <c r="AN4" s="51">
        <f t="shared" si="0"/>
        <v>0.74222668004012038</v>
      </c>
      <c r="AO4" s="52">
        <f>SUMIFS(Tabcosting[WIP Production],Tabcosting[Index],"1.67")</f>
        <v>696</v>
      </c>
      <c r="AR4" s="25" t="s">
        <v>36</v>
      </c>
      <c r="AS4" s="26">
        <f>AM7</f>
        <v>5987</v>
      </c>
      <c r="AT4" s="53">
        <v>5968</v>
      </c>
      <c r="AU4" s="54">
        <f t="shared" si="3"/>
        <v>19</v>
      </c>
      <c r="AV4" s="55"/>
    </row>
    <row r="5" spans="1:48" ht="20.100000000000001" customHeight="1" x14ac:dyDescent="0.2">
      <c r="A5" s="28" t="s">
        <v>37</v>
      </c>
      <c r="B5" s="28" t="s">
        <v>38</v>
      </c>
      <c r="C5" s="28" t="s">
        <v>30</v>
      </c>
      <c r="D5" s="28" t="s">
        <v>31</v>
      </c>
      <c r="E5" s="28" t="s">
        <v>32</v>
      </c>
      <c r="F5" s="29">
        <v>647</v>
      </c>
      <c r="G5" s="29">
        <v>523</v>
      </c>
      <c r="H5" s="30">
        <v>0.80834621329211698</v>
      </c>
      <c r="I5" s="29">
        <v>1054</v>
      </c>
      <c r="J5" s="29">
        <v>340</v>
      </c>
      <c r="K5" s="29">
        <v>0</v>
      </c>
      <c r="M5" s="31"/>
      <c r="N5" s="31">
        <v>1</v>
      </c>
      <c r="O5" s="31"/>
      <c r="P5" s="31"/>
      <c r="R5" s="34" t="s">
        <v>37</v>
      </c>
      <c r="S5" s="34" t="s">
        <v>38</v>
      </c>
      <c r="T5" s="35" t="s">
        <v>30</v>
      </c>
      <c r="U5" s="35" t="s">
        <v>31</v>
      </c>
      <c r="V5" s="35" t="s">
        <v>32</v>
      </c>
      <c r="W5" s="35" t="str">
        <f>MID(Tabcosting[[#This Row],[RPL Family]],8,2)</f>
        <v>65</v>
      </c>
      <c r="X5" s="35"/>
      <c r="Y5" s="36"/>
      <c r="Z5" s="36" t="s">
        <v>39</v>
      </c>
      <c r="AA5" s="37"/>
      <c r="AB5" s="38">
        <f t="shared" si="1"/>
        <v>647</v>
      </c>
      <c r="AC5" s="38">
        <f t="shared" si="1"/>
        <v>524</v>
      </c>
      <c r="AD5" s="39">
        <f>IFERROR(Tabcosting[[#This Row],[Good Qty]]/Tabcosting[[#This Row],[Launched Qty]],"")</f>
        <v>0.80989180834621333</v>
      </c>
      <c r="AE5" s="35">
        <v>1054</v>
      </c>
      <c r="AF5" s="38">
        <f t="shared" si="2"/>
        <v>340</v>
      </c>
      <c r="AG5" s="36">
        <v>0</v>
      </c>
      <c r="AH5" s="36">
        <v>15.1</v>
      </c>
      <c r="AJ5" s="56"/>
      <c r="AK5" s="57" t="s">
        <v>40</v>
      </c>
      <c r="AL5" s="58">
        <f>SUMIFS(Tabcosting[Launched Qty],Tabcosting[Index],"&lt;&gt;poly",Tabcosting[CAT],"*BCT*")</f>
        <v>4738</v>
      </c>
      <c r="AM5" s="59">
        <f>SUMIFS(Tabcosting[Good Qty],Tabcosting[Index],"&lt;&gt;poly",Tabcosting[CAT],"*BCT*")</f>
        <v>3925</v>
      </c>
      <c r="AN5" s="60">
        <f t="shared" si="0"/>
        <v>0.8284086112283664</v>
      </c>
      <c r="AO5" s="61">
        <f>SUMIFS(Tabcosting[WIP Production],Tabcosting[Index],"&lt;&gt;poly",Tabcosting[CAT],"*BCT*")</f>
        <v>1253</v>
      </c>
    </row>
    <row r="6" spans="1:48" ht="20.100000000000001" customHeight="1" x14ac:dyDescent="0.2">
      <c r="A6" s="28" t="s">
        <v>41</v>
      </c>
      <c r="B6" s="28" t="s">
        <v>42</v>
      </c>
      <c r="C6" s="28" t="s">
        <v>30</v>
      </c>
      <c r="D6" s="28" t="s">
        <v>31</v>
      </c>
      <c r="E6" s="28" t="s">
        <v>32</v>
      </c>
      <c r="F6" s="29">
        <v>2279</v>
      </c>
      <c r="G6" s="29">
        <v>1821</v>
      </c>
      <c r="H6" s="30">
        <v>0.79903466432645898</v>
      </c>
      <c r="I6" s="29">
        <v>3965</v>
      </c>
      <c r="J6" s="29">
        <v>488</v>
      </c>
      <c r="K6" s="29">
        <v>0</v>
      </c>
      <c r="M6" s="31"/>
      <c r="N6" s="31"/>
      <c r="O6" s="31"/>
      <c r="P6" s="31"/>
      <c r="R6" s="34" t="s">
        <v>41</v>
      </c>
      <c r="S6" s="34" t="s">
        <v>42</v>
      </c>
      <c r="T6" s="35" t="s">
        <v>30</v>
      </c>
      <c r="U6" s="35" t="s">
        <v>31</v>
      </c>
      <c r="V6" s="35" t="s">
        <v>32</v>
      </c>
      <c r="W6" s="35" t="str">
        <f>MID(Tabcosting[[#This Row],[RPL Family]],8,2)</f>
        <v>65</v>
      </c>
      <c r="X6" s="35"/>
      <c r="Y6" s="36" t="s">
        <v>43</v>
      </c>
      <c r="Z6" s="36" t="s">
        <v>39</v>
      </c>
      <c r="AA6" s="37"/>
      <c r="AB6" s="38">
        <f t="shared" si="1"/>
        <v>2279</v>
      </c>
      <c r="AC6" s="38">
        <f t="shared" si="1"/>
        <v>1821</v>
      </c>
      <c r="AD6" s="39">
        <f>IFERROR(Tabcosting[[#This Row],[Good Qty]]/Tabcosting[[#This Row],[Launched Qty]],"")</f>
        <v>0.79903466432645898</v>
      </c>
      <c r="AE6" s="35">
        <v>3965</v>
      </c>
      <c r="AF6" s="38">
        <f t="shared" si="2"/>
        <v>488</v>
      </c>
      <c r="AG6" s="36">
        <v>0</v>
      </c>
      <c r="AH6" s="36">
        <v>15.49</v>
      </c>
      <c r="AJ6" s="19" t="s">
        <v>44</v>
      </c>
      <c r="AK6" s="20"/>
      <c r="AL6" s="21">
        <f>SUMIFS(Tabcosting[Launched Qty],Tabcosting[Index],"poly")</f>
        <v>297775</v>
      </c>
      <c r="AM6" s="22">
        <f>SUMIFS(Tabcosting[Good Qty],Tabcosting[Index],"poly")</f>
        <v>285056</v>
      </c>
      <c r="AN6" s="23">
        <f t="shared" si="0"/>
        <v>0.95728654185206952</v>
      </c>
      <c r="AO6" s="24">
        <f>SUMIFS(Tabcosting[WIP Production],Tabcosting[Index],"poly")</f>
        <v>28650</v>
      </c>
    </row>
    <row r="7" spans="1:48" ht="20.100000000000001" customHeight="1" x14ac:dyDescent="0.2">
      <c r="A7" s="28" t="s">
        <v>45</v>
      </c>
      <c r="B7" s="28" t="s">
        <v>46</v>
      </c>
      <c r="C7" s="28" t="s">
        <v>30</v>
      </c>
      <c r="D7" s="28" t="s">
        <v>31</v>
      </c>
      <c r="E7" s="28" t="s">
        <v>32</v>
      </c>
      <c r="F7" s="29">
        <v>0</v>
      </c>
      <c r="G7" s="29">
        <v>0</v>
      </c>
      <c r="H7" s="30">
        <v>0</v>
      </c>
      <c r="I7" s="29">
        <v>0</v>
      </c>
      <c r="J7" s="29">
        <v>0</v>
      </c>
      <c r="K7" s="29">
        <v>0</v>
      </c>
      <c r="M7" s="31"/>
      <c r="N7" s="31"/>
      <c r="O7" s="31"/>
      <c r="P7" s="31"/>
      <c r="R7" s="34" t="s">
        <v>45</v>
      </c>
      <c r="S7" s="34" t="s">
        <v>46</v>
      </c>
      <c r="T7" s="35" t="s">
        <v>30</v>
      </c>
      <c r="U7" s="35" t="s">
        <v>31</v>
      </c>
      <c r="V7" s="35" t="s">
        <v>32</v>
      </c>
      <c r="W7" s="35" t="str">
        <f>MID(Tabcosting[[#This Row],[RPL Family]],8,2)</f>
        <v>65</v>
      </c>
      <c r="X7" s="35"/>
      <c r="Y7" s="36"/>
      <c r="Z7" s="36"/>
      <c r="AA7" s="37"/>
      <c r="AB7" s="38">
        <f t="shared" si="1"/>
        <v>0</v>
      </c>
      <c r="AC7" s="38">
        <f t="shared" si="1"/>
        <v>0</v>
      </c>
      <c r="AD7" s="39" t="str">
        <f>IFERROR(Tabcosting[[#This Row],[Good Qty]]/Tabcosting[[#This Row],[Launched Qty]],"")</f>
        <v/>
      </c>
      <c r="AE7" s="35">
        <v>0</v>
      </c>
      <c r="AF7" s="38">
        <f t="shared" si="2"/>
        <v>0</v>
      </c>
      <c r="AG7" s="36">
        <v>0</v>
      </c>
      <c r="AH7" s="36"/>
      <c r="AJ7" s="40"/>
      <c r="AK7" s="41" t="s">
        <v>36</v>
      </c>
      <c r="AL7" s="42">
        <f>SUMIFS(Tabcosting[Launched Qty],Tabcosting[Index],"poly",Tabcosting[Design],"FSV")</f>
        <v>7593</v>
      </c>
      <c r="AM7" s="43">
        <f>SUMIFS(Tabcosting[Good Qty],Tabcosting[Index],"poly",Tabcosting[Design],"FSV")</f>
        <v>5987</v>
      </c>
      <c r="AN7" s="44">
        <f t="shared" si="0"/>
        <v>0.78848939812985641</v>
      </c>
      <c r="AO7" s="62">
        <f>SUMIFS(Tabcosting[WIP Production],Tabcosting[Index],"poly",Tabcosting[Design],"FSV")</f>
        <v>8933</v>
      </c>
    </row>
    <row r="8" spans="1:48" ht="20.100000000000001" customHeight="1" x14ac:dyDescent="0.2">
      <c r="A8" s="28" t="s">
        <v>47</v>
      </c>
      <c r="B8" s="28" t="s">
        <v>48</v>
      </c>
      <c r="C8" s="28" t="s">
        <v>30</v>
      </c>
      <c r="D8" s="28" t="s">
        <v>31</v>
      </c>
      <c r="E8" s="28" t="s">
        <v>32</v>
      </c>
      <c r="F8" s="29">
        <v>1538</v>
      </c>
      <c r="G8" s="29">
        <v>1248</v>
      </c>
      <c r="H8" s="30">
        <v>0.81144343302990896</v>
      </c>
      <c r="I8" s="29">
        <v>3148</v>
      </c>
      <c r="J8" s="29">
        <v>329</v>
      </c>
      <c r="K8" s="29">
        <v>0</v>
      </c>
      <c r="M8" s="31"/>
      <c r="N8" s="31"/>
      <c r="O8" s="31"/>
      <c r="P8" s="31"/>
      <c r="R8" s="34" t="s">
        <v>47</v>
      </c>
      <c r="S8" s="34" t="s">
        <v>48</v>
      </c>
      <c r="T8" s="35" t="s">
        <v>30</v>
      </c>
      <c r="U8" s="35" t="s">
        <v>31</v>
      </c>
      <c r="V8" s="35" t="s">
        <v>32</v>
      </c>
      <c r="W8" s="35" t="str">
        <f>MID(Tabcosting[[#This Row],[RPL Family]],8,2)</f>
        <v>65</v>
      </c>
      <c r="X8" s="35"/>
      <c r="Y8" s="36"/>
      <c r="Z8" s="36" t="s">
        <v>49</v>
      </c>
      <c r="AA8" s="37" t="s">
        <v>50</v>
      </c>
      <c r="AB8" s="38">
        <f t="shared" si="1"/>
        <v>1538</v>
      </c>
      <c r="AC8" s="38">
        <f t="shared" si="1"/>
        <v>1248</v>
      </c>
      <c r="AD8" s="39">
        <f>IFERROR(Tabcosting[[#This Row],[Good Qty]]/Tabcosting[[#This Row],[Launched Qty]],"")</f>
        <v>0.81144343302990896</v>
      </c>
      <c r="AE8" s="35">
        <v>3148</v>
      </c>
      <c r="AF8" s="38">
        <f t="shared" si="2"/>
        <v>329</v>
      </c>
      <c r="AG8" s="36">
        <v>0</v>
      </c>
      <c r="AH8" s="36">
        <v>15.1</v>
      </c>
      <c r="AJ8" s="63"/>
      <c r="AK8" s="64" t="s">
        <v>51</v>
      </c>
      <c r="AL8" s="65">
        <f>SUMIFS(Tabcosting[Launched Qty],Tabcosting[Index],"poly",Tabcosting[Design],"&lt;&gt;FSV")</f>
        <v>290182</v>
      </c>
      <c r="AM8" s="66">
        <f>SUMIFS(Tabcosting[Good Qty],Tabcosting[Index],"poly",Tabcosting[Design],"&lt;&gt;FSV")</f>
        <v>279069</v>
      </c>
      <c r="AN8" s="67">
        <f t="shared" si="0"/>
        <v>0.96170334479740305</v>
      </c>
      <c r="AO8" s="68">
        <f>SUMIFS(Tabcosting[WIP Production],Tabcosting[Index],"poly",Tabcosting[Design],"&lt;&gt;FSV")</f>
        <v>19717</v>
      </c>
    </row>
    <row r="9" spans="1:48" ht="20.100000000000001" customHeight="1" x14ac:dyDescent="0.2">
      <c r="A9" s="28" t="s">
        <v>52</v>
      </c>
      <c r="B9" s="28" t="s">
        <v>53</v>
      </c>
      <c r="C9" s="28" t="s">
        <v>30</v>
      </c>
      <c r="D9" s="28" t="s">
        <v>31</v>
      </c>
      <c r="E9" s="28" t="s">
        <v>32</v>
      </c>
      <c r="F9" s="29">
        <v>2833</v>
      </c>
      <c r="G9" s="29">
        <v>2359</v>
      </c>
      <c r="H9" s="30">
        <v>0.83268619837628</v>
      </c>
      <c r="I9" s="29">
        <v>4832</v>
      </c>
      <c r="J9" s="29">
        <v>438</v>
      </c>
      <c r="K9" s="29">
        <v>14</v>
      </c>
      <c r="M9" s="31"/>
      <c r="N9" s="31"/>
      <c r="O9" s="31"/>
      <c r="P9" s="31"/>
      <c r="R9" s="34" t="s">
        <v>52</v>
      </c>
      <c r="S9" s="34" t="s">
        <v>53</v>
      </c>
      <c r="T9" s="35" t="s">
        <v>30</v>
      </c>
      <c r="U9" s="35" t="s">
        <v>31</v>
      </c>
      <c r="V9" s="35" t="s">
        <v>32</v>
      </c>
      <c r="W9" s="35" t="str">
        <f>MID(Tabcosting[[#This Row],[RPL Family]],8,2)</f>
        <v>65</v>
      </c>
      <c r="X9" s="35"/>
      <c r="Y9" s="36"/>
      <c r="Z9" s="36" t="s">
        <v>39</v>
      </c>
      <c r="AA9" s="37"/>
      <c r="AB9" s="38">
        <f t="shared" si="1"/>
        <v>2833</v>
      </c>
      <c r="AC9" s="38">
        <f t="shared" si="1"/>
        <v>2359</v>
      </c>
      <c r="AD9" s="39">
        <f>IFERROR(Tabcosting[[#This Row],[Good Qty]]/Tabcosting[[#This Row],[Launched Qty]],"")</f>
        <v>0.83268619837627955</v>
      </c>
      <c r="AE9" s="35">
        <v>4832</v>
      </c>
      <c r="AF9" s="38">
        <f t="shared" si="2"/>
        <v>438</v>
      </c>
      <c r="AG9" s="36">
        <v>14</v>
      </c>
      <c r="AH9" s="36">
        <v>15.1</v>
      </c>
      <c r="AJ9" s="69" t="s">
        <v>54</v>
      </c>
      <c r="AK9" s="70"/>
      <c r="AL9" s="71">
        <f>AL2+AL6</f>
        <v>329146</v>
      </c>
      <c r="AM9" s="72">
        <f t="shared" ref="AM9:AO9" si="4">AM2+AM6</f>
        <v>310896</v>
      </c>
      <c r="AN9" s="73">
        <f t="shared" si="0"/>
        <v>0.94455348082613799</v>
      </c>
      <c r="AO9" s="74">
        <f t="shared" si="4"/>
        <v>36010</v>
      </c>
    </row>
    <row r="10" spans="1:48" ht="20.100000000000001" customHeight="1" x14ac:dyDescent="0.2">
      <c r="A10" s="28" t="s">
        <v>55</v>
      </c>
      <c r="B10" s="28" t="s">
        <v>29</v>
      </c>
      <c r="C10" s="28" t="s">
        <v>30</v>
      </c>
      <c r="D10" s="28" t="s">
        <v>31</v>
      </c>
      <c r="E10" s="28" t="s">
        <v>32</v>
      </c>
      <c r="F10" s="29">
        <v>0</v>
      </c>
      <c r="G10" s="29">
        <v>0</v>
      </c>
      <c r="H10" s="30">
        <v>0</v>
      </c>
      <c r="I10" s="29">
        <v>0</v>
      </c>
      <c r="J10" s="29">
        <v>0</v>
      </c>
      <c r="K10" s="29">
        <v>0</v>
      </c>
      <c r="M10" s="31"/>
      <c r="N10" s="31"/>
      <c r="O10" s="31"/>
      <c r="P10" s="31"/>
      <c r="R10" s="34" t="s">
        <v>55</v>
      </c>
      <c r="S10" s="34" t="s">
        <v>29</v>
      </c>
      <c r="T10" s="35" t="s">
        <v>30</v>
      </c>
      <c r="U10" s="35" t="s">
        <v>31</v>
      </c>
      <c r="V10" s="35" t="s">
        <v>32</v>
      </c>
      <c r="W10" s="35" t="str">
        <f>MID(Tabcosting[[#This Row],[RPL Family]],8,2)</f>
        <v>65</v>
      </c>
      <c r="X10" s="35"/>
      <c r="Y10" s="36"/>
      <c r="Z10" s="36"/>
      <c r="AA10" s="37"/>
      <c r="AB10" s="38">
        <f t="shared" si="1"/>
        <v>0</v>
      </c>
      <c r="AC10" s="38">
        <f t="shared" si="1"/>
        <v>0</v>
      </c>
      <c r="AD10" s="39" t="str">
        <f>IFERROR(Tabcosting[[#This Row],[Good Qty]]/Tabcosting[[#This Row],[Launched Qty]],"")</f>
        <v/>
      </c>
      <c r="AE10" s="35">
        <v>0</v>
      </c>
      <c r="AF10" s="38">
        <f t="shared" si="2"/>
        <v>0</v>
      </c>
      <c r="AG10" s="36">
        <v>0</v>
      </c>
      <c r="AH10" s="36"/>
      <c r="AL10" s="75"/>
    </row>
    <row r="11" spans="1:48" ht="20.100000000000001" customHeight="1" x14ac:dyDescent="0.2">
      <c r="A11" s="28" t="s">
        <v>56</v>
      </c>
      <c r="B11" s="28" t="s">
        <v>57</v>
      </c>
      <c r="C11" s="28" t="s">
        <v>30</v>
      </c>
      <c r="D11" s="28" t="s">
        <v>31</v>
      </c>
      <c r="E11" s="28" t="s">
        <v>32</v>
      </c>
      <c r="F11" s="29">
        <v>1506</v>
      </c>
      <c r="G11" s="29">
        <v>1196</v>
      </c>
      <c r="H11" s="30">
        <v>0.79415670650730397</v>
      </c>
      <c r="I11" s="29">
        <v>2637</v>
      </c>
      <c r="J11" s="29">
        <v>351</v>
      </c>
      <c r="K11" s="29">
        <v>6</v>
      </c>
      <c r="M11" s="31"/>
      <c r="N11" s="31">
        <v>4</v>
      </c>
      <c r="O11" s="31"/>
      <c r="P11" s="31"/>
      <c r="R11" s="34" t="s">
        <v>56</v>
      </c>
      <c r="S11" s="34" t="s">
        <v>57</v>
      </c>
      <c r="T11" s="35" t="s">
        <v>30</v>
      </c>
      <c r="U11" s="35" t="s">
        <v>31</v>
      </c>
      <c r="V11" s="35" t="s">
        <v>32</v>
      </c>
      <c r="W11" s="35" t="str">
        <f>MID(Tabcosting[[#This Row],[RPL Family]],8,2)</f>
        <v>65</v>
      </c>
      <c r="X11" s="35"/>
      <c r="Y11" s="36" t="s">
        <v>43</v>
      </c>
      <c r="Z11" s="36" t="s">
        <v>39</v>
      </c>
      <c r="AA11" s="37"/>
      <c r="AB11" s="38">
        <f t="shared" si="1"/>
        <v>1506</v>
      </c>
      <c r="AC11" s="38">
        <f t="shared" si="1"/>
        <v>1200</v>
      </c>
      <c r="AD11" s="39">
        <f>IFERROR(Tabcosting[[#This Row],[Good Qty]]/Tabcosting[[#This Row],[Launched Qty]],"")</f>
        <v>0.79681274900398402</v>
      </c>
      <c r="AE11" s="35">
        <v>2637</v>
      </c>
      <c r="AF11" s="38">
        <f t="shared" si="2"/>
        <v>351</v>
      </c>
      <c r="AG11" s="36">
        <v>6</v>
      </c>
      <c r="AH11" s="36">
        <v>15.49</v>
      </c>
    </row>
    <row r="12" spans="1:48" ht="20.100000000000001" customHeight="1" x14ac:dyDescent="0.2">
      <c r="A12" s="28" t="s">
        <v>58</v>
      </c>
      <c r="B12" s="28" t="s">
        <v>59</v>
      </c>
      <c r="C12" s="28" t="s">
        <v>30</v>
      </c>
      <c r="D12" s="28" t="s">
        <v>60</v>
      </c>
      <c r="E12" s="28" t="s">
        <v>32</v>
      </c>
      <c r="F12" s="29">
        <v>459</v>
      </c>
      <c r="G12" s="29">
        <v>459</v>
      </c>
      <c r="H12" s="30">
        <v>1</v>
      </c>
      <c r="I12" s="29">
        <v>0</v>
      </c>
      <c r="J12" s="29">
        <v>143</v>
      </c>
      <c r="K12" s="29">
        <v>0</v>
      </c>
      <c r="M12" s="31">
        <f>-F12</f>
        <v>-459</v>
      </c>
      <c r="N12" s="31">
        <f>-G12</f>
        <v>-459</v>
      </c>
      <c r="O12" s="31">
        <f>-J12</f>
        <v>-143</v>
      </c>
      <c r="P12" s="31"/>
      <c r="R12" s="34" t="s">
        <v>58</v>
      </c>
      <c r="S12" s="34" t="s">
        <v>59</v>
      </c>
      <c r="T12" s="35" t="s">
        <v>30</v>
      </c>
      <c r="U12" s="35" t="s">
        <v>60</v>
      </c>
      <c r="V12" s="35" t="s">
        <v>32</v>
      </c>
      <c r="W12" s="35" t="str">
        <f>MID(Tabcosting[[#This Row],[RPL Family]],8,2)</f>
        <v>75</v>
      </c>
      <c r="X12" s="35"/>
      <c r="Y12" s="36"/>
      <c r="Z12" s="36" t="s">
        <v>39</v>
      </c>
      <c r="AA12" s="37"/>
      <c r="AB12" s="38">
        <f t="shared" si="1"/>
        <v>0</v>
      </c>
      <c r="AC12" s="38">
        <f t="shared" si="1"/>
        <v>0</v>
      </c>
      <c r="AD12" s="39" t="str">
        <f>IFERROR(Tabcosting[[#This Row],[Good Qty]]/Tabcosting[[#This Row],[Launched Qty]],"")</f>
        <v/>
      </c>
      <c r="AE12" s="35">
        <v>0</v>
      </c>
      <c r="AF12" s="38">
        <f t="shared" si="2"/>
        <v>0</v>
      </c>
      <c r="AG12" s="36">
        <v>0</v>
      </c>
      <c r="AH12" s="36"/>
      <c r="AL12" s="76"/>
    </row>
    <row r="13" spans="1:48" ht="20.100000000000001" customHeight="1" x14ac:dyDescent="0.2">
      <c r="A13" s="28" t="s">
        <v>61</v>
      </c>
      <c r="B13" s="28" t="s">
        <v>38</v>
      </c>
      <c r="C13" s="28" t="s">
        <v>30</v>
      </c>
      <c r="D13" s="28" t="s">
        <v>31</v>
      </c>
      <c r="E13" s="28" t="s">
        <v>32</v>
      </c>
      <c r="F13" s="29">
        <v>1151</v>
      </c>
      <c r="G13" s="29">
        <v>967</v>
      </c>
      <c r="H13" s="30">
        <v>0.84013900955690701</v>
      </c>
      <c r="I13" s="29">
        <v>1829</v>
      </c>
      <c r="J13" s="29">
        <v>643</v>
      </c>
      <c r="K13" s="29">
        <v>5</v>
      </c>
      <c r="M13" s="31"/>
      <c r="N13" s="31"/>
      <c r="O13" s="31"/>
      <c r="P13" s="31"/>
      <c r="R13" s="34" t="s">
        <v>61</v>
      </c>
      <c r="S13" s="34" t="s">
        <v>38</v>
      </c>
      <c r="T13" s="35" t="s">
        <v>30</v>
      </c>
      <c r="U13" s="35" t="s">
        <v>31</v>
      </c>
      <c r="V13" s="35" t="s">
        <v>32</v>
      </c>
      <c r="W13" s="35" t="str">
        <f>MID(Tabcosting[[#This Row],[RPL Family]],8,2)</f>
        <v>75</v>
      </c>
      <c r="X13" s="35"/>
      <c r="Y13" s="36"/>
      <c r="Z13" s="36" t="s">
        <v>39</v>
      </c>
      <c r="AA13" s="37"/>
      <c r="AB13" s="38">
        <f t="shared" si="1"/>
        <v>1151</v>
      </c>
      <c r="AC13" s="38">
        <f t="shared" si="1"/>
        <v>967</v>
      </c>
      <c r="AD13" s="39">
        <f>IFERROR(Tabcosting[[#This Row],[Good Qty]]/Tabcosting[[#This Row],[Launched Qty]],"")</f>
        <v>0.84013900955690701</v>
      </c>
      <c r="AE13" s="35">
        <v>1829</v>
      </c>
      <c r="AF13" s="38">
        <f t="shared" si="2"/>
        <v>643</v>
      </c>
      <c r="AG13" s="36">
        <v>5</v>
      </c>
      <c r="AH13" s="36">
        <v>15.1</v>
      </c>
    </row>
    <row r="14" spans="1:48" ht="20.100000000000001" customHeight="1" x14ac:dyDescent="0.2">
      <c r="A14" s="28" t="s">
        <v>62</v>
      </c>
      <c r="B14" s="28" t="s">
        <v>42</v>
      </c>
      <c r="C14" s="28" t="s">
        <v>30</v>
      </c>
      <c r="D14" s="28" t="s">
        <v>31</v>
      </c>
      <c r="E14" s="28" t="s">
        <v>32</v>
      </c>
      <c r="F14" s="29">
        <v>3430</v>
      </c>
      <c r="G14" s="29">
        <v>2782</v>
      </c>
      <c r="H14" s="30">
        <v>0.81107871720116598</v>
      </c>
      <c r="I14" s="29">
        <v>5967</v>
      </c>
      <c r="J14" s="29">
        <v>685</v>
      </c>
      <c r="K14" s="29">
        <v>1</v>
      </c>
      <c r="M14" s="31"/>
      <c r="N14" s="31"/>
      <c r="O14" s="31"/>
      <c r="P14" s="31"/>
      <c r="R14" s="34" t="s">
        <v>62</v>
      </c>
      <c r="S14" s="34" t="s">
        <v>42</v>
      </c>
      <c r="T14" s="35" t="s">
        <v>30</v>
      </c>
      <c r="U14" s="35" t="s">
        <v>31</v>
      </c>
      <c r="V14" s="35" t="s">
        <v>32</v>
      </c>
      <c r="W14" s="35" t="str">
        <f>MID(Tabcosting[[#This Row],[RPL Family]],8,2)</f>
        <v>75</v>
      </c>
      <c r="X14" s="35"/>
      <c r="Y14" s="36" t="s">
        <v>43</v>
      </c>
      <c r="Z14" s="36" t="s">
        <v>39</v>
      </c>
      <c r="AA14" s="37"/>
      <c r="AB14" s="38">
        <f t="shared" si="1"/>
        <v>3430</v>
      </c>
      <c r="AC14" s="38">
        <f t="shared" si="1"/>
        <v>2782</v>
      </c>
      <c r="AD14" s="39">
        <f>IFERROR(Tabcosting[[#This Row],[Good Qty]]/Tabcosting[[#This Row],[Launched Qty]],"")</f>
        <v>0.8110787172011662</v>
      </c>
      <c r="AE14" s="35">
        <v>5967</v>
      </c>
      <c r="AF14" s="38">
        <f t="shared" si="2"/>
        <v>685</v>
      </c>
      <c r="AG14" s="36">
        <v>1</v>
      </c>
      <c r="AH14" s="36">
        <v>15.49</v>
      </c>
    </row>
    <row r="15" spans="1:48" ht="20.100000000000001" customHeight="1" x14ac:dyDescent="0.2">
      <c r="A15" s="28" t="s">
        <v>63</v>
      </c>
      <c r="B15" s="28" t="s">
        <v>46</v>
      </c>
      <c r="C15" s="28" t="s">
        <v>30</v>
      </c>
      <c r="D15" s="28" t="s">
        <v>31</v>
      </c>
      <c r="E15" s="28" t="s">
        <v>32</v>
      </c>
      <c r="F15" s="29">
        <v>0</v>
      </c>
      <c r="G15" s="29">
        <v>0</v>
      </c>
      <c r="H15" s="30">
        <v>0</v>
      </c>
      <c r="I15" s="29">
        <v>0</v>
      </c>
      <c r="J15" s="29">
        <v>0</v>
      </c>
      <c r="K15" s="29">
        <v>0</v>
      </c>
      <c r="M15" s="31"/>
      <c r="N15" s="31"/>
      <c r="O15" s="31"/>
      <c r="P15" s="31"/>
      <c r="R15" s="34" t="s">
        <v>63</v>
      </c>
      <c r="S15" s="34" t="s">
        <v>46</v>
      </c>
      <c r="T15" s="35" t="s">
        <v>30</v>
      </c>
      <c r="U15" s="35" t="s">
        <v>31</v>
      </c>
      <c r="V15" s="35" t="s">
        <v>32</v>
      </c>
      <c r="W15" s="35" t="str">
        <f>MID(Tabcosting[[#This Row],[RPL Family]],8,2)</f>
        <v>75</v>
      </c>
      <c r="X15" s="35"/>
      <c r="Y15" s="36"/>
      <c r="Z15" s="36"/>
      <c r="AA15" s="37"/>
      <c r="AB15" s="38">
        <f t="shared" si="1"/>
        <v>0</v>
      </c>
      <c r="AC15" s="38">
        <f t="shared" si="1"/>
        <v>0</v>
      </c>
      <c r="AD15" s="39" t="str">
        <f>IFERROR(Tabcosting[[#This Row],[Good Qty]]/Tabcosting[[#This Row],[Launched Qty]],"")</f>
        <v/>
      </c>
      <c r="AE15" s="35">
        <v>0</v>
      </c>
      <c r="AF15" s="38">
        <f t="shared" si="2"/>
        <v>0</v>
      </c>
      <c r="AG15" s="36">
        <v>0</v>
      </c>
      <c r="AH15" s="36"/>
    </row>
    <row r="16" spans="1:48" ht="20.100000000000001" customHeight="1" x14ac:dyDescent="0.2">
      <c r="A16" s="28" t="s">
        <v>64</v>
      </c>
      <c r="B16" s="28" t="s">
        <v>48</v>
      </c>
      <c r="C16" s="28" t="s">
        <v>30</v>
      </c>
      <c r="D16" s="28" t="s">
        <v>31</v>
      </c>
      <c r="E16" s="28" t="s">
        <v>32</v>
      </c>
      <c r="F16" s="29">
        <v>2732</v>
      </c>
      <c r="G16" s="29">
        <v>2235</v>
      </c>
      <c r="H16" s="30">
        <v>0.81808199121522696</v>
      </c>
      <c r="I16" s="29">
        <v>4834</v>
      </c>
      <c r="J16" s="29">
        <v>803</v>
      </c>
      <c r="K16" s="29">
        <v>0</v>
      </c>
      <c r="M16" s="31"/>
      <c r="N16" s="31">
        <v>4</v>
      </c>
      <c r="O16" s="31"/>
      <c r="P16" s="31"/>
      <c r="R16" s="34" t="s">
        <v>64</v>
      </c>
      <c r="S16" s="34" t="s">
        <v>48</v>
      </c>
      <c r="T16" s="35" t="s">
        <v>30</v>
      </c>
      <c r="U16" s="35" t="s">
        <v>31</v>
      </c>
      <c r="V16" s="35" t="s">
        <v>32</v>
      </c>
      <c r="W16" s="35" t="str">
        <f>MID(Tabcosting[[#This Row],[RPL Family]],8,2)</f>
        <v>75</v>
      </c>
      <c r="X16" s="35"/>
      <c r="Y16" s="36"/>
      <c r="Z16" s="36" t="s">
        <v>49</v>
      </c>
      <c r="AA16" s="37" t="s">
        <v>50</v>
      </c>
      <c r="AB16" s="38">
        <f t="shared" si="1"/>
        <v>2732</v>
      </c>
      <c r="AC16" s="38">
        <f t="shared" si="1"/>
        <v>2239</v>
      </c>
      <c r="AD16" s="39">
        <f>IFERROR(Tabcosting[[#This Row],[Good Qty]]/Tabcosting[[#This Row],[Launched Qty]],"")</f>
        <v>0.8195461200585652</v>
      </c>
      <c r="AE16" s="35">
        <v>4834</v>
      </c>
      <c r="AF16" s="38">
        <f t="shared" si="2"/>
        <v>803</v>
      </c>
      <c r="AG16" s="36">
        <v>0</v>
      </c>
      <c r="AH16" s="36">
        <v>15.1</v>
      </c>
    </row>
    <row r="17" spans="1:34" ht="20.100000000000001" customHeight="1" x14ac:dyDescent="0.2">
      <c r="A17" s="28" t="s">
        <v>65</v>
      </c>
      <c r="B17" s="28" t="s">
        <v>53</v>
      </c>
      <c r="C17" s="28" t="s">
        <v>30</v>
      </c>
      <c r="D17" s="28" t="s">
        <v>31</v>
      </c>
      <c r="E17" s="28" t="s">
        <v>32</v>
      </c>
      <c r="F17" s="29">
        <v>5496</v>
      </c>
      <c r="G17" s="29">
        <v>4724</v>
      </c>
      <c r="H17" s="30">
        <v>0.85953420669577896</v>
      </c>
      <c r="I17" s="29">
        <v>10207</v>
      </c>
      <c r="J17" s="29">
        <v>663</v>
      </c>
      <c r="K17" s="29">
        <v>1</v>
      </c>
      <c r="M17" s="31"/>
      <c r="N17" s="31">
        <v>3</v>
      </c>
      <c r="O17" s="31"/>
      <c r="P17" s="31"/>
      <c r="R17" s="34" t="s">
        <v>65</v>
      </c>
      <c r="S17" s="34" t="s">
        <v>53</v>
      </c>
      <c r="T17" s="35" t="s">
        <v>30</v>
      </c>
      <c r="U17" s="35" t="s">
        <v>31</v>
      </c>
      <c r="V17" s="35" t="s">
        <v>32</v>
      </c>
      <c r="W17" s="35" t="str">
        <f>MID(Tabcosting[[#This Row],[RPL Family]],8,2)</f>
        <v>75</v>
      </c>
      <c r="X17" s="35"/>
      <c r="Y17" s="36"/>
      <c r="Z17" s="36" t="s">
        <v>39</v>
      </c>
      <c r="AA17" s="37"/>
      <c r="AB17" s="38">
        <f t="shared" si="1"/>
        <v>5496</v>
      </c>
      <c r="AC17" s="38">
        <f t="shared" si="1"/>
        <v>4727</v>
      </c>
      <c r="AD17" s="39">
        <f>IFERROR(Tabcosting[[#This Row],[Good Qty]]/Tabcosting[[#This Row],[Launched Qty]],"")</f>
        <v>0.860080058224163</v>
      </c>
      <c r="AE17" s="35">
        <v>10207</v>
      </c>
      <c r="AF17" s="38">
        <f t="shared" si="2"/>
        <v>663</v>
      </c>
      <c r="AG17" s="36">
        <v>1</v>
      </c>
      <c r="AH17" s="36">
        <v>15.1</v>
      </c>
    </row>
    <row r="18" spans="1:34" ht="20.100000000000001" customHeight="1" x14ac:dyDescent="0.2">
      <c r="A18" s="28" t="s">
        <v>66</v>
      </c>
      <c r="B18" s="28" t="s">
        <v>29</v>
      </c>
      <c r="C18" s="28" t="s">
        <v>30</v>
      </c>
      <c r="D18" s="28" t="s">
        <v>31</v>
      </c>
      <c r="E18" s="28" t="s">
        <v>32</v>
      </c>
      <c r="F18" s="29">
        <v>0</v>
      </c>
      <c r="G18" s="29">
        <v>0</v>
      </c>
      <c r="H18" s="30">
        <v>0</v>
      </c>
      <c r="I18" s="29">
        <v>0</v>
      </c>
      <c r="J18" s="29">
        <v>0</v>
      </c>
      <c r="K18" s="29">
        <v>0</v>
      </c>
      <c r="M18" s="31"/>
      <c r="N18" s="31"/>
      <c r="O18" s="31"/>
      <c r="P18" s="31"/>
      <c r="R18" s="34" t="s">
        <v>66</v>
      </c>
      <c r="S18" s="34" t="s">
        <v>29</v>
      </c>
      <c r="T18" s="35" t="s">
        <v>30</v>
      </c>
      <c r="U18" s="35" t="s">
        <v>31</v>
      </c>
      <c r="V18" s="35" t="s">
        <v>32</v>
      </c>
      <c r="W18" s="35" t="str">
        <f>MID(Tabcosting[[#This Row],[RPL Family]],8,2)</f>
        <v>75</v>
      </c>
      <c r="X18" s="35"/>
      <c r="Y18" s="36"/>
      <c r="Z18" s="36"/>
      <c r="AA18" s="37"/>
      <c r="AB18" s="38">
        <f t="shared" si="1"/>
        <v>0</v>
      </c>
      <c r="AC18" s="38">
        <f t="shared" si="1"/>
        <v>0</v>
      </c>
      <c r="AD18" s="39" t="str">
        <f>IFERROR(Tabcosting[[#This Row],[Good Qty]]/Tabcosting[[#This Row],[Launched Qty]],"")</f>
        <v/>
      </c>
      <c r="AE18" s="35">
        <v>0</v>
      </c>
      <c r="AF18" s="38">
        <f t="shared" si="2"/>
        <v>0</v>
      </c>
      <c r="AG18" s="36">
        <v>0</v>
      </c>
      <c r="AH18" s="36"/>
    </row>
    <row r="19" spans="1:34" ht="20.100000000000001" customHeight="1" x14ac:dyDescent="0.2">
      <c r="A19" s="28" t="s">
        <v>67</v>
      </c>
      <c r="B19" s="28" t="s">
        <v>68</v>
      </c>
      <c r="C19" s="28" t="s">
        <v>30</v>
      </c>
      <c r="D19" s="28" t="s">
        <v>31</v>
      </c>
      <c r="E19" s="28" t="s">
        <v>32</v>
      </c>
      <c r="F19" s="29">
        <v>3027</v>
      </c>
      <c r="G19" s="29">
        <v>2557</v>
      </c>
      <c r="H19" s="30">
        <v>0.84473075652461205</v>
      </c>
      <c r="I19" s="29">
        <v>4466</v>
      </c>
      <c r="J19" s="29">
        <v>671</v>
      </c>
      <c r="K19" s="29">
        <v>797</v>
      </c>
      <c r="M19" s="31"/>
      <c r="N19" s="31">
        <v>11</v>
      </c>
      <c r="O19" s="31"/>
      <c r="P19" s="31"/>
      <c r="R19" s="34" t="s">
        <v>67</v>
      </c>
      <c r="S19" s="34" t="s">
        <v>68</v>
      </c>
      <c r="T19" s="35" t="s">
        <v>30</v>
      </c>
      <c r="U19" s="35" t="s">
        <v>31</v>
      </c>
      <c r="V19" s="35" t="s">
        <v>32</v>
      </c>
      <c r="W19" s="35" t="str">
        <f>MID(Tabcosting[[#This Row],[RPL Family]],8,2)</f>
        <v>75</v>
      </c>
      <c r="X19" s="35"/>
      <c r="Y19" s="36" t="s">
        <v>43</v>
      </c>
      <c r="Z19" s="36" t="s">
        <v>39</v>
      </c>
      <c r="AA19" s="37"/>
      <c r="AB19" s="38">
        <f t="shared" si="1"/>
        <v>3027</v>
      </c>
      <c r="AC19" s="38">
        <f t="shared" si="1"/>
        <v>2568</v>
      </c>
      <c r="AD19" s="39">
        <f>IFERROR(Tabcosting[[#This Row],[Good Qty]]/Tabcosting[[#This Row],[Launched Qty]],"")</f>
        <v>0.84836471754212095</v>
      </c>
      <c r="AE19" s="35">
        <v>4466</v>
      </c>
      <c r="AF19" s="38">
        <f t="shared" si="2"/>
        <v>671</v>
      </c>
      <c r="AG19" s="36">
        <v>797</v>
      </c>
      <c r="AH19" s="36">
        <v>15.49</v>
      </c>
    </row>
    <row r="20" spans="1:34" ht="20.100000000000001" customHeight="1" x14ac:dyDescent="0.2">
      <c r="A20" s="28" t="s">
        <v>69</v>
      </c>
      <c r="B20" s="28" t="s">
        <v>70</v>
      </c>
      <c r="C20" s="28" t="s">
        <v>30</v>
      </c>
      <c r="D20" s="28" t="s">
        <v>31</v>
      </c>
      <c r="E20" s="28" t="s">
        <v>32</v>
      </c>
      <c r="F20" s="29">
        <v>53</v>
      </c>
      <c r="G20" s="29">
        <v>40</v>
      </c>
      <c r="H20" s="30">
        <v>0.75471698113207597</v>
      </c>
      <c r="I20" s="29">
        <v>34</v>
      </c>
      <c r="J20" s="29">
        <v>15</v>
      </c>
      <c r="K20" s="29">
        <v>46</v>
      </c>
      <c r="M20" s="31"/>
      <c r="N20" s="31"/>
      <c r="O20" s="31"/>
      <c r="P20" s="31"/>
      <c r="R20" s="34" t="s">
        <v>69</v>
      </c>
      <c r="S20" s="34" t="s">
        <v>70</v>
      </c>
      <c r="T20" s="35" t="s">
        <v>30</v>
      </c>
      <c r="U20" s="35" t="s">
        <v>31</v>
      </c>
      <c r="V20" s="35" t="s">
        <v>32</v>
      </c>
      <c r="W20" s="35" t="str">
        <f>MID(Tabcosting[[#This Row],[RPL Family]],8,2)</f>
        <v>65</v>
      </c>
      <c r="X20" s="35"/>
      <c r="Y20" s="36" t="s">
        <v>71</v>
      </c>
      <c r="Z20" s="36" t="s">
        <v>39</v>
      </c>
      <c r="AA20" s="37"/>
      <c r="AB20" s="38">
        <f t="shared" si="1"/>
        <v>53</v>
      </c>
      <c r="AC20" s="38">
        <f t="shared" si="1"/>
        <v>40</v>
      </c>
      <c r="AD20" s="39">
        <f>IFERROR(Tabcosting[[#This Row],[Good Qty]]/Tabcosting[[#This Row],[Launched Qty]],"")</f>
        <v>0.75471698113207553</v>
      </c>
      <c r="AE20" s="35">
        <v>34</v>
      </c>
      <c r="AF20" s="38">
        <f t="shared" si="2"/>
        <v>15</v>
      </c>
      <c r="AG20" s="36">
        <v>46</v>
      </c>
      <c r="AH20" s="36">
        <v>15.81</v>
      </c>
    </row>
    <row r="21" spans="1:34" ht="20.100000000000001" customHeight="1" x14ac:dyDescent="0.2">
      <c r="A21" s="28" t="s">
        <v>72</v>
      </c>
      <c r="B21" s="28" t="s">
        <v>73</v>
      </c>
      <c r="C21" s="28" t="s">
        <v>30</v>
      </c>
      <c r="D21" s="28" t="s">
        <v>31</v>
      </c>
      <c r="E21" s="28" t="s">
        <v>32</v>
      </c>
      <c r="F21" s="29">
        <v>1327</v>
      </c>
      <c r="G21" s="29">
        <v>1053</v>
      </c>
      <c r="H21" s="30">
        <v>0.79351921627731703</v>
      </c>
      <c r="I21" s="29">
        <v>2102</v>
      </c>
      <c r="J21" s="29">
        <v>377</v>
      </c>
      <c r="K21" s="29">
        <v>0</v>
      </c>
      <c r="M21" s="31"/>
      <c r="N21" s="31"/>
      <c r="O21" s="31"/>
      <c r="P21" s="31"/>
      <c r="R21" s="34" t="s">
        <v>72</v>
      </c>
      <c r="S21" s="34" t="s">
        <v>73</v>
      </c>
      <c r="T21" s="35" t="s">
        <v>30</v>
      </c>
      <c r="U21" s="35" t="s">
        <v>31</v>
      </c>
      <c r="V21" s="35" t="s">
        <v>32</v>
      </c>
      <c r="W21" s="35" t="str">
        <f>MID(Tabcosting[[#This Row],[RPL Family]],8,2)</f>
        <v>65</v>
      </c>
      <c r="X21" s="35"/>
      <c r="Y21" s="36" t="s">
        <v>74</v>
      </c>
      <c r="Z21" s="36" t="s">
        <v>39</v>
      </c>
      <c r="AA21" s="37" t="s">
        <v>75</v>
      </c>
      <c r="AB21" s="38">
        <f t="shared" si="1"/>
        <v>1327</v>
      </c>
      <c r="AC21" s="38">
        <f t="shared" si="1"/>
        <v>1053</v>
      </c>
      <c r="AD21" s="39">
        <f>IFERROR(Tabcosting[[#This Row],[Good Qty]]/Tabcosting[[#This Row],[Launched Qty]],"")</f>
        <v>0.79351921627731725</v>
      </c>
      <c r="AE21" s="35">
        <v>2102</v>
      </c>
      <c r="AF21" s="38">
        <f t="shared" si="2"/>
        <v>377</v>
      </c>
      <c r="AG21" s="36">
        <v>0</v>
      </c>
      <c r="AH21" s="36">
        <v>14.75</v>
      </c>
    </row>
    <row r="22" spans="1:34" ht="20.100000000000001" customHeight="1" x14ac:dyDescent="0.2">
      <c r="A22" s="28" t="s">
        <v>76</v>
      </c>
      <c r="B22" s="28" t="s">
        <v>77</v>
      </c>
      <c r="C22" s="28" t="s">
        <v>30</v>
      </c>
      <c r="D22" s="28" t="s">
        <v>31</v>
      </c>
      <c r="E22" s="28" t="s">
        <v>32</v>
      </c>
      <c r="F22" s="29">
        <v>576</v>
      </c>
      <c r="G22" s="29">
        <v>484</v>
      </c>
      <c r="H22" s="30">
        <v>0.84027777777777801</v>
      </c>
      <c r="I22" s="29">
        <v>886</v>
      </c>
      <c r="J22" s="29">
        <v>266</v>
      </c>
      <c r="K22" s="29">
        <v>284</v>
      </c>
      <c r="M22" s="31"/>
      <c r="N22" s="31">
        <v>5</v>
      </c>
      <c r="O22" s="31"/>
      <c r="P22" s="31"/>
      <c r="R22" s="34" t="s">
        <v>76</v>
      </c>
      <c r="S22" s="34" t="s">
        <v>77</v>
      </c>
      <c r="T22" s="35" t="s">
        <v>30</v>
      </c>
      <c r="U22" s="35" t="s">
        <v>31</v>
      </c>
      <c r="V22" s="35" t="s">
        <v>32</v>
      </c>
      <c r="W22" s="35" t="str">
        <f>MID(Tabcosting[[#This Row],[RPL Family]],8,2)</f>
        <v>65</v>
      </c>
      <c r="X22" s="35"/>
      <c r="Y22" s="36" t="s">
        <v>71</v>
      </c>
      <c r="Z22" s="36" t="s">
        <v>39</v>
      </c>
      <c r="AA22" s="37"/>
      <c r="AB22" s="38">
        <f t="shared" si="1"/>
        <v>576</v>
      </c>
      <c r="AC22" s="38">
        <f t="shared" si="1"/>
        <v>489</v>
      </c>
      <c r="AD22" s="39">
        <f>IFERROR(Tabcosting[[#This Row],[Good Qty]]/Tabcosting[[#This Row],[Launched Qty]],"")</f>
        <v>0.84895833333333337</v>
      </c>
      <c r="AE22" s="35">
        <v>886</v>
      </c>
      <c r="AF22" s="38">
        <f t="shared" si="2"/>
        <v>266</v>
      </c>
      <c r="AG22" s="36">
        <v>284</v>
      </c>
      <c r="AH22" s="36">
        <v>15.81</v>
      </c>
    </row>
    <row r="23" spans="1:34" ht="20.100000000000001" customHeight="1" x14ac:dyDescent="0.2">
      <c r="A23" s="28" t="s">
        <v>78</v>
      </c>
      <c r="B23" s="28" t="s">
        <v>59</v>
      </c>
      <c r="C23" s="28" t="s">
        <v>30</v>
      </c>
      <c r="D23" s="28" t="s">
        <v>60</v>
      </c>
      <c r="E23" s="28" t="s">
        <v>32</v>
      </c>
      <c r="F23" s="29">
        <v>50</v>
      </c>
      <c r="G23" s="29">
        <v>50</v>
      </c>
      <c r="H23" s="30">
        <v>1</v>
      </c>
      <c r="I23" s="29">
        <v>0</v>
      </c>
      <c r="J23" s="29">
        <v>17</v>
      </c>
      <c r="K23" s="29">
        <v>0</v>
      </c>
      <c r="M23" s="31">
        <f>-F23</f>
        <v>-50</v>
      </c>
      <c r="N23" s="31">
        <f>-G23</f>
        <v>-50</v>
      </c>
      <c r="O23" s="31">
        <f>-J23</f>
        <v>-17</v>
      </c>
      <c r="P23" s="31"/>
      <c r="R23" s="34" t="s">
        <v>78</v>
      </c>
      <c r="S23" s="34" t="s">
        <v>59</v>
      </c>
      <c r="T23" s="35" t="s">
        <v>30</v>
      </c>
      <c r="U23" s="35" t="s">
        <v>60</v>
      </c>
      <c r="V23" s="35" t="s">
        <v>32</v>
      </c>
      <c r="W23" s="35" t="str">
        <f>MID(Tabcosting[[#This Row],[RPL Family]],8,2)</f>
        <v>75</v>
      </c>
      <c r="X23" s="35"/>
      <c r="Y23" s="36"/>
      <c r="Z23" s="36"/>
      <c r="AA23" s="37"/>
      <c r="AB23" s="38">
        <f t="shared" si="1"/>
        <v>0</v>
      </c>
      <c r="AC23" s="38">
        <f t="shared" si="1"/>
        <v>0</v>
      </c>
      <c r="AD23" s="39" t="str">
        <f>IFERROR(Tabcosting[[#This Row],[Good Qty]]/Tabcosting[[#This Row],[Launched Qty]],"")</f>
        <v/>
      </c>
      <c r="AE23" s="35">
        <v>0</v>
      </c>
      <c r="AF23" s="38">
        <f t="shared" si="2"/>
        <v>0</v>
      </c>
      <c r="AG23" s="36">
        <v>0</v>
      </c>
      <c r="AH23" s="36"/>
    </row>
    <row r="24" spans="1:34" ht="20.100000000000001" customHeight="1" x14ac:dyDescent="0.2">
      <c r="A24" s="28" t="s">
        <v>79</v>
      </c>
      <c r="B24" s="28" t="s">
        <v>70</v>
      </c>
      <c r="C24" s="28" t="s">
        <v>30</v>
      </c>
      <c r="D24" s="28" t="s">
        <v>31</v>
      </c>
      <c r="E24" s="28" t="s">
        <v>32</v>
      </c>
      <c r="F24" s="29">
        <v>1016</v>
      </c>
      <c r="G24" s="29">
        <v>845</v>
      </c>
      <c r="H24" s="30">
        <v>0.83169291338582696</v>
      </c>
      <c r="I24" s="29">
        <v>1625</v>
      </c>
      <c r="J24" s="29">
        <v>75</v>
      </c>
      <c r="K24" s="29">
        <v>124</v>
      </c>
      <c r="M24" s="31"/>
      <c r="N24" s="31"/>
      <c r="O24" s="31"/>
      <c r="P24" s="31"/>
      <c r="R24" s="34" t="s">
        <v>79</v>
      </c>
      <c r="S24" s="34" t="s">
        <v>70</v>
      </c>
      <c r="T24" s="35" t="s">
        <v>30</v>
      </c>
      <c r="U24" s="35" t="s">
        <v>31</v>
      </c>
      <c r="V24" s="35" t="s">
        <v>32</v>
      </c>
      <c r="W24" s="35" t="str">
        <f>MID(Tabcosting[[#This Row],[RPL Family]],8,2)</f>
        <v>75</v>
      </c>
      <c r="X24" s="35"/>
      <c r="Y24" s="36" t="s">
        <v>71</v>
      </c>
      <c r="Z24" s="36" t="s">
        <v>39</v>
      </c>
      <c r="AA24" s="37"/>
      <c r="AB24" s="38">
        <f t="shared" si="1"/>
        <v>1016</v>
      </c>
      <c r="AC24" s="38">
        <f t="shared" si="1"/>
        <v>845</v>
      </c>
      <c r="AD24" s="39">
        <f>IFERROR(Tabcosting[[#This Row],[Good Qty]]/Tabcosting[[#This Row],[Launched Qty]],"")</f>
        <v>0.83169291338582674</v>
      </c>
      <c r="AE24" s="35">
        <v>1625</v>
      </c>
      <c r="AF24" s="38">
        <f t="shared" si="2"/>
        <v>75</v>
      </c>
      <c r="AG24" s="36">
        <v>124</v>
      </c>
      <c r="AH24" s="36">
        <v>15.81</v>
      </c>
    </row>
    <row r="25" spans="1:34" ht="20.100000000000001" customHeight="1" x14ac:dyDescent="0.2">
      <c r="A25" s="28" t="s">
        <v>80</v>
      </c>
      <c r="B25" s="28" t="s">
        <v>73</v>
      </c>
      <c r="C25" s="28" t="s">
        <v>30</v>
      </c>
      <c r="D25" s="28" t="s">
        <v>31</v>
      </c>
      <c r="E25" s="28" t="s">
        <v>32</v>
      </c>
      <c r="F25" s="29">
        <v>893</v>
      </c>
      <c r="G25" s="29">
        <v>753</v>
      </c>
      <c r="H25" s="30">
        <v>0.84322508398656204</v>
      </c>
      <c r="I25" s="29">
        <v>1482</v>
      </c>
      <c r="J25" s="29">
        <v>199</v>
      </c>
      <c r="K25" s="29">
        <v>0</v>
      </c>
      <c r="M25" s="31"/>
      <c r="N25" s="31">
        <v>2</v>
      </c>
      <c r="O25" s="31"/>
      <c r="P25" s="31"/>
      <c r="R25" s="34" t="s">
        <v>80</v>
      </c>
      <c r="S25" s="34" t="s">
        <v>73</v>
      </c>
      <c r="T25" s="35" t="s">
        <v>30</v>
      </c>
      <c r="U25" s="35" t="s">
        <v>31</v>
      </c>
      <c r="V25" s="35" t="s">
        <v>32</v>
      </c>
      <c r="W25" s="35" t="str">
        <f>MID(Tabcosting[[#This Row],[RPL Family]],8,2)</f>
        <v>75</v>
      </c>
      <c r="X25" s="35"/>
      <c r="Y25" s="36" t="s">
        <v>74</v>
      </c>
      <c r="Z25" s="36" t="s">
        <v>39</v>
      </c>
      <c r="AA25" s="37" t="s">
        <v>75</v>
      </c>
      <c r="AB25" s="38">
        <f t="shared" si="1"/>
        <v>893</v>
      </c>
      <c r="AC25" s="38">
        <f t="shared" si="1"/>
        <v>755</v>
      </c>
      <c r="AD25" s="39">
        <f>IFERROR(Tabcosting[[#This Row],[Good Qty]]/Tabcosting[[#This Row],[Launched Qty]],"")</f>
        <v>0.84546472564389696</v>
      </c>
      <c r="AE25" s="35">
        <v>1482</v>
      </c>
      <c r="AF25" s="38">
        <f t="shared" si="2"/>
        <v>199</v>
      </c>
      <c r="AG25" s="36">
        <v>0</v>
      </c>
      <c r="AH25" s="36">
        <v>14.75</v>
      </c>
    </row>
    <row r="26" spans="1:34" ht="20.100000000000001" customHeight="1" x14ac:dyDescent="0.2">
      <c r="A26" s="28" t="s">
        <v>81</v>
      </c>
      <c r="B26" s="28" t="s">
        <v>82</v>
      </c>
      <c r="C26" s="28" t="s">
        <v>30</v>
      </c>
      <c r="D26" s="28" t="s">
        <v>31</v>
      </c>
      <c r="E26" s="28" t="s">
        <v>32</v>
      </c>
      <c r="F26" s="29">
        <v>873</v>
      </c>
      <c r="G26" s="29">
        <v>743</v>
      </c>
      <c r="H26" s="30">
        <v>0.85108820160366605</v>
      </c>
      <c r="I26" s="29">
        <v>1225</v>
      </c>
      <c r="J26" s="29">
        <v>321</v>
      </c>
      <c r="K26" s="29">
        <v>232</v>
      </c>
      <c r="M26" s="31"/>
      <c r="N26" s="31"/>
      <c r="O26" s="31"/>
      <c r="P26" s="31"/>
      <c r="R26" s="34" t="s">
        <v>81</v>
      </c>
      <c r="S26" s="34" t="s">
        <v>82</v>
      </c>
      <c r="T26" s="35" t="s">
        <v>30</v>
      </c>
      <c r="U26" s="35" t="s">
        <v>31</v>
      </c>
      <c r="V26" s="35" t="s">
        <v>32</v>
      </c>
      <c r="W26" s="35" t="str">
        <f>MID(Tabcosting[[#This Row],[RPL Family]],8,2)</f>
        <v>75</v>
      </c>
      <c r="X26" s="35"/>
      <c r="Y26" s="36" t="s">
        <v>71</v>
      </c>
      <c r="Z26" s="36" t="s">
        <v>39</v>
      </c>
      <c r="AA26" s="37"/>
      <c r="AB26" s="38">
        <f t="shared" si="1"/>
        <v>873</v>
      </c>
      <c r="AC26" s="38">
        <f t="shared" si="1"/>
        <v>743</v>
      </c>
      <c r="AD26" s="39">
        <f>IFERROR(Tabcosting[[#This Row],[Good Qty]]/Tabcosting[[#This Row],[Launched Qty]],"")</f>
        <v>0.8510882016036655</v>
      </c>
      <c r="AE26" s="35">
        <v>1225</v>
      </c>
      <c r="AF26" s="38">
        <f t="shared" si="2"/>
        <v>321</v>
      </c>
      <c r="AG26" s="36">
        <v>232</v>
      </c>
      <c r="AH26" s="36">
        <v>15.81</v>
      </c>
    </row>
    <row r="27" spans="1:34" ht="20.100000000000001" customHeight="1" x14ac:dyDescent="0.2">
      <c r="A27" s="28" t="s">
        <v>83</v>
      </c>
      <c r="B27" s="28" t="s">
        <v>84</v>
      </c>
      <c r="C27" s="28" t="s">
        <v>85</v>
      </c>
      <c r="D27" s="28" t="s">
        <v>31</v>
      </c>
      <c r="E27" s="28" t="s">
        <v>32</v>
      </c>
      <c r="F27" s="29">
        <v>728</v>
      </c>
      <c r="G27" s="29">
        <v>564</v>
      </c>
      <c r="H27" s="30">
        <v>0.77472527472527497</v>
      </c>
      <c r="I27" s="29">
        <v>1127</v>
      </c>
      <c r="J27" s="29">
        <v>569</v>
      </c>
      <c r="K27" s="29">
        <v>0</v>
      </c>
      <c r="M27" s="31"/>
      <c r="N27" s="31"/>
      <c r="O27" s="31"/>
      <c r="P27" s="31"/>
      <c r="R27" s="34" t="s">
        <v>83</v>
      </c>
      <c r="S27" s="34" t="s">
        <v>84</v>
      </c>
      <c r="T27" s="35" t="s">
        <v>85</v>
      </c>
      <c r="U27" s="35" t="s">
        <v>31</v>
      </c>
      <c r="V27" s="35" t="s">
        <v>32</v>
      </c>
      <c r="W27" s="35" t="str">
        <f>MID(Tabcosting[[#This Row],[RPL Family]],8,2)</f>
        <v>55</v>
      </c>
      <c r="X27" s="35"/>
      <c r="Y27" s="36"/>
      <c r="Z27" s="36" t="s">
        <v>39</v>
      </c>
      <c r="AA27" s="37" t="s">
        <v>86</v>
      </c>
      <c r="AB27" s="38">
        <f t="shared" si="1"/>
        <v>728</v>
      </c>
      <c r="AC27" s="38">
        <f t="shared" si="1"/>
        <v>564</v>
      </c>
      <c r="AD27" s="39">
        <f>IFERROR(Tabcosting[[#This Row],[Good Qty]]/Tabcosting[[#This Row],[Launched Qty]],"")</f>
        <v>0.77472527472527475</v>
      </c>
      <c r="AE27" s="35">
        <v>1127</v>
      </c>
      <c r="AF27" s="38">
        <f t="shared" si="2"/>
        <v>569</v>
      </c>
      <c r="AG27" s="36">
        <v>0</v>
      </c>
      <c r="AH27" s="36">
        <v>10.75</v>
      </c>
    </row>
    <row r="28" spans="1:34" ht="20.100000000000001" customHeight="1" x14ac:dyDescent="0.2">
      <c r="A28" s="28" t="s">
        <v>87</v>
      </c>
      <c r="B28" s="28" t="s">
        <v>88</v>
      </c>
      <c r="C28" s="28" t="s">
        <v>85</v>
      </c>
      <c r="D28" s="28" t="s">
        <v>31</v>
      </c>
      <c r="E28" s="28" t="s">
        <v>32</v>
      </c>
      <c r="F28" s="29">
        <v>3747</v>
      </c>
      <c r="G28" s="29">
        <v>2877</v>
      </c>
      <c r="H28" s="30">
        <v>0.76781425140112103</v>
      </c>
      <c r="I28" s="29">
        <v>5586</v>
      </c>
      <c r="J28" s="29">
        <v>2998</v>
      </c>
      <c r="K28" s="29">
        <v>181</v>
      </c>
      <c r="M28" s="31"/>
      <c r="N28" s="31"/>
      <c r="O28" s="31"/>
      <c r="P28" s="31"/>
      <c r="R28" s="34" t="s">
        <v>87</v>
      </c>
      <c r="S28" s="34" t="s">
        <v>88</v>
      </c>
      <c r="T28" s="35" t="s">
        <v>85</v>
      </c>
      <c r="U28" s="35" t="s">
        <v>31</v>
      </c>
      <c r="V28" s="35" t="s">
        <v>32</v>
      </c>
      <c r="W28" s="35" t="str">
        <f>MID(Tabcosting[[#This Row],[RPL Family]],8,2)</f>
        <v>60</v>
      </c>
      <c r="X28" s="35"/>
      <c r="Y28" s="36"/>
      <c r="Z28" s="36" t="s">
        <v>39</v>
      </c>
      <c r="AA28" s="37" t="s">
        <v>86</v>
      </c>
      <c r="AB28" s="38">
        <f t="shared" si="1"/>
        <v>3747</v>
      </c>
      <c r="AC28" s="38">
        <f t="shared" si="1"/>
        <v>2877</v>
      </c>
      <c r="AD28" s="39">
        <f>IFERROR(Tabcosting[[#This Row],[Good Qty]]/Tabcosting[[#This Row],[Launched Qty]],"")</f>
        <v>0.76781425140112092</v>
      </c>
      <c r="AE28" s="35">
        <v>5586</v>
      </c>
      <c r="AF28" s="38">
        <f t="shared" si="2"/>
        <v>2998</v>
      </c>
      <c r="AG28" s="36">
        <v>181</v>
      </c>
      <c r="AH28" s="36">
        <v>10.75</v>
      </c>
    </row>
    <row r="29" spans="1:34" ht="20.100000000000001" customHeight="1" x14ac:dyDescent="0.2">
      <c r="A29" s="28" t="s">
        <v>89</v>
      </c>
      <c r="B29" s="28" t="s">
        <v>90</v>
      </c>
      <c r="C29" s="28" t="s">
        <v>85</v>
      </c>
      <c r="D29" s="28" t="s">
        <v>31</v>
      </c>
      <c r="E29" s="28" t="s">
        <v>32</v>
      </c>
      <c r="F29" s="29">
        <v>307</v>
      </c>
      <c r="G29" s="29">
        <v>268</v>
      </c>
      <c r="H29" s="30">
        <v>0.87296416938110799</v>
      </c>
      <c r="I29" s="29">
        <v>536</v>
      </c>
      <c r="J29" s="29">
        <v>87</v>
      </c>
      <c r="K29" s="29">
        <v>0</v>
      </c>
      <c r="M29" s="31"/>
      <c r="N29" s="31"/>
      <c r="O29" s="31"/>
      <c r="P29" s="31"/>
      <c r="R29" s="34" t="s">
        <v>89</v>
      </c>
      <c r="S29" s="34" t="s">
        <v>90</v>
      </c>
      <c r="T29" s="35" t="s">
        <v>85</v>
      </c>
      <c r="U29" s="35" t="s">
        <v>31</v>
      </c>
      <c r="V29" s="35" t="s">
        <v>32</v>
      </c>
      <c r="W29" s="35" t="str">
        <f>MID(Tabcosting[[#This Row],[RPL Family]],8,2)</f>
        <v>65</v>
      </c>
      <c r="X29" s="35" t="s">
        <v>91</v>
      </c>
      <c r="Y29" s="36"/>
      <c r="Z29" s="36" t="s">
        <v>39</v>
      </c>
      <c r="AA29" s="37" t="s">
        <v>86</v>
      </c>
      <c r="AB29" s="38">
        <f t="shared" si="1"/>
        <v>307</v>
      </c>
      <c r="AC29" s="38">
        <f t="shared" si="1"/>
        <v>268</v>
      </c>
      <c r="AD29" s="39">
        <f>IFERROR(Tabcosting[[#This Row],[Good Qty]]/Tabcosting[[#This Row],[Launched Qty]],"")</f>
        <v>0.87296416938110755</v>
      </c>
      <c r="AE29" s="35">
        <v>536</v>
      </c>
      <c r="AF29" s="38">
        <f t="shared" si="2"/>
        <v>87</v>
      </c>
      <c r="AG29" s="36">
        <v>0</v>
      </c>
      <c r="AH29" s="36">
        <v>10.75</v>
      </c>
    </row>
    <row r="30" spans="1:34" ht="20.100000000000001" customHeight="1" x14ac:dyDescent="0.2">
      <c r="A30" s="28" t="s">
        <v>92</v>
      </c>
      <c r="B30" s="28" t="s">
        <v>93</v>
      </c>
      <c r="C30" s="28" t="s">
        <v>85</v>
      </c>
      <c r="D30" s="28" t="s">
        <v>94</v>
      </c>
      <c r="E30" s="28" t="s">
        <v>32</v>
      </c>
      <c r="F30" s="29">
        <v>340</v>
      </c>
      <c r="G30" s="29">
        <v>270</v>
      </c>
      <c r="H30" s="30">
        <v>0.79411764705882304</v>
      </c>
      <c r="I30" s="29">
        <v>0</v>
      </c>
      <c r="J30" s="77">
        <v>62</v>
      </c>
      <c r="K30" s="29">
        <v>2163</v>
      </c>
      <c r="M30" s="31">
        <f>-F30</f>
        <v>-340</v>
      </c>
      <c r="N30" s="31">
        <f>-G30</f>
        <v>-270</v>
      </c>
      <c r="O30" s="78">
        <f>+J30+1586</f>
        <v>1648</v>
      </c>
      <c r="P30" s="31"/>
      <c r="R30" s="34" t="s">
        <v>92</v>
      </c>
      <c r="S30" s="34" t="s">
        <v>93</v>
      </c>
      <c r="T30" s="35" t="s">
        <v>85</v>
      </c>
      <c r="U30" s="35" t="s">
        <v>94</v>
      </c>
      <c r="V30" s="35" t="s">
        <v>32</v>
      </c>
      <c r="W30" s="35" t="str">
        <f>MID(Tabcosting[[#This Row],[RPL Family]],8,2)</f>
        <v>65</v>
      </c>
      <c r="X30" s="35"/>
      <c r="Y30" s="36"/>
      <c r="Z30" s="36"/>
      <c r="AA30" s="37"/>
      <c r="AB30" s="38">
        <f t="shared" si="1"/>
        <v>0</v>
      </c>
      <c r="AC30" s="38">
        <f t="shared" si="1"/>
        <v>0</v>
      </c>
      <c r="AD30" s="39" t="str">
        <f>IFERROR(Tabcosting[[#This Row],[Good Qty]]/Tabcosting[[#This Row],[Launched Qty]],"")</f>
        <v/>
      </c>
      <c r="AE30" s="35">
        <v>0</v>
      </c>
      <c r="AF30" s="38">
        <f t="shared" si="2"/>
        <v>1710</v>
      </c>
      <c r="AG30" s="36">
        <v>2163</v>
      </c>
      <c r="AH30" s="36"/>
    </row>
    <row r="31" spans="1:34" ht="20.100000000000001" customHeight="1" x14ac:dyDescent="0.2">
      <c r="A31" s="28" t="s">
        <v>95</v>
      </c>
      <c r="B31" s="28" t="s">
        <v>96</v>
      </c>
      <c r="C31" s="28" t="s">
        <v>85</v>
      </c>
      <c r="D31" s="28" t="s">
        <v>31</v>
      </c>
      <c r="E31" s="28" t="s">
        <v>32</v>
      </c>
      <c r="F31" s="29">
        <v>283</v>
      </c>
      <c r="G31" s="29">
        <v>230</v>
      </c>
      <c r="H31" s="30">
        <v>0.81272084805653699</v>
      </c>
      <c r="I31" s="29">
        <v>500</v>
      </c>
      <c r="J31" s="29">
        <v>5</v>
      </c>
      <c r="K31" s="29">
        <v>0</v>
      </c>
      <c r="M31" s="31"/>
      <c r="N31" s="31"/>
      <c r="O31" s="31"/>
      <c r="P31" s="31"/>
      <c r="R31" s="34" t="s">
        <v>95</v>
      </c>
      <c r="S31" s="34" t="s">
        <v>96</v>
      </c>
      <c r="T31" s="35" t="s">
        <v>85</v>
      </c>
      <c r="U31" s="35" t="s">
        <v>31</v>
      </c>
      <c r="V31" s="35" t="s">
        <v>32</v>
      </c>
      <c r="W31" s="35" t="str">
        <f>MID(Tabcosting[[#This Row],[RPL Family]],8,2)</f>
        <v>65</v>
      </c>
      <c r="X31" s="35"/>
      <c r="Y31" s="36" t="s">
        <v>43</v>
      </c>
      <c r="Z31" s="36" t="s">
        <v>39</v>
      </c>
      <c r="AA31" s="37"/>
      <c r="AB31" s="38">
        <f t="shared" si="1"/>
        <v>283</v>
      </c>
      <c r="AC31" s="38">
        <f t="shared" si="1"/>
        <v>230</v>
      </c>
      <c r="AD31" s="39">
        <f>IFERROR(Tabcosting[[#This Row],[Good Qty]]/Tabcosting[[#This Row],[Launched Qty]],"")</f>
        <v>0.8127208480565371</v>
      </c>
      <c r="AE31" s="35">
        <v>500</v>
      </c>
      <c r="AF31" s="38">
        <f t="shared" si="2"/>
        <v>5</v>
      </c>
      <c r="AG31" s="36">
        <v>0</v>
      </c>
      <c r="AH31" s="36">
        <v>11.19</v>
      </c>
    </row>
    <row r="32" spans="1:34" ht="20.100000000000001" customHeight="1" x14ac:dyDescent="0.2">
      <c r="A32" s="28" t="s">
        <v>97</v>
      </c>
      <c r="B32" s="28" t="s">
        <v>98</v>
      </c>
      <c r="C32" s="28" t="s">
        <v>85</v>
      </c>
      <c r="D32" s="28" t="s">
        <v>31</v>
      </c>
      <c r="E32" s="28" t="s">
        <v>32</v>
      </c>
      <c r="F32" s="29">
        <v>0</v>
      </c>
      <c r="G32" s="29">
        <v>0</v>
      </c>
      <c r="H32" s="30">
        <v>0</v>
      </c>
      <c r="I32" s="29">
        <v>0</v>
      </c>
      <c r="J32" s="29">
        <v>0</v>
      </c>
      <c r="K32" s="29">
        <v>0</v>
      </c>
      <c r="M32" s="31"/>
      <c r="N32" s="31"/>
      <c r="O32" s="31"/>
      <c r="P32" s="31"/>
      <c r="R32" s="34" t="s">
        <v>97</v>
      </c>
      <c r="S32" s="34" t="s">
        <v>98</v>
      </c>
      <c r="T32" s="35" t="s">
        <v>85</v>
      </c>
      <c r="U32" s="35" t="s">
        <v>31</v>
      </c>
      <c r="V32" s="35" t="s">
        <v>32</v>
      </c>
      <c r="W32" s="35" t="str">
        <f>MID(Tabcosting[[#This Row],[RPL Family]],8,2)</f>
        <v>65</v>
      </c>
      <c r="X32" s="35"/>
      <c r="Y32" s="36"/>
      <c r="Z32" s="36"/>
      <c r="AA32" s="37"/>
      <c r="AB32" s="38">
        <f t="shared" si="1"/>
        <v>0</v>
      </c>
      <c r="AC32" s="38">
        <f t="shared" si="1"/>
        <v>0</v>
      </c>
      <c r="AD32" s="39" t="str">
        <f>IFERROR(Tabcosting[[#This Row],[Good Qty]]/Tabcosting[[#This Row],[Launched Qty]],"")</f>
        <v/>
      </c>
      <c r="AE32" s="35">
        <v>0</v>
      </c>
      <c r="AF32" s="38">
        <f t="shared" si="2"/>
        <v>0</v>
      </c>
      <c r="AG32" s="36">
        <v>0</v>
      </c>
      <c r="AH32" s="36"/>
    </row>
    <row r="33" spans="1:34" ht="20.100000000000001" customHeight="1" x14ac:dyDescent="0.2">
      <c r="A33" s="28" t="s">
        <v>99</v>
      </c>
      <c r="B33" s="28" t="s">
        <v>100</v>
      </c>
      <c r="C33" s="28" t="s">
        <v>85</v>
      </c>
      <c r="D33" s="28" t="s">
        <v>31</v>
      </c>
      <c r="E33" s="28" t="s">
        <v>32</v>
      </c>
      <c r="F33" s="29">
        <v>1535</v>
      </c>
      <c r="G33" s="29">
        <v>1243</v>
      </c>
      <c r="H33" s="30">
        <v>0.80977198697068398</v>
      </c>
      <c r="I33" s="29">
        <v>2787</v>
      </c>
      <c r="J33" s="29">
        <v>333</v>
      </c>
      <c r="K33" s="29">
        <v>1</v>
      </c>
      <c r="M33" s="31"/>
      <c r="N33" s="31"/>
      <c r="O33" s="31"/>
      <c r="P33" s="31"/>
      <c r="R33" s="34" t="s">
        <v>99</v>
      </c>
      <c r="S33" s="34" t="s">
        <v>100</v>
      </c>
      <c r="T33" s="35" t="s">
        <v>85</v>
      </c>
      <c r="U33" s="35" t="s">
        <v>31</v>
      </c>
      <c r="V33" s="35" t="s">
        <v>32</v>
      </c>
      <c r="W33" s="35" t="str">
        <f>MID(Tabcosting[[#This Row],[RPL Family]],8,2)</f>
        <v>65</v>
      </c>
      <c r="X33" s="35"/>
      <c r="Y33" s="36"/>
      <c r="Z33" s="36" t="s">
        <v>39</v>
      </c>
      <c r="AA33" s="37" t="s">
        <v>86</v>
      </c>
      <c r="AB33" s="38">
        <f t="shared" si="1"/>
        <v>1535</v>
      </c>
      <c r="AC33" s="38">
        <f t="shared" si="1"/>
        <v>1243</v>
      </c>
      <c r="AD33" s="39">
        <f>IFERROR(Tabcosting[[#This Row],[Good Qty]]/Tabcosting[[#This Row],[Launched Qty]],"")</f>
        <v>0.80977198697068409</v>
      </c>
      <c r="AE33" s="35">
        <v>2787</v>
      </c>
      <c r="AF33" s="38">
        <f t="shared" si="2"/>
        <v>333</v>
      </c>
      <c r="AG33" s="36">
        <v>1</v>
      </c>
      <c r="AH33" s="36">
        <v>10.75</v>
      </c>
    </row>
    <row r="34" spans="1:34" ht="20.100000000000001" customHeight="1" x14ac:dyDescent="0.2">
      <c r="A34" s="28" t="s">
        <v>101</v>
      </c>
      <c r="B34" s="28" t="s">
        <v>102</v>
      </c>
      <c r="C34" s="28" t="s">
        <v>85</v>
      </c>
      <c r="D34" s="28" t="s">
        <v>31</v>
      </c>
      <c r="E34" s="28" t="s">
        <v>32</v>
      </c>
      <c r="F34" s="29">
        <v>0</v>
      </c>
      <c r="G34" s="29">
        <v>0</v>
      </c>
      <c r="H34" s="30">
        <v>0</v>
      </c>
      <c r="I34" s="29">
        <v>0</v>
      </c>
      <c r="J34" s="29">
        <v>0</v>
      </c>
      <c r="K34" s="29">
        <v>0</v>
      </c>
      <c r="M34" s="31"/>
      <c r="N34" s="31"/>
      <c r="O34" s="31"/>
      <c r="P34" s="31"/>
      <c r="R34" s="34" t="s">
        <v>101</v>
      </c>
      <c r="S34" s="34" t="s">
        <v>102</v>
      </c>
      <c r="T34" s="35" t="s">
        <v>85</v>
      </c>
      <c r="U34" s="35" t="s">
        <v>31</v>
      </c>
      <c r="V34" s="35" t="s">
        <v>32</v>
      </c>
      <c r="W34" s="35" t="str">
        <f>MID(Tabcosting[[#This Row],[RPL Family]],8,2)</f>
        <v>65</v>
      </c>
      <c r="X34" s="35"/>
      <c r="Y34" s="36"/>
      <c r="Z34" s="36"/>
      <c r="AA34" s="37"/>
      <c r="AB34" s="38">
        <f t="shared" si="1"/>
        <v>0</v>
      </c>
      <c r="AC34" s="38">
        <f t="shared" si="1"/>
        <v>0</v>
      </c>
      <c r="AD34" s="39" t="str">
        <f>IFERROR(Tabcosting[[#This Row],[Good Qty]]/Tabcosting[[#This Row],[Launched Qty]],"")</f>
        <v/>
      </c>
      <c r="AE34" s="35">
        <v>0</v>
      </c>
      <c r="AF34" s="38">
        <f t="shared" si="2"/>
        <v>0</v>
      </c>
      <c r="AG34" s="36">
        <v>0</v>
      </c>
      <c r="AH34" s="36"/>
    </row>
    <row r="35" spans="1:34" ht="20.100000000000001" customHeight="1" x14ac:dyDescent="0.2">
      <c r="A35" s="28" t="s">
        <v>103</v>
      </c>
      <c r="B35" s="28" t="s">
        <v>57</v>
      </c>
      <c r="C35" s="28" t="s">
        <v>85</v>
      </c>
      <c r="D35" s="28" t="s">
        <v>31</v>
      </c>
      <c r="E35" s="28" t="s">
        <v>32</v>
      </c>
      <c r="F35" s="29">
        <v>62</v>
      </c>
      <c r="G35" s="29">
        <v>53</v>
      </c>
      <c r="H35" s="30">
        <v>0.85483870967741904</v>
      </c>
      <c r="I35" s="29">
        <v>106</v>
      </c>
      <c r="J35" s="29">
        <v>18</v>
      </c>
      <c r="K35" s="29">
        <v>4</v>
      </c>
      <c r="M35" s="31"/>
      <c r="N35" s="31"/>
      <c r="O35" s="31"/>
      <c r="P35" s="31"/>
      <c r="R35" s="34" t="s">
        <v>103</v>
      </c>
      <c r="S35" s="34" t="s">
        <v>57</v>
      </c>
      <c r="T35" s="35" t="s">
        <v>85</v>
      </c>
      <c r="U35" s="35" t="s">
        <v>31</v>
      </c>
      <c r="V35" s="35" t="s">
        <v>32</v>
      </c>
      <c r="W35" s="35" t="str">
        <f>MID(Tabcosting[[#This Row],[RPL Family]],8,2)</f>
        <v>65</v>
      </c>
      <c r="X35" s="35"/>
      <c r="Y35" s="36" t="s">
        <v>43</v>
      </c>
      <c r="Z35" s="36" t="s">
        <v>39</v>
      </c>
      <c r="AA35" s="37"/>
      <c r="AB35" s="79">
        <f t="shared" ref="AB35:AC66" si="5">M35+F35</f>
        <v>62</v>
      </c>
      <c r="AC35" s="38">
        <f t="shared" si="5"/>
        <v>53</v>
      </c>
      <c r="AD35" s="39">
        <f>IFERROR(Tabcosting[[#This Row],[Good Qty]]/Tabcosting[[#This Row],[Launched Qty]],"")</f>
        <v>0.85483870967741937</v>
      </c>
      <c r="AE35" s="35">
        <v>106</v>
      </c>
      <c r="AF35" s="38">
        <f t="shared" si="2"/>
        <v>18</v>
      </c>
      <c r="AG35" s="36">
        <v>4</v>
      </c>
      <c r="AH35" s="36">
        <v>11.19</v>
      </c>
    </row>
    <row r="36" spans="1:34" ht="20.100000000000001" customHeight="1" x14ac:dyDescent="0.2">
      <c r="A36" s="28" t="s">
        <v>104</v>
      </c>
      <c r="B36" s="28" t="s">
        <v>105</v>
      </c>
      <c r="C36" s="28" t="s">
        <v>85</v>
      </c>
      <c r="D36" s="28" t="s">
        <v>31</v>
      </c>
      <c r="E36" s="28" t="s">
        <v>32</v>
      </c>
      <c r="F36" s="29">
        <v>442</v>
      </c>
      <c r="G36" s="29">
        <v>356</v>
      </c>
      <c r="H36" s="30">
        <v>0.80542986425339402</v>
      </c>
      <c r="I36" s="29">
        <v>710</v>
      </c>
      <c r="J36" s="29">
        <v>50</v>
      </c>
      <c r="K36" s="29">
        <v>0</v>
      </c>
      <c r="M36" s="31"/>
      <c r="N36" s="31"/>
      <c r="O36" s="31"/>
      <c r="P36" s="31"/>
      <c r="R36" s="34" t="s">
        <v>104</v>
      </c>
      <c r="S36" s="34" t="s">
        <v>105</v>
      </c>
      <c r="T36" s="35" t="s">
        <v>85</v>
      </c>
      <c r="U36" s="35" t="s">
        <v>31</v>
      </c>
      <c r="V36" s="35" t="s">
        <v>32</v>
      </c>
      <c r="W36" s="35" t="str">
        <f>MID(Tabcosting[[#This Row],[RPL Family]],8,2)</f>
        <v>70</v>
      </c>
      <c r="X36" s="35" t="s">
        <v>106</v>
      </c>
      <c r="Y36" s="36"/>
      <c r="Z36" s="36" t="s">
        <v>39</v>
      </c>
      <c r="AA36" s="37" t="s">
        <v>86</v>
      </c>
      <c r="AB36" s="38">
        <f t="shared" si="5"/>
        <v>442</v>
      </c>
      <c r="AC36" s="38">
        <f t="shared" si="5"/>
        <v>356</v>
      </c>
      <c r="AD36" s="39">
        <f>IFERROR(Tabcosting[[#This Row],[Good Qty]]/Tabcosting[[#This Row],[Launched Qty]],"")</f>
        <v>0.80542986425339369</v>
      </c>
      <c r="AE36" s="35">
        <v>710</v>
      </c>
      <c r="AF36" s="38">
        <f t="shared" si="2"/>
        <v>50</v>
      </c>
      <c r="AG36" s="36">
        <v>0</v>
      </c>
      <c r="AH36" s="36">
        <v>10.75</v>
      </c>
    </row>
    <row r="37" spans="1:34" ht="20.100000000000001" customHeight="1" x14ac:dyDescent="0.2">
      <c r="A37" s="28" t="s">
        <v>107</v>
      </c>
      <c r="B37" s="28" t="s">
        <v>108</v>
      </c>
      <c r="C37" s="28" t="s">
        <v>85</v>
      </c>
      <c r="D37" s="28" t="s">
        <v>94</v>
      </c>
      <c r="E37" s="28" t="s">
        <v>32</v>
      </c>
      <c r="F37" s="29">
        <v>1170</v>
      </c>
      <c r="G37" s="29">
        <v>939</v>
      </c>
      <c r="H37" s="30">
        <v>0.80256410256410304</v>
      </c>
      <c r="I37" s="29">
        <v>0</v>
      </c>
      <c r="J37" s="77">
        <v>97</v>
      </c>
      <c r="K37" s="29">
        <v>6031</v>
      </c>
      <c r="M37" s="80">
        <f>-F37</f>
        <v>-1170</v>
      </c>
      <c r="N37" s="81">
        <f>-G37</f>
        <v>-939</v>
      </c>
      <c r="O37" s="82">
        <f>+J37+2652</f>
        <v>2749</v>
      </c>
      <c r="P37" s="31"/>
      <c r="R37" s="34" t="s">
        <v>107</v>
      </c>
      <c r="S37" s="34" t="s">
        <v>108</v>
      </c>
      <c r="T37" s="35" t="s">
        <v>85</v>
      </c>
      <c r="U37" s="35" t="s">
        <v>94</v>
      </c>
      <c r="V37" s="35" t="s">
        <v>32</v>
      </c>
      <c r="W37" s="35" t="str">
        <f>MID(Tabcosting[[#This Row],[RPL Family]],8,2)</f>
        <v>70</v>
      </c>
      <c r="X37" s="35"/>
      <c r="Y37" s="36"/>
      <c r="Z37" s="36"/>
      <c r="AA37" s="37"/>
      <c r="AB37" s="38">
        <f t="shared" si="5"/>
        <v>0</v>
      </c>
      <c r="AC37" s="38">
        <f t="shared" si="5"/>
        <v>0</v>
      </c>
      <c r="AD37" s="39" t="str">
        <f>IFERROR(Tabcosting[[#This Row],[Good Qty]]/Tabcosting[[#This Row],[Launched Qty]],"")</f>
        <v/>
      </c>
      <c r="AE37" s="35">
        <v>0</v>
      </c>
      <c r="AF37" s="38">
        <f t="shared" si="2"/>
        <v>2846</v>
      </c>
      <c r="AG37" s="36">
        <v>6031</v>
      </c>
      <c r="AH37" s="36"/>
    </row>
    <row r="38" spans="1:34" ht="20.100000000000001" customHeight="1" x14ac:dyDescent="0.2">
      <c r="A38" s="28" t="s">
        <v>109</v>
      </c>
      <c r="B38" s="28" t="s">
        <v>110</v>
      </c>
      <c r="C38" s="28" t="s">
        <v>85</v>
      </c>
      <c r="D38" s="28" t="s">
        <v>31</v>
      </c>
      <c r="E38" s="28" t="s">
        <v>32</v>
      </c>
      <c r="F38" s="29">
        <v>383</v>
      </c>
      <c r="G38" s="29">
        <v>303</v>
      </c>
      <c r="H38" s="30">
        <v>0.79112271540470003</v>
      </c>
      <c r="I38" s="29">
        <v>698</v>
      </c>
      <c r="J38" s="29">
        <v>148</v>
      </c>
      <c r="K38" s="29">
        <v>0</v>
      </c>
      <c r="M38" s="31"/>
      <c r="N38" s="31"/>
      <c r="O38" s="31"/>
      <c r="P38" s="31"/>
      <c r="R38" s="34" t="s">
        <v>109</v>
      </c>
      <c r="S38" s="34" t="s">
        <v>110</v>
      </c>
      <c r="T38" s="35" t="s">
        <v>85</v>
      </c>
      <c r="U38" s="35" t="s">
        <v>31</v>
      </c>
      <c r="V38" s="35" t="s">
        <v>32</v>
      </c>
      <c r="W38" s="35" t="str">
        <f>MID(Tabcosting[[#This Row],[RPL Family]],8,2)</f>
        <v>70</v>
      </c>
      <c r="X38" s="35"/>
      <c r="Y38" s="36" t="s">
        <v>43</v>
      </c>
      <c r="Z38" s="36" t="s">
        <v>39</v>
      </c>
      <c r="AA38" s="37"/>
      <c r="AB38" s="38">
        <f t="shared" si="5"/>
        <v>383</v>
      </c>
      <c r="AC38" s="38">
        <f t="shared" si="5"/>
        <v>303</v>
      </c>
      <c r="AD38" s="39">
        <f>IFERROR(Tabcosting[[#This Row],[Good Qty]]/Tabcosting[[#This Row],[Launched Qty]],"")</f>
        <v>0.79112271540469969</v>
      </c>
      <c r="AE38" s="35">
        <v>698</v>
      </c>
      <c r="AF38" s="38">
        <f t="shared" si="2"/>
        <v>148</v>
      </c>
      <c r="AG38" s="36">
        <v>0</v>
      </c>
      <c r="AH38" s="36">
        <v>11.19</v>
      </c>
    </row>
    <row r="39" spans="1:34" ht="20.100000000000001" customHeight="1" x14ac:dyDescent="0.2">
      <c r="A39" s="28" t="s">
        <v>111</v>
      </c>
      <c r="B39" s="28" t="s">
        <v>112</v>
      </c>
      <c r="C39" s="28" t="s">
        <v>85</v>
      </c>
      <c r="D39" s="28" t="s">
        <v>31</v>
      </c>
      <c r="E39" s="28" t="s">
        <v>32</v>
      </c>
      <c r="F39" s="29">
        <v>0</v>
      </c>
      <c r="G39" s="29">
        <v>0</v>
      </c>
      <c r="H39" s="30">
        <v>0</v>
      </c>
      <c r="I39" s="29">
        <v>0</v>
      </c>
      <c r="J39" s="29">
        <v>0</v>
      </c>
      <c r="K39" s="29">
        <v>0</v>
      </c>
      <c r="M39" s="31"/>
      <c r="N39" s="31"/>
      <c r="O39" s="31"/>
      <c r="P39" s="31"/>
      <c r="R39" s="34" t="s">
        <v>111</v>
      </c>
      <c r="S39" s="34" t="s">
        <v>112</v>
      </c>
      <c r="T39" s="35" t="s">
        <v>85</v>
      </c>
      <c r="U39" s="35" t="s">
        <v>31</v>
      </c>
      <c r="V39" s="35" t="s">
        <v>32</v>
      </c>
      <c r="W39" s="35" t="str">
        <f>MID(Tabcosting[[#This Row],[RPL Family]],8,2)</f>
        <v>70</v>
      </c>
      <c r="X39" s="35"/>
      <c r="Y39" s="36"/>
      <c r="Z39" s="36"/>
      <c r="AA39" s="37"/>
      <c r="AB39" s="38">
        <f t="shared" si="5"/>
        <v>0</v>
      </c>
      <c r="AC39" s="38">
        <f t="shared" si="5"/>
        <v>0</v>
      </c>
      <c r="AD39" s="39" t="str">
        <f>IFERROR(Tabcosting[[#This Row],[Good Qty]]/Tabcosting[[#This Row],[Launched Qty]],"")</f>
        <v/>
      </c>
      <c r="AE39" s="35">
        <v>0</v>
      </c>
      <c r="AF39" s="38">
        <f t="shared" si="2"/>
        <v>0</v>
      </c>
      <c r="AG39" s="36">
        <v>0</v>
      </c>
      <c r="AH39" s="36"/>
    </row>
    <row r="40" spans="1:34" ht="20.100000000000001" customHeight="1" x14ac:dyDescent="0.2">
      <c r="A40" s="28" t="s">
        <v>113</v>
      </c>
      <c r="B40" s="28" t="s">
        <v>114</v>
      </c>
      <c r="C40" s="28" t="s">
        <v>85</v>
      </c>
      <c r="D40" s="28" t="s">
        <v>31</v>
      </c>
      <c r="E40" s="28" t="s">
        <v>32</v>
      </c>
      <c r="F40" s="29">
        <v>0</v>
      </c>
      <c r="G40" s="29">
        <v>0</v>
      </c>
      <c r="H40" s="30">
        <v>0</v>
      </c>
      <c r="I40" s="29">
        <v>0</v>
      </c>
      <c r="J40" s="29">
        <v>0</v>
      </c>
      <c r="K40" s="29">
        <v>0</v>
      </c>
      <c r="M40" s="31"/>
      <c r="N40" s="31"/>
      <c r="O40" s="31"/>
      <c r="P40" s="31"/>
      <c r="R40" s="34" t="s">
        <v>113</v>
      </c>
      <c r="S40" s="34" t="s">
        <v>114</v>
      </c>
      <c r="T40" s="35" t="s">
        <v>85</v>
      </c>
      <c r="U40" s="35" t="s">
        <v>31</v>
      </c>
      <c r="V40" s="35" t="s">
        <v>32</v>
      </c>
      <c r="W40" s="35" t="str">
        <f>MID(Tabcosting[[#This Row],[RPL Family]],8,2)</f>
        <v>70</v>
      </c>
      <c r="X40" s="35"/>
      <c r="Y40" s="36"/>
      <c r="Z40" s="36"/>
      <c r="AA40" s="37"/>
      <c r="AB40" s="38">
        <f t="shared" si="5"/>
        <v>0</v>
      </c>
      <c r="AC40" s="38">
        <f t="shared" si="5"/>
        <v>0</v>
      </c>
      <c r="AD40" s="39" t="str">
        <f>IFERROR(Tabcosting[[#This Row],[Good Qty]]/Tabcosting[[#This Row],[Launched Qty]],"")</f>
        <v/>
      </c>
      <c r="AE40" s="35">
        <v>0</v>
      </c>
      <c r="AF40" s="38">
        <f t="shared" si="2"/>
        <v>0</v>
      </c>
      <c r="AG40" s="36">
        <v>0</v>
      </c>
      <c r="AH40" s="36"/>
    </row>
    <row r="41" spans="1:34" ht="20.100000000000001" customHeight="1" x14ac:dyDescent="0.2">
      <c r="A41" s="28" t="s">
        <v>115</v>
      </c>
      <c r="B41" s="28" t="s">
        <v>116</v>
      </c>
      <c r="C41" s="28" t="s">
        <v>85</v>
      </c>
      <c r="D41" s="28" t="s">
        <v>31</v>
      </c>
      <c r="E41" s="28" t="s">
        <v>32</v>
      </c>
      <c r="F41" s="29">
        <v>106</v>
      </c>
      <c r="G41" s="29">
        <v>93</v>
      </c>
      <c r="H41" s="30">
        <v>0.87735849056603799</v>
      </c>
      <c r="I41" s="29">
        <v>186</v>
      </c>
      <c r="J41" s="29">
        <v>169</v>
      </c>
      <c r="K41" s="29">
        <v>3</v>
      </c>
      <c r="M41" s="31"/>
      <c r="N41" s="31"/>
      <c r="O41" s="31"/>
      <c r="P41" s="31"/>
      <c r="R41" s="34" t="s">
        <v>115</v>
      </c>
      <c r="S41" s="34" t="s">
        <v>116</v>
      </c>
      <c r="T41" s="35" t="s">
        <v>85</v>
      </c>
      <c r="U41" s="35" t="s">
        <v>31</v>
      </c>
      <c r="V41" s="35" t="s">
        <v>32</v>
      </c>
      <c r="W41" s="35" t="str">
        <f>MID(Tabcosting[[#This Row],[RPL Family]],8,2)</f>
        <v>70</v>
      </c>
      <c r="X41" s="35"/>
      <c r="Y41" s="36" t="s">
        <v>43</v>
      </c>
      <c r="Z41" s="36" t="s">
        <v>39</v>
      </c>
      <c r="AA41" s="37"/>
      <c r="AB41" s="38">
        <f t="shared" si="5"/>
        <v>106</v>
      </c>
      <c r="AC41" s="38">
        <f t="shared" si="5"/>
        <v>93</v>
      </c>
      <c r="AD41" s="39">
        <f>IFERROR(Tabcosting[[#This Row],[Good Qty]]/Tabcosting[[#This Row],[Launched Qty]],"")</f>
        <v>0.87735849056603776</v>
      </c>
      <c r="AE41" s="35">
        <v>186</v>
      </c>
      <c r="AF41" s="38">
        <f t="shared" si="2"/>
        <v>169</v>
      </c>
      <c r="AG41" s="36">
        <v>3</v>
      </c>
      <c r="AH41" s="36">
        <v>11.19</v>
      </c>
    </row>
    <row r="42" spans="1:34" ht="20.100000000000001" customHeight="1" x14ac:dyDescent="0.2">
      <c r="A42" s="28" t="s">
        <v>117</v>
      </c>
      <c r="B42" s="28" t="s">
        <v>29</v>
      </c>
      <c r="C42" s="28" t="s">
        <v>118</v>
      </c>
      <c r="D42" s="28" t="s">
        <v>31</v>
      </c>
      <c r="E42" s="28" t="s">
        <v>32</v>
      </c>
      <c r="F42" s="29">
        <v>0</v>
      </c>
      <c r="G42" s="29">
        <v>0</v>
      </c>
      <c r="H42" s="30">
        <v>0</v>
      </c>
      <c r="I42" s="29">
        <v>0</v>
      </c>
      <c r="J42" s="29">
        <v>0</v>
      </c>
      <c r="K42" s="29">
        <v>0</v>
      </c>
      <c r="M42" s="31"/>
      <c r="N42" s="31"/>
      <c r="O42" s="31"/>
      <c r="P42" s="31"/>
      <c r="R42" s="34" t="s">
        <v>117</v>
      </c>
      <c r="S42" s="34" t="s">
        <v>29</v>
      </c>
      <c r="T42" s="35" t="s">
        <v>118</v>
      </c>
      <c r="U42" s="35" t="s">
        <v>31</v>
      </c>
      <c r="V42" s="35" t="s">
        <v>32</v>
      </c>
      <c r="W42" s="35" t="str">
        <f>MID(Tabcosting[[#This Row],[RPL Family]],8,2)</f>
        <v>65</v>
      </c>
      <c r="X42" s="35"/>
      <c r="Y42" s="36"/>
      <c r="Z42" s="36"/>
      <c r="AA42" s="37"/>
      <c r="AB42" s="38">
        <f t="shared" si="5"/>
        <v>0</v>
      </c>
      <c r="AC42" s="38">
        <f t="shared" si="5"/>
        <v>0</v>
      </c>
      <c r="AD42" s="39" t="str">
        <f>IFERROR(Tabcosting[[#This Row],[Good Qty]]/Tabcosting[[#This Row],[Launched Qty]],"")</f>
        <v/>
      </c>
      <c r="AE42" s="35">
        <v>0</v>
      </c>
      <c r="AF42" s="38">
        <f t="shared" si="2"/>
        <v>0</v>
      </c>
      <c r="AG42" s="36">
        <v>0</v>
      </c>
      <c r="AH42" s="36"/>
    </row>
    <row r="43" spans="1:34" ht="20.100000000000001" customHeight="1" x14ac:dyDescent="0.2">
      <c r="A43" s="28" t="s">
        <v>119</v>
      </c>
      <c r="B43" s="28" t="s">
        <v>29</v>
      </c>
      <c r="C43" s="28" t="s">
        <v>118</v>
      </c>
      <c r="D43" s="28" t="s">
        <v>31</v>
      </c>
      <c r="E43" s="28" t="s">
        <v>32</v>
      </c>
      <c r="F43" s="29">
        <v>0</v>
      </c>
      <c r="G43" s="29">
        <v>0</v>
      </c>
      <c r="H43" s="30">
        <v>0</v>
      </c>
      <c r="I43" s="29">
        <v>0</v>
      </c>
      <c r="J43" s="29">
        <v>0</v>
      </c>
      <c r="K43" s="29">
        <v>0</v>
      </c>
      <c r="M43" s="31"/>
      <c r="N43" s="31"/>
      <c r="O43" s="31"/>
      <c r="P43" s="31"/>
      <c r="R43" s="34" t="s">
        <v>119</v>
      </c>
      <c r="S43" s="34" t="s">
        <v>29</v>
      </c>
      <c r="T43" s="35" t="s">
        <v>118</v>
      </c>
      <c r="U43" s="35" t="s">
        <v>31</v>
      </c>
      <c r="V43" s="35" t="s">
        <v>32</v>
      </c>
      <c r="W43" s="35" t="str">
        <f>MID(Tabcosting[[#This Row],[RPL Family]],8,2)</f>
        <v>75</v>
      </c>
      <c r="X43" s="35"/>
      <c r="Y43" s="36"/>
      <c r="Z43" s="36"/>
      <c r="AA43" s="37"/>
      <c r="AB43" s="38">
        <f t="shared" si="5"/>
        <v>0</v>
      </c>
      <c r="AC43" s="38">
        <f t="shared" si="5"/>
        <v>0</v>
      </c>
      <c r="AD43" s="39" t="str">
        <f>IFERROR(Tabcosting[[#This Row],[Good Qty]]/Tabcosting[[#This Row],[Launched Qty]],"")</f>
        <v/>
      </c>
      <c r="AE43" s="35">
        <v>0</v>
      </c>
      <c r="AF43" s="38">
        <f t="shared" si="2"/>
        <v>0</v>
      </c>
      <c r="AG43" s="36">
        <v>0</v>
      </c>
      <c r="AH43" s="36"/>
    </row>
    <row r="44" spans="1:34" ht="20.100000000000001" customHeight="1" x14ac:dyDescent="0.2">
      <c r="A44" s="28" t="s">
        <v>120</v>
      </c>
      <c r="B44" s="28" t="s">
        <v>29</v>
      </c>
      <c r="C44" s="28" t="s">
        <v>118</v>
      </c>
      <c r="D44" s="28" t="s">
        <v>31</v>
      </c>
      <c r="E44" s="28" t="s">
        <v>32</v>
      </c>
      <c r="F44" s="29">
        <v>0</v>
      </c>
      <c r="G44" s="29">
        <v>0</v>
      </c>
      <c r="H44" s="30">
        <v>0</v>
      </c>
      <c r="I44" s="29">
        <v>0</v>
      </c>
      <c r="J44" s="29">
        <v>0</v>
      </c>
      <c r="K44" s="29">
        <v>0</v>
      </c>
      <c r="M44" s="31"/>
      <c r="N44" s="31"/>
      <c r="O44" s="31"/>
      <c r="P44" s="31"/>
      <c r="R44" s="34" t="s">
        <v>120</v>
      </c>
      <c r="S44" s="34" t="s">
        <v>29</v>
      </c>
      <c r="T44" s="35" t="s">
        <v>118</v>
      </c>
      <c r="U44" s="35" t="s">
        <v>31</v>
      </c>
      <c r="V44" s="35" t="s">
        <v>32</v>
      </c>
      <c r="W44" s="35" t="str">
        <f>MID(Tabcosting[[#This Row],[RPL Family]],8,2)</f>
        <v>80</v>
      </c>
      <c r="X44" s="35"/>
      <c r="Y44" s="36"/>
      <c r="Z44" s="36"/>
      <c r="AA44" s="37"/>
      <c r="AB44" s="38">
        <f t="shared" si="5"/>
        <v>0</v>
      </c>
      <c r="AC44" s="38">
        <f t="shared" si="5"/>
        <v>0</v>
      </c>
      <c r="AD44" s="39" t="str">
        <f>IFERROR(Tabcosting[[#This Row],[Good Qty]]/Tabcosting[[#This Row],[Launched Qty]],"")</f>
        <v/>
      </c>
      <c r="AE44" s="35">
        <v>0</v>
      </c>
      <c r="AF44" s="38">
        <f t="shared" si="2"/>
        <v>0</v>
      </c>
      <c r="AG44" s="36">
        <v>0</v>
      </c>
      <c r="AH44" s="36"/>
    </row>
    <row r="45" spans="1:34" ht="20.100000000000001" customHeight="1" x14ac:dyDescent="0.2">
      <c r="A45" s="28" t="s">
        <v>121</v>
      </c>
      <c r="B45" s="28" t="s">
        <v>38</v>
      </c>
      <c r="C45" s="28" t="s">
        <v>118</v>
      </c>
      <c r="D45" s="28" t="s">
        <v>31</v>
      </c>
      <c r="E45" s="28" t="s">
        <v>32</v>
      </c>
      <c r="F45" s="29">
        <v>94</v>
      </c>
      <c r="G45" s="29">
        <v>55</v>
      </c>
      <c r="H45" s="30">
        <v>0.58510638297872297</v>
      </c>
      <c r="I45" s="29">
        <v>110</v>
      </c>
      <c r="J45" s="29">
        <v>9</v>
      </c>
      <c r="K45" s="29">
        <v>0</v>
      </c>
      <c r="M45" s="31"/>
      <c r="N45" s="31"/>
      <c r="O45" s="31"/>
      <c r="P45" s="31"/>
      <c r="R45" s="34" t="s">
        <v>121</v>
      </c>
      <c r="S45" s="34" t="s">
        <v>38</v>
      </c>
      <c r="T45" s="35" t="s">
        <v>118</v>
      </c>
      <c r="U45" s="35" t="s">
        <v>31</v>
      </c>
      <c r="V45" s="35" t="s">
        <v>32</v>
      </c>
      <c r="W45" s="35" t="str">
        <f>MID(Tabcosting[[#This Row],[RPL Family]],8,2)</f>
        <v>65</v>
      </c>
      <c r="X45" s="35"/>
      <c r="Y45" s="36"/>
      <c r="Z45" s="36" t="s">
        <v>39</v>
      </c>
      <c r="AA45" s="37" t="s">
        <v>122</v>
      </c>
      <c r="AB45" s="38">
        <f t="shared" si="5"/>
        <v>94</v>
      </c>
      <c r="AC45" s="38">
        <f t="shared" si="5"/>
        <v>55</v>
      </c>
      <c r="AD45" s="39">
        <f>IFERROR(Tabcosting[[#This Row],[Good Qty]]/Tabcosting[[#This Row],[Launched Qty]],"")</f>
        <v>0.58510638297872342</v>
      </c>
      <c r="AE45" s="35">
        <v>110</v>
      </c>
      <c r="AF45" s="38">
        <f t="shared" si="2"/>
        <v>9</v>
      </c>
      <c r="AG45" s="36">
        <v>0</v>
      </c>
      <c r="AH45" s="36">
        <v>16.649999999999999</v>
      </c>
    </row>
    <row r="46" spans="1:34" ht="20.100000000000001" customHeight="1" x14ac:dyDescent="0.2">
      <c r="A46" s="28" t="s">
        <v>123</v>
      </c>
      <c r="B46" s="28" t="s">
        <v>42</v>
      </c>
      <c r="C46" s="28" t="s">
        <v>118</v>
      </c>
      <c r="D46" s="28" t="s">
        <v>31</v>
      </c>
      <c r="E46" s="28" t="s">
        <v>32</v>
      </c>
      <c r="F46" s="29">
        <v>213</v>
      </c>
      <c r="G46" s="29">
        <v>103</v>
      </c>
      <c r="H46" s="30">
        <v>0.48356807511737099</v>
      </c>
      <c r="I46" s="29">
        <v>206</v>
      </c>
      <c r="J46" s="29">
        <v>37</v>
      </c>
      <c r="K46" s="29">
        <v>0</v>
      </c>
      <c r="M46" s="31"/>
      <c r="N46" s="31"/>
      <c r="O46" s="31"/>
      <c r="P46" s="31"/>
      <c r="R46" s="34" t="s">
        <v>123</v>
      </c>
      <c r="S46" s="34" t="s">
        <v>42</v>
      </c>
      <c r="T46" s="35" t="s">
        <v>118</v>
      </c>
      <c r="U46" s="35" t="s">
        <v>31</v>
      </c>
      <c r="V46" s="35" t="s">
        <v>32</v>
      </c>
      <c r="W46" s="35" t="str">
        <f>MID(Tabcosting[[#This Row],[RPL Family]],8,2)</f>
        <v>65</v>
      </c>
      <c r="X46" s="35"/>
      <c r="Y46" s="36" t="s">
        <v>43</v>
      </c>
      <c r="Z46" s="36" t="s">
        <v>39</v>
      </c>
      <c r="AA46" s="37"/>
      <c r="AB46" s="38">
        <f t="shared" si="5"/>
        <v>213</v>
      </c>
      <c r="AC46" s="38">
        <f t="shared" si="5"/>
        <v>103</v>
      </c>
      <c r="AD46" s="39">
        <f>IFERROR(Tabcosting[[#This Row],[Good Qty]]/Tabcosting[[#This Row],[Launched Qty]],"")</f>
        <v>0.48356807511737088</v>
      </c>
      <c r="AE46" s="35">
        <v>206</v>
      </c>
      <c r="AF46" s="38">
        <f t="shared" si="2"/>
        <v>37</v>
      </c>
      <c r="AG46" s="36">
        <v>0</v>
      </c>
      <c r="AH46" s="36">
        <v>16.940000000000001</v>
      </c>
    </row>
    <row r="47" spans="1:34" ht="20.100000000000001" customHeight="1" x14ac:dyDescent="0.2">
      <c r="A47" s="28" t="s">
        <v>124</v>
      </c>
      <c r="B47" s="28" t="s">
        <v>46</v>
      </c>
      <c r="C47" s="28" t="s">
        <v>118</v>
      </c>
      <c r="D47" s="28" t="s">
        <v>31</v>
      </c>
      <c r="E47" s="28" t="s">
        <v>32</v>
      </c>
      <c r="F47" s="29">
        <v>0</v>
      </c>
      <c r="G47" s="29">
        <v>0</v>
      </c>
      <c r="H47" s="30">
        <v>0</v>
      </c>
      <c r="I47" s="29">
        <v>0</v>
      </c>
      <c r="J47" s="29">
        <v>0</v>
      </c>
      <c r="K47" s="29">
        <v>0</v>
      </c>
      <c r="M47" s="31"/>
      <c r="N47" s="31"/>
      <c r="O47" s="31"/>
      <c r="P47" s="31"/>
      <c r="R47" s="34" t="s">
        <v>124</v>
      </c>
      <c r="S47" s="34" t="s">
        <v>46</v>
      </c>
      <c r="T47" s="35" t="s">
        <v>118</v>
      </c>
      <c r="U47" s="35" t="s">
        <v>31</v>
      </c>
      <c r="V47" s="35" t="s">
        <v>32</v>
      </c>
      <c r="W47" s="35" t="str">
        <f>MID(Tabcosting[[#This Row],[RPL Family]],8,2)</f>
        <v>65</v>
      </c>
      <c r="X47" s="35"/>
      <c r="Y47" s="36"/>
      <c r="Z47" s="36"/>
      <c r="AA47" s="37"/>
      <c r="AB47" s="38">
        <f t="shared" si="5"/>
        <v>0</v>
      </c>
      <c r="AC47" s="38">
        <f t="shared" si="5"/>
        <v>0</v>
      </c>
      <c r="AD47" s="39" t="str">
        <f>IFERROR(Tabcosting[[#This Row],[Good Qty]]/Tabcosting[[#This Row],[Launched Qty]],"")</f>
        <v/>
      </c>
      <c r="AE47" s="35">
        <v>0</v>
      </c>
      <c r="AF47" s="38">
        <f t="shared" si="2"/>
        <v>0</v>
      </c>
      <c r="AG47" s="36">
        <v>0</v>
      </c>
      <c r="AH47" s="36"/>
    </row>
    <row r="48" spans="1:34" ht="20.100000000000001" customHeight="1" x14ac:dyDescent="0.2">
      <c r="A48" s="28" t="s">
        <v>125</v>
      </c>
      <c r="B48" s="28" t="s">
        <v>29</v>
      </c>
      <c r="C48" s="28" t="s">
        <v>118</v>
      </c>
      <c r="D48" s="28" t="s">
        <v>31</v>
      </c>
      <c r="E48" s="28" t="s">
        <v>32</v>
      </c>
      <c r="F48" s="29">
        <v>0</v>
      </c>
      <c r="G48" s="29">
        <v>0</v>
      </c>
      <c r="H48" s="30">
        <v>0</v>
      </c>
      <c r="I48" s="29">
        <v>0</v>
      </c>
      <c r="J48" s="29">
        <v>0</v>
      </c>
      <c r="K48" s="29">
        <v>0</v>
      </c>
      <c r="M48" s="31"/>
      <c r="N48" s="31"/>
      <c r="O48" s="31"/>
      <c r="P48" s="31"/>
      <c r="R48" s="34" t="s">
        <v>125</v>
      </c>
      <c r="S48" s="34" t="s">
        <v>29</v>
      </c>
      <c r="T48" s="35" t="s">
        <v>118</v>
      </c>
      <c r="U48" s="35" t="s">
        <v>31</v>
      </c>
      <c r="V48" s="35" t="s">
        <v>32</v>
      </c>
      <c r="W48" s="35" t="str">
        <f>MID(Tabcosting[[#This Row],[RPL Family]],8,2)</f>
        <v>65</v>
      </c>
      <c r="X48" s="35"/>
      <c r="Y48" s="36"/>
      <c r="Z48" s="36"/>
      <c r="AA48" s="37"/>
      <c r="AB48" s="38">
        <f t="shared" si="5"/>
        <v>0</v>
      </c>
      <c r="AC48" s="38">
        <f t="shared" si="5"/>
        <v>0</v>
      </c>
      <c r="AD48" s="39" t="str">
        <f>IFERROR(Tabcosting[[#This Row],[Good Qty]]/Tabcosting[[#This Row],[Launched Qty]],"")</f>
        <v/>
      </c>
      <c r="AE48" s="35">
        <v>0</v>
      </c>
      <c r="AF48" s="38">
        <f t="shared" si="2"/>
        <v>0</v>
      </c>
      <c r="AG48" s="36">
        <v>0</v>
      </c>
      <c r="AH48" s="36"/>
    </row>
    <row r="49" spans="1:34" ht="20.100000000000001" customHeight="1" x14ac:dyDescent="0.2">
      <c r="A49" s="28" t="s">
        <v>126</v>
      </c>
      <c r="B49" s="28" t="s">
        <v>57</v>
      </c>
      <c r="C49" s="28" t="s">
        <v>118</v>
      </c>
      <c r="D49" s="28" t="s">
        <v>31</v>
      </c>
      <c r="E49" s="28" t="s">
        <v>32</v>
      </c>
      <c r="F49" s="29">
        <v>163</v>
      </c>
      <c r="G49" s="29">
        <v>102</v>
      </c>
      <c r="H49" s="30">
        <v>0.625766871165644</v>
      </c>
      <c r="I49" s="29">
        <v>204</v>
      </c>
      <c r="J49" s="29">
        <v>30</v>
      </c>
      <c r="K49" s="29">
        <v>0</v>
      </c>
      <c r="M49" s="31"/>
      <c r="N49" s="31"/>
      <c r="O49" s="31"/>
      <c r="P49" s="31"/>
      <c r="R49" s="34" t="s">
        <v>126</v>
      </c>
      <c r="S49" s="34" t="s">
        <v>57</v>
      </c>
      <c r="T49" s="35" t="s">
        <v>118</v>
      </c>
      <c r="U49" s="35" t="s">
        <v>31</v>
      </c>
      <c r="V49" s="35" t="s">
        <v>32</v>
      </c>
      <c r="W49" s="35" t="str">
        <f>MID(Tabcosting[[#This Row],[RPL Family]],8,2)</f>
        <v>65</v>
      </c>
      <c r="X49" s="35"/>
      <c r="Y49" s="36" t="s">
        <v>43</v>
      </c>
      <c r="Z49" s="36" t="s">
        <v>39</v>
      </c>
      <c r="AA49" s="37"/>
      <c r="AB49" s="38">
        <f t="shared" si="5"/>
        <v>163</v>
      </c>
      <c r="AC49" s="38">
        <f t="shared" si="5"/>
        <v>102</v>
      </c>
      <c r="AD49" s="39">
        <f>IFERROR(Tabcosting[[#This Row],[Good Qty]]/Tabcosting[[#This Row],[Launched Qty]],"")</f>
        <v>0.62576687116564422</v>
      </c>
      <c r="AE49" s="35">
        <v>204</v>
      </c>
      <c r="AF49" s="38">
        <f t="shared" si="2"/>
        <v>30</v>
      </c>
      <c r="AG49" s="36">
        <v>0</v>
      </c>
      <c r="AH49" s="36">
        <v>16.940000000000001</v>
      </c>
    </row>
    <row r="50" spans="1:34" ht="20.100000000000001" customHeight="1" x14ac:dyDescent="0.2">
      <c r="A50" s="28" t="s">
        <v>127</v>
      </c>
      <c r="B50" s="28" t="s">
        <v>38</v>
      </c>
      <c r="C50" s="28" t="s">
        <v>118</v>
      </c>
      <c r="D50" s="28" t="s">
        <v>31</v>
      </c>
      <c r="E50" s="28" t="s">
        <v>32</v>
      </c>
      <c r="F50" s="29">
        <v>34</v>
      </c>
      <c r="G50" s="29">
        <v>28</v>
      </c>
      <c r="H50" s="30">
        <v>0.82352941176470595</v>
      </c>
      <c r="I50" s="29">
        <v>56</v>
      </c>
      <c r="J50" s="29">
        <v>0</v>
      </c>
      <c r="K50" s="29">
        <v>0</v>
      </c>
      <c r="M50" s="31"/>
      <c r="N50" s="31"/>
      <c r="O50" s="31"/>
      <c r="P50" s="31"/>
      <c r="R50" s="34" t="s">
        <v>127</v>
      </c>
      <c r="S50" s="34" t="s">
        <v>38</v>
      </c>
      <c r="T50" s="35" t="s">
        <v>118</v>
      </c>
      <c r="U50" s="35" t="s">
        <v>31</v>
      </c>
      <c r="V50" s="35" t="s">
        <v>32</v>
      </c>
      <c r="W50" s="35" t="str">
        <f>MID(Tabcosting[[#This Row],[RPL Family]],8,2)</f>
        <v>70</v>
      </c>
      <c r="X50" s="35"/>
      <c r="Y50" s="36"/>
      <c r="Z50" s="36" t="s">
        <v>39</v>
      </c>
      <c r="AA50" s="37" t="s">
        <v>122</v>
      </c>
      <c r="AB50" s="38">
        <f t="shared" si="5"/>
        <v>34</v>
      </c>
      <c r="AC50" s="38">
        <f t="shared" si="5"/>
        <v>28</v>
      </c>
      <c r="AD50" s="39">
        <f>IFERROR(Tabcosting[[#This Row],[Good Qty]]/Tabcosting[[#This Row],[Launched Qty]],"")</f>
        <v>0.82352941176470584</v>
      </c>
      <c r="AE50" s="35">
        <v>56</v>
      </c>
      <c r="AF50" s="38">
        <f t="shared" si="2"/>
        <v>0</v>
      </c>
      <c r="AG50" s="36">
        <v>0</v>
      </c>
      <c r="AH50" s="36">
        <v>16.649999999999999</v>
      </c>
    </row>
    <row r="51" spans="1:34" ht="20.100000000000001" customHeight="1" x14ac:dyDescent="0.2">
      <c r="A51" s="28" t="s">
        <v>128</v>
      </c>
      <c r="B51" s="28" t="s">
        <v>42</v>
      </c>
      <c r="C51" s="28" t="s">
        <v>118</v>
      </c>
      <c r="D51" s="28" t="s">
        <v>31</v>
      </c>
      <c r="E51" s="28" t="s">
        <v>32</v>
      </c>
      <c r="F51" s="29">
        <v>106</v>
      </c>
      <c r="G51" s="29">
        <v>81</v>
      </c>
      <c r="H51" s="30">
        <v>0.76415094339622602</v>
      </c>
      <c r="I51" s="29">
        <v>162</v>
      </c>
      <c r="J51" s="29">
        <v>14</v>
      </c>
      <c r="K51" s="29">
        <v>0</v>
      </c>
      <c r="M51" s="31"/>
      <c r="N51" s="31"/>
      <c r="O51" s="31"/>
      <c r="P51" s="31"/>
      <c r="R51" s="34" t="s">
        <v>128</v>
      </c>
      <c r="S51" s="34" t="s">
        <v>42</v>
      </c>
      <c r="T51" s="35" t="s">
        <v>118</v>
      </c>
      <c r="U51" s="35" t="s">
        <v>31</v>
      </c>
      <c r="V51" s="35" t="s">
        <v>32</v>
      </c>
      <c r="W51" s="35" t="str">
        <f>MID(Tabcosting[[#This Row],[RPL Family]],8,2)</f>
        <v>70</v>
      </c>
      <c r="X51" s="35"/>
      <c r="Y51" s="36" t="s">
        <v>43</v>
      </c>
      <c r="Z51" s="36" t="s">
        <v>39</v>
      </c>
      <c r="AA51" s="37"/>
      <c r="AB51" s="38">
        <f t="shared" si="5"/>
        <v>106</v>
      </c>
      <c r="AC51" s="38">
        <f t="shared" si="5"/>
        <v>81</v>
      </c>
      <c r="AD51" s="39">
        <f>IFERROR(Tabcosting[[#This Row],[Good Qty]]/Tabcosting[[#This Row],[Launched Qty]],"")</f>
        <v>0.76415094339622647</v>
      </c>
      <c r="AE51" s="35">
        <v>162</v>
      </c>
      <c r="AF51" s="38">
        <f t="shared" si="2"/>
        <v>14</v>
      </c>
      <c r="AG51" s="36">
        <v>0</v>
      </c>
      <c r="AH51" s="36">
        <v>16.940000000000001</v>
      </c>
    </row>
    <row r="52" spans="1:34" ht="20.100000000000001" customHeight="1" x14ac:dyDescent="0.2">
      <c r="A52" s="28" t="s">
        <v>129</v>
      </c>
      <c r="B52" s="28" t="s">
        <v>46</v>
      </c>
      <c r="C52" s="28" t="s">
        <v>118</v>
      </c>
      <c r="D52" s="28" t="s">
        <v>31</v>
      </c>
      <c r="E52" s="28" t="s">
        <v>32</v>
      </c>
      <c r="F52" s="29">
        <v>0</v>
      </c>
      <c r="G52" s="29">
        <v>0</v>
      </c>
      <c r="H52" s="30">
        <v>0</v>
      </c>
      <c r="I52" s="29">
        <v>0</v>
      </c>
      <c r="J52" s="29">
        <v>0</v>
      </c>
      <c r="K52" s="29">
        <v>0</v>
      </c>
      <c r="M52" s="31"/>
      <c r="N52" s="31"/>
      <c r="O52" s="31"/>
      <c r="P52" s="31"/>
      <c r="R52" s="34" t="s">
        <v>129</v>
      </c>
      <c r="S52" s="34" t="s">
        <v>46</v>
      </c>
      <c r="T52" s="35" t="s">
        <v>118</v>
      </c>
      <c r="U52" s="35" t="s">
        <v>31</v>
      </c>
      <c r="V52" s="35" t="s">
        <v>32</v>
      </c>
      <c r="W52" s="35" t="str">
        <f>MID(Tabcosting[[#This Row],[RPL Family]],8,2)</f>
        <v>70</v>
      </c>
      <c r="X52" s="35"/>
      <c r="Y52" s="36"/>
      <c r="Z52" s="36"/>
      <c r="AA52" s="37"/>
      <c r="AB52" s="38">
        <f t="shared" si="5"/>
        <v>0</v>
      </c>
      <c r="AC52" s="38">
        <f t="shared" si="5"/>
        <v>0</v>
      </c>
      <c r="AD52" s="39" t="str">
        <f>IFERROR(Tabcosting[[#This Row],[Good Qty]]/Tabcosting[[#This Row],[Launched Qty]],"")</f>
        <v/>
      </c>
      <c r="AE52" s="35">
        <v>0</v>
      </c>
      <c r="AF52" s="38">
        <f t="shared" si="2"/>
        <v>0</v>
      </c>
      <c r="AG52" s="36">
        <v>0</v>
      </c>
      <c r="AH52" s="36"/>
    </row>
    <row r="53" spans="1:34" ht="20.100000000000001" customHeight="1" x14ac:dyDescent="0.2">
      <c r="A53" s="28" t="s">
        <v>130</v>
      </c>
      <c r="B53" s="28" t="s">
        <v>29</v>
      </c>
      <c r="C53" s="28" t="s">
        <v>118</v>
      </c>
      <c r="D53" s="28" t="s">
        <v>31</v>
      </c>
      <c r="E53" s="28" t="s">
        <v>32</v>
      </c>
      <c r="F53" s="29">
        <v>0</v>
      </c>
      <c r="G53" s="29">
        <v>0</v>
      </c>
      <c r="H53" s="30">
        <v>0</v>
      </c>
      <c r="I53" s="29">
        <v>0</v>
      </c>
      <c r="J53" s="29">
        <v>0</v>
      </c>
      <c r="K53" s="29">
        <v>0</v>
      </c>
      <c r="M53" s="31"/>
      <c r="N53" s="31"/>
      <c r="O53" s="31"/>
      <c r="P53" s="31"/>
      <c r="R53" s="34" t="s">
        <v>130</v>
      </c>
      <c r="S53" s="34" t="s">
        <v>29</v>
      </c>
      <c r="T53" s="35" t="s">
        <v>118</v>
      </c>
      <c r="U53" s="35" t="s">
        <v>31</v>
      </c>
      <c r="V53" s="35" t="s">
        <v>32</v>
      </c>
      <c r="W53" s="35" t="str">
        <f>MID(Tabcosting[[#This Row],[RPL Family]],8,2)</f>
        <v>70</v>
      </c>
      <c r="X53" s="35"/>
      <c r="Y53" s="36"/>
      <c r="Z53" s="36"/>
      <c r="AA53" s="37"/>
      <c r="AB53" s="38">
        <f t="shared" si="5"/>
        <v>0</v>
      </c>
      <c r="AC53" s="38">
        <f t="shared" si="5"/>
        <v>0</v>
      </c>
      <c r="AD53" s="39" t="str">
        <f>IFERROR(Tabcosting[[#This Row],[Good Qty]]/Tabcosting[[#This Row],[Launched Qty]],"")</f>
        <v/>
      </c>
      <c r="AE53" s="35">
        <v>0</v>
      </c>
      <c r="AF53" s="38">
        <f t="shared" si="2"/>
        <v>0</v>
      </c>
      <c r="AG53" s="36">
        <v>0</v>
      </c>
      <c r="AH53" s="36"/>
    </row>
    <row r="54" spans="1:34" ht="20.100000000000001" customHeight="1" x14ac:dyDescent="0.2">
      <c r="A54" s="28" t="s">
        <v>131</v>
      </c>
      <c r="B54" s="28" t="s">
        <v>116</v>
      </c>
      <c r="C54" s="28" t="s">
        <v>118</v>
      </c>
      <c r="D54" s="28" t="s">
        <v>31</v>
      </c>
      <c r="E54" s="28" t="s">
        <v>32</v>
      </c>
      <c r="F54" s="29">
        <v>95</v>
      </c>
      <c r="G54" s="29">
        <v>70</v>
      </c>
      <c r="H54" s="30">
        <v>0.73684210526315796</v>
      </c>
      <c r="I54" s="29">
        <v>140</v>
      </c>
      <c r="J54" s="29">
        <v>3</v>
      </c>
      <c r="K54" s="29">
        <v>0</v>
      </c>
      <c r="M54" s="31"/>
      <c r="N54" s="31"/>
      <c r="O54" s="31"/>
      <c r="P54" s="31"/>
      <c r="R54" s="34" t="s">
        <v>131</v>
      </c>
      <c r="S54" s="34" t="s">
        <v>116</v>
      </c>
      <c r="T54" s="35" t="s">
        <v>118</v>
      </c>
      <c r="U54" s="35" t="s">
        <v>31</v>
      </c>
      <c r="V54" s="35" t="s">
        <v>32</v>
      </c>
      <c r="W54" s="35" t="str">
        <f>MID(Tabcosting[[#This Row],[RPL Family]],8,2)</f>
        <v>70</v>
      </c>
      <c r="X54" s="35"/>
      <c r="Y54" s="36" t="s">
        <v>43</v>
      </c>
      <c r="Z54" s="36" t="s">
        <v>39</v>
      </c>
      <c r="AA54" s="37"/>
      <c r="AB54" s="38">
        <f t="shared" si="5"/>
        <v>95</v>
      </c>
      <c r="AC54" s="38">
        <f t="shared" si="5"/>
        <v>70</v>
      </c>
      <c r="AD54" s="39">
        <f>IFERROR(Tabcosting[[#This Row],[Good Qty]]/Tabcosting[[#This Row],[Launched Qty]],"")</f>
        <v>0.73684210526315785</v>
      </c>
      <c r="AE54" s="35">
        <v>140</v>
      </c>
      <c r="AF54" s="38">
        <f t="shared" si="2"/>
        <v>3</v>
      </c>
      <c r="AG54" s="36">
        <v>0</v>
      </c>
      <c r="AH54" s="36">
        <v>16.940000000000001</v>
      </c>
    </row>
    <row r="55" spans="1:34" ht="20.100000000000001" customHeight="1" x14ac:dyDescent="0.2">
      <c r="A55" s="28" t="s">
        <v>132</v>
      </c>
      <c r="B55" s="28" t="s">
        <v>59</v>
      </c>
      <c r="C55" s="28" t="s">
        <v>118</v>
      </c>
      <c r="D55" s="28" t="s">
        <v>60</v>
      </c>
      <c r="E55" s="28" t="s">
        <v>32</v>
      </c>
      <c r="F55" s="29">
        <v>192</v>
      </c>
      <c r="G55" s="29">
        <v>192</v>
      </c>
      <c r="H55" s="30">
        <v>1</v>
      </c>
      <c r="I55" s="29">
        <v>0</v>
      </c>
      <c r="J55" s="29">
        <v>15</v>
      </c>
      <c r="K55" s="29">
        <v>0</v>
      </c>
      <c r="M55" s="31">
        <f>-F55</f>
        <v>-192</v>
      </c>
      <c r="N55" s="31">
        <f>-G55</f>
        <v>-192</v>
      </c>
      <c r="O55" s="31">
        <f>-J55</f>
        <v>-15</v>
      </c>
      <c r="P55" s="31"/>
      <c r="R55" s="34" t="s">
        <v>132</v>
      </c>
      <c r="S55" s="34" t="s">
        <v>59</v>
      </c>
      <c r="T55" s="35" t="s">
        <v>118</v>
      </c>
      <c r="U55" s="35" t="s">
        <v>60</v>
      </c>
      <c r="V55" s="35" t="s">
        <v>32</v>
      </c>
      <c r="W55" s="35" t="str">
        <f>MID(Tabcosting[[#This Row],[RPL Family]],8,2)</f>
        <v>75</v>
      </c>
      <c r="X55" s="35"/>
      <c r="Y55" s="36"/>
      <c r="Z55" s="36"/>
      <c r="AA55" s="37"/>
      <c r="AB55" s="38">
        <f t="shared" si="5"/>
        <v>0</v>
      </c>
      <c r="AC55" s="38">
        <f t="shared" si="5"/>
        <v>0</v>
      </c>
      <c r="AD55" s="39" t="str">
        <f>IFERROR(Tabcosting[[#This Row],[Good Qty]]/Tabcosting[[#This Row],[Launched Qty]],"")</f>
        <v/>
      </c>
      <c r="AE55" s="35">
        <v>0</v>
      </c>
      <c r="AF55" s="38">
        <f t="shared" si="2"/>
        <v>0</v>
      </c>
      <c r="AG55" s="36">
        <v>0</v>
      </c>
      <c r="AH55" s="36"/>
    </row>
    <row r="56" spans="1:34" ht="20.100000000000001" customHeight="1" x14ac:dyDescent="0.2">
      <c r="A56" s="28" t="s">
        <v>133</v>
      </c>
      <c r="B56" s="28" t="s">
        <v>38</v>
      </c>
      <c r="C56" s="28" t="s">
        <v>118</v>
      </c>
      <c r="D56" s="28" t="s">
        <v>31</v>
      </c>
      <c r="E56" s="28" t="s">
        <v>32</v>
      </c>
      <c r="F56" s="29">
        <v>145</v>
      </c>
      <c r="G56" s="29">
        <v>117</v>
      </c>
      <c r="H56" s="30">
        <v>0.80689655172413799</v>
      </c>
      <c r="I56" s="29">
        <v>234</v>
      </c>
      <c r="J56" s="29">
        <v>9</v>
      </c>
      <c r="K56" s="29">
        <v>0</v>
      </c>
      <c r="M56" s="31"/>
      <c r="N56" s="31"/>
      <c r="O56" s="31"/>
      <c r="P56" s="31"/>
      <c r="R56" s="34" t="s">
        <v>133</v>
      </c>
      <c r="S56" s="34" t="s">
        <v>38</v>
      </c>
      <c r="T56" s="35" t="s">
        <v>118</v>
      </c>
      <c r="U56" s="35" t="s">
        <v>31</v>
      </c>
      <c r="V56" s="35" t="s">
        <v>32</v>
      </c>
      <c r="W56" s="35" t="str">
        <f>MID(Tabcosting[[#This Row],[RPL Family]],8,2)</f>
        <v>75</v>
      </c>
      <c r="X56" s="35"/>
      <c r="Y56" s="36"/>
      <c r="Z56" s="36" t="s">
        <v>39</v>
      </c>
      <c r="AA56" s="37" t="s">
        <v>122</v>
      </c>
      <c r="AB56" s="38">
        <f t="shared" si="5"/>
        <v>145</v>
      </c>
      <c r="AC56" s="38">
        <f t="shared" si="5"/>
        <v>117</v>
      </c>
      <c r="AD56" s="39">
        <f>IFERROR(Tabcosting[[#This Row],[Good Qty]]/Tabcosting[[#This Row],[Launched Qty]],"")</f>
        <v>0.80689655172413788</v>
      </c>
      <c r="AE56" s="35">
        <v>234</v>
      </c>
      <c r="AF56" s="38">
        <f t="shared" si="2"/>
        <v>9</v>
      </c>
      <c r="AG56" s="36">
        <v>0</v>
      </c>
      <c r="AH56" s="36">
        <v>16.649999999999999</v>
      </c>
    </row>
    <row r="57" spans="1:34" ht="20.100000000000001" customHeight="1" x14ac:dyDescent="0.2">
      <c r="A57" s="28" t="s">
        <v>134</v>
      </c>
      <c r="B57" s="28" t="s">
        <v>42</v>
      </c>
      <c r="C57" s="28" t="s">
        <v>118</v>
      </c>
      <c r="D57" s="28" t="s">
        <v>31</v>
      </c>
      <c r="E57" s="28" t="s">
        <v>32</v>
      </c>
      <c r="F57" s="29">
        <v>465</v>
      </c>
      <c r="G57" s="29">
        <v>389</v>
      </c>
      <c r="H57" s="30">
        <v>0.836559139784946</v>
      </c>
      <c r="I57" s="29">
        <v>778</v>
      </c>
      <c r="J57" s="29">
        <v>346</v>
      </c>
      <c r="K57" s="29">
        <v>0</v>
      </c>
      <c r="M57" s="31"/>
      <c r="N57" s="31">
        <v>4</v>
      </c>
      <c r="O57" s="31"/>
      <c r="P57" s="31"/>
      <c r="R57" s="34" t="s">
        <v>134</v>
      </c>
      <c r="S57" s="34" t="s">
        <v>42</v>
      </c>
      <c r="T57" s="35" t="s">
        <v>118</v>
      </c>
      <c r="U57" s="35" t="s">
        <v>31</v>
      </c>
      <c r="V57" s="35" t="s">
        <v>32</v>
      </c>
      <c r="W57" s="35" t="str">
        <f>MID(Tabcosting[[#This Row],[RPL Family]],8,2)</f>
        <v>75</v>
      </c>
      <c r="X57" s="35"/>
      <c r="Y57" s="36" t="s">
        <v>43</v>
      </c>
      <c r="Z57" s="36" t="s">
        <v>39</v>
      </c>
      <c r="AA57" s="37"/>
      <c r="AB57" s="38">
        <f t="shared" si="5"/>
        <v>465</v>
      </c>
      <c r="AC57" s="38">
        <f t="shared" si="5"/>
        <v>393</v>
      </c>
      <c r="AD57" s="39">
        <f>IFERROR(Tabcosting[[#This Row],[Good Qty]]/Tabcosting[[#This Row],[Launched Qty]],"")</f>
        <v>0.84516129032258069</v>
      </c>
      <c r="AE57" s="35">
        <v>778</v>
      </c>
      <c r="AF57" s="38">
        <f t="shared" si="2"/>
        <v>346</v>
      </c>
      <c r="AG57" s="36">
        <v>0</v>
      </c>
      <c r="AH57" s="36">
        <v>16.940000000000001</v>
      </c>
    </row>
    <row r="58" spans="1:34" ht="20.100000000000001" customHeight="1" x14ac:dyDescent="0.2">
      <c r="A58" s="28" t="s">
        <v>135</v>
      </c>
      <c r="B58" s="28" t="s">
        <v>46</v>
      </c>
      <c r="C58" s="28" t="s">
        <v>118</v>
      </c>
      <c r="D58" s="28" t="s">
        <v>31</v>
      </c>
      <c r="E58" s="28" t="s">
        <v>32</v>
      </c>
      <c r="F58" s="29">
        <v>0</v>
      </c>
      <c r="G58" s="29">
        <v>0</v>
      </c>
      <c r="H58" s="30">
        <v>0</v>
      </c>
      <c r="I58" s="29">
        <v>0</v>
      </c>
      <c r="J58" s="29">
        <v>0</v>
      </c>
      <c r="K58" s="29">
        <v>0</v>
      </c>
      <c r="M58" s="31"/>
      <c r="N58" s="31"/>
      <c r="O58" s="31"/>
      <c r="P58" s="31"/>
      <c r="R58" s="34" t="s">
        <v>135</v>
      </c>
      <c r="S58" s="34" t="s">
        <v>46</v>
      </c>
      <c r="T58" s="35" t="s">
        <v>118</v>
      </c>
      <c r="U58" s="35" t="s">
        <v>31</v>
      </c>
      <c r="V58" s="35" t="s">
        <v>32</v>
      </c>
      <c r="W58" s="35" t="str">
        <f>MID(Tabcosting[[#This Row],[RPL Family]],8,2)</f>
        <v>75</v>
      </c>
      <c r="X58" s="35"/>
      <c r="Y58" s="36"/>
      <c r="Z58" s="36"/>
      <c r="AA58" s="37"/>
      <c r="AB58" s="38">
        <f t="shared" si="5"/>
        <v>0</v>
      </c>
      <c r="AC58" s="38">
        <f t="shared" si="5"/>
        <v>0</v>
      </c>
      <c r="AD58" s="39" t="str">
        <f>IFERROR(Tabcosting[[#This Row],[Good Qty]]/Tabcosting[[#This Row],[Launched Qty]],"")</f>
        <v/>
      </c>
      <c r="AE58" s="35">
        <v>0</v>
      </c>
      <c r="AF58" s="38">
        <f t="shared" si="2"/>
        <v>0</v>
      </c>
      <c r="AG58" s="36">
        <v>0</v>
      </c>
      <c r="AH58" s="36"/>
    </row>
    <row r="59" spans="1:34" ht="20.100000000000001" customHeight="1" x14ac:dyDescent="0.2">
      <c r="A59" s="28" t="s">
        <v>136</v>
      </c>
      <c r="B59" s="28" t="s">
        <v>29</v>
      </c>
      <c r="C59" s="28" t="s">
        <v>118</v>
      </c>
      <c r="D59" s="28" t="s">
        <v>31</v>
      </c>
      <c r="E59" s="28" t="s">
        <v>32</v>
      </c>
      <c r="F59" s="29">
        <v>0</v>
      </c>
      <c r="G59" s="29">
        <v>0</v>
      </c>
      <c r="H59" s="30">
        <v>0</v>
      </c>
      <c r="I59" s="29">
        <v>0</v>
      </c>
      <c r="J59" s="29">
        <v>0</v>
      </c>
      <c r="K59" s="29">
        <v>0</v>
      </c>
      <c r="M59" s="31"/>
      <c r="N59" s="31"/>
      <c r="O59" s="31"/>
      <c r="P59" s="31"/>
      <c r="R59" s="34" t="s">
        <v>136</v>
      </c>
      <c r="S59" s="34" t="s">
        <v>29</v>
      </c>
      <c r="T59" s="35" t="s">
        <v>118</v>
      </c>
      <c r="U59" s="35" t="s">
        <v>31</v>
      </c>
      <c r="V59" s="35" t="s">
        <v>32</v>
      </c>
      <c r="W59" s="35" t="str">
        <f>MID(Tabcosting[[#This Row],[RPL Family]],8,2)</f>
        <v>75</v>
      </c>
      <c r="X59" s="35"/>
      <c r="Y59" s="36"/>
      <c r="Z59" s="36"/>
      <c r="AA59" s="37"/>
      <c r="AB59" s="38">
        <f t="shared" si="5"/>
        <v>0</v>
      </c>
      <c r="AC59" s="38">
        <f t="shared" si="5"/>
        <v>0</v>
      </c>
      <c r="AD59" s="39" t="str">
        <f>IFERROR(Tabcosting[[#This Row],[Good Qty]]/Tabcosting[[#This Row],[Launched Qty]],"")</f>
        <v/>
      </c>
      <c r="AE59" s="35">
        <v>0</v>
      </c>
      <c r="AF59" s="38">
        <f t="shared" si="2"/>
        <v>0</v>
      </c>
      <c r="AG59" s="36">
        <v>0</v>
      </c>
      <c r="AH59" s="36"/>
    </row>
    <row r="60" spans="1:34" ht="20.100000000000001" customHeight="1" x14ac:dyDescent="0.2">
      <c r="A60" s="28" t="s">
        <v>137</v>
      </c>
      <c r="B60" s="28" t="s">
        <v>68</v>
      </c>
      <c r="C60" s="28" t="s">
        <v>118</v>
      </c>
      <c r="D60" s="28" t="s">
        <v>31</v>
      </c>
      <c r="E60" s="28" t="s">
        <v>32</v>
      </c>
      <c r="F60" s="29">
        <v>679</v>
      </c>
      <c r="G60" s="29">
        <v>529</v>
      </c>
      <c r="H60" s="30">
        <v>0.77908689248895402</v>
      </c>
      <c r="I60" s="29">
        <v>1060</v>
      </c>
      <c r="J60" s="29">
        <v>248</v>
      </c>
      <c r="K60" s="29">
        <v>0</v>
      </c>
      <c r="M60" s="31"/>
      <c r="N60" s="31">
        <v>2</v>
      </c>
      <c r="O60" s="31"/>
      <c r="P60" s="31"/>
      <c r="R60" s="34" t="s">
        <v>137</v>
      </c>
      <c r="S60" s="34" t="s">
        <v>68</v>
      </c>
      <c r="T60" s="35" t="s">
        <v>118</v>
      </c>
      <c r="U60" s="35" t="s">
        <v>31</v>
      </c>
      <c r="V60" s="35" t="s">
        <v>32</v>
      </c>
      <c r="W60" s="35" t="str">
        <f>MID(Tabcosting[[#This Row],[RPL Family]],8,2)</f>
        <v>75</v>
      </c>
      <c r="X60" s="35"/>
      <c r="Y60" s="36" t="s">
        <v>43</v>
      </c>
      <c r="Z60" s="36" t="s">
        <v>39</v>
      </c>
      <c r="AA60" s="37"/>
      <c r="AB60" s="38">
        <f t="shared" si="5"/>
        <v>679</v>
      </c>
      <c r="AC60" s="38">
        <f t="shared" si="5"/>
        <v>531</v>
      </c>
      <c r="AD60" s="39">
        <f>IFERROR(Tabcosting[[#This Row],[Good Qty]]/Tabcosting[[#This Row],[Launched Qty]],"")</f>
        <v>0.78203240058910162</v>
      </c>
      <c r="AE60" s="35">
        <v>1060</v>
      </c>
      <c r="AF60" s="38">
        <f t="shared" si="2"/>
        <v>248</v>
      </c>
      <c r="AG60" s="36">
        <v>0</v>
      </c>
      <c r="AH60" s="36">
        <v>16.940000000000001</v>
      </c>
    </row>
    <row r="61" spans="1:34" ht="20.100000000000001" customHeight="1" x14ac:dyDescent="0.2">
      <c r="A61" s="28" t="s">
        <v>138</v>
      </c>
      <c r="B61" s="28" t="s">
        <v>139</v>
      </c>
      <c r="C61" s="28" t="s">
        <v>30</v>
      </c>
      <c r="D61" s="28" t="s">
        <v>31</v>
      </c>
      <c r="E61" s="28" t="s">
        <v>32</v>
      </c>
      <c r="F61" s="29">
        <v>0</v>
      </c>
      <c r="G61" s="29">
        <v>0</v>
      </c>
      <c r="H61" s="30">
        <v>0</v>
      </c>
      <c r="I61" s="29">
        <v>0</v>
      </c>
      <c r="J61" s="29">
        <v>0</v>
      </c>
      <c r="K61" s="29">
        <v>0</v>
      </c>
      <c r="M61" s="31"/>
      <c r="N61" s="31"/>
      <c r="O61" s="31"/>
      <c r="P61" s="31"/>
      <c r="R61" s="34" t="s">
        <v>138</v>
      </c>
      <c r="S61" s="34" t="s">
        <v>139</v>
      </c>
      <c r="T61" s="35" t="s">
        <v>30</v>
      </c>
      <c r="U61" s="35" t="s">
        <v>31</v>
      </c>
      <c r="V61" s="35" t="s">
        <v>32</v>
      </c>
      <c r="W61" s="35" t="str">
        <f>MID(Tabcosting[[#This Row],[RPL Family]],8,2)</f>
        <v>65</v>
      </c>
      <c r="X61" s="35"/>
      <c r="Y61" s="36"/>
      <c r="Z61" s="36"/>
      <c r="AA61" s="37"/>
      <c r="AB61" s="38">
        <f t="shared" si="5"/>
        <v>0</v>
      </c>
      <c r="AC61" s="38">
        <f t="shared" si="5"/>
        <v>0</v>
      </c>
      <c r="AD61" s="39" t="str">
        <f>IFERROR(Tabcosting[[#This Row],[Good Qty]]/Tabcosting[[#This Row],[Launched Qty]],"")</f>
        <v/>
      </c>
      <c r="AE61" s="35">
        <v>0</v>
      </c>
      <c r="AF61" s="38">
        <f t="shared" si="2"/>
        <v>0</v>
      </c>
      <c r="AG61" s="36">
        <v>0</v>
      </c>
      <c r="AH61" s="36"/>
    </row>
    <row r="62" spans="1:34" ht="20.100000000000001" customHeight="1" x14ac:dyDescent="0.2">
      <c r="A62" s="28" t="s">
        <v>140</v>
      </c>
      <c r="B62" s="28" t="s">
        <v>141</v>
      </c>
      <c r="C62" s="28" t="s">
        <v>30</v>
      </c>
      <c r="D62" s="28" t="s">
        <v>31</v>
      </c>
      <c r="E62" s="28" t="s">
        <v>32</v>
      </c>
      <c r="F62" s="29">
        <v>0</v>
      </c>
      <c r="G62" s="29">
        <v>0</v>
      </c>
      <c r="H62" s="30">
        <v>0</v>
      </c>
      <c r="I62" s="29">
        <v>0</v>
      </c>
      <c r="J62" s="29">
        <v>0</v>
      </c>
      <c r="K62" s="29">
        <v>0</v>
      </c>
      <c r="M62" s="31"/>
      <c r="N62" s="31"/>
      <c r="O62" s="31"/>
      <c r="P62" s="31"/>
      <c r="R62" s="34" t="s">
        <v>140</v>
      </c>
      <c r="S62" s="34" t="s">
        <v>141</v>
      </c>
      <c r="T62" s="35" t="s">
        <v>30</v>
      </c>
      <c r="U62" s="35" t="s">
        <v>31</v>
      </c>
      <c r="V62" s="35" t="s">
        <v>32</v>
      </c>
      <c r="W62" s="35" t="str">
        <f>MID(Tabcosting[[#This Row],[RPL Family]],8,2)</f>
        <v>65</v>
      </c>
      <c r="X62" s="35"/>
      <c r="Y62" s="36"/>
      <c r="Z62" s="36"/>
      <c r="AA62" s="37"/>
      <c r="AB62" s="38">
        <f t="shared" si="5"/>
        <v>0</v>
      </c>
      <c r="AC62" s="38">
        <f t="shared" si="5"/>
        <v>0</v>
      </c>
      <c r="AD62" s="39" t="str">
        <f>IFERROR(Tabcosting[[#This Row],[Good Qty]]/Tabcosting[[#This Row],[Launched Qty]],"")</f>
        <v/>
      </c>
      <c r="AE62" s="35">
        <v>0</v>
      </c>
      <c r="AF62" s="38">
        <f t="shared" si="2"/>
        <v>0</v>
      </c>
      <c r="AG62" s="36">
        <v>0</v>
      </c>
      <c r="AH62" s="36"/>
    </row>
    <row r="63" spans="1:34" ht="20.100000000000001" customHeight="1" x14ac:dyDescent="0.2">
      <c r="A63" s="28" t="s">
        <v>142</v>
      </c>
      <c r="B63" s="28" t="s">
        <v>143</v>
      </c>
      <c r="C63" s="28" t="s">
        <v>30</v>
      </c>
      <c r="D63" s="28" t="s">
        <v>31</v>
      </c>
      <c r="E63" s="28" t="s">
        <v>32</v>
      </c>
      <c r="F63" s="29">
        <v>0</v>
      </c>
      <c r="G63" s="29">
        <v>0</v>
      </c>
      <c r="H63" s="30">
        <v>0</v>
      </c>
      <c r="I63" s="29">
        <v>0</v>
      </c>
      <c r="J63" s="29">
        <v>0</v>
      </c>
      <c r="K63" s="29">
        <v>0</v>
      </c>
      <c r="M63" s="31"/>
      <c r="N63" s="31"/>
      <c r="O63" s="31"/>
      <c r="P63" s="31"/>
      <c r="R63" s="34" t="s">
        <v>142</v>
      </c>
      <c r="S63" s="34" t="s">
        <v>143</v>
      </c>
      <c r="T63" s="35" t="s">
        <v>30</v>
      </c>
      <c r="U63" s="35" t="s">
        <v>31</v>
      </c>
      <c r="V63" s="35" t="s">
        <v>32</v>
      </c>
      <c r="W63" s="35" t="str">
        <f>MID(Tabcosting[[#This Row],[RPL Family]],8,2)</f>
        <v>65</v>
      </c>
      <c r="X63" s="35"/>
      <c r="Y63" s="36" t="s">
        <v>144</v>
      </c>
      <c r="Z63" s="36" t="s">
        <v>39</v>
      </c>
      <c r="AA63" s="37"/>
      <c r="AB63" s="38">
        <f t="shared" si="5"/>
        <v>0</v>
      </c>
      <c r="AC63" s="38">
        <f t="shared" si="5"/>
        <v>0</v>
      </c>
      <c r="AD63" s="39" t="str">
        <f>IFERROR(Tabcosting[[#This Row],[Good Qty]]/Tabcosting[[#This Row],[Launched Qty]],"")</f>
        <v/>
      </c>
      <c r="AE63" s="35">
        <v>0</v>
      </c>
      <c r="AF63" s="38">
        <f t="shared" si="2"/>
        <v>0</v>
      </c>
      <c r="AG63" s="36">
        <v>0</v>
      </c>
      <c r="AH63" s="36"/>
    </row>
    <row r="64" spans="1:34" ht="20.100000000000001" customHeight="1" x14ac:dyDescent="0.2">
      <c r="A64" s="28" t="s">
        <v>145</v>
      </c>
      <c r="B64" s="28" t="s">
        <v>146</v>
      </c>
      <c r="C64" s="28" t="s">
        <v>30</v>
      </c>
      <c r="D64" s="28" t="s">
        <v>31</v>
      </c>
      <c r="E64" s="28" t="s">
        <v>32</v>
      </c>
      <c r="F64" s="29">
        <v>0</v>
      </c>
      <c r="G64" s="29">
        <v>0</v>
      </c>
      <c r="H64" s="30">
        <v>0</v>
      </c>
      <c r="I64" s="29">
        <v>0</v>
      </c>
      <c r="J64" s="29">
        <v>0</v>
      </c>
      <c r="K64" s="29">
        <v>0</v>
      </c>
      <c r="M64" s="31"/>
      <c r="N64" s="31"/>
      <c r="O64" s="31"/>
      <c r="P64" s="31"/>
      <c r="R64" s="34" t="s">
        <v>145</v>
      </c>
      <c r="S64" s="34" t="s">
        <v>146</v>
      </c>
      <c r="T64" s="35" t="s">
        <v>30</v>
      </c>
      <c r="U64" s="35" t="s">
        <v>31</v>
      </c>
      <c r="V64" s="35" t="s">
        <v>32</v>
      </c>
      <c r="W64" s="35" t="str">
        <f>MID(Tabcosting[[#This Row],[RPL Family]],8,2)</f>
        <v>65</v>
      </c>
      <c r="X64" s="35"/>
      <c r="Y64" s="36"/>
      <c r="Z64" s="36"/>
      <c r="AA64" s="37"/>
      <c r="AB64" s="38">
        <f t="shared" si="5"/>
        <v>0</v>
      </c>
      <c r="AC64" s="38">
        <f t="shared" si="5"/>
        <v>0</v>
      </c>
      <c r="AD64" s="39" t="str">
        <f>IFERROR(Tabcosting[[#This Row],[Good Qty]]/Tabcosting[[#This Row],[Launched Qty]],"")</f>
        <v/>
      </c>
      <c r="AE64" s="35">
        <v>0</v>
      </c>
      <c r="AF64" s="38">
        <f t="shared" si="2"/>
        <v>0</v>
      </c>
      <c r="AG64" s="36">
        <v>0</v>
      </c>
      <c r="AH64" s="36"/>
    </row>
    <row r="65" spans="1:34" ht="20.100000000000001" customHeight="1" x14ac:dyDescent="0.2">
      <c r="A65" s="28" t="s">
        <v>147</v>
      </c>
      <c r="B65" s="28" t="s">
        <v>148</v>
      </c>
      <c r="C65" s="28" t="s">
        <v>30</v>
      </c>
      <c r="D65" s="28" t="s">
        <v>31</v>
      </c>
      <c r="E65" s="28" t="s">
        <v>32</v>
      </c>
      <c r="F65" s="29">
        <v>0</v>
      </c>
      <c r="G65" s="29">
        <v>0</v>
      </c>
      <c r="H65" s="30">
        <v>0</v>
      </c>
      <c r="I65" s="29">
        <v>0</v>
      </c>
      <c r="J65" s="29">
        <v>0</v>
      </c>
      <c r="K65" s="29">
        <v>0</v>
      </c>
      <c r="M65" s="31"/>
      <c r="N65" s="31"/>
      <c r="O65" s="31"/>
      <c r="P65" s="31"/>
      <c r="R65" s="34" t="s">
        <v>147</v>
      </c>
      <c r="S65" s="34" t="s">
        <v>148</v>
      </c>
      <c r="T65" s="35" t="s">
        <v>30</v>
      </c>
      <c r="U65" s="35" t="s">
        <v>31</v>
      </c>
      <c r="V65" s="35" t="s">
        <v>32</v>
      </c>
      <c r="W65" s="35" t="str">
        <f>MID(Tabcosting[[#This Row],[RPL Family]],8,2)</f>
        <v>65</v>
      </c>
      <c r="X65" s="35"/>
      <c r="Y65" s="36"/>
      <c r="Z65" s="36"/>
      <c r="AA65" s="37"/>
      <c r="AB65" s="38">
        <f t="shared" si="5"/>
        <v>0</v>
      </c>
      <c r="AC65" s="38">
        <f t="shared" si="5"/>
        <v>0</v>
      </c>
      <c r="AD65" s="39" t="str">
        <f>IFERROR(Tabcosting[[#This Row],[Good Qty]]/Tabcosting[[#This Row],[Launched Qty]],"")</f>
        <v/>
      </c>
      <c r="AE65" s="35">
        <v>0</v>
      </c>
      <c r="AF65" s="38">
        <f t="shared" si="2"/>
        <v>0</v>
      </c>
      <c r="AG65" s="36">
        <v>0</v>
      </c>
      <c r="AH65" s="36"/>
    </row>
    <row r="66" spans="1:34" ht="20.100000000000001" customHeight="1" x14ac:dyDescent="0.2">
      <c r="A66" s="28" t="s">
        <v>149</v>
      </c>
      <c r="B66" s="28" t="s">
        <v>139</v>
      </c>
      <c r="C66" s="28" t="s">
        <v>30</v>
      </c>
      <c r="D66" s="28" t="s">
        <v>31</v>
      </c>
      <c r="E66" s="28" t="s">
        <v>32</v>
      </c>
      <c r="F66" s="29">
        <v>0</v>
      </c>
      <c r="G66" s="29">
        <v>0</v>
      </c>
      <c r="H66" s="30">
        <v>0</v>
      </c>
      <c r="I66" s="29">
        <v>0</v>
      </c>
      <c r="J66" s="29">
        <v>0</v>
      </c>
      <c r="K66" s="29">
        <v>0</v>
      </c>
      <c r="M66" s="31"/>
      <c r="N66" s="31"/>
      <c r="O66" s="31"/>
      <c r="P66" s="31"/>
      <c r="R66" s="34" t="s">
        <v>149</v>
      </c>
      <c r="S66" s="34" t="s">
        <v>139</v>
      </c>
      <c r="T66" s="35" t="s">
        <v>30</v>
      </c>
      <c r="U66" s="35" t="s">
        <v>31</v>
      </c>
      <c r="V66" s="35" t="s">
        <v>32</v>
      </c>
      <c r="W66" s="35" t="str">
        <f>MID(Tabcosting[[#This Row],[RPL Family]],8,2)</f>
        <v>75</v>
      </c>
      <c r="X66" s="35"/>
      <c r="Y66" s="36"/>
      <c r="Z66" s="36"/>
      <c r="AA66" s="37"/>
      <c r="AB66" s="38">
        <f t="shared" si="5"/>
        <v>0</v>
      </c>
      <c r="AC66" s="38">
        <f t="shared" si="5"/>
        <v>0</v>
      </c>
      <c r="AD66" s="39" t="str">
        <f>IFERROR(Tabcosting[[#This Row],[Good Qty]]/Tabcosting[[#This Row],[Launched Qty]],"")</f>
        <v/>
      </c>
      <c r="AE66" s="35">
        <v>0</v>
      </c>
      <c r="AF66" s="38">
        <f t="shared" si="2"/>
        <v>0</v>
      </c>
      <c r="AG66" s="36">
        <v>0</v>
      </c>
      <c r="AH66" s="36"/>
    </row>
    <row r="67" spans="1:34" ht="20.100000000000001" customHeight="1" x14ac:dyDescent="0.2">
      <c r="A67" s="28" t="s">
        <v>150</v>
      </c>
      <c r="B67" s="28" t="s">
        <v>141</v>
      </c>
      <c r="C67" s="28" t="s">
        <v>30</v>
      </c>
      <c r="D67" s="28" t="s">
        <v>31</v>
      </c>
      <c r="E67" s="28" t="s">
        <v>32</v>
      </c>
      <c r="F67" s="29">
        <v>0</v>
      </c>
      <c r="G67" s="29">
        <v>0</v>
      </c>
      <c r="H67" s="30">
        <v>0</v>
      </c>
      <c r="I67" s="29">
        <v>0</v>
      </c>
      <c r="J67" s="29">
        <v>0</v>
      </c>
      <c r="K67" s="29">
        <v>0</v>
      </c>
      <c r="M67" s="31"/>
      <c r="N67" s="31"/>
      <c r="O67" s="31"/>
      <c r="P67" s="31"/>
      <c r="R67" s="34" t="s">
        <v>150</v>
      </c>
      <c r="S67" s="34" t="s">
        <v>141</v>
      </c>
      <c r="T67" s="35" t="s">
        <v>30</v>
      </c>
      <c r="U67" s="35" t="s">
        <v>31</v>
      </c>
      <c r="V67" s="35" t="s">
        <v>32</v>
      </c>
      <c r="W67" s="35" t="str">
        <f>MID(Tabcosting[[#This Row],[RPL Family]],8,2)</f>
        <v>75</v>
      </c>
      <c r="X67" s="35"/>
      <c r="Y67" s="36"/>
      <c r="Z67" s="36"/>
      <c r="AA67" s="37"/>
      <c r="AB67" s="38">
        <f t="shared" ref="AB67:AC81" si="6">M67+F67</f>
        <v>0</v>
      </c>
      <c r="AC67" s="38">
        <f t="shared" si="6"/>
        <v>0</v>
      </c>
      <c r="AD67" s="39" t="str">
        <f>IFERROR(Tabcosting[[#This Row],[Good Qty]]/Tabcosting[[#This Row],[Launched Qty]],"")</f>
        <v/>
      </c>
      <c r="AE67" s="35">
        <v>0</v>
      </c>
      <c r="AF67" s="38">
        <f t="shared" ref="AF67:AF81" si="7">O67+J67</f>
        <v>0</v>
      </c>
      <c r="AG67" s="36">
        <v>0</v>
      </c>
      <c r="AH67" s="36"/>
    </row>
    <row r="68" spans="1:34" ht="20.100000000000001" customHeight="1" x14ac:dyDescent="0.2">
      <c r="A68" s="28" t="s">
        <v>151</v>
      </c>
      <c r="B68" s="28" t="s">
        <v>143</v>
      </c>
      <c r="C68" s="28" t="s">
        <v>30</v>
      </c>
      <c r="D68" s="28" t="s">
        <v>31</v>
      </c>
      <c r="E68" s="28" t="s">
        <v>32</v>
      </c>
      <c r="F68" s="29">
        <v>0</v>
      </c>
      <c r="G68" s="29">
        <v>0</v>
      </c>
      <c r="H68" s="30">
        <v>0</v>
      </c>
      <c r="I68" s="29">
        <v>0</v>
      </c>
      <c r="J68" s="29">
        <v>0</v>
      </c>
      <c r="K68" s="29">
        <v>0</v>
      </c>
      <c r="M68" s="31"/>
      <c r="N68" s="31"/>
      <c r="O68" s="31"/>
      <c r="P68" s="31"/>
      <c r="R68" s="34" t="s">
        <v>151</v>
      </c>
      <c r="S68" s="34" t="s">
        <v>143</v>
      </c>
      <c r="T68" s="35" t="s">
        <v>30</v>
      </c>
      <c r="U68" s="35" t="s">
        <v>31</v>
      </c>
      <c r="V68" s="35" t="s">
        <v>32</v>
      </c>
      <c r="W68" s="35" t="str">
        <f>MID(Tabcosting[[#This Row],[RPL Family]],8,2)</f>
        <v>75</v>
      </c>
      <c r="X68" s="35"/>
      <c r="Y68" s="36" t="s">
        <v>144</v>
      </c>
      <c r="Z68" s="36" t="s">
        <v>39</v>
      </c>
      <c r="AA68" s="37"/>
      <c r="AB68" s="38">
        <f t="shared" si="6"/>
        <v>0</v>
      </c>
      <c r="AC68" s="38">
        <f t="shared" si="6"/>
        <v>0</v>
      </c>
      <c r="AD68" s="39" t="str">
        <f>IFERROR(Tabcosting[[#This Row],[Good Qty]]/Tabcosting[[#This Row],[Launched Qty]],"")</f>
        <v/>
      </c>
      <c r="AE68" s="35">
        <v>0</v>
      </c>
      <c r="AF68" s="38">
        <f t="shared" si="7"/>
        <v>0</v>
      </c>
      <c r="AG68" s="36">
        <v>0</v>
      </c>
      <c r="AH68" s="36"/>
    </row>
    <row r="69" spans="1:34" ht="20.100000000000001" customHeight="1" x14ac:dyDescent="0.2">
      <c r="A69" s="28" t="s">
        <v>152</v>
      </c>
      <c r="B69" s="28" t="s">
        <v>146</v>
      </c>
      <c r="C69" s="28" t="s">
        <v>30</v>
      </c>
      <c r="D69" s="28" t="s">
        <v>31</v>
      </c>
      <c r="E69" s="28" t="s">
        <v>32</v>
      </c>
      <c r="F69" s="29">
        <v>0</v>
      </c>
      <c r="G69" s="29">
        <v>0</v>
      </c>
      <c r="H69" s="30">
        <v>0</v>
      </c>
      <c r="I69" s="29">
        <v>0</v>
      </c>
      <c r="J69" s="29">
        <v>0</v>
      </c>
      <c r="K69" s="29">
        <v>0</v>
      </c>
      <c r="M69" s="31"/>
      <c r="N69" s="31"/>
      <c r="O69" s="31"/>
      <c r="P69" s="31"/>
      <c r="R69" s="34" t="s">
        <v>152</v>
      </c>
      <c r="S69" s="34" t="s">
        <v>146</v>
      </c>
      <c r="T69" s="35" t="s">
        <v>30</v>
      </c>
      <c r="U69" s="35" t="s">
        <v>31</v>
      </c>
      <c r="V69" s="35" t="s">
        <v>32</v>
      </c>
      <c r="W69" s="35" t="str">
        <f>MID(Tabcosting[[#This Row],[RPL Family]],8,2)</f>
        <v>75</v>
      </c>
      <c r="X69" s="35"/>
      <c r="Y69" s="36"/>
      <c r="Z69" s="36"/>
      <c r="AA69" s="37"/>
      <c r="AB69" s="38">
        <f t="shared" si="6"/>
        <v>0</v>
      </c>
      <c r="AC69" s="38">
        <f t="shared" si="6"/>
        <v>0</v>
      </c>
      <c r="AD69" s="39" t="str">
        <f>IFERROR(Tabcosting[[#This Row],[Good Qty]]/Tabcosting[[#This Row],[Launched Qty]],"")</f>
        <v/>
      </c>
      <c r="AE69" s="35">
        <v>0</v>
      </c>
      <c r="AF69" s="38">
        <f t="shared" si="7"/>
        <v>0</v>
      </c>
      <c r="AG69" s="36">
        <v>0</v>
      </c>
      <c r="AH69" s="36"/>
    </row>
    <row r="70" spans="1:34" ht="20.100000000000001" customHeight="1" x14ac:dyDescent="0.2">
      <c r="A70" s="28" t="s">
        <v>153</v>
      </c>
      <c r="B70" s="28" t="s">
        <v>148</v>
      </c>
      <c r="C70" s="28" t="s">
        <v>30</v>
      </c>
      <c r="D70" s="28" t="s">
        <v>31</v>
      </c>
      <c r="E70" s="28" t="s">
        <v>32</v>
      </c>
      <c r="F70" s="29">
        <v>0</v>
      </c>
      <c r="G70" s="29">
        <v>0</v>
      </c>
      <c r="H70" s="30">
        <v>0</v>
      </c>
      <c r="I70" s="29">
        <v>0</v>
      </c>
      <c r="J70" s="29">
        <v>0</v>
      </c>
      <c r="K70" s="29">
        <v>0</v>
      </c>
      <c r="M70" s="31"/>
      <c r="N70" s="31"/>
      <c r="O70" s="31"/>
      <c r="P70" s="31"/>
      <c r="R70" s="34" t="s">
        <v>153</v>
      </c>
      <c r="S70" s="34" t="s">
        <v>148</v>
      </c>
      <c r="T70" s="35" t="s">
        <v>30</v>
      </c>
      <c r="U70" s="35" t="s">
        <v>31</v>
      </c>
      <c r="V70" s="35" t="s">
        <v>32</v>
      </c>
      <c r="W70" s="35" t="str">
        <f>MID(Tabcosting[[#This Row],[RPL Family]],8,2)</f>
        <v>75</v>
      </c>
      <c r="X70" s="35"/>
      <c r="Y70" s="36"/>
      <c r="Z70" s="36"/>
      <c r="AA70" s="37"/>
      <c r="AB70" s="38">
        <f t="shared" si="6"/>
        <v>0</v>
      </c>
      <c r="AC70" s="38">
        <f t="shared" si="6"/>
        <v>0</v>
      </c>
      <c r="AD70" s="39" t="str">
        <f>IFERROR(Tabcosting[[#This Row],[Good Qty]]/Tabcosting[[#This Row],[Launched Qty]],"")</f>
        <v/>
      </c>
      <c r="AE70" s="35">
        <v>0</v>
      </c>
      <c r="AF70" s="38">
        <f t="shared" si="7"/>
        <v>0</v>
      </c>
      <c r="AG70" s="36">
        <v>0</v>
      </c>
      <c r="AH70" s="36"/>
    </row>
    <row r="71" spans="1:34" ht="20.100000000000001" customHeight="1" x14ac:dyDescent="0.2">
      <c r="A71" s="28" t="s">
        <v>154</v>
      </c>
      <c r="B71" s="28" t="s">
        <v>155</v>
      </c>
      <c r="C71" s="28" t="s">
        <v>85</v>
      </c>
      <c r="D71" s="28" t="s">
        <v>60</v>
      </c>
      <c r="E71" s="28" t="s">
        <v>156</v>
      </c>
      <c r="F71" s="29">
        <v>77256</v>
      </c>
      <c r="G71" s="29">
        <v>74893</v>
      </c>
      <c r="H71" s="30">
        <v>0.96941337889613799</v>
      </c>
      <c r="I71" s="29">
        <v>80070</v>
      </c>
      <c r="J71" s="29">
        <v>3653</v>
      </c>
      <c r="K71" s="29">
        <v>7413</v>
      </c>
      <c r="M71" s="31"/>
      <c r="N71" s="31"/>
      <c r="O71" s="31"/>
      <c r="P71" s="31"/>
      <c r="R71" s="34" t="s">
        <v>154</v>
      </c>
      <c r="S71" s="34" t="s">
        <v>155</v>
      </c>
      <c r="T71" s="35" t="s">
        <v>85</v>
      </c>
      <c r="U71" s="35" t="s">
        <v>60</v>
      </c>
      <c r="V71" s="35" t="s">
        <v>156</v>
      </c>
      <c r="W71" s="35" t="str">
        <f>MID(Tabcosting[[#This Row],[RPL Family]],8,2)</f>
        <v>81</v>
      </c>
      <c r="X71" s="35" t="s">
        <v>157</v>
      </c>
      <c r="Y71" s="36"/>
      <c r="Z71" s="36" t="s">
        <v>158</v>
      </c>
      <c r="AA71" s="37" t="s">
        <v>159</v>
      </c>
      <c r="AB71" s="38">
        <f t="shared" si="6"/>
        <v>77256</v>
      </c>
      <c r="AC71" s="38">
        <f t="shared" si="6"/>
        <v>74893</v>
      </c>
      <c r="AD71" s="39">
        <f>IFERROR(Tabcosting[[#This Row],[Good Qty]]/Tabcosting[[#This Row],[Launched Qty]],"")</f>
        <v>0.96941337889613755</v>
      </c>
      <c r="AE71" s="35">
        <v>80070</v>
      </c>
      <c r="AF71" s="38">
        <f t="shared" si="7"/>
        <v>3653</v>
      </c>
      <c r="AG71" s="36">
        <v>7413</v>
      </c>
      <c r="AH71" s="36">
        <v>1.82</v>
      </c>
    </row>
    <row r="72" spans="1:34" ht="20.100000000000001" customHeight="1" x14ac:dyDescent="0.2">
      <c r="A72" s="28" t="s">
        <v>160</v>
      </c>
      <c r="B72" s="28" t="s">
        <v>161</v>
      </c>
      <c r="C72" s="28" t="s">
        <v>85</v>
      </c>
      <c r="D72" s="28" t="s">
        <v>94</v>
      </c>
      <c r="E72" s="28" t="s">
        <v>156</v>
      </c>
      <c r="F72" s="29">
        <v>18504</v>
      </c>
      <c r="G72" s="29">
        <v>16786</v>
      </c>
      <c r="H72" s="30">
        <v>0.907155209684393</v>
      </c>
      <c r="I72" s="29">
        <v>0</v>
      </c>
      <c r="J72" s="29">
        <v>0</v>
      </c>
      <c r="K72" s="29">
        <v>0</v>
      </c>
      <c r="M72" s="31"/>
      <c r="N72" s="31"/>
      <c r="O72" s="31"/>
      <c r="P72" s="31"/>
      <c r="R72" s="34" t="s">
        <v>160</v>
      </c>
      <c r="S72" s="34" t="s">
        <v>161</v>
      </c>
      <c r="T72" s="35" t="s">
        <v>85</v>
      </c>
      <c r="U72" s="35" t="s">
        <v>94</v>
      </c>
      <c r="V72" s="35" t="s">
        <v>156</v>
      </c>
      <c r="W72" s="35" t="str">
        <f>MID(Tabcosting[[#This Row],[RPL Family]],8,2)</f>
        <v>81</v>
      </c>
      <c r="X72" s="35" t="s">
        <v>162</v>
      </c>
      <c r="Y72" s="36"/>
      <c r="Z72" s="36" t="s">
        <v>163</v>
      </c>
      <c r="AA72" s="37" t="s">
        <v>164</v>
      </c>
      <c r="AB72" s="38">
        <f t="shared" si="6"/>
        <v>18504</v>
      </c>
      <c r="AC72" s="38">
        <f t="shared" si="6"/>
        <v>16786</v>
      </c>
      <c r="AD72" s="39">
        <f>IFERROR(Tabcosting[[#This Row],[Good Qty]]/Tabcosting[[#This Row],[Launched Qty]],"")</f>
        <v>0.90715520968439256</v>
      </c>
      <c r="AE72" s="35">
        <v>0</v>
      </c>
      <c r="AF72" s="38">
        <f t="shared" si="7"/>
        <v>0</v>
      </c>
      <c r="AG72" s="36">
        <v>0</v>
      </c>
      <c r="AH72" s="36">
        <v>2.1800000000000002</v>
      </c>
    </row>
    <row r="73" spans="1:34" ht="20.100000000000001" customHeight="1" x14ac:dyDescent="0.2">
      <c r="A73" s="28" t="s">
        <v>165</v>
      </c>
      <c r="B73" s="28" t="s">
        <v>166</v>
      </c>
      <c r="C73" s="28" t="s">
        <v>85</v>
      </c>
      <c r="D73" s="28" t="s">
        <v>60</v>
      </c>
      <c r="E73" s="28" t="s">
        <v>156</v>
      </c>
      <c r="F73" s="29">
        <v>41452</v>
      </c>
      <c r="G73" s="29">
        <v>40099</v>
      </c>
      <c r="H73" s="30">
        <v>0.96735983788478197</v>
      </c>
      <c r="I73" s="29">
        <v>43530</v>
      </c>
      <c r="J73" s="29">
        <v>1256</v>
      </c>
      <c r="K73" s="29">
        <v>4340</v>
      </c>
      <c r="M73" s="31"/>
      <c r="N73" s="31"/>
      <c r="O73" s="31"/>
      <c r="P73" s="31"/>
      <c r="R73" s="34" t="s">
        <v>165</v>
      </c>
      <c r="S73" s="34" t="s">
        <v>166</v>
      </c>
      <c r="T73" s="35" t="s">
        <v>85</v>
      </c>
      <c r="U73" s="35" t="s">
        <v>60</v>
      </c>
      <c r="V73" s="35" t="s">
        <v>156</v>
      </c>
      <c r="W73" s="35" t="str">
        <f>MID(Tabcosting[[#This Row],[RPL Family]],8,2)</f>
        <v>81</v>
      </c>
      <c r="X73" s="35" t="s">
        <v>167</v>
      </c>
      <c r="Y73" s="36"/>
      <c r="Z73" s="36"/>
      <c r="AA73" s="37"/>
      <c r="AB73" s="38">
        <f t="shared" si="6"/>
        <v>41452</v>
      </c>
      <c r="AC73" s="38">
        <f t="shared" si="6"/>
        <v>40099</v>
      </c>
      <c r="AD73" s="39">
        <f>IFERROR(Tabcosting[[#This Row],[Good Qty]]/Tabcosting[[#This Row],[Launched Qty]],"")</f>
        <v>0.96735983788478241</v>
      </c>
      <c r="AE73" s="35">
        <v>43530</v>
      </c>
      <c r="AF73" s="38">
        <f t="shared" si="7"/>
        <v>1256</v>
      </c>
      <c r="AG73" s="36">
        <v>4340</v>
      </c>
      <c r="AH73" s="36"/>
    </row>
    <row r="74" spans="1:34" ht="20.100000000000001" customHeight="1" x14ac:dyDescent="0.2">
      <c r="A74" s="28" t="s">
        <v>168</v>
      </c>
      <c r="B74" s="28" t="s">
        <v>169</v>
      </c>
      <c r="C74" s="28" t="s">
        <v>85</v>
      </c>
      <c r="D74" s="28" t="s">
        <v>94</v>
      </c>
      <c r="E74" s="28" t="s">
        <v>156</v>
      </c>
      <c r="F74" s="29">
        <v>12424</v>
      </c>
      <c r="G74" s="29">
        <v>11848</v>
      </c>
      <c r="H74" s="30">
        <v>0.95363811976819102</v>
      </c>
      <c r="I74" s="29">
        <v>11010</v>
      </c>
      <c r="J74" s="29">
        <v>20</v>
      </c>
      <c r="K74" s="29">
        <v>2122</v>
      </c>
      <c r="M74" s="31"/>
      <c r="N74" s="31"/>
      <c r="O74" s="31"/>
      <c r="P74" s="31"/>
      <c r="R74" s="34" t="s">
        <v>168</v>
      </c>
      <c r="S74" s="34" t="s">
        <v>169</v>
      </c>
      <c r="T74" s="35" t="s">
        <v>85</v>
      </c>
      <c r="U74" s="35" t="s">
        <v>94</v>
      </c>
      <c r="V74" s="35" t="s">
        <v>156</v>
      </c>
      <c r="W74" s="35" t="str">
        <f>MID(Tabcosting[[#This Row],[RPL Family]],8,2)</f>
        <v>81</v>
      </c>
      <c r="X74" s="35" t="s">
        <v>170</v>
      </c>
      <c r="Y74" s="36"/>
      <c r="Z74" s="36" t="s">
        <v>163</v>
      </c>
      <c r="AA74" s="37" t="s">
        <v>164</v>
      </c>
      <c r="AB74" s="38">
        <f t="shared" si="6"/>
        <v>12424</v>
      </c>
      <c r="AC74" s="38">
        <f t="shared" si="6"/>
        <v>11848</v>
      </c>
      <c r="AD74" s="39">
        <f>IFERROR(Tabcosting[[#This Row],[Good Qty]]/Tabcosting[[#This Row],[Launched Qty]],"")</f>
        <v>0.95363811976819057</v>
      </c>
      <c r="AE74" s="35">
        <v>11010</v>
      </c>
      <c r="AF74" s="38">
        <f t="shared" si="7"/>
        <v>20</v>
      </c>
      <c r="AG74" s="36">
        <v>2122</v>
      </c>
      <c r="AH74" s="36">
        <v>2.1800000000000002</v>
      </c>
    </row>
    <row r="75" spans="1:34" ht="20.100000000000001" customHeight="1" x14ac:dyDescent="0.2">
      <c r="A75" s="28" t="s">
        <v>171</v>
      </c>
      <c r="B75" s="28" t="s">
        <v>172</v>
      </c>
      <c r="C75" s="28" t="s">
        <v>85</v>
      </c>
      <c r="D75" s="28" t="s">
        <v>60</v>
      </c>
      <c r="E75" s="28" t="s">
        <v>173</v>
      </c>
      <c r="F75" s="29">
        <v>6080</v>
      </c>
      <c r="G75" s="29">
        <v>5842</v>
      </c>
      <c r="H75" s="30">
        <v>0.96085526315789505</v>
      </c>
      <c r="I75" s="29">
        <v>5820</v>
      </c>
      <c r="J75" s="29">
        <v>0</v>
      </c>
      <c r="K75" s="29">
        <v>393</v>
      </c>
      <c r="M75" s="31"/>
      <c r="N75" s="31"/>
      <c r="O75" s="31"/>
      <c r="P75" s="31"/>
      <c r="R75" s="34" t="s">
        <v>171</v>
      </c>
      <c r="S75" s="34" t="s">
        <v>172</v>
      </c>
      <c r="T75" s="35" t="s">
        <v>85</v>
      </c>
      <c r="U75" s="35" t="s">
        <v>60</v>
      </c>
      <c r="V75" s="35" t="s">
        <v>173</v>
      </c>
      <c r="W75" s="35" t="str">
        <f>MID(Tabcosting[[#This Row],[RPL Family]],8,2)</f>
        <v>76</v>
      </c>
      <c r="X75" s="35" t="s">
        <v>174</v>
      </c>
      <c r="Y75" s="36" t="s">
        <v>175</v>
      </c>
      <c r="Z75" s="36" t="s">
        <v>158</v>
      </c>
      <c r="AA75" s="37" t="s">
        <v>176</v>
      </c>
      <c r="AB75" s="38">
        <f t="shared" si="6"/>
        <v>6080</v>
      </c>
      <c r="AC75" s="38">
        <f t="shared" si="6"/>
        <v>5842</v>
      </c>
      <c r="AD75" s="39">
        <f>IFERROR(Tabcosting[[#This Row],[Good Qty]]/Tabcosting[[#This Row],[Launched Qty]],"")</f>
        <v>0.96085526315789471</v>
      </c>
      <c r="AE75" s="35">
        <v>5820</v>
      </c>
      <c r="AF75" s="38">
        <f t="shared" si="7"/>
        <v>0</v>
      </c>
      <c r="AG75" s="36">
        <v>393</v>
      </c>
      <c r="AH75" s="36">
        <v>1.82</v>
      </c>
    </row>
    <row r="76" spans="1:34" ht="20.100000000000001" customHeight="1" x14ac:dyDescent="0.2">
      <c r="A76" s="28" t="s">
        <v>177</v>
      </c>
      <c r="B76" s="28" t="s">
        <v>178</v>
      </c>
      <c r="C76" s="28" t="s">
        <v>85</v>
      </c>
      <c r="D76" s="28" t="s">
        <v>94</v>
      </c>
      <c r="E76" s="28" t="s">
        <v>173</v>
      </c>
      <c r="F76" s="29">
        <v>1896</v>
      </c>
      <c r="G76" s="29">
        <v>1847</v>
      </c>
      <c r="H76" s="30">
        <v>0.97415611814346004</v>
      </c>
      <c r="I76" s="29">
        <v>0</v>
      </c>
      <c r="J76" s="29">
        <v>0</v>
      </c>
      <c r="K76" s="29">
        <v>0</v>
      </c>
      <c r="M76" s="31"/>
      <c r="N76" s="31"/>
      <c r="O76" s="31"/>
      <c r="P76" s="31"/>
      <c r="R76" s="34" t="s">
        <v>177</v>
      </c>
      <c r="S76" s="34" t="s">
        <v>178</v>
      </c>
      <c r="T76" s="35" t="s">
        <v>85</v>
      </c>
      <c r="U76" s="35" t="s">
        <v>94</v>
      </c>
      <c r="V76" s="35" t="s">
        <v>173</v>
      </c>
      <c r="W76" s="35" t="str">
        <f>MID(Tabcosting[[#This Row],[RPL Family]],8,2)</f>
        <v>76</v>
      </c>
      <c r="X76" s="35" t="s">
        <v>179</v>
      </c>
      <c r="Y76" s="36"/>
      <c r="Z76" s="36" t="s">
        <v>163</v>
      </c>
      <c r="AA76" s="37" t="s">
        <v>164</v>
      </c>
      <c r="AB76" s="38">
        <f t="shared" si="6"/>
        <v>1896</v>
      </c>
      <c r="AC76" s="38">
        <f t="shared" si="6"/>
        <v>1847</v>
      </c>
      <c r="AD76" s="39">
        <f>IFERROR(Tabcosting[[#This Row],[Good Qty]]/Tabcosting[[#This Row],[Launched Qty]],"")</f>
        <v>0.97415611814345993</v>
      </c>
      <c r="AE76" s="35">
        <v>0</v>
      </c>
      <c r="AF76" s="38">
        <f t="shared" si="7"/>
        <v>0</v>
      </c>
      <c r="AG76" s="36">
        <v>0</v>
      </c>
      <c r="AH76" s="36">
        <v>2.16</v>
      </c>
    </row>
    <row r="77" spans="1:34" ht="20.100000000000001" customHeight="1" x14ac:dyDescent="0.2">
      <c r="A77" s="28" t="s">
        <v>180</v>
      </c>
      <c r="B77" s="28" t="s">
        <v>181</v>
      </c>
      <c r="C77" s="28" t="s">
        <v>85</v>
      </c>
      <c r="D77" s="28" t="s">
        <v>60</v>
      </c>
      <c r="E77" s="28" t="s">
        <v>173</v>
      </c>
      <c r="F77" s="29">
        <v>90904</v>
      </c>
      <c r="G77" s="29">
        <v>88252</v>
      </c>
      <c r="H77" s="30">
        <v>0.97082636627651198</v>
      </c>
      <c r="I77" s="29">
        <v>88590</v>
      </c>
      <c r="J77" s="29">
        <v>8609</v>
      </c>
      <c r="K77" s="29">
        <v>3939</v>
      </c>
      <c r="M77" s="31"/>
      <c r="N77" s="31"/>
      <c r="O77" s="31"/>
      <c r="P77" s="31"/>
      <c r="R77" s="34" t="s">
        <v>180</v>
      </c>
      <c r="S77" s="34" t="s">
        <v>181</v>
      </c>
      <c r="T77" s="35" t="s">
        <v>85</v>
      </c>
      <c r="U77" s="35" t="s">
        <v>60</v>
      </c>
      <c r="V77" s="35" t="s">
        <v>173</v>
      </c>
      <c r="W77" s="35" t="str">
        <f>MID(Tabcosting[[#This Row],[RPL Family]],8,2)</f>
        <v>76</v>
      </c>
      <c r="X77" s="35" t="s">
        <v>182</v>
      </c>
      <c r="Y77" s="36" t="s">
        <v>175</v>
      </c>
      <c r="Z77" s="36" t="s">
        <v>158</v>
      </c>
      <c r="AA77" s="37" t="s">
        <v>176</v>
      </c>
      <c r="AB77" s="38">
        <f t="shared" si="6"/>
        <v>90904</v>
      </c>
      <c r="AC77" s="38">
        <f t="shared" si="6"/>
        <v>88252</v>
      </c>
      <c r="AD77" s="39">
        <f>IFERROR(Tabcosting[[#This Row],[Good Qty]]/Tabcosting[[#This Row],[Launched Qty]],"")</f>
        <v>0.97082636627651153</v>
      </c>
      <c r="AE77" s="35">
        <v>88590</v>
      </c>
      <c r="AF77" s="38">
        <f t="shared" si="7"/>
        <v>8609</v>
      </c>
      <c r="AG77" s="36">
        <v>3939</v>
      </c>
      <c r="AH77" s="36">
        <v>1.82</v>
      </c>
    </row>
    <row r="78" spans="1:34" ht="20.100000000000001" customHeight="1" x14ac:dyDescent="0.2">
      <c r="A78" s="28" t="s">
        <v>183</v>
      </c>
      <c r="B78" s="28" t="s">
        <v>184</v>
      </c>
      <c r="C78" s="28" t="s">
        <v>85</v>
      </c>
      <c r="D78" s="28" t="s">
        <v>94</v>
      </c>
      <c r="E78" s="28" t="s">
        <v>173</v>
      </c>
      <c r="F78" s="29">
        <v>15164</v>
      </c>
      <c r="G78" s="29">
        <v>14649</v>
      </c>
      <c r="H78" s="30">
        <v>0.96603798470060698</v>
      </c>
      <c r="I78" s="29">
        <v>21480</v>
      </c>
      <c r="J78" s="29">
        <v>4650</v>
      </c>
      <c r="K78" s="29">
        <v>770</v>
      </c>
      <c r="M78" s="31"/>
      <c r="N78" s="31"/>
      <c r="O78" s="31"/>
      <c r="P78" s="31"/>
      <c r="R78" s="34" t="s">
        <v>183</v>
      </c>
      <c r="S78" s="34" t="s">
        <v>184</v>
      </c>
      <c r="T78" s="35" t="s">
        <v>85</v>
      </c>
      <c r="U78" s="35" t="s">
        <v>94</v>
      </c>
      <c r="V78" s="35" t="s">
        <v>173</v>
      </c>
      <c r="W78" s="35" t="str">
        <f>MID(Tabcosting[[#This Row],[RPL Family]],8,2)</f>
        <v>76</v>
      </c>
      <c r="X78" s="35" t="s">
        <v>185</v>
      </c>
      <c r="Y78" s="36"/>
      <c r="Z78" s="36"/>
      <c r="AA78" s="37" t="s">
        <v>164</v>
      </c>
      <c r="AB78" s="38">
        <f t="shared" si="6"/>
        <v>15164</v>
      </c>
      <c r="AC78" s="38">
        <f t="shared" si="6"/>
        <v>14649</v>
      </c>
      <c r="AD78" s="39">
        <f>IFERROR(Tabcosting[[#This Row],[Good Qty]]/Tabcosting[[#This Row],[Launched Qty]],"")</f>
        <v>0.96603798470060676</v>
      </c>
      <c r="AE78" s="35">
        <v>21480</v>
      </c>
      <c r="AF78" s="38">
        <f t="shared" si="7"/>
        <v>4650</v>
      </c>
      <c r="AG78" s="36">
        <v>770</v>
      </c>
      <c r="AH78" s="36">
        <v>2.16</v>
      </c>
    </row>
    <row r="79" spans="1:34" ht="20.100000000000001" customHeight="1" x14ac:dyDescent="0.2">
      <c r="A79" s="28" t="s">
        <v>186</v>
      </c>
      <c r="B79" s="28" t="s">
        <v>187</v>
      </c>
      <c r="C79" s="28" t="s">
        <v>85</v>
      </c>
      <c r="D79" s="28" t="s">
        <v>94</v>
      </c>
      <c r="E79" s="28" t="s">
        <v>156</v>
      </c>
      <c r="F79" s="29">
        <v>160</v>
      </c>
      <c r="G79" s="29">
        <v>125</v>
      </c>
      <c r="H79" s="30">
        <v>0.78125</v>
      </c>
      <c r="I79" s="29">
        <v>0</v>
      </c>
      <c r="J79" s="29">
        <v>0</v>
      </c>
      <c r="K79" s="29">
        <v>0</v>
      </c>
      <c r="M79" s="83"/>
      <c r="N79" s="31"/>
      <c r="O79" s="31"/>
      <c r="P79" s="31"/>
      <c r="R79" s="34" t="s">
        <v>186</v>
      </c>
      <c r="S79" s="34" t="s">
        <v>187</v>
      </c>
      <c r="T79" s="35" t="s">
        <v>85</v>
      </c>
      <c r="U79" s="35" t="s">
        <v>94</v>
      </c>
      <c r="V79" s="35" t="s">
        <v>156</v>
      </c>
      <c r="W79" s="35" t="str">
        <f>MID(Tabcosting[[#This Row],[RPL Family]],8,2)</f>
        <v>80</v>
      </c>
      <c r="X79" s="35" t="s">
        <v>188</v>
      </c>
      <c r="Y79" s="36"/>
      <c r="Z79" s="36"/>
      <c r="AA79" s="37"/>
      <c r="AB79" s="38">
        <f t="shared" si="6"/>
        <v>160</v>
      </c>
      <c r="AC79" s="38">
        <f t="shared" si="6"/>
        <v>125</v>
      </c>
      <c r="AD79" s="39">
        <f>IFERROR(Tabcosting[[#This Row],[Good Qty]]/Tabcosting[[#This Row],[Launched Qty]],"")</f>
        <v>0.78125</v>
      </c>
      <c r="AE79" s="35">
        <v>0</v>
      </c>
      <c r="AF79" s="38">
        <f t="shared" si="7"/>
        <v>0</v>
      </c>
      <c r="AG79" s="36">
        <v>0</v>
      </c>
      <c r="AH79" s="36"/>
    </row>
    <row r="80" spans="1:34" ht="20.100000000000001" customHeight="1" x14ac:dyDescent="0.2">
      <c r="A80" s="28" t="s">
        <v>189</v>
      </c>
      <c r="B80" s="2" t="s">
        <v>190</v>
      </c>
      <c r="C80" s="2" t="s">
        <v>85</v>
      </c>
      <c r="D80" s="2" t="s">
        <v>94</v>
      </c>
      <c r="E80" s="2" t="s">
        <v>156</v>
      </c>
      <c r="F80" s="2">
        <v>352</v>
      </c>
      <c r="G80" s="2">
        <v>315</v>
      </c>
      <c r="H80" s="2">
        <v>0.89488636363636398</v>
      </c>
      <c r="I80" s="2">
        <v>0</v>
      </c>
      <c r="J80" s="2">
        <v>0</v>
      </c>
      <c r="K80" s="2">
        <v>0</v>
      </c>
      <c r="M80" s="83"/>
      <c r="N80" s="31"/>
      <c r="O80" s="31"/>
      <c r="P80" s="31"/>
      <c r="R80" s="34" t="s">
        <v>189</v>
      </c>
      <c r="S80" s="34" t="s">
        <v>190</v>
      </c>
      <c r="T80" s="35" t="s">
        <v>85</v>
      </c>
      <c r="U80" s="35" t="s">
        <v>94</v>
      </c>
      <c r="V80" s="35" t="s">
        <v>156</v>
      </c>
      <c r="W80" s="35" t="str">
        <f>MID(Tabcosting[[#This Row],[RPL Family]],8,2)</f>
        <v>80</v>
      </c>
      <c r="X80" s="35" t="s">
        <v>191</v>
      </c>
      <c r="Y80" s="36"/>
      <c r="Z80" s="36" t="s">
        <v>163</v>
      </c>
      <c r="AA80" s="37" t="s">
        <v>164</v>
      </c>
      <c r="AB80" s="38">
        <f t="shared" si="6"/>
        <v>352</v>
      </c>
      <c r="AC80" s="38">
        <f t="shared" si="6"/>
        <v>315</v>
      </c>
      <c r="AD80" s="39">
        <f>IFERROR(Tabcosting[[#This Row],[Good Qty]]/Tabcosting[[#This Row],[Launched Qty]],"")</f>
        <v>0.89488636363636365</v>
      </c>
      <c r="AE80" s="35">
        <v>0</v>
      </c>
      <c r="AF80" s="38">
        <f t="shared" si="7"/>
        <v>0</v>
      </c>
      <c r="AG80" s="36">
        <v>0</v>
      </c>
      <c r="AH80" s="36">
        <v>2.1800000000000002</v>
      </c>
    </row>
    <row r="81" spans="1:34" ht="20.100000000000001" customHeight="1" x14ac:dyDescent="0.2">
      <c r="A81" s="2" t="s">
        <v>192</v>
      </c>
      <c r="B81" s="2" t="s">
        <v>193</v>
      </c>
      <c r="C81" s="2" t="s">
        <v>85</v>
      </c>
      <c r="D81" s="2" t="s">
        <v>94</v>
      </c>
      <c r="E81" s="2" t="s">
        <v>156</v>
      </c>
      <c r="F81" s="2">
        <v>25990</v>
      </c>
      <c r="G81" s="2">
        <v>24413</v>
      </c>
      <c r="H81" s="2">
        <v>0.93932281646787197</v>
      </c>
      <c r="I81" s="2">
        <v>27180</v>
      </c>
      <c r="J81" s="2">
        <v>1529</v>
      </c>
      <c r="K81" s="2">
        <v>2062</v>
      </c>
      <c r="M81" s="83"/>
      <c r="N81" s="31"/>
      <c r="O81" s="31"/>
      <c r="P81" s="31"/>
      <c r="R81" s="34" t="s">
        <v>192</v>
      </c>
      <c r="S81" s="34" t="s">
        <v>193</v>
      </c>
      <c r="T81" s="35" t="s">
        <v>85</v>
      </c>
      <c r="U81" s="35" t="s">
        <v>94</v>
      </c>
      <c r="V81" s="35" t="s">
        <v>156</v>
      </c>
      <c r="W81" s="35" t="str">
        <f>MID(Tabcosting[[#This Row],[RPL Family]],8,2)</f>
        <v>80</v>
      </c>
      <c r="X81" s="35" t="s">
        <v>194</v>
      </c>
      <c r="Y81" s="36"/>
      <c r="Z81" s="36"/>
      <c r="AA81" s="37"/>
      <c r="AB81" s="38">
        <f t="shared" si="6"/>
        <v>25990</v>
      </c>
      <c r="AC81" s="38">
        <f t="shared" si="6"/>
        <v>24413</v>
      </c>
      <c r="AD81" s="39">
        <f>IFERROR(Tabcosting[[#This Row],[Good Qty]]/Tabcosting[[#This Row],[Launched Qty]],"")</f>
        <v>0.9393228164678723</v>
      </c>
      <c r="AE81" s="35">
        <v>27180</v>
      </c>
      <c r="AF81" s="38">
        <f t="shared" si="7"/>
        <v>1529</v>
      </c>
      <c r="AG81" s="36">
        <v>2062</v>
      </c>
      <c r="AH81" s="36"/>
    </row>
    <row r="82" spans="1:34" ht="20.100000000000001" customHeight="1" x14ac:dyDescent="0.2">
      <c r="R82" s="84" t="s">
        <v>195</v>
      </c>
      <c r="S82" s="34"/>
      <c r="T82" s="35"/>
      <c r="U82" s="35"/>
      <c r="V82" s="35"/>
      <c r="W82" s="35"/>
      <c r="X82" s="35"/>
      <c r="Y82" s="35"/>
      <c r="Z82" s="35"/>
      <c r="AA82" s="35"/>
      <c r="AB82" s="35">
        <f>SUBTOTAL(109,Tabcosting[Launched Qty])</f>
        <v>329146</v>
      </c>
      <c r="AC82" s="35">
        <f>SUBTOTAL(109,Tabcosting[Good Qty])</f>
        <v>310896</v>
      </c>
      <c r="AD82" s="85">
        <f>Tabcosting[[#Totals],[Good Qty]]/Tabcosting[[#Totals],[Launched Qty]]</f>
        <v>0.94455348082613799</v>
      </c>
      <c r="AE82" s="35">
        <f>SUBTOTAL(109,Tabcosting[Shipment (Stock Lens)])</f>
        <v>343159</v>
      </c>
      <c r="AF82" s="35">
        <f>SUBTOTAL(109,Tabcosting[WIP Production])</f>
        <v>36010</v>
      </c>
      <c r="AG82" s="35">
        <f>SUBTOTAL(109,Tabcosting[[Wip Stock ]])</f>
        <v>30932</v>
      </c>
      <c r="AH82" s="35">
        <f>SUBTOTAL(109,Tabcosting[PRIX])</f>
        <v>511.71999999999997</v>
      </c>
    </row>
    <row r="90" spans="1:34" ht="20.100000000000001" customHeight="1" x14ac:dyDescent="0.2">
      <c r="G90" s="86"/>
    </row>
  </sheetData>
  <mergeCells count="3">
    <mergeCell ref="A1:K1"/>
    <mergeCell ref="M1:P1"/>
    <mergeCell ref="R1:AH1"/>
  </mergeCells>
  <conditionalFormatting sqref="AL3:AN5 AS2:AT3">
    <cfRule type="expression" dxfId="164" priority="99">
      <formula>$C2="Poly"</formula>
    </cfRule>
    <cfRule type="expression" dxfId="163" priority="100">
      <formula>$C2="1.6"</formula>
    </cfRule>
    <cfRule type="expression" dxfId="162" priority="101">
      <formula>$C2="1.67"</formula>
    </cfRule>
  </conditionalFormatting>
  <conditionalFormatting sqref="AJ4:AJ5 AJ2:AN3 AR2:AT3">
    <cfRule type="expression" dxfId="161" priority="102">
      <formula>$C3="Poly"</formula>
    </cfRule>
    <cfRule type="expression" dxfId="160" priority="103">
      <formula>$C3="1.6"</formula>
    </cfRule>
    <cfRule type="expression" dxfId="159" priority="104">
      <formula>$C3="1.67"</formula>
    </cfRule>
  </conditionalFormatting>
  <conditionalFormatting sqref="AN3 AK4:AN5">
    <cfRule type="expression" dxfId="158" priority="105">
      <formula>#REF!="Poly"</formula>
    </cfRule>
    <cfRule type="expression" dxfId="157" priority="106">
      <formula>#REF!="1.6"</formula>
    </cfRule>
    <cfRule type="expression" dxfId="156" priority="107">
      <formula>#REF!="1.67"</formula>
    </cfRule>
  </conditionalFormatting>
  <conditionalFormatting sqref="AK4:AK5">
    <cfRule type="expression" dxfId="155" priority="108">
      <formula>$C7="Poly"</formula>
    </cfRule>
    <cfRule type="expression" dxfId="154" priority="109">
      <formula>$C7="1.6"</formula>
    </cfRule>
    <cfRule type="expression" dxfId="153" priority="110">
      <formula>$C7="1.67"</formula>
    </cfRule>
  </conditionalFormatting>
  <conditionalFormatting sqref="AL4:AM4">
    <cfRule type="expression" dxfId="152" priority="96">
      <formula>$C5="Poly"</formula>
    </cfRule>
    <cfRule type="expression" dxfId="151" priority="97">
      <formula>$C5="1.6"</formula>
    </cfRule>
    <cfRule type="expression" dxfId="150" priority="98">
      <formula>$C5="1.67"</formula>
    </cfRule>
  </conditionalFormatting>
  <conditionalFormatting sqref="AL5:AM5">
    <cfRule type="expression" dxfId="149" priority="93">
      <formula>$C6="Poly"</formula>
    </cfRule>
    <cfRule type="expression" dxfId="148" priority="94">
      <formula>$C6="1.6"</formula>
    </cfRule>
    <cfRule type="expression" dxfId="147" priority="95">
      <formula>$C6="1.67"</formula>
    </cfRule>
  </conditionalFormatting>
  <conditionalFormatting sqref="AO3:AO5">
    <cfRule type="expression" dxfId="146" priority="84">
      <formula>$C3="Poly"</formula>
    </cfRule>
    <cfRule type="expression" dxfId="145" priority="85">
      <formula>$C3="1.6"</formula>
    </cfRule>
    <cfRule type="expression" dxfId="144" priority="86">
      <formula>$C3="1.67"</formula>
    </cfRule>
  </conditionalFormatting>
  <conditionalFormatting sqref="AO2:AO3">
    <cfRule type="expression" dxfId="143" priority="87">
      <formula>$C3="Poly"</formula>
    </cfRule>
    <cfRule type="expression" dxfId="142" priority="88">
      <formula>$C3="1.6"</formula>
    </cfRule>
    <cfRule type="expression" dxfId="141" priority="89">
      <formula>$C3="1.67"</formula>
    </cfRule>
  </conditionalFormatting>
  <conditionalFormatting sqref="AO4:AO5">
    <cfRule type="expression" dxfId="140" priority="90">
      <formula>#REF!="Poly"</formula>
    </cfRule>
    <cfRule type="expression" dxfId="139" priority="91">
      <formula>#REF!="1.6"</formula>
    </cfRule>
    <cfRule type="expression" dxfId="138" priority="92">
      <formula>#REF!="1.67"</formula>
    </cfRule>
  </conditionalFormatting>
  <conditionalFormatting sqref="AO4">
    <cfRule type="expression" dxfId="137" priority="81">
      <formula>$C5="Poly"</formula>
    </cfRule>
    <cfRule type="expression" dxfId="136" priority="82">
      <formula>$C5="1.6"</formula>
    </cfRule>
    <cfRule type="expression" dxfId="135" priority="83">
      <formula>$C5="1.67"</formula>
    </cfRule>
  </conditionalFormatting>
  <conditionalFormatting sqref="AO5">
    <cfRule type="expression" dxfId="134" priority="78">
      <formula>$C6="Poly"</formula>
    </cfRule>
    <cfRule type="expression" dxfId="133" priority="79">
      <formula>$C6="1.6"</formula>
    </cfRule>
    <cfRule type="expression" dxfId="132" priority="80">
      <formula>$C6="1.67"</formula>
    </cfRule>
  </conditionalFormatting>
  <conditionalFormatting sqref="AJ6:AK6 AN6 AJ9:AO9">
    <cfRule type="expression" dxfId="131" priority="63">
      <formula>$C6="Poly"</formula>
    </cfRule>
    <cfRule type="expression" dxfId="130" priority="64">
      <formula>$C6="1.6"</formula>
    </cfRule>
    <cfRule type="expression" dxfId="129" priority="65">
      <formula>$C6="1.67"</formula>
    </cfRule>
  </conditionalFormatting>
  <conditionalFormatting sqref="AK9">
    <cfRule type="expression" dxfId="128" priority="66">
      <formula>$C10="Poly"</formula>
    </cfRule>
    <cfRule type="expression" dxfId="127" priority="67">
      <formula>$C10="1.6"</formula>
    </cfRule>
    <cfRule type="expression" dxfId="126" priority="68">
      <formula>$C10="1.67"</formula>
    </cfRule>
  </conditionalFormatting>
  <conditionalFormatting sqref="AN8">
    <cfRule type="expression" dxfId="125" priority="69">
      <formula>#REF!="Poly"</formula>
    </cfRule>
    <cfRule type="expression" dxfId="124" priority="70">
      <formula>#REF!="1.6"</formula>
    </cfRule>
    <cfRule type="expression" dxfId="123" priority="71">
      <formula>#REF!="1.67"</formula>
    </cfRule>
  </conditionalFormatting>
  <conditionalFormatting sqref="AN6 AL9:AO9">
    <cfRule type="expression" dxfId="122" priority="61">
      <formula>$C6="1.6"</formula>
    </cfRule>
    <cfRule type="expression" dxfId="121" priority="62">
      <formula>$C6="1.67"</formula>
    </cfRule>
  </conditionalFormatting>
  <conditionalFormatting sqref="AN7:AN8">
    <cfRule type="expression" dxfId="120" priority="72">
      <formula>$C9="Poly"</formula>
    </cfRule>
    <cfRule type="expression" dxfId="119" priority="73">
      <formula>$C9="1.6"</formula>
    </cfRule>
    <cfRule type="expression" dxfId="118" priority="74">
      <formula>$C9="1.67"</formula>
    </cfRule>
  </conditionalFormatting>
  <conditionalFormatting sqref="AK6 AJ7:AK7 AN7:AN8">
    <cfRule type="expression" dxfId="117" priority="75">
      <formula>$C9="Poly"</formula>
    </cfRule>
    <cfRule type="expression" dxfId="116" priority="76">
      <formula>$C9="1.6"</formula>
    </cfRule>
    <cfRule type="expression" dxfId="115" priority="77">
      <formula>$C9="1.67"</formula>
    </cfRule>
  </conditionalFormatting>
  <conditionalFormatting sqref="AL6:AL8">
    <cfRule type="expression" dxfId="114" priority="58">
      <formula>$C7="Poly"</formula>
    </cfRule>
    <cfRule type="expression" dxfId="113" priority="59">
      <formula>$C7="1.6"</formula>
    </cfRule>
    <cfRule type="expression" dxfId="112" priority="60">
      <formula>$C7="1.67"</formula>
    </cfRule>
  </conditionalFormatting>
  <conditionalFormatting sqref="AM6:AM8">
    <cfRule type="expression" dxfId="111" priority="55">
      <formula>$C7="Poly"</formula>
    </cfRule>
    <cfRule type="expression" dxfId="110" priority="56">
      <formula>$C7="1.6"</formula>
    </cfRule>
    <cfRule type="expression" dxfId="109" priority="57">
      <formula>$C7="1.67"</formula>
    </cfRule>
  </conditionalFormatting>
  <conditionalFormatting sqref="AO6:AO8">
    <cfRule type="expression" dxfId="108" priority="52">
      <formula>$C7="Poly"</formula>
    </cfRule>
    <cfRule type="expression" dxfId="107" priority="53">
      <formula>$C7="1.6"</formula>
    </cfRule>
    <cfRule type="expression" dxfId="106" priority="54">
      <formula>$C7="1.67"</formula>
    </cfRule>
  </conditionalFormatting>
  <conditionalFormatting sqref="AJ8:AK8">
    <cfRule type="expression" dxfId="105" priority="49">
      <formula>$C11="Poly"</formula>
    </cfRule>
    <cfRule type="expression" dxfId="104" priority="50">
      <formula>$C11="1.6"</formula>
    </cfRule>
    <cfRule type="expression" dxfId="103" priority="51">
      <formula>$C11="1.67"</formula>
    </cfRule>
  </conditionalFormatting>
  <conditionalFormatting sqref="AT3">
    <cfRule type="expression" dxfId="102" priority="46">
      <formula>#REF!="Poly"</formula>
    </cfRule>
    <cfRule type="expression" dxfId="101" priority="47">
      <formula>#REF!="1.6"</formula>
    </cfRule>
    <cfRule type="expression" dxfId="100" priority="48">
      <formula>#REF!="1.67"</formula>
    </cfRule>
  </conditionalFormatting>
  <conditionalFormatting sqref="AU2:AU4">
    <cfRule type="expression" dxfId="99" priority="43">
      <formula>$C2="Poly"</formula>
    </cfRule>
    <cfRule type="expression" dxfId="98" priority="44">
      <formula>$C2="1.6"</formula>
    </cfRule>
    <cfRule type="expression" dxfId="97" priority="45">
      <formula>$C2="1.67"</formula>
    </cfRule>
  </conditionalFormatting>
  <conditionalFormatting sqref="AV2:AV3">
    <cfRule type="expression" dxfId="96" priority="37">
      <formula>$C2="Poly"</formula>
    </cfRule>
    <cfRule type="expression" dxfId="95" priority="38">
      <formula>$C2="1.6"</formula>
    </cfRule>
    <cfRule type="expression" dxfId="94" priority="39">
      <formula>$C2="1.67"</formula>
    </cfRule>
  </conditionalFormatting>
  <conditionalFormatting sqref="AV3">
    <cfRule type="expression" dxfId="93" priority="40">
      <formula>$C4="Poly"</formula>
    </cfRule>
    <cfRule type="expression" dxfId="92" priority="41">
      <formula>$C4="1.6"</formula>
    </cfRule>
    <cfRule type="expression" dxfId="91" priority="42">
      <formula>$C4="1.67"</formula>
    </cfRule>
  </conditionalFormatting>
  <conditionalFormatting sqref="AR3:AT3">
    <cfRule type="expression" dxfId="90" priority="34">
      <formula>#REF!="Poly"</formula>
    </cfRule>
    <cfRule type="expression" dxfId="89" priority="35">
      <formula>#REF!="1.6"</formula>
    </cfRule>
    <cfRule type="expression" dxfId="88" priority="36">
      <formula>#REF!="1.67"</formula>
    </cfRule>
  </conditionalFormatting>
  <conditionalFormatting sqref="AT2">
    <cfRule type="expression" dxfId="87" priority="28">
      <formula>#REF!="Poly"</formula>
    </cfRule>
    <cfRule type="expression" dxfId="86" priority="29">
      <formula>#REF!="1.6"</formula>
    </cfRule>
    <cfRule type="expression" dxfId="85" priority="30">
      <formula>#REF!="1.67"</formula>
    </cfRule>
  </conditionalFormatting>
  <conditionalFormatting sqref="AR3">
    <cfRule type="expression" dxfId="84" priority="31">
      <formula>$C6="Poly"</formula>
    </cfRule>
    <cfRule type="expression" dxfId="83" priority="32">
      <formula>$C6="1.6"</formula>
    </cfRule>
    <cfRule type="expression" dxfId="82" priority="33">
      <formula>$C6="1.67"</formula>
    </cfRule>
  </conditionalFormatting>
  <conditionalFormatting sqref="AU2:AU4">
    <cfRule type="expression" dxfId="81" priority="25">
      <formula>$C3="Poly"</formula>
    </cfRule>
    <cfRule type="expression" dxfId="80" priority="26">
      <formula>$C3="1.6"</formula>
    </cfRule>
    <cfRule type="expression" dxfId="79" priority="27">
      <formula>$C3="1.67"</formula>
    </cfRule>
  </conditionalFormatting>
  <conditionalFormatting sqref="AV2">
    <cfRule type="expression" dxfId="78" priority="19">
      <formula>$C3="Poly"</formula>
    </cfRule>
    <cfRule type="expression" dxfId="77" priority="20">
      <formula>$C3="1.6"</formula>
    </cfRule>
    <cfRule type="expression" dxfId="76" priority="21">
      <formula>$C3="1.67"</formula>
    </cfRule>
  </conditionalFormatting>
  <conditionalFormatting sqref="AV3">
    <cfRule type="expression" dxfId="75" priority="22">
      <formula>#REF!="Poly"</formula>
    </cfRule>
    <cfRule type="expression" dxfId="74" priority="23">
      <formula>#REF!="1.6"</formula>
    </cfRule>
    <cfRule type="expression" dxfId="73" priority="24">
      <formula>#REF!="1.67"</formula>
    </cfRule>
  </conditionalFormatting>
  <conditionalFormatting sqref="AV3">
    <cfRule type="expression" dxfId="72" priority="16">
      <formula>$C4="Poly"</formula>
    </cfRule>
    <cfRule type="expression" dxfId="71" priority="17">
      <formula>$C4="1.6"</formula>
    </cfRule>
    <cfRule type="expression" dxfId="70" priority="18">
      <formula>$C4="1.67"</formula>
    </cfRule>
  </conditionalFormatting>
  <conditionalFormatting sqref="AR4">
    <cfRule type="expression" dxfId="69" priority="13">
      <formula>$C7="Poly"</formula>
    </cfRule>
    <cfRule type="expression" dxfId="68" priority="14">
      <formula>$C7="1.6"</formula>
    </cfRule>
    <cfRule type="expression" dxfId="67" priority="15">
      <formula>$C7="1.67"</formula>
    </cfRule>
  </conditionalFormatting>
  <conditionalFormatting sqref="AT4">
    <cfRule type="expression" dxfId="66" priority="7">
      <formula>$C6="Poly"</formula>
    </cfRule>
    <cfRule type="expression" dxfId="65" priority="8">
      <formula>$C6="1.6"</formula>
    </cfRule>
    <cfRule type="expression" dxfId="64" priority="9">
      <formula>$C6="1.67"</formula>
    </cfRule>
  </conditionalFormatting>
  <conditionalFormatting sqref="AT4">
    <cfRule type="expression" dxfId="63" priority="10">
      <formula>$C7="Poly"</formula>
    </cfRule>
    <cfRule type="expression" dxfId="62" priority="11">
      <formula>$C7="1.6"</formula>
    </cfRule>
    <cfRule type="expression" dxfId="61" priority="12">
      <formula>$C7="1.67"</formula>
    </cfRule>
  </conditionalFormatting>
  <conditionalFormatting sqref="AS4">
    <cfRule type="expression" dxfId="60" priority="4">
      <formula>$C5="Poly"</formula>
    </cfRule>
    <cfRule type="expression" dxfId="59" priority="5">
      <formula>$C5="1.6"</formula>
    </cfRule>
    <cfRule type="expression" dxfId="58" priority="6">
      <formula>$C5="1.67"</formula>
    </cfRule>
  </conditionalFormatting>
  <conditionalFormatting sqref="AV4">
    <cfRule type="expression" dxfId="57" priority="1">
      <formula>$C5="Poly"</formula>
    </cfRule>
    <cfRule type="expression" dxfId="56" priority="2">
      <formula>$C5="1.6"</formula>
    </cfRule>
    <cfRule type="expression" dxfId="55" priority="3">
      <formula>$C5="1.67"</formula>
    </cfRule>
  </conditionalFormatting>
  <pageMargins left="0.7" right="0.7" top="0.75" bottom="0.75" header="0.3" footer="0.3"/>
  <pageSetup paperSize="9" orientation="portrait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Button 1">
              <controlPr defaultSize="0" print="0" autoFill="0" autoPict="0" macro="[1]!Adjustment">
                <anchor moveWithCells="1" sizeWithCells="1">
                  <from>
                    <xdr:col>16</xdr:col>
                    <xdr:colOff>9525</xdr:colOff>
                    <xdr:row>0</xdr:row>
                    <xdr:rowOff>19050</xdr:rowOff>
                  </from>
                  <to>
                    <xdr:col>17</xdr:col>
                    <xdr:colOff>0</xdr:colOff>
                    <xdr:row>2</xdr:row>
                    <xdr:rowOff>0</xdr:rowOff>
                  </to>
                </anchor>
              </controlPr>
            </control>
          </mc:Choice>
        </mc:AlternateContent>
      </controls>
    </mc:Choice>
  </mc:AlternateContent>
  <tableParts count="2">
    <tablePart r:id="rId5"/>
    <tablePart r:id="rId6"/>
  </tablePart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A2:E37"/>
  <sheetViews>
    <sheetView tabSelected="1" workbookViewId="0">
      <selection activeCell="D37" sqref="D37"/>
    </sheetView>
  </sheetViews>
  <sheetFormatPr baseColWidth="10" defaultRowHeight="15" x14ac:dyDescent="0.25"/>
  <cols>
    <col min="1" max="1" width="38.140625" customWidth="1"/>
    <col min="2" max="2" width="23.140625" bestFit="1" customWidth="1"/>
    <col min="3" max="3" width="19.42578125" bestFit="1" customWidth="1"/>
    <col min="4" max="4" width="19" customWidth="1"/>
    <col min="5" max="5" width="25" bestFit="1" customWidth="1"/>
  </cols>
  <sheetData>
    <row r="2" spans="1:5" x14ac:dyDescent="0.25">
      <c r="A2" s="90" t="s">
        <v>196</v>
      </c>
      <c r="B2" t="s">
        <v>200</v>
      </c>
      <c r="C2" t="s">
        <v>201</v>
      </c>
      <c r="D2" t="s">
        <v>203</v>
      </c>
      <c r="E2" t="s">
        <v>202</v>
      </c>
    </row>
    <row r="3" spans="1:5" x14ac:dyDescent="0.25">
      <c r="A3" s="91" t="s">
        <v>30</v>
      </c>
      <c r="B3" s="94">
        <v>29377</v>
      </c>
      <c r="C3" s="94">
        <v>24360</v>
      </c>
      <c r="D3" s="95">
        <v>13.154517847041884</v>
      </c>
      <c r="E3" s="94">
        <v>6664</v>
      </c>
    </row>
    <row r="4" spans="1:5" x14ac:dyDescent="0.25">
      <c r="A4" s="92" t="s">
        <v>198</v>
      </c>
      <c r="B4" s="94">
        <v>10759</v>
      </c>
      <c r="C4" s="94">
        <v>8734</v>
      </c>
      <c r="D4" s="95">
        <v>6.4470633838255722</v>
      </c>
      <c r="E4" s="94">
        <v>2604</v>
      </c>
    </row>
    <row r="5" spans="1:5" x14ac:dyDescent="0.25">
      <c r="A5" s="93" t="s">
        <v>73</v>
      </c>
      <c r="B5" s="94">
        <v>1327</v>
      </c>
      <c r="C5" s="94">
        <v>1053</v>
      </c>
      <c r="D5" s="94">
        <v>0.79351921627731725</v>
      </c>
      <c r="E5" s="94">
        <v>377</v>
      </c>
    </row>
    <row r="6" spans="1:5" x14ac:dyDescent="0.25">
      <c r="A6" s="93" t="s">
        <v>70</v>
      </c>
      <c r="B6" s="94">
        <v>53</v>
      </c>
      <c r="C6" s="94">
        <v>40</v>
      </c>
      <c r="D6" s="94">
        <v>0.75471698113207553</v>
      </c>
      <c r="E6" s="94">
        <v>15</v>
      </c>
    </row>
    <row r="7" spans="1:5" x14ac:dyDescent="0.25">
      <c r="A7" s="93" t="s">
        <v>38</v>
      </c>
      <c r="B7" s="94">
        <v>647</v>
      </c>
      <c r="C7" s="94">
        <v>524</v>
      </c>
      <c r="D7" s="94">
        <v>0.80989180834621333</v>
      </c>
      <c r="E7" s="94">
        <v>340</v>
      </c>
    </row>
    <row r="8" spans="1:5" x14ac:dyDescent="0.25">
      <c r="A8" s="93" t="s">
        <v>139</v>
      </c>
      <c r="B8" s="94">
        <v>0</v>
      </c>
      <c r="C8" s="94">
        <v>0</v>
      </c>
      <c r="D8" s="94">
        <v>0</v>
      </c>
      <c r="E8" s="94">
        <v>0</v>
      </c>
    </row>
    <row r="9" spans="1:5" x14ac:dyDescent="0.25">
      <c r="A9" s="93" t="s">
        <v>46</v>
      </c>
      <c r="B9" s="94">
        <v>0</v>
      </c>
      <c r="C9" s="94">
        <v>0</v>
      </c>
      <c r="D9" s="94">
        <v>0</v>
      </c>
      <c r="E9" s="94">
        <v>0</v>
      </c>
    </row>
    <row r="10" spans="1:5" x14ac:dyDescent="0.25">
      <c r="A10" s="93" t="s">
        <v>53</v>
      </c>
      <c r="B10" s="94">
        <v>2833</v>
      </c>
      <c r="C10" s="94">
        <v>2359</v>
      </c>
      <c r="D10" s="94">
        <v>0.83268619837627955</v>
      </c>
      <c r="E10" s="94">
        <v>438</v>
      </c>
    </row>
    <row r="11" spans="1:5" x14ac:dyDescent="0.25">
      <c r="A11" s="93" t="s">
        <v>77</v>
      </c>
      <c r="B11" s="94">
        <v>576</v>
      </c>
      <c r="C11" s="94">
        <v>489</v>
      </c>
      <c r="D11" s="94">
        <v>0.84895833333333337</v>
      </c>
      <c r="E11" s="94">
        <v>266</v>
      </c>
    </row>
    <row r="12" spans="1:5" x14ac:dyDescent="0.25">
      <c r="A12" s="93" t="s">
        <v>57</v>
      </c>
      <c r="B12" s="94">
        <v>1506</v>
      </c>
      <c r="C12" s="94">
        <v>1200</v>
      </c>
      <c r="D12" s="94">
        <v>0.79681274900398402</v>
      </c>
      <c r="E12" s="94">
        <v>351</v>
      </c>
    </row>
    <row r="13" spans="1:5" x14ac:dyDescent="0.25">
      <c r="A13" s="93" t="s">
        <v>146</v>
      </c>
      <c r="B13" s="94">
        <v>0</v>
      </c>
      <c r="C13" s="94">
        <v>0</v>
      </c>
      <c r="D13" s="94">
        <v>0</v>
      </c>
      <c r="E13" s="94">
        <v>0</v>
      </c>
    </row>
    <row r="14" spans="1:5" x14ac:dyDescent="0.25">
      <c r="A14" s="93" t="s">
        <v>148</v>
      </c>
      <c r="B14" s="94">
        <v>0</v>
      </c>
      <c r="C14" s="94">
        <v>0</v>
      </c>
      <c r="D14" s="94">
        <v>0</v>
      </c>
      <c r="E14" s="94">
        <v>0</v>
      </c>
    </row>
    <row r="15" spans="1:5" x14ac:dyDescent="0.25">
      <c r="A15" s="93" t="s">
        <v>48</v>
      </c>
      <c r="B15" s="94">
        <v>1538</v>
      </c>
      <c r="C15" s="94">
        <v>1248</v>
      </c>
      <c r="D15" s="94">
        <v>0.81144343302990896</v>
      </c>
      <c r="E15" s="94">
        <v>329</v>
      </c>
    </row>
    <row r="16" spans="1:5" x14ac:dyDescent="0.25">
      <c r="A16" s="93" t="s">
        <v>42</v>
      </c>
      <c r="B16" s="94">
        <v>2279</v>
      </c>
      <c r="C16" s="94">
        <v>1821</v>
      </c>
      <c r="D16" s="94">
        <v>0.79903466432645898</v>
      </c>
      <c r="E16" s="94">
        <v>488</v>
      </c>
    </row>
    <row r="17" spans="1:5" x14ac:dyDescent="0.25">
      <c r="A17" s="93" t="s">
        <v>29</v>
      </c>
      <c r="B17" s="94">
        <v>0</v>
      </c>
      <c r="C17" s="94">
        <v>0</v>
      </c>
      <c r="D17" s="94">
        <v>0</v>
      </c>
      <c r="E17" s="94">
        <v>0</v>
      </c>
    </row>
    <row r="18" spans="1:5" x14ac:dyDescent="0.25">
      <c r="A18" s="93" t="s">
        <v>143</v>
      </c>
      <c r="B18" s="94">
        <v>0</v>
      </c>
      <c r="C18" s="94">
        <v>0</v>
      </c>
      <c r="D18" s="94">
        <v>0</v>
      </c>
      <c r="E18" s="94">
        <v>0</v>
      </c>
    </row>
    <row r="19" spans="1:5" x14ac:dyDescent="0.25">
      <c r="A19" s="93" t="s">
        <v>141</v>
      </c>
      <c r="B19" s="94">
        <v>0</v>
      </c>
      <c r="C19" s="94">
        <v>0</v>
      </c>
      <c r="D19" s="94">
        <v>0</v>
      </c>
      <c r="E19" s="94">
        <v>0</v>
      </c>
    </row>
    <row r="20" spans="1:5" x14ac:dyDescent="0.25">
      <c r="A20" s="92" t="s">
        <v>199</v>
      </c>
      <c r="B20" s="94">
        <v>18618</v>
      </c>
      <c r="C20" s="94">
        <v>15626</v>
      </c>
      <c r="D20" s="95">
        <v>6.7074544632163118</v>
      </c>
      <c r="E20" s="94">
        <v>4060</v>
      </c>
    </row>
    <row r="21" spans="1:5" x14ac:dyDescent="0.25">
      <c r="A21" s="93" t="s">
        <v>73</v>
      </c>
      <c r="B21" s="94">
        <v>893</v>
      </c>
      <c r="C21" s="94">
        <v>755</v>
      </c>
      <c r="D21" s="94">
        <v>0.84546472564389696</v>
      </c>
      <c r="E21" s="94">
        <v>199</v>
      </c>
    </row>
    <row r="22" spans="1:5" x14ac:dyDescent="0.25">
      <c r="A22" s="93" t="s">
        <v>70</v>
      </c>
      <c r="B22" s="94">
        <v>1016</v>
      </c>
      <c r="C22" s="94">
        <v>845</v>
      </c>
      <c r="D22" s="94">
        <v>0.83169291338582674</v>
      </c>
      <c r="E22" s="94">
        <v>75</v>
      </c>
    </row>
    <row r="23" spans="1:5" x14ac:dyDescent="0.25">
      <c r="A23" s="93" t="s">
        <v>82</v>
      </c>
      <c r="B23" s="94">
        <v>873</v>
      </c>
      <c r="C23" s="94">
        <v>743</v>
      </c>
      <c r="D23" s="94">
        <v>0.8510882016036655</v>
      </c>
      <c r="E23" s="94">
        <v>321</v>
      </c>
    </row>
    <row r="24" spans="1:5" x14ac:dyDescent="0.25">
      <c r="A24" s="93" t="s">
        <v>38</v>
      </c>
      <c r="B24" s="94">
        <v>1151</v>
      </c>
      <c r="C24" s="94">
        <v>967</v>
      </c>
      <c r="D24" s="94">
        <v>0.84013900955690701</v>
      </c>
      <c r="E24" s="94">
        <v>643</v>
      </c>
    </row>
    <row r="25" spans="1:5" x14ac:dyDescent="0.25">
      <c r="A25" s="93" t="s">
        <v>139</v>
      </c>
      <c r="B25" s="94">
        <v>0</v>
      </c>
      <c r="C25" s="94">
        <v>0</v>
      </c>
      <c r="D25" s="94">
        <v>0</v>
      </c>
      <c r="E25" s="94">
        <v>0</v>
      </c>
    </row>
    <row r="26" spans="1:5" x14ac:dyDescent="0.25">
      <c r="A26" s="93" t="s">
        <v>46</v>
      </c>
      <c r="B26" s="94">
        <v>0</v>
      </c>
      <c r="C26" s="94">
        <v>0</v>
      </c>
      <c r="D26" s="94">
        <v>0</v>
      </c>
      <c r="E26" s="94">
        <v>0</v>
      </c>
    </row>
    <row r="27" spans="1:5" x14ac:dyDescent="0.25">
      <c r="A27" s="93" t="s">
        <v>53</v>
      </c>
      <c r="B27" s="94">
        <v>5496</v>
      </c>
      <c r="C27" s="94">
        <v>4727</v>
      </c>
      <c r="D27" s="94">
        <v>0.860080058224163</v>
      </c>
      <c r="E27" s="94">
        <v>663</v>
      </c>
    </row>
    <row r="28" spans="1:5" x14ac:dyDescent="0.25">
      <c r="A28" s="93" t="s">
        <v>68</v>
      </c>
      <c r="B28" s="94">
        <v>3027</v>
      </c>
      <c r="C28" s="94">
        <v>2568</v>
      </c>
      <c r="D28" s="94">
        <v>0.84836471754212095</v>
      </c>
      <c r="E28" s="94">
        <v>671</v>
      </c>
    </row>
    <row r="29" spans="1:5" x14ac:dyDescent="0.25">
      <c r="A29" s="93" t="s">
        <v>146</v>
      </c>
      <c r="B29" s="94">
        <v>0</v>
      </c>
      <c r="C29" s="94">
        <v>0</v>
      </c>
      <c r="D29" s="94">
        <v>0</v>
      </c>
      <c r="E29" s="94">
        <v>0</v>
      </c>
    </row>
    <row r="30" spans="1:5" x14ac:dyDescent="0.25">
      <c r="A30" s="93" t="s">
        <v>148</v>
      </c>
      <c r="B30" s="94">
        <v>0</v>
      </c>
      <c r="C30" s="94">
        <v>0</v>
      </c>
      <c r="D30" s="94">
        <v>0</v>
      </c>
      <c r="E30" s="94">
        <v>0</v>
      </c>
    </row>
    <row r="31" spans="1:5" x14ac:dyDescent="0.25">
      <c r="A31" s="93" t="s">
        <v>48</v>
      </c>
      <c r="B31" s="94">
        <v>2732</v>
      </c>
      <c r="C31" s="94">
        <v>2239</v>
      </c>
      <c r="D31" s="94">
        <v>0.8195461200585652</v>
      </c>
      <c r="E31" s="94">
        <v>803</v>
      </c>
    </row>
    <row r="32" spans="1:5" x14ac:dyDescent="0.25">
      <c r="A32" s="93" t="s">
        <v>42</v>
      </c>
      <c r="B32" s="94">
        <v>3430</v>
      </c>
      <c r="C32" s="94">
        <v>2782</v>
      </c>
      <c r="D32" s="94">
        <v>0.8110787172011662</v>
      </c>
      <c r="E32" s="94">
        <v>685</v>
      </c>
    </row>
    <row r="33" spans="1:5" x14ac:dyDescent="0.25">
      <c r="A33" s="93" t="s">
        <v>29</v>
      </c>
      <c r="B33" s="94">
        <v>0</v>
      </c>
      <c r="C33" s="94">
        <v>0</v>
      </c>
      <c r="D33" s="94">
        <v>0</v>
      </c>
      <c r="E33" s="94">
        <v>0</v>
      </c>
    </row>
    <row r="34" spans="1:5" x14ac:dyDescent="0.25">
      <c r="A34" s="93" t="s">
        <v>143</v>
      </c>
      <c r="B34" s="94">
        <v>0</v>
      </c>
      <c r="C34" s="94">
        <v>0</v>
      </c>
      <c r="D34" s="94">
        <v>0</v>
      </c>
      <c r="E34" s="94">
        <v>0</v>
      </c>
    </row>
    <row r="35" spans="1:5" x14ac:dyDescent="0.25">
      <c r="A35" s="93" t="s">
        <v>141</v>
      </c>
      <c r="B35" s="94">
        <v>0</v>
      </c>
      <c r="C35" s="94">
        <v>0</v>
      </c>
      <c r="D35" s="94">
        <v>0</v>
      </c>
      <c r="E35" s="94">
        <v>0</v>
      </c>
    </row>
    <row r="36" spans="1:5" x14ac:dyDescent="0.25">
      <c r="A36" s="93" t="s">
        <v>59</v>
      </c>
      <c r="B36" s="94">
        <v>0</v>
      </c>
      <c r="C36" s="94">
        <v>0</v>
      </c>
      <c r="D36" s="94">
        <v>0</v>
      </c>
      <c r="E36" s="94">
        <v>0</v>
      </c>
    </row>
    <row r="37" spans="1:5" x14ac:dyDescent="0.25">
      <c r="A37" s="91" t="s">
        <v>197</v>
      </c>
      <c r="B37" s="94">
        <v>29377</v>
      </c>
      <c r="C37" s="94">
        <v>24360</v>
      </c>
      <c r="D37" s="95">
        <v>13.154517847041884</v>
      </c>
      <c r="E37" s="94">
        <v>6664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COSTING</vt:lpstr>
      <vt:lpstr>TCD</vt:lpstr>
    </vt:vector>
  </TitlesOfParts>
  <Company>ESSILOR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HAYOTTE Jérémy</dc:creator>
  <cp:lastModifiedBy>HAYOTTE Jérémy</cp:lastModifiedBy>
  <dcterms:created xsi:type="dcterms:W3CDTF">2022-09-14T13:39:07Z</dcterms:created>
  <dcterms:modified xsi:type="dcterms:W3CDTF">2022-09-14T13:47:21Z</dcterms:modified>
</cp:coreProperties>
</file>