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Hayottej\Desktop\Travail\COSTING\"/>
    </mc:Choice>
  </mc:AlternateContent>
  <bookViews>
    <workbookView xWindow="0" yWindow="0" windowWidth="20490" windowHeight="8910" activeTab="5"/>
  </bookViews>
  <sheets>
    <sheet name="MES Adj" sheetId="4" r:id="rId1"/>
    <sheet name="MES Costing Report" sheetId="1" r:id="rId2"/>
    <sheet name="CAU" sheetId="2" r:id="rId3"/>
    <sheet name="CAU 1" sheetId="10" r:id="rId4"/>
    <sheet name="CAT LIST" sheetId="11" r:id="rId5"/>
    <sheet name="Mes adj 1" sheetId="7" r:id="rId6"/>
  </sheets>
  <externalReferences>
    <externalReference r:id="rId7"/>
    <externalReference r:id="rId8"/>
  </externalReferences>
  <definedNames>
    <definedName name="_xlnm._FilterDatabase" localSheetId="0" hidden="1">'MES Adj'!$Q$1:$Q$108</definedName>
    <definedName name="_xlnm._FilterDatabase" localSheetId="5" hidden="1">'Mes adj 1'!$R$2:$AD$79</definedName>
    <definedName name="_xlnm._FilterDatabase" localSheetId="1" hidden="1">'MES Costing Report'!$B$1:$B$92</definedName>
    <definedName name="HI">CAU!$A$91:$F$191</definedName>
    <definedName name="PC">CAU!$A$1:$F$86</definedName>
    <definedName name="_xlnm.Print_Area" localSheetId="2">CAU!$A$1:$F$187</definedName>
    <definedName name="_xlnm.Print_Area" localSheetId="1">'MES Costing Report'!$B:$N</definedName>
  </definedNames>
  <calcPr calcId="162913"/>
  <pivotCaches>
    <pivotCache cacheId="0" r:id="rId9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92" i="4" l="1"/>
  <c r="U89" i="4"/>
  <c r="U90" i="4"/>
  <c r="U91" i="4"/>
  <c r="U76" i="4"/>
  <c r="U77" i="4"/>
  <c r="U78" i="4"/>
  <c r="U79" i="4"/>
  <c r="U80" i="4"/>
  <c r="U81" i="4"/>
  <c r="U82" i="4"/>
  <c r="U83" i="4"/>
  <c r="U84" i="4"/>
  <c r="U85" i="4"/>
  <c r="U86" i="4"/>
  <c r="U87" i="4"/>
  <c r="U88" i="4"/>
  <c r="U67" i="4"/>
  <c r="U68" i="4"/>
  <c r="U69" i="4"/>
  <c r="U70" i="4"/>
  <c r="U71" i="4"/>
  <c r="U72" i="4"/>
  <c r="U73" i="4"/>
  <c r="U74" i="4"/>
  <c r="U75" i="4"/>
  <c r="U63" i="4"/>
  <c r="U64" i="4"/>
  <c r="U65" i="4"/>
  <c r="U66" i="4"/>
  <c r="U61" i="4"/>
  <c r="U62" i="4"/>
  <c r="U56" i="4"/>
  <c r="U57" i="4"/>
  <c r="U58" i="4"/>
  <c r="U59" i="4"/>
  <c r="U60" i="4"/>
  <c r="U53" i="4"/>
  <c r="U54" i="4"/>
  <c r="U55" i="4"/>
  <c r="U51" i="4"/>
  <c r="U52" i="4"/>
  <c r="U47" i="4"/>
  <c r="U48" i="4"/>
  <c r="U49" i="4"/>
  <c r="U50" i="4"/>
  <c r="U36" i="4"/>
  <c r="U37" i="4"/>
  <c r="U38" i="4"/>
  <c r="U39" i="4"/>
  <c r="U40" i="4"/>
  <c r="U41" i="4"/>
  <c r="U42" i="4"/>
  <c r="U43" i="4"/>
  <c r="U44" i="4"/>
  <c r="U45" i="4"/>
  <c r="U46" i="4"/>
  <c r="U21" i="4"/>
  <c r="U22" i="4"/>
  <c r="U23" i="4"/>
  <c r="U24" i="4"/>
  <c r="U25" i="4"/>
  <c r="U26" i="4"/>
  <c r="U27" i="4"/>
  <c r="U28" i="4"/>
  <c r="U29" i="4"/>
  <c r="U30" i="4"/>
  <c r="U31" i="4"/>
  <c r="U32" i="4"/>
  <c r="U33" i="4"/>
  <c r="U34" i="4"/>
  <c r="U35" i="4"/>
  <c r="U19" i="4"/>
  <c r="U20" i="4"/>
  <c r="U14" i="4"/>
  <c r="U15" i="4"/>
  <c r="U16" i="4"/>
  <c r="U17" i="4"/>
  <c r="U18" i="4"/>
  <c r="U13" i="4"/>
  <c r="U12" i="4"/>
  <c r="U6" i="4"/>
  <c r="U7" i="4"/>
  <c r="U8" i="4"/>
  <c r="U9" i="4"/>
  <c r="U10" i="4"/>
  <c r="U11" i="4"/>
  <c r="U5" i="4"/>
  <c r="U4" i="4"/>
  <c r="Q2" i="1"/>
  <c r="Q3" i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4" i="4"/>
  <c r="V4" i="4"/>
  <c r="Q5" i="4"/>
  <c r="V5" i="4"/>
  <c r="Q6" i="4"/>
  <c r="V6" i="4"/>
  <c r="Q7" i="4"/>
  <c r="V7" i="4"/>
  <c r="Q8" i="4"/>
  <c r="V8" i="4"/>
  <c r="Q9" i="4"/>
  <c r="V9" i="4"/>
  <c r="Q10" i="4"/>
  <c r="V10" i="4"/>
  <c r="Q11" i="4"/>
  <c r="V11" i="4"/>
  <c r="Q12" i="4"/>
  <c r="V12" i="4"/>
  <c r="Q14" i="4"/>
  <c r="V14" i="4"/>
  <c r="Q15" i="4"/>
  <c r="V15" i="4"/>
  <c r="Q16" i="4"/>
  <c r="V16" i="4"/>
  <c r="Q17" i="4"/>
  <c r="V17" i="4"/>
  <c r="Q18" i="4"/>
  <c r="V18" i="4"/>
  <c r="Q19" i="4"/>
  <c r="V19" i="4"/>
  <c r="Q21" i="4"/>
  <c r="V21" i="4"/>
  <c r="Q22" i="4"/>
  <c r="V22" i="4"/>
  <c r="Q23" i="4"/>
  <c r="V23" i="4"/>
  <c r="Q24" i="4"/>
  <c r="V24" i="4"/>
  <c r="Q25" i="4"/>
  <c r="V25" i="4"/>
  <c r="Q26" i="4"/>
  <c r="V26" i="4"/>
  <c r="Q27" i="4"/>
  <c r="V27" i="4"/>
  <c r="Q28" i="4"/>
  <c r="V28" i="4"/>
  <c r="Q29" i="4"/>
  <c r="V29" i="4"/>
  <c r="Q30" i="4"/>
  <c r="V30" i="4"/>
  <c r="Q31" i="4"/>
  <c r="V31" i="4"/>
  <c r="Q32" i="4"/>
  <c r="V32" i="4"/>
  <c r="Q33" i="4"/>
  <c r="V33" i="4"/>
  <c r="Q34" i="4"/>
  <c r="V34" i="4"/>
  <c r="Q35" i="4"/>
  <c r="V35" i="4"/>
  <c r="Q36" i="4"/>
  <c r="V36" i="4"/>
  <c r="Q37" i="4"/>
  <c r="V37" i="4"/>
  <c r="Q38" i="4"/>
  <c r="V38" i="4"/>
  <c r="Q39" i="4"/>
  <c r="V39" i="4"/>
  <c r="Q40" i="4"/>
  <c r="V40" i="4"/>
  <c r="Q41" i="4"/>
  <c r="V41" i="4"/>
  <c r="Q42" i="4"/>
  <c r="V42" i="4"/>
  <c r="Q43" i="4"/>
  <c r="V43" i="4"/>
  <c r="Q44" i="4"/>
  <c r="V44" i="4"/>
  <c r="Q45" i="4"/>
  <c r="V45" i="4"/>
  <c r="Q46" i="4"/>
  <c r="V46" i="4"/>
  <c r="Q47" i="4"/>
  <c r="V47" i="4"/>
  <c r="Q48" i="4"/>
  <c r="V48" i="4"/>
  <c r="Q49" i="4"/>
  <c r="V49" i="4"/>
  <c r="Q53" i="4"/>
  <c r="V53" i="4"/>
  <c r="Q54" i="4"/>
  <c r="V54" i="4"/>
  <c r="Q55" i="4"/>
  <c r="V55" i="4"/>
  <c r="Q56" i="4"/>
  <c r="V56" i="4"/>
  <c r="V63" i="4"/>
  <c r="Q64" i="4"/>
  <c r="V64" i="4"/>
  <c r="Q65" i="4"/>
  <c r="V65" i="4"/>
  <c r="Q66" i="4"/>
  <c r="V66" i="4"/>
  <c r="Q67" i="4"/>
  <c r="V67" i="4"/>
  <c r="Q68" i="4"/>
  <c r="V68" i="4"/>
  <c r="Q70" i="4"/>
  <c r="V70" i="4"/>
  <c r="Q71" i="4"/>
  <c r="V71" i="4"/>
  <c r="Q72" i="4"/>
  <c r="V72" i="4"/>
  <c r="Q73" i="4"/>
  <c r="V73" i="4"/>
  <c r="Q74" i="4"/>
  <c r="V74" i="4"/>
  <c r="Q76" i="4"/>
  <c r="V76" i="4"/>
  <c r="Q77" i="4"/>
  <c r="V77" i="4"/>
  <c r="Q78" i="4"/>
  <c r="V78" i="4"/>
  <c r="Q79" i="4"/>
  <c r="V79" i="4"/>
  <c r="Q80" i="4"/>
  <c r="V80" i="4"/>
  <c r="Q81" i="4"/>
  <c r="V81" i="4"/>
  <c r="Q82" i="4"/>
  <c r="V82" i="4"/>
  <c r="Q83" i="4"/>
  <c r="V83" i="4"/>
  <c r="Q84" i="4"/>
  <c r="V84" i="4"/>
  <c r="Q85" i="4"/>
  <c r="V85" i="4"/>
  <c r="Q86" i="4"/>
  <c r="V86" i="4"/>
  <c r="Q87" i="4"/>
  <c r="V87" i="4"/>
  <c r="Q88" i="4"/>
  <c r="V88" i="4"/>
  <c r="Q89" i="4"/>
  <c r="V89" i="4"/>
  <c r="Q90" i="4"/>
  <c r="V90" i="4"/>
  <c r="Q91" i="4"/>
  <c r="V91" i="4"/>
  <c r="Q92" i="4"/>
  <c r="V92" i="4"/>
  <c r="Q96" i="4"/>
  <c r="V97" i="4"/>
  <c r="V98" i="4"/>
  <c r="Q100" i="4"/>
  <c r="V100" i="4"/>
  <c r="Q101" i="4"/>
  <c r="Q104" i="4"/>
  <c r="AB104" i="4"/>
  <c r="AA104" i="4"/>
  <c r="AG103" i="4"/>
  <c r="AB103" i="4"/>
  <c r="AA103" i="4"/>
  <c r="AH102" i="4"/>
  <c r="AJ102" i="4" s="1"/>
  <c r="AE102" i="4"/>
  <c r="AB102" i="4"/>
  <c r="AA102" i="4"/>
  <c r="O102" i="4"/>
  <c r="AB101" i="4"/>
  <c r="AA101" i="4"/>
  <c r="O101" i="4"/>
  <c r="AH100" i="4"/>
  <c r="AI100" i="4" s="1"/>
  <c r="AI101" i="4" s="1"/>
  <c r="AG101" i="4" s="1"/>
  <c r="AB100" i="4"/>
  <c r="AA100" i="4"/>
  <c r="O100" i="4"/>
  <c r="N100" i="4"/>
  <c r="M100" i="4"/>
  <c r="L100" i="4"/>
  <c r="AG99" i="4"/>
  <c r="O99" i="4"/>
  <c r="N99" i="4"/>
  <c r="M99" i="4"/>
  <c r="L99" i="4"/>
  <c r="AG98" i="4"/>
  <c r="AB98" i="4"/>
  <c r="AA98" i="4"/>
  <c r="O98" i="4"/>
  <c r="AL97" i="4"/>
  <c r="AG97" i="4"/>
  <c r="AB97" i="4"/>
  <c r="AA97" i="4"/>
  <c r="O97" i="4"/>
  <c r="AB96" i="4"/>
  <c r="AA96" i="4"/>
  <c r="O96" i="4"/>
  <c r="O104" i="4" s="1"/>
  <c r="J92" i="4"/>
  <c r="Z92" i="4" s="1"/>
  <c r="I92" i="4"/>
  <c r="G92" i="4"/>
  <c r="F92" i="4"/>
  <c r="W92" i="4" s="1"/>
  <c r="J91" i="4"/>
  <c r="Z91" i="4" s="1"/>
  <c r="I91" i="4"/>
  <c r="G91" i="4"/>
  <c r="X91" i="4" s="1"/>
  <c r="F91" i="4"/>
  <c r="W91" i="4" s="1"/>
  <c r="J90" i="4"/>
  <c r="Z90" i="4" s="1"/>
  <c r="I90" i="4"/>
  <c r="G90" i="4"/>
  <c r="X90" i="4" s="1"/>
  <c r="F90" i="4"/>
  <c r="J89" i="4"/>
  <c r="Z89" i="4" s="1"/>
  <c r="I89" i="4"/>
  <c r="G89" i="4"/>
  <c r="X89" i="4" s="1"/>
  <c r="F89" i="4"/>
  <c r="W89" i="4" s="1"/>
  <c r="J88" i="4"/>
  <c r="Z88" i="4" s="1"/>
  <c r="I88" i="4"/>
  <c r="G88" i="4"/>
  <c r="X88" i="4" s="1"/>
  <c r="F88" i="4"/>
  <c r="W88" i="4" s="1"/>
  <c r="Y88" i="4" s="1"/>
  <c r="J87" i="4"/>
  <c r="Z87" i="4" s="1"/>
  <c r="I87" i="4"/>
  <c r="G87" i="4"/>
  <c r="X87" i="4" s="1"/>
  <c r="F87" i="4"/>
  <c r="J86" i="4"/>
  <c r="Z86" i="4" s="1"/>
  <c r="I86" i="4"/>
  <c r="G86" i="4"/>
  <c r="X86" i="4" s="1"/>
  <c r="F86" i="4"/>
  <c r="W86" i="4" s="1"/>
  <c r="J85" i="4"/>
  <c r="Z85" i="4" s="1"/>
  <c r="I85" i="4"/>
  <c r="G85" i="4"/>
  <c r="X85" i="4" s="1"/>
  <c r="F85" i="4"/>
  <c r="H85" i="4" s="1"/>
  <c r="J84" i="4"/>
  <c r="Z84" i="4" s="1"/>
  <c r="I84" i="4"/>
  <c r="G84" i="4"/>
  <c r="F84" i="4"/>
  <c r="W84" i="4" s="1"/>
  <c r="J83" i="4"/>
  <c r="Z83" i="4" s="1"/>
  <c r="I83" i="4"/>
  <c r="G83" i="4"/>
  <c r="X83" i="4" s="1"/>
  <c r="F83" i="4"/>
  <c r="J82" i="4"/>
  <c r="Z82" i="4" s="1"/>
  <c r="I82" i="4"/>
  <c r="G82" i="4"/>
  <c r="X82" i="4" s="1"/>
  <c r="F82" i="4"/>
  <c r="J81" i="4"/>
  <c r="Z81" i="4" s="1"/>
  <c r="I81" i="4"/>
  <c r="G81" i="4"/>
  <c r="X81" i="4" s="1"/>
  <c r="F81" i="4"/>
  <c r="J80" i="4"/>
  <c r="Z80" i="4" s="1"/>
  <c r="I80" i="4"/>
  <c r="G80" i="4"/>
  <c r="X80" i="4" s="1"/>
  <c r="F80" i="4"/>
  <c r="W80" i="4" s="1"/>
  <c r="Y80" i="4" s="1"/>
  <c r="J79" i="4"/>
  <c r="Z79" i="4" s="1"/>
  <c r="I79" i="4"/>
  <c r="G79" i="4"/>
  <c r="X79" i="4" s="1"/>
  <c r="F79" i="4"/>
  <c r="J78" i="4"/>
  <c r="Z78" i="4" s="1"/>
  <c r="I78" i="4"/>
  <c r="G78" i="4"/>
  <c r="X78" i="4" s="1"/>
  <c r="F78" i="4"/>
  <c r="W78" i="4" s="1"/>
  <c r="J77" i="4"/>
  <c r="N77" i="4" s="1"/>
  <c r="Z77" i="4" s="1"/>
  <c r="I77" i="4"/>
  <c r="G77" i="4"/>
  <c r="M77" i="4" s="1"/>
  <c r="F77" i="4"/>
  <c r="J76" i="4"/>
  <c r="Z76" i="4" s="1"/>
  <c r="I76" i="4"/>
  <c r="G76" i="4"/>
  <c r="X76" i="4" s="1"/>
  <c r="F76" i="4"/>
  <c r="W76" i="4" s="1"/>
  <c r="J75" i="4"/>
  <c r="Z75" i="4" s="1"/>
  <c r="I75" i="4"/>
  <c r="G75" i="4"/>
  <c r="X75" i="4" s="1"/>
  <c r="F75" i="4"/>
  <c r="J74" i="4"/>
  <c r="Z74" i="4" s="1"/>
  <c r="I74" i="4"/>
  <c r="G74" i="4"/>
  <c r="X74" i="4" s="1"/>
  <c r="F74" i="4"/>
  <c r="J73" i="4"/>
  <c r="Z73" i="4" s="1"/>
  <c r="I73" i="4"/>
  <c r="G73" i="4"/>
  <c r="X73" i="4" s="1"/>
  <c r="F73" i="4"/>
  <c r="J72" i="4"/>
  <c r="Z72" i="4" s="1"/>
  <c r="I72" i="4"/>
  <c r="G72" i="4"/>
  <c r="X72" i="4" s="1"/>
  <c r="F72" i="4"/>
  <c r="W72" i="4" s="1"/>
  <c r="Y72" i="4" s="1"/>
  <c r="J71" i="4"/>
  <c r="N71" i="4" s="1"/>
  <c r="I71" i="4"/>
  <c r="G71" i="4"/>
  <c r="M71" i="4" s="1"/>
  <c r="X71" i="4" s="1"/>
  <c r="F71" i="4"/>
  <c r="W71" i="4" s="1"/>
  <c r="J70" i="4"/>
  <c r="Z70" i="4" s="1"/>
  <c r="I70" i="4"/>
  <c r="G70" i="4"/>
  <c r="X70" i="4" s="1"/>
  <c r="F70" i="4"/>
  <c r="J69" i="4"/>
  <c r="Z69" i="4" s="1"/>
  <c r="I69" i="4"/>
  <c r="G69" i="4"/>
  <c r="X69" i="4" s="1"/>
  <c r="F69" i="4"/>
  <c r="W69" i="4" s="1"/>
  <c r="J68" i="4"/>
  <c r="Z68" i="4" s="1"/>
  <c r="I68" i="4"/>
  <c r="G68" i="4"/>
  <c r="F68" i="4"/>
  <c r="H68" i="4" s="1"/>
  <c r="J67" i="4"/>
  <c r="Z67" i="4" s="1"/>
  <c r="I67" i="4"/>
  <c r="G67" i="4"/>
  <c r="M67" i="4" s="1"/>
  <c r="F67" i="4"/>
  <c r="J66" i="4"/>
  <c r="Z66" i="4" s="1"/>
  <c r="I66" i="4"/>
  <c r="G66" i="4"/>
  <c r="M66" i="4" s="1"/>
  <c r="X66" i="4" s="1"/>
  <c r="F66" i="4"/>
  <c r="H66" i="4" s="1"/>
  <c r="J65" i="4"/>
  <c r="Z65" i="4" s="1"/>
  <c r="I65" i="4"/>
  <c r="G65" i="4"/>
  <c r="F65" i="4"/>
  <c r="W65" i="4" s="1"/>
  <c r="J64" i="4"/>
  <c r="Z64" i="4" s="1"/>
  <c r="I64" i="4"/>
  <c r="G64" i="4"/>
  <c r="F64" i="4"/>
  <c r="J63" i="4"/>
  <c r="Z63" i="4" s="1"/>
  <c r="I63" i="4"/>
  <c r="I100" i="4" s="1"/>
  <c r="G63" i="4"/>
  <c r="G100" i="4" s="1"/>
  <c r="F63" i="4"/>
  <c r="F100" i="4" s="1"/>
  <c r="W100" i="4" s="1"/>
  <c r="J62" i="4"/>
  <c r="Z62" i="4" s="1"/>
  <c r="I62" i="4"/>
  <c r="G62" i="4"/>
  <c r="X62" i="4" s="1"/>
  <c r="F62" i="4"/>
  <c r="J61" i="4"/>
  <c r="Z61" i="4" s="1"/>
  <c r="I61" i="4"/>
  <c r="G61" i="4"/>
  <c r="X61" i="4" s="1"/>
  <c r="F61" i="4"/>
  <c r="W61" i="4" s="1"/>
  <c r="J60" i="4"/>
  <c r="Z60" i="4" s="1"/>
  <c r="I60" i="4"/>
  <c r="G60" i="4"/>
  <c r="X60" i="4" s="1"/>
  <c r="F60" i="4"/>
  <c r="W60" i="4" s="1"/>
  <c r="Y60" i="4" s="1"/>
  <c r="J59" i="4"/>
  <c r="Z59" i="4" s="1"/>
  <c r="I59" i="4"/>
  <c r="G59" i="4"/>
  <c r="X59" i="4" s="1"/>
  <c r="F59" i="4"/>
  <c r="H59" i="4" s="1"/>
  <c r="J58" i="4"/>
  <c r="Z58" i="4" s="1"/>
  <c r="I58" i="4"/>
  <c r="G58" i="4"/>
  <c r="X58" i="4" s="1"/>
  <c r="F58" i="4"/>
  <c r="W58" i="4" s="1"/>
  <c r="J57" i="4"/>
  <c r="Z57" i="4" s="1"/>
  <c r="I57" i="4"/>
  <c r="G57" i="4"/>
  <c r="X57" i="4" s="1"/>
  <c r="F57" i="4"/>
  <c r="H57" i="4" s="1"/>
  <c r="J56" i="4"/>
  <c r="Z56" i="4" s="1"/>
  <c r="I56" i="4"/>
  <c r="G56" i="4"/>
  <c r="X56" i="4" s="1"/>
  <c r="F56" i="4"/>
  <c r="J55" i="4"/>
  <c r="Z55" i="4" s="1"/>
  <c r="I55" i="4"/>
  <c r="G55" i="4"/>
  <c r="X55" i="4" s="1"/>
  <c r="F55" i="4"/>
  <c r="W55" i="4" s="1"/>
  <c r="J54" i="4"/>
  <c r="Z54" i="4" s="1"/>
  <c r="I54" i="4"/>
  <c r="G54" i="4"/>
  <c r="X54" i="4" s="1"/>
  <c r="F54" i="4"/>
  <c r="J53" i="4"/>
  <c r="I53" i="4"/>
  <c r="G53" i="4"/>
  <c r="F53" i="4"/>
  <c r="W53" i="4" s="1"/>
  <c r="J52" i="4"/>
  <c r="Z52" i="4" s="1"/>
  <c r="I52" i="4"/>
  <c r="G52" i="4"/>
  <c r="F52" i="4"/>
  <c r="W52" i="4" s="1"/>
  <c r="J51" i="4"/>
  <c r="Z51" i="4" s="1"/>
  <c r="I51" i="4"/>
  <c r="G51" i="4"/>
  <c r="X51" i="4" s="1"/>
  <c r="F51" i="4"/>
  <c r="W51" i="4" s="1"/>
  <c r="J50" i="4"/>
  <c r="Z50" i="4" s="1"/>
  <c r="I50" i="4"/>
  <c r="G50" i="4"/>
  <c r="X50" i="4" s="1"/>
  <c r="F50" i="4"/>
  <c r="W50" i="4" s="1"/>
  <c r="AI49" i="4"/>
  <c r="J49" i="4"/>
  <c r="Z49" i="4" s="1"/>
  <c r="I49" i="4"/>
  <c r="G49" i="4"/>
  <c r="X49" i="4" s="1"/>
  <c r="F49" i="4"/>
  <c r="W49" i="4" s="1"/>
  <c r="J48" i="4"/>
  <c r="Z48" i="4" s="1"/>
  <c r="I48" i="4"/>
  <c r="G48" i="4"/>
  <c r="X48" i="4" s="1"/>
  <c r="F48" i="4"/>
  <c r="W48" i="4" s="1"/>
  <c r="J47" i="4"/>
  <c r="Z47" i="4" s="1"/>
  <c r="I47" i="4"/>
  <c r="G47" i="4"/>
  <c r="X47" i="4" s="1"/>
  <c r="F47" i="4"/>
  <c r="W47" i="4" s="1"/>
  <c r="AG46" i="4"/>
  <c r="J46" i="4"/>
  <c r="Z46" i="4" s="1"/>
  <c r="I46" i="4"/>
  <c r="G46" i="4"/>
  <c r="F46" i="4"/>
  <c r="W46" i="4" s="1"/>
  <c r="J45" i="4"/>
  <c r="Z45" i="4" s="1"/>
  <c r="I45" i="4"/>
  <c r="G45" i="4"/>
  <c r="X45" i="4" s="1"/>
  <c r="F45" i="4"/>
  <c r="J44" i="4"/>
  <c r="Z44" i="4" s="1"/>
  <c r="I44" i="4"/>
  <c r="G44" i="4"/>
  <c r="X44" i="4" s="1"/>
  <c r="F44" i="4"/>
  <c r="J43" i="4"/>
  <c r="N43" i="4" s="1"/>
  <c r="N98" i="4" s="1"/>
  <c r="I43" i="4"/>
  <c r="G43" i="4"/>
  <c r="F43" i="4"/>
  <c r="L43" i="4" s="1"/>
  <c r="L98" i="4" s="1"/>
  <c r="J42" i="4"/>
  <c r="Z42" i="4" s="1"/>
  <c r="I42" i="4"/>
  <c r="G42" i="4"/>
  <c r="X42" i="4" s="1"/>
  <c r="F42" i="4"/>
  <c r="W42" i="4" s="1"/>
  <c r="J41" i="4"/>
  <c r="Z41" i="4" s="1"/>
  <c r="I41" i="4"/>
  <c r="G41" i="4"/>
  <c r="X41" i="4" s="1"/>
  <c r="F41" i="4"/>
  <c r="J40" i="4"/>
  <c r="Z40" i="4" s="1"/>
  <c r="I40" i="4"/>
  <c r="G40" i="4"/>
  <c r="F40" i="4"/>
  <c r="W40" i="4" s="1"/>
  <c r="J39" i="4"/>
  <c r="Z39" i="4" s="1"/>
  <c r="I39" i="4"/>
  <c r="G39" i="4"/>
  <c r="F39" i="4"/>
  <c r="W39" i="4" s="1"/>
  <c r="J38" i="4"/>
  <c r="Z38" i="4" s="1"/>
  <c r="I38" i="4"/>
  <c r="G38" i="4"/>
  <c r="X38" i="4" s="1"/>
  <c r="F38" i="4"/>
  <c r="H38" i="4" s="1"/>
  <c r="J37" i="4"/>
  <c r="Z37" i="4" s="1"/>
  <c r="I37" i="4"/>
  <c r="G37" i="4"/>
  <c r="X37" i="4" s="1"/>
  <c r="F37" i="4"/>
  <c r="J36" i="4"/>
  <c r="Z36" i="4" s="1"/>
  <c r="I36" i="4"/>
  <c r="G36" i="4"/>
  <c r="X36" i="4" s="1"/>
  <c r="F36" i="4"/>
  <c r="W36" i="4" s="1"/>
  <c r="J35" i="4"/>
  <c r="Z35" i="4" s="1"/>
  <c r="I35" i="4"/>
  <c r="G35" i="4"/>
  <c r="X35" i="4" s="1"/>
  <c r="F35" i="4"/>
  <c r="H35" i="4" s="1"/>
  <c r="J34" i="4"/>
  <c r="Z34" i="4" s="1"/>
  <c r="I34" i="4"/>
  <c r="G34" i="4"/>
  <c r="X34" i="4" s="1"/>
  <c r="F34" i="4"/>
  <c r="W34" i="4" s="1"/>
  <c r="J33" i="4"/>
  <c r="Z33" i="4" s="1"/>
  <c r="I33" i="4"/>
  <c r="G33" i="4"/>
  <c r="X33" i="4" s="1"/>
  <c r="F33" i="4"/>
  <c r="J32" i="4"/>
  <c r="Z32" i="4" s="1"/>
  <c r="I32" i="4"/>
  <c r="G32" i="4"/>
  <c r="X32" i="4" s="1"/>
  <c r="F32" i="4"/>
  <c r="W32" i="4" s="1"/>
  <c r="Y32" i="4" s="1"/>
  <c r="J31" i="4"/>
  <c r="Z31" i="4" s="1"/>
  <c r="I31" i="4"/>
  <c r="G31" i="4"/>
  <c r="X31" i="4" s="1"/>
  <c r="F31" i="4"/>
  <c r="W31" i="4" s="1"/>
  <c r="Y31" i="4" s="1"/>
  <c r="J30" i="4"/>
  <c r="Z30" i="4" s="1"/>
  <c r="I30" i="4"/>
  <c r="G30" i="4"/>
  <c r="X30" i="4" s="1"/>
  <c r="F30" i="4"/>
  <c r="J29" i="4"/>
  <c r="Z29" i="4" s="1"/>
  <c r="I29" i="4"/>
  <c r="G29" i="4"/>
  <c r="X29" i="4" s="1"/>
  <c r="F29" i="4"/>
  <c r="H29" i="4" s="1"/>
  <c r="J28" i="4"/>
  <c r="I28" i="4"/>
  <c r="G28" i="4"/>
  <c r="F28" i="4"/>
  <c r="W28" i="4" s="1"/>
  <c r="J27" i="4"/>
  <c r="Z27" i="4" s="1"/>
  <c r="I27" i="4"/>
  <c r="G27" i="4"/>
  <c r="X27" i="4" s="1"/>
  <c r="F27" i="4"/>
  <c r="J26" i="4"/>
  <c r="Z26" i="4" s="1"/>
  <c r="I26" i="4"/>
  <c r="G26" i="4"/>
  <c r="X26" i="4" s="1"/>
  <c r="F26" i="4"/>
  <c r="W26" i="4" s="1"/>
  <c r="J25" i="4"/>
  <c r="Z25" i="4" s="1"/>
  <c r="I25" i="4"/>
  <c r="G25" i="4"/>
  <c r="X25" i="4" s="1"/>
  <c r="F25" i="4"/>
  <c r="W25" i="4" s="1"/>
  <c r="J24" i="4"/>
  <c r="Z24" i="4" s="1"/>
  <c r="I24" i="4"/>
  <c r="G24" i="4"/>
  <c r="F24" i="4"/>
  <c r="W24" i="4" s="1"/>
  <c r="J23" i="4"/>
  <c r="Z23" i="4" s="1"/>
  <c r="I23" i="4"/>
  <c r="G23" i="4"/>
  <c r="F23" i="4"/>
  <c r="W23" i="4" s="1"/>
  <c r="Y23" i="4" s="1"/>
  <c r="J22" i="4"/>
  <c r="Z22" i="4" s="1"/>
  <c r="I22" i="4"/>
  <c r="G22" i="4"/>
  <c r="X22" i="4" s="1"/>
  <c r="F22" i="4"/>
  <c r="J21" i="4"/>
  <c r="I21" i="4"/>
  <c r="G21" i="4"/>
  <c r="M21" i="4" s="1"/>
  <c r="F21" i="4"/>
  <c r="J20" i="4"/>
  <c r="Z20" i="4" s="1"/>
  <c r="I20" i="4"/>
  <c r="G20" i="4"/>
  <c r="X20" i="4" s="1"/>
  <c r="F20" i="4"/>
  <c r="W20" i="4" s="1"/>
  <c r="J19" i="4"/>
  <c r="Z19" i="4" s="1"/>
  <c r="I19" i="4"/>
  <c r="G19" i="4"/>
  <c r="F19" i="4"/>
  <c r="W19" i="4" s="1"/>
  <c r="J18" i="4"/>
  <c r="Z18" i="4" s="1"/>
  <c r="I18" i="4"/>
  <c r="G18" i="4"/>
  <c r="X18" i="4" s="1"/>
  <c r="F18" i="4"/>
  <c r="H18" i="4" s="1"/>
  <c r="J17" i="4"/>
  <c r="Z17" i="4" s="1"/>
  <c r="I17" i="4"/>
  <c r="G17" i="4"/>
  <c r="X17" i="4" s="1"/>
  <c r="F17" i="4"/>
  <c r="J16" i="4"/>
  <c r="Z16" i="4" s="1"/>
  <c r="I16" i="4"/>
  <c r="G16" i="4"/>
  <c r="X16" i="4" s="1"/>
  <c r="F16" i="4"/>
  <c r="J15" i="4"/>
  <c r="Z15" i="4" s="1"/>
  <c r="I15" i="4"/>
  <c r="G15" i="4"/>
  <c r="X15" i="4" s="1"/>
  <c r="F15" i="4"/>
  <c r="W15" i="4" s="1"/>
  <c r="Y15" i="4" s="1"/>
  <c r="J14" i="4"/>
  <c r="Z14" i="4" s="1"/>
  <c r="I14" i="4"/>
  <c r="G14" i="4"/>
  <c r="X14" i="4" s="1"/>
  <c r="F14" i="4"/>
  <c r="W14" i="4" s="1"/>
  <c r="J13" i="4"/>
  <c r="Z13" i="4" s="1"/>
  <c r="I13" i="4"/>
  <c r="G13" i="4"/>
  <c r="X13" i="4" s="1"/>
  <c r="F13" i="4"/>
  <c r="W13" i="4" s="1"/>
  <c r="J12" i="4"/>
  <c r="Z12" i="4" s="1"/>
  <c r="I12" i="4"/>
  <c r="G12" i="4"/>
  <c r="F12" i="4"/>
  <c r="W12" i="4" s="1"/>
  <c r="J11" i="4"/>
  <c r="Z11" i="4" s="1"/>
  <c r="I11" i="4"/>
  <c r="G11" i="4"/>
  <c r="X11" i="4" s="1"/>
  <c r="F11" i="4"/>
  <c r="H11" i="4" s="1"/>
  <c r="J10" i="4"/>
  <c r="Z10" i="4" s="1"/>
  <c r="I10" i="4"/>
  <c r="G10" i="4"/>
  <c r="X10" i="4" s="1"/>
  <c r="F10" i="4"/>
  <c r="J9" i="4"/>
  <c r="Z9" i="4" s="1"/>
  <c r="I9" i="4"/>
  <c r="G9" i="4"/>
  <c r="X9" i="4" s="1"/>
  <c r="F9" i="4"/>
  <c r="W9" i="4" s="1"/>
  <c r="Y9" i="4" s="1"/>
  <c r="J8" i="4"/>
  <c r="Z8" i="4" s="1"/>
  <c r="I8" i="4"/>
  <c r="G8" i="4"/>
  <c r="X8" i="4" s="1"/>
  <c r="F8" i="4"/>
  <c r="H8" i="4" s="1"/>
  <c r="J7" i="4"/>
  <c r="Z7" i="4" s="1"/>
  <c r="I7" i="4"/>
  <c r="G7" i="4"/>
  <c r="X7" i="4" s="1"/>
  <c r="F7" i="4"/>
  <c r="W7" i="4" s="1"/>
  <c r="AD6" i="4"/>
  <c r="J6" i="4"/>
  <c r="Z6" i="4" s="1"/>
  <c r="I6" i="4"/>
  <c r="G6" i="4"/>
  <c r="X6" i="4" s="1"/>
  <c r="F6" i="4"/>
  <c r="J5" i="4"/>
  <c r="Z5" i="4" s="1"/>
  <c r="I5" i="4"/>
  <c r="G5" i="4"/>
  <c r="X5" i="4" s="1"/>
  <c r="F5" i="4"/>
  <c r="H5" i="4" s="1"/>
  <c r="J4" i="4"/>
  <c r="Z4" i="4" s="1"/>
  <c r="I4" i="4"/>
  <c r="G4" i="4"/>
  <c r="X4" i="4" s="1"/>
  <c r="F4" i="4"/>
  <c r="W4" i="4" s="1"/>
  <c r="H31" i="4" l="1"/>
  <c r="H22" i="4"/>
  <c r="H75" i="4"/>
  <c r="H83" i="4"/>
  <c r="Y89" i="4"/>
  <c r="H84" i="4"/>
  <c r="AG102" i="4"/>
  <c r="H17" i="4"/>
  <c r="H4" i="4"/>
  <c r="H37" i="4"/>
  <c r="Y25" i="4"/>
  <c r="H27" i="4"/>
  <c r="H32" i="4"/>
  <c r="H10" i="4"/>
  <c r="H70" i="4"/>
  <c r="H74" i="4"/>
  <c r="H24" i="4"/>
  <c r="H30" i="4"/>
  <c r="H56" i="4"/>
  <c r="Y36" i="4"/>
  <c r="H47" i="4"/>
  <c r="W57" i="4"/>
  <c r="Y57" i="4" s="1"/>
  <c r="H6" i="4"/>
  <c r="H33" i="4"/>
  <c r="H44" i="4"/>
  <c r="H54" i="4"/>
  <c r="H72" i="4"/>
  <c r="H79" i="4"/>
  <c r="H67" i="4"/>
  <c r="H19" i="4"/>
  <c r="H81" i="4"/>
  <c r="H14" i="4"/>
  <c r="W81" i="4"/>
  <c r="Y81" i="4" s="1"/>
  <c r="H45" i="4"/>
  <c r="H51" i="4"/>
  <c r="G102" i="4"/>
  <c r="L67" i="4"/>
  <c r="W67" i="4" s="1"/>
  <c r="Y67" i="4" s="1"/>
  <c r="W54" i="4"/>
  <c r="Y54" i="4" s="1"/>
  <c r="W44" i="4"/>
  <c r="Y44" i="4" s="1"/>
  <c r="Y49" i="4"/>
  <c r="H36" i="4"/>
  <c r="Y47" i="4"/>
  <c r="H80" i="4"/>
  <c r="O103" i="4"/>
  <c r="Y4" i="4"/>
  <c r="W8" i="4"/>
  <c r="Y8" i="4" s="1"/>
  <c r="N21" i="4"/>
  <c r="N97" i="4" s="1"/>
  <c r="H9" i="4"/>
  <c r="H16" i="4"/>
  <c r="Y20" i="4"/>
  <c r="H21" i="4"/>
  <c r="H48" i="4"/>
  <c r="Y51" i="4"/>
  <c r="H64" i="4"/>
  <c r="Y86" i="4"/>
  <c r="H90" i="4"/>
  <c r="W70" i="4"/>
  <c r="Y70" i="4" s="1"/>
  <c r="W64" i="4"/>
  <c r="W59" i="4"/>
  <c r="Y59" i="4" s="1"/>
  <c r="W17" i="4"/>
  <c r="Y17" i="4" s="1"/>
  <c r="W11" i="4"/>
  <c r="Y11" i="4" s="1"/>
  <c r="Y13" i="4"/>
  <c r="X100" i="4"/>
  <c r="I102" i="4"/>
  <c r="W41" i="4"/>
  <c r="Y41" i="4" s="1"/>
  <c r="W33" i="4"/>
  <c r="Y33" i="4" s="1"/>
  <c r="W5" i="4"/>
  <c r="Y5" i="4" s="1"/>
  <c r="H20" i="4"/>
  <c r="H25" i="4"/>
  <c r="G99" i="4"/>
  <c r="H15" i="4"/>
  <c r="L21" i="4"/>
  <c r="L97" i="4" s="1"/>
  <c r="H28" i="4"/>
  <c r="H40" i="4"/>
  <c r="Y50" i="4"/>
  <c r="H60" i="4"/>
  <c r="H63" i="4"/>
  <c r="L68" i="4"/>
  <c r="W68" i="4" s="1"/>
  <c r="H76" i="4"/>
  <c r="L77" i="4"/>
  <c r="W77" i="4" s="1"/>
  <c r="Y77" i="4" s="1"/>
  <c r="H89" i="4"/>
  <c r="H92" i="4"/>
  <c r="W83" i="4"/>
  <c r="Y83" i="4" s="1"/>
  <c r="W75" i="4"/>
  <c r="Y75" i="4" s="1"/>
  <c r="W63" i="4"/>
  <c r="Y63" i="4" s="1"/>
  <c r="W56" i="4"/>
  <c r="Y56" i="4" s="1"/>
  <c r="W38" i="4"/>
  <c r="Y38" i="4" s="1"/>
  <c r="W30" i="4"/>
  <c r="Y30" i="4" s="1"/>
  <c r="W22" i="4"/>
  <c r="Y22" i="4" s="1"/>
  <c r="W16" i="4"/>
  <c r="Y16" i="4" s="1"/>
  <c r="W10" i="4"/>
  <c r="Y10" i="4" s="1"/>
  <c r="H49" i="4"/>
  <c r="Y69" i="4"/>
  <c r="H82" i="4"/>
  <c r="H88" i="4"/>
  <c r="W74" i="4"/>
  <c r="Y74" i="4" s="1"/>
  <c r="W43" i="4"/>
  <c r="Y43" i="4" s="1"/>
  <c r="W35" i="4"/>
  <c r="Y35" i="4" s="1"/>
  <c r="W27" i="4"/>
  <c r="Y27" i="4" s="1"/>
  <c r="J98" i="4"/>
  <c r="X53" i="4"/>
  <c r="X99" i="4" s="1"/>
  <c r="Y58" i="4"/>
  <c r="H65" i="4"/>
  <c r="Y78" i="4"/>
  <c r="H87" i="4"/>
  <c r="W85" i="4"/>
  <c r="Y85" i="4" s="1"/>
  <c r="W62" i="4"/>
  <c r="Y62" i="4" s="1"/>
  <c r="W18" i="4"/>
  <c r="Y18" i="4" s="1"/>
  <c r="H13" i="4"/>
  <c r="Z28" i="4"/>
  <c r="M43" i="4"/>
  <c r="M98" i="4" s="1"/>
  <c r="H55" i="4"/>
  <c r="L66" i="4"/>
  <c r="W66" i="4" s="1"/>
  <c r="Y66" i="4" s="1"/>
  <c r="H91" i="4"/>
  <c r="W90" i="4"/>
  <c r="Y90" i="4" s="1"/>
  <c r="W82" i="4"/>
  <c r="Y82" i="4" s="1"/>
  <c r="W45" i="4"/>
  <c r="Y45" i="4" s="1"/>
  <c r="W37" i="4"/>
  <c r="Y37" i="4" s="1"/>
  <c r="W29" i="4"/>
  <c r="Y29" i="4" s="1"/>
  <c r="X63" i="4"/>
  <c r="W87" i="4"/>
  <c r="Y87" i="4" s="1"/>
  <c r="W79" i="4"/>
  <c r="Y79" i="4" s="1"/>
  <c r="W73" i="4"/>
  <c r="Y73" i="4" s="1"/>
  <c r="W6" i="4"/>
  <c r="Y6" i="4" s="1"/>
  <c r="I97" i="4"/>
  <c r="M97" i="4"/>
  <c r="M96" i="4"/>
  <c r="X21" i="4"/>
  <c r="X52" i="4"/>
  <c r="Y52" i="4" s="1"/>
  <c r="H52" i="4"/>
  <c r="J99" i="4"/>
  <c r="H100" i="4"/>
  <c r="Y100" i="4"/>
  <c r="Y91" i="4"/>
  <c r="J97" i="4"/>
  <c r="F98" i="4"/>
  <c r="H7" i="4"/>
  <c r="Y7" i="4"/>
  <c r="H12" i="4"/>
  <c r="X12" i="4"/>
  <c r="Y12" i="4" s="1"/>
  <c r="G98" i="4"/>
  <c r="Z43" i="4"/>
  <c r="Z98" i="4" s="1"/>
  <c r="H46" i="4"/>
  <c r="X46" i="4"/>
  <c r="Y46" i="4" s="1"/>
  <c r="Y48" i="4"/>
  <c r="H23" i="4"/>
  <c r="X23" i="4"/>
  <c r="H42" i="4"/>
  <c r="Y42" i="4"/>
  <c r="H26" i="4"/>
  <c r="Y26" i="4"/>
  <c r="Y55" i="4"/>
  <c r="Y71" i="4"/>
  <c r="F97" i="4"/>
  <c r="H39" i="4"/>
  <c r="X39" i="4"/>
  <c r="Y39" i="4" s="1"/>
  <c r="H53" i="4"/>
  <c r="F99" i="4"/>
  <c r="H99" i="4" s="1"/>
  <c r="H34" i="4"/>
  <c r="Y34" i="4"/>
  <c r="Y61" i="4"/>
  <c r="H61" i="4"/>
  <c r="I98" i="4"/>
  <c r="I99" i="4"/>
  <c r="N101" i="4"/>
  <c r="N102" i="4"/>
  <c r="Y28" i="4"/>
  <c r="H41" i="4"/>
  <c r="H50" i="4"/>
  <c r="H58" i="4"/>
  <c r="X65" i="4"/>
  <c r="Y65" i="4" s="1"/>
  <c r="H71" i="4"/>
  <c r="H73" i="4"/>
  <c r="H78" i="4"/>
  <c r="X84" i="4"/>
  <c r="Y84" i="4" s="1"/>
  <c r="H86" i="4"/>
  <c r="X92" i="4"/>
  <c r="Y92" i="4" s="1"/>
  <c r="J102" i="4"/>
  <c r="X67" i="4"/>
  <c r="Z71" i="4"/>
  <c r="Z102" i="4" s="1"/>
  <c r="H77" i="4"/>
  <c r="F101" i="4"/>
  <c r="Y14" i="4"/>
  <c r="X19" i="4"/>
  <c r="Y19" i="4" s="1"/>
  <c r="X24" i="4"/>
  <c r="Y24" i="4" s="1"/>
  <c r="X40" i="4"/>
  <c r="Y40" i="4" s="1"/>
  <c r="Z53" i="4"/>
  <c r="Z99" i="4" s="1"/>
  <c r="M68" i="4"/>
  <c r="M101" i="4" s="1"/>
  <c r="X77" i="4"/>
  <c r="F96" i="4"/>
  <c r="J100" i="4"/>
  <c r="Z100" i="4" s="1"/>
  <c r="G101" i="4"/>
  <c r="H62" i="4"/>
  <c r="H69" i="4"/>
  <c r="Y76" i="4"/>
  <c r="G96" i="4"/>
  <c r="G97" i="4"/>
  <c r="F102" i="4"/>
  <c r="X64" i="4"/>
  <c r="I101" i="4"/>
  <c r="H43" i="4"/>
  <c r="I96" i="4"/>
  <c r="J101" i="4"/>
  <c r="X28" i="4"/>
  <c r="J96" i="4"/>
  <c r="N96" i="4" l="1"/>
  <c r="N104" i="4" s="1"/>
  <c r="I103" i="4"/>
  <c r="L96" i="4"/>
  <c r="G103" i="4"/>
  <c r="H102" i="4"/>
  <c r="Z21" i="4"/>
  <c r="Z97" i="4" s="1"/>
  <c r="W99" i="4"/>
  <c r="Y99" i="4" s="1"/>
  <c r="Z101" i="4"/>
  <c r="Z103" i="4" s="1"/>
  <c r="W101" i="4"/>
  <c r="W102" i="4"/>
  <c r="W21" i="4"/>
  <c r="Y21" i="4" s="1"/>
  <c r="J104" i="4"/>
  <c r="J1" i="4" s="1"/>
  <c r="Y68" i="4"/>
  <c r="W98" i="4"/>
  <c r="AJ98" i="4" s="1"/>
  <c r="X43" i="4"/>
  <c r="X98" i="4" s="1"/>
  <c r="L101" i="4"/>
  <c r="L102" i="4"/>
  <c r="I104" i="4"/>
  <c r="I1" i="4" s="1"/>
  <c r="N103" i="4"/>
  <c r="M102" i="4"/>
  <c r="M103" i="4" s="1"/>
  <c r="X97" i="4"/>
  <c r="H97" i="4"/>
  <c r="H98" i="4"/>
  <c r="J103" i="4"/>
  <c r="G104" i="4"/>
  <c r="G1" i="4" s="1"/>
  <c r="H96" i="4"/>
  <c r="F104" i="4"/>
  <c r="Y53" i="4"/>
  <c r="X68" i="4"/>
  <c r="X102" i="4" s="1"/>
  <c r="M104" i="4"/>
  <c r="Y64" i="4"/>
  <c r="F103" i="4"/>
  <c r="H101" i="4"/>
  <c r="W97" i="4" l="1"/>
  <c r="H103" i="4"/>
  <c r="L104" i="4"/>
  <c r="Z96" i="4"/>
  <c r="Z104" i="4" s="1"/>
  <c r="Z1" i="4" s="1"/>
  <c r="W103" i="4"/>
  <c r="X101" i="4"/>
  <c r="Y101" i="4" s="1"/>
  <c r="AE98" i="4"/>
  <c r="Y98" i="4"/>
  <c r="X96" i="4"/>
  <c r="W96" i="4"/>
  <c r="W104" i="4" s="1"/>
  <c r="W1" i="4" s="1"/>
  <c r="L103" i="4"/>
  <c r="H104" i="4"/>
  <c r="F1" i="4"/>
  <c r="Y97" i="4"/>
  <c r="AE97" i="4"/>
  <c r="Y102" i="4"/>
  <c r="X103" i="4" l="1"/>
  <c r="Y103" i="4" s="1"/>
  <c r="Y96" i="4"/>
  <c r="X104" i="4"/>
  <c r="X1" i="4" s="1"/>
  <c r="AD103" i="4" l="1"/>
  <c r="Y104" i="4"/>
  <c r="F184" i="2" l="1"/>
  <c r="F187" i="2" s="1"/>
  <c r="D184" i="2"/>
  <c r="D187" i="2" s="1"/>
  <c r="C184" i="2"/>
  <c r="E184" i="2" s="1"/>
  <c r="F179" i="2"/>
  <c r="D179" i="2"/>
  <c r="C179" i="2"/>
  <c r="F178" i="2"/>
  <c r="D178" i="2"/>
  <c r="C178" i="2"/>
  <c r="F177" i="2"/>
  <c r="D177" i="2"/>
  <c r="C177" i="2"/>
  <c r="F176" i="2"/>
  <c r="D176" i="2"/>
  <c r="C176" i="2"/>
  <c r="F175" i="2"/>
  <c r="D175" i="2"/>
  <c r="C175" i="2"/>
  <c r="F174" i="2"/>
  <c r="D174" i="2"/>
  <c r="C174" i="2"/>
  <c r="F173" i="2"/>
  <c r="D173" i="2"/>
  <c r="C173" i="2"/>
  <c r="E173" i="2" s="1"/>
  <c r="F172" i="2"/>
  <c r="D172" i="2"/>
  <c r="C172" i="2"/>
  <c r="E172" i="2" s="1"/>
  <c r="F171" i="2"/>
  <c r="D171" i="2"/>
  <c r="C171" i="2"/>
  <c r="F170" i="2"/>
  <c r="D170" i="2"/>
  <c r="C170" i="2"/>
  <c r="F169" i="2"/>
  <c r="D169" i="2"/>
  <c r="C169" i="2"/>
  <c r="E169" i="2" s="1"/>
  <c r="F168" i="2"/>
  <c r="D168" i="2"/>
  <c r="C168" i="2"/>
  <c r="E168" i="2" s="1"/>
  <c r="F167" i="2"/>
  <c r="D167" i="2"/>
  <c r="C167" i="2"/>
  <c r="F166" i="2"/>
  <c r="D166" i="2"/>
  <c r="C166" i="2"/>
  <c r="F165" i="2"/>
  <c r="D165" i="2"/>
  <c r="C165" i="2"/>
  <c r="E165" i="2" s="1"/>
  <c r="F164" i="2"/>
  <c r="D164" i="2"/>
  <c r="C164" i="2"/>
  <c r="E164" i="2" s="1"/>
  <c r="F163" i="2"/>
  <c r="D163" i="2"/>
  <c r="C163" i="2"/>
  <c r="E163" i="2" s="1"/>
  <c r="F162" i="2"/>
  <c r="D162" i="2"/>
  <c r="C162" i="2"/>
  <c r="F161" i="2"/>
  <c r="D161" i="2"/>
  <c r="C161" i="2"/>
  <c r="E161" i="2" s="1"/>
  <c r="F160" i="2"/>
  <c r="D160" i="2"/>
  <c r="C160" i="2"/>
  <c r="E160" i="2" s="1"/>
  <c r="F159" i="2"/>
  <c r="D159" i="2"/>
  <c r="C159" i="2"/>
  <c r="F158" i="2"/>
  <c r="D158" i="2"/>
  <c r="C158" i="2"/>
  <c r="E158" i="2" s="1"/>
  <c r="F157" i="2"/>
  <c r="D157" i="2"/>
  <c r="C157" i="2"/>
  <c r="F156" i="2"/>
  <c r="D156" i="2"/>
  <c r="C156" i="2"/>
  <c r="E156" i="2" s="1"/>
  <c r="F155" i="2"/>
  <c r="D155" i="2"/>
  <c r="C155" i="2"/>
  <c r="E155" i="2" s="1"/>
  <c r="F154" i="2"/>
  <c r="D154" i="2"/>
  <c r="C154" i="2"/>
  <c r="E154" i="2" s="1"/>
  <c r="F149" i="2"/>
  <c r="D149" i="2"/>
  <c r="C149" i="2"/>
  <c r="F148" i="2"/>
  <c r="D148" i="2"/>
  <c r="C148" i="2"/>
  <c r="F147" i="2"/>
  <c r="D147" i="2"/>
  <c r="C147" i="2"/>
  <c r="F146" i="2"/>
  <c r="D146" i="2"/>
  <c r="C146" i="2"/>
  <c r="F145" i="2"/>
  <c r="D145" i="2"/>
  <c r="C145" i="2"/>
  <c r="F144" i="2"/>
  <c r="D144" i="2"/>
  <c r="C144" i="2"/>
  <c r="F143" i="2"/>
  <c r="D143" i="2"/>
  <c r="C143" i="2"/>
  <c r="F142" i="2"/>
  <c r="D142" i="2"/>
  <c r="C142" i="2"/>
  <c r="F141" i="2"/>
  <c r="D141" i="2"/>
  <c r="C141" i="2"/>
  <c r="F140" i="2"/>
  <c r="D140" i="2"/>
  <c r="C140" i="2"/>
  <c r="F139" i="2"/>
  <c r="E139" i="2"/>
  <c r="D139" i="2"/>
  <c r="C139" i="2"/>
  <c r="F137" i="2"/>
  <c r="D137" i="2"/>
  <c r="C137" i="2"/>
  <c r="E137" i="2" s="1"/>
  <c r="F136" i="2"/>
  <c r="D136" i="2"/>
  <c r="C136" i="2"/>
  <c r="E136" i="2" s="1"/>
  <c r="F135" i="2"/>
  <c r="D135" i="2"/>
  <c r="C135" i="2"/>
  <c r="F134" i="2"/>
  <c r="D134" i="2"/>
  <c r="C134" i="2"/>
  <c r="F133" i="2"/>
  <c r="D133" i="2"/>
  <c r="C133" i="2"/>
  <c r="F132" i="2"/>
  <c r="D132" i="2"/>
  <c r="C132" i="2"/>
  <c r="E132" i="2" s="1"/>
  <c r="F131" i="2"/>
  <c r="D131" i="2"/>
  <c r="C131" i="2"/>
  <c r="F130" i="2"/>
  <c r="D130" i="2"/>
  <c r="C130" i="2"/>
  <c r="F129" i="2"/>
  <c r="D129" i="2"/>
  <c r="C129" i="2"/>
  <c r="F128" i="2"/>
  <c r="D128" i="2"/>
  <c r="C128" i="2"/>
  <c r="F125" i="2"/>
  <c r="D125" i="2"/>
  <c r="C125" i="2"/>
  <c r="F124" i="2"/>
  <c r="D124" i="2"/>
  <c r="C124" i="2"/>
  <c r="F123" i="2"/>
  <c r="D123" i="2"/>
  <c r="C123" i="2"/>
  <c r="F122" i="2"/>
  <c r="D122" i="2"/>
  <c r="C122" i="2"/>
  <c r="F119" i="2"/>
  <c r="D119" i="2"/>
  <c r="C119" i="2"/>
  <c r="F118" i="2"/>
  <c r="D118" i="2"/>
  <c r="C118" i="2"/>
  <c r="E118" i="2" s="1"/>
  <c r="F117" i="2"/>
  <c r="D117" i="2"/>
  <c r="C117" i="2"/>
  <c r="E117" i="2" s="1"/>
  <c r="F116" i="2"/>
  <c r="D116" i="2"/>
  <c r="C116" i="2"/>
  <c r="F115" i="2"/>
  <c r="D115" i="2"/>
  <c r="C115" i="2"/>
  <c r="E115" i="2" s="1"/>
  <c r="F114" i="2"/>
  <c r="D114" i="2"/>
  <c r="C114" i="2"/>
  <c r="E114" i="2" s="1"/>
  <c r="F113" i="2"/>
  <c r="D113" i="2"/>
  <c r="C113" i="2"/>
  <c r="F112" i="2"/>
  <c r="D112" i="2"/>
  <c r="C112" i="2"/>
  <c r="E112" i="2" s="1"/>
  <c r="F111" i="2"/>
  <c r="D111" i="2"/>
  <c r="C111" i="2"/>
  <c r="E111" i="2" s="1"/>
  <c r="F110" i="2"/>
  <c r="D110" i="2"/>
  <c r="C110" i="2"/>
  <c r="F109" i="2"/>
  <c r="D109" i="2"/>
  <c r="C109" i="2"/>
  <c r="E109" i="2" s="1"/>
  <c r="F108" i="2"/>
  <c r="D108" i="2"/>
  <c r="C108" i="2"/>
  <c r="E108" i="2" s="1"/>
  <c r="F107" i="2"/>
  <c r="D107" i="2"/>
  <c r="C107" i="2"/>
  <c r="F106" i="2"/>
  <c r="D106" i="2"/>
  <c r="C106" i="2"/>
  <c r="E106" i="2" s="1"/>
  <c r="F76" i="2"/>
  <c r="D76" i="2"/>
  <c r="C76" i="2"/>
  <c r="F75" i="2"/>
  <c r="D75" i="2"/>
  <c r="C75" i="2"/>
  <c r="F74" i="2"/>
  <c r="D74" i="2"/>
  <c r="C74" i="2"/>
  <c r="F73" i="2"/>
  <c r="D73" i="2"/>
  <c r="C73" i="2"/>
  <c r="F72" i="2"/>
  <c r="D72" i="2"/>
  <c r="C72" i="2"/>
  <c r="F71" i="2"/>
  <c r="D71" i="2"/>
  <c r="C71" i="2"/>
  <c r="E71" i="2" s="1"/>
  <c r="F70" i="2"/>
  <c r="D70" i="2"/>
  <c r="C70" i="2"/>
  <c r="F69" i="2"/>
  <c r="D69" i="2"/>
  <c r="C69" i="2"/>
  <c r="E69" i="2" s="1"/>
  <c r="F68" i="2"/>
  <c r="D68" i="2"/>
  <c r="C68" i="2"/>
  <c r="E68" i="2" s="1"/>
  <c r="F67" i="2"/>
  <c r="D67" i="2"/>
  <c r="C67" i="2"/>
  <c r="F66" i="2"/>
  <c r="D66" i="2"/>
  <c r="C66" i="2"/>
  <c r="F65" i="2"/>
  <c r="D65" i="2"/>
  <c r="C65" i="2"/>
  <c r="F64" i="2"/>
  <c r="D64" i="2"/>
  <c r="C64" i="2"/>
  <c r="F55" i="2"/>
  <c r="D55" i="2"/>
  <c r="C55" i="2"/>
  <c r="F54" i="2"/>
  <c r="D54" i="2"/>
  <c r="C54" i="2"/>
  <c r="F51" i="2"/>
  <c r="D51" i="2"/>
  <c r="C51" i="2"/>
  <c r="E51" i="2" s="1"/>
  <c r="F50" i="2"/>
  <c r="D50" i="2"/>
  <c r="C50" i="2"/>
  <c r="E50" i="2" s="1"/>
  <c r="F49" i="2"/>
  <c r="D49" i="2"/>
  <c r="C49" i="2"/>
  <c r="E49" i="2" s="1"/>
  <c r="F48" i="2"/>
  <c r="D48" i="2"/>
  <c r="C48" i="2"/>
  <c r="E48" i="2" s="1"/>
  <c r="F47" i="2"/>
  <c r="D47" i="2"/>
  <c r="C47" i="2"/>
  <c r="E47" i="2" s="1"/>
  <c r="F46" i="2"/>
  <c r="D46" i="2"/>
  <c r="C46" i="2"/>
  <c r="E46" i="2" s="1"/>
  <c r="F45" i="2"/>
  <c r="D45" i="2"/>
  <c r="C45" i="2"/>
  <c r="E45" i="2" s="1"/>
  <c r="F44" i="2"/>
  <c r="D44" i="2"/>
  <c r="C44" i="2"/>
  <c r="E44" i="2" s="1"/>
  <c r="F41" i="2"/>
  <c r="D41" i="2"/>
  <c r="C41" i="2"/>
  <c r="F40" i="2"/>
  <c r="D40" i="2"/>
  <c r="C40" i="2"/>
  <c r="E40" i="2" s="1"/>
  <c r="F39" i="2"/>
  <c r="D39" i="2"/>
  <c r="C39" i="2"/>
  <c r="E39" i="2" s="1"/>
  <c r="F38" i="2"/>
  <c r="D38" i="2"/>
  <c r="C38" i="2"/>
  <c r="E38" i="2" s="1"/>
  <c r="F37" i="2"/>
  <c r="D37" i="2"/>
  <c r="C37" i="2"/>
  <c r="F36" i="2"/>
  <c r="D36" i="2"/>
  <c r="C36" i="2"/>
  <c r="E36" i="2" s="1"/>
  <c r="F35" i="2"/>
  <c r="D35" i="2"/>
  <c r="C35" i="2"/>
  <c r="F34" i="2"/>
  <c r="D34" i="2"/>
  <c r="C34" i="2"/>
  <c r="E34" i="2" s="1"/>
  <c r="F33" i="2"/>
  <c r="D33" i="2"/>
  <c r="C33" i="2"/>
  <c r="F32" i="2"/>
  <c r="D32" i="2"/>
  <c r="C32" i="2"/>
  <c r="F31" i="2"/>
  <c r="D31" i="2"/>
  <c r="C31" i="2"/>
  <c r="F30" i="2"/>
  <c r="D30" i="2"/>
  <c r="C30" i="2"/>
  <c r="F29" i="2"/>
  <c r="D29" i="2"/>
  <c r="C29" i="2"/>
  <c r="E29" i="2" s="1"/>
  <c r="N26" i="2"/>
  <c r="L26" i="2"/>
  <c r="K26" i="2"/>
  <c r="M26" i="2" s="1"/>
  <c r="F24" i="2"/>
  <c r="F25" i="2" s="1"/>
  <c r="D24" i="2"/>
  <c r="D25" i="2" s="1"/>
  <c r="C24" i="2"/>
  <c r="F21" i="2"/>
  <c r="D21" i="2"/>
  <c r="C21" i="2"/>
  <c r="F20" i="2"/>
  <c r="D20" i="2"/>
  <c r="C20" i="2"/>
  <c r="F15" i="2"/>
  <c r="D15" i="2"/>
  <c r="C15" i="2"/>
  <c r="E15" i="2" s="1"/>
  <c r="F14" i="2"/>
  <c r="D14" i="2"/>
  <c r="C14" i="2"/>
  <c r="E14" i="2" s="1"/>
  <c r="F12" i="2"/>
  <c r="D12" i="2"/>
  <c r="C12" i="2"/>
  <c r="E12" i="2" s="1"/>
  <c r="F11" i="2"/>
  <c r="D11" i="2"/>
  <c r="C11" i="2"/>
  <c r="E11" i="2" s="1"/>
  <c r="F10" i="2"/>
  <c r="D10" i="2"/>
  <c r="C10" i="2"/>
  <c r="E10" i="2" s="1"/>
  <c r="F9" i="2"/>
  <c r="D9" i="2"/>
  <c r="C9" i="2"/>
  <c r="E9" i="2" s="1"/>
  <c r="F8" i="2"/>
  <c r="D8" i="2"/>
  <c r="C8" i="2"/>
  <c r="E8" i="2" s="1"/>
  <c r="F7" i="2"/>
  <c r="D7" i="2"/>
  <c r="C7" i="2"/>
  <c r="E7" i="2" s="1"/>
  <c r="F6" i="2"/>
  <c r="D6" i="2"/>
  <c r="C6" i="2"/>
  <c r="E6" i="2" s="1"/>
  <c r="F5" i="2"/>
  <c r="D5" i="2"/>
  <c r="C5" i="2"/>
  <c r="E5" i="2" s="1"/>
  <c r="C1" i="2"/>
  <c r="A1" i="2"/>
  <c r="E20" i="2" l="1"/>
  <c r="E157" i="2"/>
  <c r="E21" i="2"/>
  <c r="E70" i="2"/>
  <c r="E107" i="2"/>
  <c r="E125" i="2"/>
  <c r="E135" i="2"/>
  <c r="E149" i="2"/>
  <c r="E32" i="2"/>
  <c r="E133" i="2"/>
  <c r="E159" i="2"/>
  <c r="E167" i="2"/>
  <c r="E37" i="2"/>
  <c r="E31" i="2"/>
  <c r="E65" i="2"/>
  <c r="E73" i="2"/>
  <c r="E147" i="2"/>
  <c r="E66" i="2"/>
  <c r="E119" i="2"/>
  <c r="E131" i="2"/>
  <c r="E145" i="2"/>
  <c r="E110" i="2"/>
  <c r="E175" i="2"/>
  <c r="F57" i="2"/>
  <c r="E24" i="2"/>
  <c r="E35" i="2"/>
  <c r="E55" i="2"/>
  <c r="D77" i="2"/>
  <c r="D83" i="2" s="1"/>
  <c r="E67" i="2"/>
  <c r="F150" i="2"/>
  <c r="D13" i="2"/>
  <c r="D16" i="2"/>
  <c r="C57" i="2"/>
  <c r="G29" i="2" s="1"/>
  <c r="E141" i="2"/>
  <c r="E177" i="2"/>
  <c r="D57" i="2"/>
  <c r="E144" i="2"/>
  <c r="F16" i="2"/>
  <c r="E76" i="2"/>
  <c r="E113" i="2"/>
  <c r="E123" i="2"/>
  <c r="E128" i="2"/>
  <c r="F13" i="2"/>
  <c r="F18" i="2" s="1"/>
  <c r="F52" i="2"/>
  <c r="D138" i="2"/>
  <c r="F42" i="2"/>
  <c r="C42" i="2"/>
  <c r="G28" i="2" s="1"/>
  <c r="D126" i="2"/>
  <c r="D127" i="2" s="1"/>
  <c r="D150" i="2"/>
  <c r="D180" i="2"/>
  <c r="D181" i="2" s="1"/>
  <c r="C187" i="2"/>
  <c r="E187" i="2" s="1"/>
  <c r="D22" i="2"/>
  <c r="E33" i="2"/>
  <c r="E41" i="2"/>
  <c r="F126" i="2"/>
  <c r="F127" i="2" s="1"/>
  <c r="E124" i="2"/>
  <c r="E140" i="2"/>
  <c r="E148" i="2"/>
  <c r="F180" i="2"/>
  <c r="F181" i="2" s="1"/>
  <c r="E176" i="2"/>
  <c r="F77" i="2"/>
  <c r="F83" i="2" s="1"/>
  <c r="D42" i="2"/>
  <c r="D52" i="2"/>
  <c r="F22" i="2"/>
  <c r="F27" i="2" s="1"/>
  <c r="E64" i="2"/>
  <c r="E72" i="2"/>
  <c r="E129" i="2"/>
  <c r="E143" i="2"/>
  <c r="E171" i="2"/>
  <c r="E179" i="2"/>
  <c r="C52" i="2"/>
  <c r="E52" i="2" s="1"/>
  <c r="C77" i="2"/>
  <c r="C83" i="2" s="1"/>
  <c r="C13" i="2"/>
  <c r="C22" i="2"/>
  <c r="C25" i="2"/>
  <c r="E25" i="2" s="1"/>
  <c r="C180" i="2"/>
  <c r="C181" i="2" s="1"/>
  <c r="E30" i="2"/>
  <c r="E54" i="2"/>
  <c r="E75" i="2"/>
  <c r="C16" i="2"/>
  <c r="E16" i="2" s="1"/>
  <c r="E74" i="2"/>
  <c r="E116" i="2"/>
  <c r="E122" i="2"/>
  <c r="C126" i="2"/>
  <c r="C127" i="2" s="1"/>
  <c r="F138" i="2"/>
  <c r="E130" i="2"/>
  <c r="E134" i="2"/>
  <c r="C138" i="2"/>
  <c r="E142" i="2"/>
  <c r="E146" i="2"/>
  <c r="C150" i="2"/>
  <c r="E162" i="2"/>
  <c r="E166" i="2"/>
  <c r="E170" i="2"/>
  <c r="E174" i="2"/>
  <c r="E178" i="2"/>
  <c r="D60" i="2" l="1"/>
  <c r="E150" i="2"/>
  <c r="E22" i="2"/>
  <c r="E57" i="2"/>
  <c r="E83" i="2"/>
  <c r="E180" i="2"/>
  <c r="E42" i="2"/>
  <c r="D27" i="2"/>
  <c r="D18" i="2"/>
  <c r="F60" i="2"/>
  <c r="F85" i="2" s="1"/>
  <c r="F151" i="2"/>
  <c r="F182" i="2" s="1"/>
  <c r="D151" i="2"/>
  <c r="D182" i="2" s="1"/>
  <c r="D61" i="2"/>
  <c r="C27" i="2"/>
  <c r="G27" i="2" s="1"/>
  <c r="E126" i="2"/>
  <c r="C60" i="2"/>
  <c r="C61" i="2" s="1"/>
  <c r="E138" i="2"/>
  <c r="E13" i="2"/>
  <c r="C18" i="2"/>
  <c r="E18" i="2" s="1"/>
  <c r="E77" i="2"/>
  <c r="C151" i="2"/>
  <c r="C182" i="2" s="1"/>
  <c r="E181" i="2"/>
  <c r="E127" i="2"/>
  <c r="F61" i="2" l="1"/>
  <c r="D85" i="2"/>
  <c r="E61" i="2"/>
  <c r="E27" i="2"/>
  <c r="C85" i="2"/>
  <c r="E60" i="2"/>
  <c r="E182" i="2"/>
  <c r="E151" i="2"/>
  <c r="E85" i="2" l="1"/>
</calcChain>
</file>

<file path=xl/comments1.xml><?xml version="1.0" encoding="utf-8"?>
<comments xmlns="http://schemas.openxmlformats.org/spreadsheetml/2006/main">
  <authors>
    <author>brissons</author>
    <author>rousselj</author>
  </authors>
  <commentList>
    <comment ref="J66" authorId="0" shapeId="0">
      <text>
        <r>
          <rPr>
            <b/>
            <sz val="9"/>
            <color indexed="81"/>
            <rFont val="Tahoma"/>
            <family val="2"/>
          </rPr>
          <t>brissons:</t>
        </r>
        <r>
          <rPr>
            <sz val="9"/>
            <color indexed="81"/>
            <rFont val="Tahoma"/>
            <family val="2"/>
          </rPr>
          <t xml:space="preserve">
correspond a coat wip 1 ds report wip</t>
        </r>
      </text>
    </comment>
    <comment ref="L66" authorId="1" shapeId="0">
      <text>
        <r>
          <rPr>
            <b/>
            <sz val="9"/>
            <color indexed="81"/>
            <rFont val="Tahoma"/>
            <family val="2"/>
          </rPr>
          <t>rousselj:</t>
        </r>
        <r>
          <rPr>
            <sz val="9"/>
            <color indexed="81"/>
            <rFont val="Tahoma"/>
            <family val="2"/>
          </rPr>
          <t xml:space="preserve">
to be excluded in report (SB)</t>
        </r>
      </text>
    </comment>
    <comment ref="M66" authorId="1" shapeId="0">
      <text>
        <r>
          <rPr>
            <b/>
            <sz val="9"/>
            <color indexed="81"/>
            <rFont val="Tahoma"/>
            <family val="2"/>
          </rPr>
          <t>rousselj:</t>
        </r>
        <r>
          <rPr>
            <sz val="9"/>
            <color indexed="81"/>
            <rFont val="Tahoma"/>
            <family val="2"/>
          </rPr>
          <t xml:space="preserve">
to be included in WIP qty</t>
        </r>
      </text>
    </comment>
    <comment ref="N66" authorId="1" shapeId="0">
      <text>
        <r>
          <rPr>
            <b/>
            <sz val="9"/>
            <color indexed="81"/>
            <rFont val="Tahoma"/>
            <family val="2"/>
          </rPr>
          <t>rousselj:</t>
        </r>
        <r>
          <rPr>
            <sz val="9"/>
            <color indexed="81"/>
            <rFont val="Tahoma"/>
            <family val="2"/>
          </rPr>
          <t xml:space="preserve">
includes Good qty + manual adj des qty stock verres</t>
        </r>
      </text>
    </comment>
    <comment ref="L67" authorId="1" shapeId="0">
      <text>
        <r>
          <rPr>
            <b/>
            <sz val="9"/>
            <color indexed="81"/>
            <rFont val="Tahoma"/>
            <family val="2"/>
          </rPr>
          <t>rousselj:</t>
        </r>
        <r>
          <rPr>
            <sz val="9"/>
            <color indexed="81"/>
            <rFont val="Tahoma"/>
            <family val="2"/>
          </rPr>
          <t xml:space="preserve">
to be excluded in report (SB)</t>
        </r>
      </text>
    </comment>
    <comment ref="M67" authorId="1" shapeId="0">
      <text>
        <r>
          <rPr>
            <b/>
            <sz val="9"/>
            <color indexed="81"/>
            <rFont val="Tahoma"/>
            <family val="2"/>
          </rPr>
          <t>rousselj:</t>
        </r>
        <r>
          <rPr>
            <sz val="9"/>
            <color indexed="81"/>
            <rFont val="Tahoma"/>
            <family val="2"/>
          </rPr>
          <t xml:space="preserve">
to be included in WIP qty</t>
        </r>
      </text>
    </comment>
    <comment ref="N67" authorId="1" shapeId="0">
      <text>
        <r>
          <rPr>
            <b/>
            <sz val="9"/>
            <color indexed="81"/>
            <rFont val="Tahoma"/>
            <family val="2"/>
          </rPr>
          <t>rousselj:</t>
        </r>
        <r>
          <rPr>
            <sz val="9"/>
            <color indexed="81"/>
            <rFont val="Tahoma"/>
            <family val="2"/>
          </rPr>
          <t xml:space="preserve">
includes Good qty + manual adj des qty stock verres</t>
        </r>
      </text>
    </comment>
    <comment ref="L68" authorId="1" shapeId="0">
      <text>
        <r>
          <rPr>
            <b/>
            <sz val="9"/>
            <color indexed="81"/>
            <rFont val="Tahoma"/>
            <family val="2"/>
          </rPr>
          <t>rousselj:</t>
        </r>
        <r>
          <rPr>
            <sz val="9"/>
            <color indexed="81"/>
            <rFont val="Tahoma"/>
            <family val="2"/>
          </rPr>
          <t xml:space="preserve">
to be excluded in report (SB)</t>
        </r>
      </text>
    </comment>
    <comment ref="M68" authorId="1" shapeId="0">
      <text>
        <r>
          <rPr>
            <b/>
            <sz val="9"/>
            <color indexed="81"/>
            <rFont val="Tahoma"/>
            <family val="2"/>
          </rPr>
          <t>rousselj:</t>
        </r>
        <r>
          <rPr>
            <sz val="9"/>
            <color indexed="81"/>
            <rFont val="Tahoma"/>
            <family val="2"/>
          </rPr>
          <t xml:space="preserve">
to be included in WIP qty</t>
        </r>
      </text>
    </comment>
    <comment ref="N68" authorId="1" shapeId="0">
      <text>
        <r>
          <rPr>
            <b/>
            <sz val="9"/>
            <color indexed="81"/>
            <rFont val="Tahoma"/>
            <family val="2"/>
          </rPr>
          <t>rousselj:</t>
        </r>
        <r>
          <rPr>
            <sz val="9"/>
            <color indexed="81"/>
            <rFont val="Tahoma"/>
            <family val="2"/>
          </rPr>
          <t xml:space="preserve">
includes Good qty + manual adj des qty stock verres</t>
        </r>
      </text>
    </comment>
    <comment ref="O68" authorId="1" shapeId="0">
      <text>
        <r>
          <rPr>
            <b/>
            <sz val="9"/>
            <color indexed="81"/>
            <rFont val="Tahoma"/>
            <family val="2"/>
          </rPr>
          <t>rousselj:</t>
        </r>
        <r>
          <rPr>
            <sz val="9"/>
            <color indexed="81"/>
            <rFont val="Tahoma"/>
            <family val="2"/>
          </rPr>
          <t xml:space="preserve">
includes Good qty + manual adj des qty stock verres</t>
        </r>
      </text>
    </comment>
    <comment ref="O69" authorId="0" shapeId="0">
      <text>
        <r>
          <rPr>
            <b/>
            <sz val="9"/>
            <color indexed="81"/>
            <rFont val="Tahoma"/>
            <family val="2"/>
          </rPr>
          <t>brissons:</t>
        </r>
        <r>
          <rPr>
            <sz val="9"/>
            <color indexed="81"/>
            <rFont val="Tahoma"/>
            <family val="2"/>
          </rPr>
          <t xml:space="preserve">
retirer 61 sur Sept car pas d'expedies(LR) a remettre en octobre?
</t>
        </r>
      </text>
    </comment>
    <comment ref="L71" authorId="1" shapeId="0">
      <text>
        <r>
          <rPr>
            <b/>
            <sz val="9"/>
            <color indexed="81"/>
            <rFont val="Tahoma"/>
            <family val="2"/>
          </rPr>
          <t>rousselj:</t>
        </r>
        <r>
          <rPr>
            <sz val="9"/>
            <color indexed="81"/>
            <rFont val="Tahoma"/>
            <family val="2"/>
          </rPr>
          <t xml:space="preserve">
to be excluded in report (SB)</t>
        </r>
      </text>
    </comment>
    <comment ref="M71" authorId="1" shapeId="0">
      <text>
        <r>
          <rPr>
            <b/>
            <sz val="9"/>
            <color indexed="81"/>
            <rFont val="Tahoma"/>
            <family val="2"/>
          </rPr>
          <t>rousselj:</t>
        </r>
        <r>
          <rPr>
            <sz val="9"/>
            <color indexed="81"/>
            <rFont val="Tahoma"/>
            <family val="2"/>
          </rPr>
          <t xml:space="preserve">
to be included in WIP qty</t>
        </r>
      </text>
    </comment>
    <comment ref="N71" authorId="1" shapeId="0">
      <text>
        <r>
          <rPr>
            <b/>
            <sz val="9"/>
            <color indexed="81"/>
            <rFont val="Tahoma"/>
            <family val="2"/>
          </rPr>
          <t>rousselj:</t>
        </r>
        <r>
          <rPr>
            <sz val="9"/>
            <color indexed="81"/>
            <rFont val="Tahoma"/>
            <family val="2"/>
          </rPr>
          <t xml:space="preserve">
includes Good qty + manual adj des qty stock verres</t>
        </r>
      </text>
    </comment>
    <comment ref="O71" authorId="1" shapeId="0">
      <text>
        <r>
          <rPr>
            <b/>
            <sz val="9"/>
            <color indexed="81"/>
            <rFont val="Tahoma"/>
            <family val="2"/>
          </rPr>
          <t>rousselj:</t>
        </r>
        <r>
          <rPr>
            <sz val="9"/>
            <color indexed="81"/>
            <rFont val="Tahoma"/>
            <family val="2"/>
          </rPr>
          <t xml:space="preserve">
includes Good qty + manual adj des qty stock verres</t>
        </r>
      </text>
    </comment>
    <comment ref="L77" authorId="1" shapeId="0">
      <text>
        <r>
          <rPr>
            <b/>
            <sz val="9"/>
            <color indexed="81"/>
            <rFont val="Tahoma"/>
            <family val="2"/>
          </rPr>
          <t>rousselj:</t>
        </r>
        <r>
          <rPr>
            <sz val="9"/>
            <color indexed="81"/>
            <rFont val="Tahoma"/>
            <family val="2"/>
          </rPr>
          <t xml:space="preserve">
to be excluded in report SB</t>
        </r>
      </text>
    </comment>
    <comment ref="M77" authorId="1" shapeId="0">
      <text>
        <r>
          <rPr>
            <b/>
            <sz val="9"/>
            <color indexed="81"/>
            <rFont val="Tahoma"/>
            <family val="2"/>
          </rPr>
          <t>rousselj:</t>
        </r>
        <r>
          <rPr>
            <sz val="9"/>
            <color indexed="81"/>
            <rFont val="Tahoma"/>
            <family val="2"/>
          </rPr>
          <t xml:space="preserve">
to be included in WIP Qty (SB)</t>
        </r>
      </text>
    </comment>
    <comment ref="N77" authorId="1" shapeId="0">
      <text>
        <r>
          <rPr>
            <b/>
            <sz val="9"/>
            <color indexed="81"/>
            <rFont val="Tahoma"/>
            <family val="2"/>
          </rPr>
          <t>rousselj:</t>
        </r>
        <r>
          <rPr>
            <sz val="9"/>
            <color indexed="81"/>
            <rFont val="Tahoma"/>
            <family val="2"/>
          </rPr>
          <t xml:space="preserve">
includes good qty + manual adj qty St Verres</t>
        </r>
      </text>
    </comment>
    <comment ref="O77" authorId="1" shapeId="0">
      <text>
        <r>
          <rPr>
            <b/>
            <sz val="9"/>
            <color indexed="81"/>
            <rFont val="Tahoma"/>
            <family val="2"/>
          </rPr>
          <t>rousselj:</t>
        </r>
        <r>
          <rPr>
            <sz val="9"/>
            <color indexed="81"/>
            <rFont val="Tahoma"/>
            <family val="2"/>
          </rPr>
          <t xml:space="preserve">
includes good qty + manual adj qty St Verres</t>
        </r>
      </text>
    </comment>
  </commentList>
</comments>
</file>

<file path=xl/comments2.xml><?xml version="1.0" encoding="utf-8"?>
<comments xmlns="http://schemas.openxmlformats.org/spreadsheetml/2006/main">
  <authors>
    <author>brissons</author>
  </authors>
  <commentList>
    <comment ref="G1" authorId="0" shapeId="0">
      <text>
        <r>
          <rPr>
            <b/>
            <sz val="9"/>
            <color indexed="81"/>
            <rFont val="Tahoma"/>
            <family val="2"/>
          </rPr>
          <t>brissons:</t>
        </r>
        <r>
          <rPr>
            <sz val="9"/>
            <color indexed="81"/>
            <rFont val="Tahoma"/>
            <family val="2"/>
          </rPr>
          <t xml:space="preserve">
ANCIEN LANCES</t>
        </r>
      </text>
    </comment>
  </commentList>
</comments>
</file>

<file path=xl/comments3.xml><?xml version="1.0" encoding="utf-8"?>
<comments xmlns="http://schemas.openxmlformats.org/spreadsheetml/2006/main">
  <authors>
    <author>brissons</author>
  </authors>
  <commentList>
    <comment ref="D20" authorId="0" shapeId="0">
      <text>
        <r>
          <rPr>
            <b/>
            <sz val="9"/>
            <color indexed="81"/>
            <rFont val="Tahoma"/>
            <family val="2"/>
          </rPr>
          <t>brissons
91795 vers US en Oct-21</t>
        </r>
      </text>
    </comment>
    <comment ref="D24" authorId="0" shapeId="0">
      <text>
        <r>
          <rPr>
            <b/>
            <sz val="9"/>
            <color indexed="81"/>
            <rFont val="Tahoma"/>
            <family val="2"/>
          </rPr>
          <t>brissons: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brissons</author>
  </authors>
  <commentList>
    <comment ref="V2" authorId="0" shapeId="0">
      <text>
        <r>
          <rPr>
            <b/>
            <sz val="9"/>
            <color indexed="81"/>
            <rFont val="Tahoma"/>
            <family val="2"/>
          </rPr>
          <t>brissons:</t>
        </r>
        <r>
          <rPr>
            <sz val="9"/>
            <color indexed="81"/>
            <rFont val="Tahoma"/>
            <family val="2"/>
          </rPr>
          <t xml:space="preserve">
ANCIEN LANCES</t>
        </r>
      </text>
    </comment>
  </commentList>
</comments>
</file>

<file path=xl/sharedStrings.xml><?xml version="1.0" encoding="utf-8"?>
<sst xmlns="http://schemas.openxmlformats.org/spreadsheetml/2006/main" count="2674" uniqueCount="435">
  <si>
    <t>RPL Family</t>
  </si>
  <si>
    <t>Family Description</t>
  </si>
  <si>
    <t>Index</t>
  </si>
  <si>
    <t>VA</t>
  </si>
  <si>
    <t>Design</t>
  </si>
  <si>
    <t>Launched Qty</t>
  </si>
  <si>
    <t>Good Qty</t>
  </si>
  <si>
    <t>Yield (%)</t>
  </si>
  <si>
    <t>Shipment (Stock Lens)</t>
  </si>
  <si>
    <t>WIP Production</t>
  </si>
  <si>
    <t xml:space="preserve">Wip Stock </t>
  </si>
  <si>
    <t>3518100650675EF</t>
  </si>
  <si>
    <t>CRIZAL FORTE UV35</t>
  </si>
  <si>
    <t>1.6</t>
  </si>
  <si>
    <t>HMC</t>
  </si>
  <si>
    <t>FSV</t>
  </si>
  <si>
    <t>3518100650719EF</t>
  </si>
  <si>
    <t>SAPPHIR LAGOON</t>
  </si>
  <si>
    <t>352410075000000</t>
  </si>
  <si>
    <t>SPH NU</t>
  </si>
  <si>
    <t>3518100750719EF</t>
  </si>
  <si>
    <t>356110075000000</t>
  </si>
  <si>
    <t>1.67</t>
  </si>
  <si>
    <t>3524100650237EF</t>
  </si>
  <si>
    <t>CRIZAL ALIZE</t>
  </si>
  <si>
    <t>3524100650640EF</t>
  </si>
  <si>
    <t>3524100650675EF</t>
  </si>
  <si>
    <t>3524100650676EF</t>
  </si>
  <si>
    <t>CRIZAL PREVENCIA UV35</t>
  </si>
  <si>
    <t>3524100650719EF</t>
  </si>
  <si>
    <t>3524100650876EF</t>
  </si>
  <si>
    <t>FSV SAPPHIRE HR BLUE 65 OFG</t>
  </si>
  <si>
    <t>UNC</t>
  </si>
  <si>
    <t>PC</t>
  </si>
  <si>
    <t>3524100750237EF</t>
  </si>
  <si>
    <t>3524100750640EF</t>
  </si>
  <si>
    <t>3524100750675EF</t>
  </si>
  <si>
    <t>3524100750676EF</t>
  </si>
  <si>
    <t>Magic Leap</t>
  </si>
  <si>
    <t>3524100750719EF</t>
  </si>
  <si>
    <t>3524100750876EF</t>
  </si>
  <si>
    <t>3524100750A2EB1</t>
  </si>
  <si>
    <t>NEVA MAX MC5</t>
  </si>
  <si>
    <t>3524942650667EF</t>
  </si>
  <si>
    <t>3524942750876EF</t>
  </si>
  <si>
    <t>3547100550314J1</t>
  </si>
  <si>
    <t>FSV PC 55 NTPC</t>
  </si>
  <si>
    <t>Poly</t>
  </si>
  <si>
    <t>HC</t>
  </si>
  <si>
    <t>3547100550676EF</t>
  </si>
  <si>
    <t>FSV KIDS 55 OFG</t>
  </si>
  <si>
    <t>3547100600314J1</t>
  </si>
  <si>
    <t>FSV PC 60 NTPC</t>
  </si>
  <si>
    <t>3547100600676EF</t>
  </si>
  <si>
    <t>FSV KIDS 60 OFG</t>
  </si>
  <si>
    <t>3T24100650667EF</t>
  </si>
  <si>
    <t>3547100650237EF</t>
  </si>
  <si>
    <t>FSV SPHPC CZ AL+UV EU 65 OFG</t>
  </si>
  <si>
    <t>3T24100750667EF</t>
  </si>
  <si>
    <t>354710065031400</t>
  </si>
  <si>
    <t>FSV SPH POLY NTPC D65</t>
  </si>
  <si>
    <t>3T24100650719EF</t>
  </si>
  <si>
    <t>354710065060NEF</t>
  </si>
  <si>
    <t>FSV ROCK GREEN 65 OFG</t>
  </si>
  <si>
    <t>3T24100750719EF</t>
  </si>
  <si>
    <t>3547100650675EF</t>
  </si>
  <si>
    <t>FSV SPH PC CZ D65 FORTE UV35</t>
  </si>
  <si>
    <t>3T24100650A2EB1</t>
  </si>
  <si>
    <t>3547100650676EF</t>
  </si>
  <si>
    <t>FSV KIDS 65 OFG</t>
  </si>
  <si>
    <t>3T24100750A2EB1</t>
  </si>
  <si>
    <t>3547100650770EF</t>
  </si>
  <si>
    <t>SAPPHIR LAGOON D65</t>
  </si>
  <si>
    <t>3T24100650A2EK1</t>
  </si>
  <si>
    <t>354710065087NEF</t>
  </si>
  <si>
    <t>3T24100750A2EK1</t>
  </si>
  <si>
    <t>3547100700237EF</t>
  </si>
  <si>
    <t>FSV SPH PC CZ AL+UV EU 70 OFG</t>
  </si>
  <si>
    <t>3T2410065071900</t>
  </si>
  <si>
    <t>354710070031401</t>
  </si>
  <si>
    <t>FSV SPH PC 70 HC NTPC EP</t>
  </si>
  <si>
    <t>3T2410075071900</t>
  </si>
  <si>
    <t>354710070060NEF</t>
  </si>
  <si>
    <t>FSV ROCK GREEN 70 OFG</t>
  </si>
  <si>
    <t>3547100700675EF</t>
  </si>
  <si>
    <t>FSV SPH PC CZ D70 FORTE UV35</t>
  </si>
  <si>
    <t>3547100700770EF</t>
  </si>
  <si>
    <t>SAPPHIR LAGOON D70</t>
  </si>
  <si>
    <t>3555100650719EF</t>
  </si>
  <si>
    <t>3555100750719EF</t>
  </si>
  <si>
    <t>3555100800719EF</t>
  </si>
  <si>
    <t>3561100650237EF</t>
  </si>
  <si>
    <t>3561100650640EF</t>
  </si>
  <si>
    <t>3561100650675EF</t>
  </si>
  <si>
    <t>3561100650719EF</t>
  </si>
  <si>
    <t>3561100650876EF</t>
  </si>
  <si>
    <t>3561100700237EF</t>
  </si>
  <si>
    <t>3561100700640EF</t>
  </si>
  <si>
    <t>3561100700675EF</t>
  </si>
  <si>
    <t>3561100700719EF</t>
  </si>
  <si>
    <t>3561100700876EF</t>
  </si>
  <si>
    <t>3561100750237EF</t>
  </si>
  <si>
    <t>3561100750640EF</t>
  </si>
  <si>
    <t>3561100750675EF</t>
  </si>
  <si>
    <t>3561100750719EF</t>
  </si>
  <si>
    <t>3561100750876EF</t>
  </si>
  <si>
    <t>CRIZAL ALIZE BCT</t>
  </si>
  <si>
    <t>SAPPHIRE BCT EOLP</t>
  </si>
  <si>
    <t>SAPPHIR LAGOON BCT</t>
  </si>
  <si>
    <t>MC5 BCT EOLP</t>
  </si>
  <si>
    <t>MC5 BCT-NIKON</t>
  </si>
  <si>
    <t>531510080231400</t>
  </si>
  <si>
    <t>SF EVOLIS PC 80 NTPC</t>
  </si>
  <si>
    <t>SFPAL</t>
  </si>
  <si>
    <t>547410081200000</t>
  </si>
  <si>
    <t>SF GX PC 80 UNCOAT</t>
  </si>
  <si>
    <t>547410081231401</t>
  </si>
  <si>
    <t>SF GX PC 80 NTPC</t>
  </si>
  <si>
    <t>548410081200000</t>
  </si>
  <si>
    <t>SF ROCKY PC 80 UNCOAT</t>
  </si>
  <si>
    <t>548410081231400</t>
  </si>
  <si>
    <t>SF ROCKY PC 80 NTPC</t>
  </si>
  <si>
    <t>554410076000000</t>
  </si>
  <si>
    <t>SFSV ASPH PC 76 UNCOAT</t>
  </si>
  <si>
    <t>SFSV</t>
  </si>
  <si>
    <t>554410076031400</t>
  </si>
  <si>
    <t>SFSV ASPH PC 76 NTPC AIRWEAR</t>
  </si>
  <si>
    <t>554710076000000</t>
  </si>
  <si>
    <t>SFSV SPH PC 76 UNCOAT</t>
  </si>
  <si>
    <t>554710076031400</t>
  </si>
  <si>
    <t>SFSV SPH PC 76 NTPC AIRWEAR</t>
  </si>
  <si>
    <t>5673100802314B1</t>
  </si>
  <si>
    <t>SF SNL6 PC 80 NTPC</t>
  </si>
  <si>
    <t>580410080231400</t>
  </si>
  <si>
    <t>SF CONDE PC 80 NTPC</t>
  </si>
  <si>
    <t>580910080231400</t>
  </si>
  <si>
    <t>SF OVATION PC 80 NTPC</t>
  </si>
  <si>
    <t>verres tests</t>
  </si>
  <si>
    <t>CLEAR</t>
  </si>
  <si>
    <t>BCT</t>
  </si>
  <si>
    <t>TITANIUM</t>
  </si>
  <si>
    <t>BCT NEX GEN</t>
  </si>
  <si>
    <t>FSV SAPPHIRE HR BLUE 65 OFG TITANIUM</t>
  </si>
  <si>
    <t>FSV SAPPHIRE HR BLUE 75 OFG TITANIUM</t>
  </si>
  <si>
    <t>TITANIUM OXA BCT</t>
  </si>
  <si>
    <t>ROCK GREEN TITANIUM</t>
  </si>
  <si>
    <t>FSV SAPPHIRE HR BLUE 70 OFG TITANIUM</t>
  </si>
  <si>
    <t>1.6 BCT NG</t>
  </si>
  <si>
    <t>CLEINT</t>
  </si>
  <si>
    <t>CHALON</t>
  </si>
  <si>
    <t>ARRET PROD</t>
  </si>
  <si>
    <t>EOLP</t>
  </si>
  <si>
    <t>NIKON</t>
  </si>
  <si>
    <t>1.6 BCT OXA</t>
  </si>
  <si>
    <t>ESSILOR /PROVINS</t>
  </si>
  <si>
    <t>DEMANDER A DAMIEN si en SFPC il faut differencier les verres provins BBGR</t>
  </si>
  <si>
    <t>PROVINS bbgr</t>
  </si>
  <si>
    <t>US</t>
  </si>
  <si>
    <t>ESSILOR PROVINS/US</t>
  </si>
  <si>
    <t>SV UNC</t>
  </si>
  <si>
    <t>UNCOAT TS DESTINATAIRE</t>
  </si>
  <si>
    <t>SFPC</t>
  </si>
  <si>
    <t>FPC</t>
  </si>
  <si>
    <t>push flow colombus</t>
  </si>
  <si>
    <t>Accounting Items</t>
  </si>
  <si>
    <t>Launched</t>
  </si>
  <si>
    <t>Good</t>
  </si>
  <si>
    <t>WIP</t>
  </si>
  <si>
    <t>Quantity</t>
  </si>
  <si>
    <t>ZSZ5547100760195C02U</t>
  </si>
  <si>
    <t>SFAR SPH PC 76 NTPC MC3</t>
  </si>
  <si>
    <t>ZSZ5544100760195C02U</t>
  </si>
  <si>
    <t>SFAR ASPH PC 76 NTPC MC3</t>
  </si>
  <si>
    <t>ZSZ5809100802195C02U</t>
  </si>
  <si>
    <t>SFAR EVOLIS PC 80 NTPC MC3</t>
  </si>
  <si>
    <t>ZSZ5809OVA801950C02U</t>
  </si>
  <si>
    <t>SFAR OVATION PC 80 NTPC MC3</t>
  </si>
  <si>
    <t>ZSZ5857100802195C02U</t>
  </si>
  <si>
    <t>SFAR CFT PC 80 NTPC MC3</t>
  </si>
  <si>
    <t>ZSZ5804SFAR80195C02U</t>
  </si>
  <si>
    <t>SF AR PHYSIO PC 80 NTPC MC3</t>
  </si>
  <si>
    <t>ZSZ5673100802195C02U</t>
  </si>
  <si>
    <t>SF AR SNL6 PC 80 NTPC MC3</t>
  </si>
  <si>
    <t>ZSZ5G2PAR0802195C02U</t>
  </si>
  <si>
    <t>SF AR LIBERTE PC 80 ME1 MC3</t>
  </si>
  <si>
    <t>TOTAL SFAR</t>
  </si>
  <si>
    <t>Flux lavé SFAR liberte TRS PC 80MC3</t>
  </si>
  <si>
    <t>ZSZ5809SFAR80TRSC02U</t>
  </si>
  <si>
    <t>SFAR EVOLIS PC 80 NTPC MC3 TRS</t>
  </si>
  <si>
    <t>TOTAL SFAR FLUX LAVE</t>
  </si>
  <si>
    <t>TOTAL ACTIVITE FSV</t>
  </si>
  <si>
    <t>ZSZ5547100760314C02U</t>
  </si>
  <si>
    <t>SFSV SPH PC 76 NTPC AIRWEAR EOA</t>
  </si>
  <si>
    <t>SFSV SPH PC 76 NTPC AIRWEAR PROVINS</t>
  </si>
  <si>
    <t>ZSZ5544100760314C02U</t>
  </si>
  <si>
    <t>S/TOTAL SFSV NTPC</t>
  </si>
  <si>
    <t>Attention : cumul des 2 RPL : 554410076000000 + 554710076000000</t>
  </si>
  <si>
    <t>Copier les lignes 24 et 25 onglet RPL Ref</t>
  </si>
  <si>
    <t>comet</t>
  </si>
  <si>
    <t>5544100760000</t>
  </si>
  <si>
    <t>SFSV UNCOAT US</t>
  </si>
  <si>
    <t>sfpc sv UN</t>
  </si>
  <si>
    <t>Detail SV UN :</t>
  </si>
  <si>
    <t>ZSZ5544100760000C02U</t>
  </si>
  <si>
    <t>SFSV ASPH PC 76 Uncoat</t>
  </si>
  <si>
    <t>S/TOTAL SFSV Uncoat</t>
  </si>
  <si>
    <t>UN</t>
  </si>
  <si>
    <t>ZSZ5547100760000C02U</t>
  </si>
  <si>
    <t>S/TOTAL SFSV Un</t>
  </si>
  <si>
    <t>TOTAL SF UNIF</t>
  </si>
  <si>
    <t xml:space="preserve">Attention formule modifiée </t>
  </si>
  <si>
    <t>ZSZ5185100802314B04U</t>
  </si>
  <si>
    <t>SF ULYS PC 80 NTPC</t>
  </si>
  <si>
    <t>²</t>
  </si>
  <si>
    <t>ZSZ5315100802314C02U</t>
  </si>
  <si>
    <t>ZSZ5484100812314C02U</t>
  </si>
  <si>
    <t>ZSZ5566700802314C02U</t>
  </si>
  <si>
    <t>SFSELECTIVE PC 80 NTPC</t>
  </si>
  <si>
    <t>ZSZ5809OVA803140C02U</t>
  </si>
  <si>
    <t>ZSZ5857100802314C02U</t>
  </si>
  <si>
    <t>SF CFT PC 80 NTPC</t>
  </si>
  <si>
    <t>ZSZ5804100802314B02U</t>
  </si>
  <si>
    <t>ZSZ5G2P100802314C02U</t>
  </si>
  <si>
    <t>SF GPL PC 80 NTPC</t>
  </si>
  <si>
    <t>ZSZ5673100802314B02U</t>
  </si>
  <si>
    <t>SF SNL6 PC80 NTPC</t>
  </si>
  <si>
    <t>ZSZ5H1P100802314C02U</t>
  </si>
  <si>
    <t>SF HD01 PC 80 NTPC</t>
  </si>
  <si>
    <t>ZSZ5J2P100762314C02U</t>
  </si>
  <si>
    <t>SF PAL KID PC 76 NTPC</t>
  </si>
  <si>
    <t>ZSZ5G2PME1802314C02U</t>
  </si>
  <si>
    <t>SF LIBERTE PC 80 ME1 NTPC</t>
  </si>
  <si>
    <t>ZSZ5474100812314C02U</t>
  </si>
  <si>
    <t>S/TOTAL PAL NTPC</t>
  </si>
  <si>
    <t>ZSZ5185100802PDQB04U</t>
  </si>
  <si>
    <t>SF ULYS PC 80 PDQ SUB TRS</t>
  </si>
  <si>
    <t>ZSZ5484100812PDQC02U</t>
  </si>
  <si>
    <t>SF ROCKY PC 80 PDQ SUB TRS</t>
  </si>
  <si>
    <t>ZSZ5809TRS802PDQC02U</t>
  </si>
  <si>
    <t>SF OVA PC 80 PDQ SUB TRS</t>
  </si>
  <si>
    <t>ZSZ5857TRS802PDQC02U</t>
  </si>
  <si>
    <t>SF CFT PC 80 PDQ TRS</t>
  </si>
  <si>
    <t>ZSZ5804TRS802PDQC02U</t>
  </si>
  <si>
    <t>SF CONDE PC 80 PDQ SUB TRS</t>
  </si>
  <si>
    <t>ZSZ5673100802PDQ002U</t>
  </si>
  <si>
    <t>SF SNL6 PC80 PDQ SUB TRS</t>
  </si>
  <si>
    <t>ZSZ5H1P100802PDQC02U</t>
  </si>
  <si>
    <t>SF HD01 PC 80 PDQ TRS</t>
  </si>
  <si>
    <t>ZSZ5G2PTME802PDQC02U</t>
  </si>
  <si>
    <t>SF LIBERTE PC 80 ME1 TRS</t>
  </si>
  <si>
    <t>S/TOTAL PAL PDQ</t>
  </si>
  <si>
    <t>ZSZ5484100812000C02U</t>
  </si>
  <si>
    <t>UNCOAT MAIS DESTINATAIR EPAS DIFFERENCIER</t>
  </si>
  <si>
    <t>ZSZ5474100812000C02U</t>
  </si>
  <si>
    <t>ZSZ5804100802000C02U</t>
  </si>
  <si>
    <t>SF CONDE PC 80 UNCOAT</t>
  </si>
  <si>
    <t>S/TOTAL PAL UNCOAT</t>
  </si>
  <si>
    <t>TOTAL SFPAL</t>
  </si>
  <si>
    <t>TOTAL ACTIVITE /SF</t>
  </si>
  <si>
    <t>TOTAL PCSF</t>
  </si>
  <si>
    <t>ZST3547100700A3500U</t>
  </si>
  <si>
    <t>FSV SPH PC 70 HC NTPC CF Forte flux de stock asie</t>
  </si>
  <si>
    <t>S/TOTAL F AR NON OFG</t>
  </si>
  <si>
    <t>NVLLE FAMILLE ROCK</t>
  </si>
  <si>
    <t>FSV SPH PC ROCK GREEN D65 OFG INJ</t>
  </si>
  <si>
    <t>FSV SPH PC ROCK GREEN D70OFG INJ</t>
  </si>
  <si>
    <t>ZSI3547100650237EFS</t>
  </si>
  <si>
    <t>FSV SPHPC CZ AL+UV EU 65 OFG INJ</t>
  </si>
  <si>
    <t>ZSI3547100700237EFS</t>
  </si>
  <si>
    <t>FSV SPHPC CZ AL+UV EU 70 OFG INJ</t>
  </si>
  <si>
    <t>3547100700A3500</t>
  </si>
  <si>
    <t>FSV SPH PC CRIZ F UV D70 NON OFG INJ</t>
  </si>
  <si>
    <t>ZSI3547100700237PP</t>
  </si>
  <si>
    <t>FSV SPHPC CZ AL+UV EU 70  NONOFG INJ</t>
  </si>
  <si>
    <t>'3547100650675EF</t>
  </si>
  <si>
    <t>FSV SPH 65 FORTE UV 35</t>
  </si>
  <si>
    <t>INTEGRE WIP NTPC</t>
  </si>
  <si>
    <r>
      <t>'</t>
    </r>
    <r>
      <rPr>
        <sz val="10"/>
        <color indexed="8"/>
        <rFont val="Calibri"/>
        <family val="2"/>
      </rPr>
      <t>3547100700675EF</t>
    </r>
  </si>
  <si>
    <t>FSV SPH 70 FORTE UV 35</t>
  </si>
  <si>
    <t>new pc kids</t>
  </si>
  <si>
    <t>S/TOTAL F AR  OFG</t>
  </si>
  <si>
    <t>ZSS354710065031400U</t>
  </si>
  <si>
    <t>FSV SPH PC 65 HC NTPC EP</t>
  </si>
  <si>
    <t>ZSS354710070031410U</t>
  </si>
  <si>
    <t>pc kids NTPC</t>
  </si>
  <si>
    <t>3547100650314J1</t>
  </si>
  <si>
    <t>FSV PC 65 NTPC</t>
  </si>
  <si>
    <t>S/TOTAL FPC  AR  OFG</t>
  </si>
  <si>
    <t>TOTAL ACTIVITE F/SF</t>
  </si>
  <si>
    <t>Finis HI OFG UNC Int</t>
  </si>
  <si>
    <t>F45D 1.6 MR8 F SV Unc Sph</t>
  </si>
  <si>
    <t>1.6 UN INT</t>
  </si>
  <si>
    <t>3518100650A35EF</t>
  </si>
  <si>
    <t>3518100700A35EF</t>
  </si>
  <si>
    <t>3524100650A35EF</t>
  </si>
  <si>
    <t>3524100750A35EF</t>
  </si>
  <si>
    <t>op oudry</t>
  </si>
  <si>
    <t>Finis HI OFG AR Int</t>
  </si>
  <si>
    <t>F41D 1.6 MR8 F SV HMc Sph Int Gen3 AL++</t>
  </si>
  <si>
    <t>AR A++L /criz forte 1.6 INT</t>
  </si>
  <si>
    <t>ESSILOR</t>
  </si>
  <si>
    <t>3518100650237EF</t>
  </si>
  <si>
    <t>3518100750237EF</t>
  </si>
  <si>
    <t>3518100750675EF</t>
  </si>
  <si>
    <t>3524100650237PP</t>
  </si>
  <si>
    <t>3524100650A3500</t>
  </si>
  <si>
    <t>3524100650AEUEF</t>
  </si>
  <si>
    <t>3524100750237PP</t>
  </si>
  <si>
    <t>3524100750A3500</t>
  </si>
  <si>
    <t>3524100750AEUEF</t>
  </si>
  <si>
    <t>LAGOON 1,6</t>
  </si>
  <si>
    <t>S/TOTAL F 1.6 (Non BCT) ESSILOR HORS ROCK /SAPHIRE</t>
  </si>
  <si>
    <t>HI CLEAR 1.6</t>
  </si>
  <si>
    <t>Flux de stock STD (vers Chalons)</t>
  </si>
  <si>
    <t>TOTAL 1.6(AVEC ROCK +SAPHIRE HR)</t>
  </si>
  <si>
    <t xml:space="preserve">ARRET PROD PREVOIR METTRE BCT OXA </t>
  </si>
  <si>
    <t xml:space="preserve">ARRET PROD </t>
  </si>
  <si>
    <t>bct vers provins</t>
  </si>
  <si>
    <t>S/TOTAL F 1.6 (BCT) ESSILOR+EOLP+BBGR</t>
  </si>
  <si>
    <t>HI BCT</t>
  </si>
  <si>
    <t>BCT VERS 3 DC</t>
  </si>
  <si>
    <t>PUSH FLOW EOLP NON OFG ESSILOR</t>
  </si>
  <si>
    <t>Push Flow EOLP</t>
  </si>
  <si>
    <t>ROCK 1.6 GREEN</t>
  </si>
  <si>
    <t>SAPHIRE HR 1.6</t>
  </si>
  <si>
    <t>NOUVELLE FAMIILLE SAPHIRE HR 1.6</t>
  </si>
  <si>
    <t>ROCK 1.67 GREEN</t>
  </si>
  <si>
    <t>SAPHIRE HR 1.67</t>
  </si>
  <si>
    <t>NOUVELLE FAMIILLE SAPHIRE HR 1.67</t>
  </si>
  <si>
    <t>S/TOTAL F 1.6 rock</t>
  </si>
  <si>
    <t>ROCK 1.6+1.67</t>
  </si>
  <si>
    <t>TOTAL F 1.6</t>
  </si>
  <si>
    <t>F42D 1.67 F SV HMc Tape Sph Int Iris Gen4</t>
  </si>
  <si>
    <t>3555100650237EF</t>
  </si>
  <si>
    <t>3555100650675EF</t>
  </si>
  <si>
    <t>3555100700237EF</t>
  </si>
  <si>
    <t>3555100750237EF</t>
  </si>
  <si>
    <t>3555100750675EF</t>
  </si>
  <si>
    <t>3555100800237EF</t>
  </si>
  <si>
    <t>3555100800675EF</t>
  </si>
  <si>
    <t>3555100800A3500</t>
  </si>
  <si>
    <t>3561100650A3500</t>
  </si>
  <si>
    <t>3561100650AEUEF</t>
  </si>
  <si>
    <t>3561100700A3500</t>
  </si>
  <si>
    <t>3561100700AEUEF</t>
  </si>
  <si>
    <t>3561100750A3500</t>
  </si>
  <si>
    <t>3561100750AEUEF</t>
  </si>
  <si>
    <t>S/TOTAL F 1.67</t>
  </si>
  <si>
    <t>TOTAL 1.67 HORS ROCK/SAPHIRE HR</t>
  </si>
  <si>
    <t>TOTAL 1.67 AVEC  ROCK/SAPHIRE HR</t>
  </si>
  <si>
    <t xml:space="preserve">TOTAL ACTIVITE  F/ HI </t>
  </si>
  <si>
    <t>TOTAL HI 1.6+1.67</t>
  </si>
  <si>
    <t>8SU6 1.6 MR8 SFSV Sph Tape Int Unc Flat front Magic Leap</t>
  </si>
  <si>
    <t xml:space="preserve">TOTAL ACTIVITE  SF/ HI </t>
  </si>
  <si>
    <t>NE pas supprimer de famille, prevenir SBEYNE nouveaux produits</t>
  </si>
  <si>
    <t xml:space="preserve">nvx </t>
  </si>
  <si>
    <t xml:space="preserve">1.6 </t>
  </si>
  <si>
    <t>LIGNE</t>
  </si>
  <si>
    <t>HI 1.6</t>
  </si>
  <si>
    <t>HI 1.67</t>
  </si>
  <si>
    <t>BCT OXA SAPPHIRE HR TITANIUM</t>
  </si>
  <si>
    <t>ROCK GREEN</t>
  </si>
  <si>
    <t>352410075071901</t>
  </si>
  <si>
    <t>3524100650A2EB1</t>
  </si>
  <si>
    <t>3518100750A2EB1</t>
  </si>
  <si>
    <t>3518100650A2EB1</t>
  </si>
  <si>
    <t>552410070000006</t>
  </si>
  <si>
    <t>3T</t>
  </si>
  <si>
    <t>commence par 3524942</t>
  </si>
  <si>
    <t xml:space="preserve">BCT OXA ALIZEE </t>
  </si>
  <si>
    <t>Adjustments (Manual)</t>
  </si>
  <si>
    <t>Adjusted</t>
  </si>
  <si>
    <t>Commentaires</t>
  </si>
  <si>
    <t>faux wip plus de prod</t>
  </si>
  <si>
    <t>FSV SAPPHIRE HR BLUE 75 OFG</t>
  </si>
  <si>
    <t>to be excluded</t>
  </si>
  <si>
    <t>SAPPHIR LAGOON EOLP</t>
  </si>
  <si>
    <t>FSV SAPPHIRE HR BLUE 70 OFG</t>
  </si>
  <si>
    <t>BCT Alizée</t>
  </si>
  <si>
    <t>BCT Lagoon</t>
  </si>
  <si>
    <t>MC5  BCT EU</t>
  </si>
  <si>
    <t>MC5  BCT NIKON</t>
  </si>
  <si>
    <t>SAPHIRE BCT EU</t>
  </si>
  <si>
    <t>FSV SPHPC CZ AL+UV EU 70 OFG</t>
  </si>
  <si>
    <t xml:space="preserve">ATTENTION 2 LIGNES DS MES COSTING </t>
  </si>
  <si>
    <t>556670080249300</t>
  </si>
  <si>
    <t>SF SELECTIVE PC 80 NTPC</t>
  </si>
  <si>
    <t>2 LIVRAISONS VERS PROVINS ANNULER ;A RETIRER , CELLE DE 742 A ÉTÉ RECREER VERS US EN SEPT MAIS PAS CELLE DE 478.pas d'ecart car compter sur septembre</t>
  </si>
  <si>
    <t>LIV 6321019073</t>
  </si>
  <si>
    <t>742V</t>
  </si>
  <si>
    <t>en ovation liv 6321019159 478 V ;ANNULE LE 30/09 RECREER LE?</t>
  </si>
  <si>
    <t>RECAP</t>
  </si>
  <si>
    <t>LIV CRER LE 23/09 ET ANNULE LE 30/09 MAIS DÉJÀ RECRER POUR US QTY 742</t>
  </si>
  <si>
    <t>RECAP ADJ.</t>
  </si>
  <si>
    <t>M-1</t>
  </si>
  <si>
    <t>XLS</t>
  </si>
  <si>
    <t>MES</t>
  </si>
  <si>
    <t>ECART MES /COSTING</t>
  </si>
  <si>
    <t>XLS ATELIER</t>
  </si>
  <si>
    <t>GGOD QTY COSTING</t>
  </si>
  <si>
    <t>SHIPMENT STOCK</t>
  </si>
  <si>
    <t>TOTAL HI FSV</t>
  </si>
  <si>
    <t>ECART</t>
  </si>
  <si>
    <t>RECUP</t>
  </si>
  <si>
    <t>JIMMY</t>
  </si>
  <si>
    <t>1,6 FSV</t>
  </si>
  <si>
    <t>1,67 FSV</t>
  </si>
  <si>
    <t>HI SF MAGIC LEAP</t>
  </si>
  <si>
    <t>1,6 SFSV</t>
  </si>
  <si>
    <t>TOTAL PC</t>
  </si>
  <si>
    <t>PCF</t>
  </si>
  <si>
    <t>PCSF</t>
  </si>
  <si>
    <t>HI +PC</t>
  </si>
  <si>
    <t xml:space="preserve">VERRES TESTS LR </t>
  </si>
  <si>
    <t>CAT</t>
  </si>
  <si>
    <t>Total général</t>
  </si>
  <si>
    <t>(Tous)</t>
  </si>
  <si>
    <t>CLIENT</t>
  </si>
  <si>
    <t xml:space="preserve"> Launched Qty</t>
  </si>
  <si>
    <t xml:space="preserve"> Good Qty</t>
  </si>
  <si>
    <t xml:space="preserve"> WIP Production</t>
  </si>
  <si>
    <t>RPL</t>
  </si>
  <si>
    <t>Somme de Yield (%)</t>
  </si>
  <si>
    <t>TOTAL</t>
  </si>
  <si>
    <t>352410065067600</t>
  </si>
  <si>
    <t>PREVENCIA NON OFG</t>
  </si>
  <si>
    <t>352410075067600</t>
  </si>
  <si>
    <t>BCT OXA ALIZEE</t>
  </si>
  <si>
    <t>3524942650876EF</t>
  </si>
  <si>
    <t>FSV BCT OXA SAPPHIRE HR D65 OFG</t>
  </si>
  <si>
    <t>3524942750667EF</t>
  </si>
  <si>
    <t>BCT OXA SAPPHIRE HR</t>
  </si>
  <si>
    <t>Launched QtyLaunched Qty</t>
  </si>
  <si>
    <t>Good QtyGood Qty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</si>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</sst>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10409]0.00%"/>
    <numFmt numFmtId="165" formatCode="_-* #,##0.00\ _F_-;\-* #,##0.00\ _F_-;_-* &quot;-&quot;??\ _F_-;_-@_-"/>
    <numFmt numFmtId="166" formatCode="_-* #,##0\ _F_-;\-* #,##0\ _F_-;_-* &quot;-&quot;??\ _F_-;_-@_-"/>
  </numFmts>
  <fonts count="54" x14ac:knownFonts="1">
    <font>
      <sz val="10"/>
      <name val="Arial"/>
    </font>
    <font>
      <b/>
      <sz val="8"/>
      <color rgb="FFFFFFFF"/>
      <name val="Arial"/>
      <family val="2"/>
    </font>
    <font>
      <sz val="11"/>
      <name val="Calibri"/>
      <family val="2"/>
    </font>
    <font>
      <sz val="8"/>
      <color rgb="FF00000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color rgb="FFFF0000"/>
      <name val="Arial"/>
      <family val="2"/>
    </font>
    <font>
      <sz val="10"/>
      <color rgb="FFFF0000"/>
      <name val="Arial"/>
      <family val="2"/>
    </font>
    <font>
      <b/>
      <sz val="10"/>
      <color indexed="9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8.5"/>
      <name val="MS Sans Serif"/>
      <family val="2"/>
    </font>
    <font>
      <b/>
      <sz val="10"/>
      <color rgb="FFFF0000"/>
      <name val="Arial"/>
      <family val="2"/>
    </font>
    <font>
      <sz val="10"/>
      <name val="MS Sans Serif"/>
      <family val="2"/>
    </font>
    <font>
      <b/>
      <sz val="12"/>
      <color theme="0"/>
      <name val="Arial"/>
      <family val="2"/>
    </font>
    <font>
      <sz val="10"/>
      <color indexed="8"/>
      <name val="Calibri"/>
      <family val="2"/>
    </font>
    <font>
      <sz val="10"/>
      <color indexed="9"/>
      <name val="Arial"/>
      <family val="2"/>
    </font>
    <font>
      <b/>
      <sz val="12"/>
      <color indexed="10"/>
      <name val="Arial"/>
      <family val="2"/>
    </font>
    <font>
      <sz val="11"/>
      <color indexed="8"/>
      <name val="Calibri"/>
      <family val="2"/>
    </font>
    <font>
      <b/>
      <sz val="10"/>
      <color indexed="10"/>
      <name val="Arial"/>
      <family val="2"/>
    </font>
    <font>
      <sz val="10"/>
      <color theme="0" tint="-0.249977111117893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sz val="10"/>
      <color rgb="FFC00000"/>
      <name val="Arial"/>
      <family val="2"/>
    </font>
    <font>
      <sz val="11"/>
      <color theme="0" tint="-0.14999847407452621"/>
      <name val="Calibri"/>
      <family val="2"/>
    </font>
    <font>
      <sz val="8"/>
      <color theme="0" tint="-0.14999847407452621"/>
      <name val="Calibri"/>
      <family val="2"/>
    </font>
    <font>
      <b/>
      <sz val="10"/>
      <color theme="0" tint="-0.14999847407452621"/>
      <name val="Calibri"/>
      <family val="2"/>
    </font>
    <font>
      <sz val="10"/>
      <color theme="0" tint="-0.14999847407452621"/>
      <name val="Calibri"/>
      <family val="2"/>
    </font>
    <font>
      <sz val="8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sz val="8"/>
      <color rgb="FF0070C0"/>
      <name val="Arial"/>
      <family val="2"/>
    </font>
    <font>
      <sz val="10"/>
      <color rgb="FF0070C0"/>
      <name val="Arial"/>
      <family val="2"/>
    </font>
    <font>
      <sz val="6"/>
      <color rgb="FF0070C0"/>
      <name val="Arial"/>
      <family val="2"/>
    </font>
    <font>
      <b/>
      <sz val="8"/>
      <color theme="1"/>
      <name val="Arial"/>
      <family val="2"/>
    </font>
    <font>
      <b/>
      <sz val="8"/>
      <color theme="0"/>
      <name val="Arial"/>
      <family val="2"/>
    </font>
    <font>
      <sz val="8"/>
      <color rgb="FFC00000"/>
      <name val="Arial"/>
      <family val="2"/>
    </font>
    <font>
      <sz val="7"/>
      <color rgb="FF000000"/>
      <name val="Arial"/>
      <family val="2"/>
    </font>
    <font>
      <sz val="11"/>
      <color rgb="FF0070C0"/>
      <name val="Calibri"/>
      <family val="2"/>
    </font>
    <font>
      <b/>
      <sz val="9"/>
      <color rgb="FFFFFFFF"/>
      <name val="Arial"/>
      <family val="2"/>
    </font>
    <font>
      <b/>
      <sz val="8"/>
      <color rgb="FF000000"/>
      <name val="Arial"/>
      <family val="2"/>
    </font>
    <font>
      <b/>
      <sz val="11"/>
      <name val="Calibri"/>
      <family val="2"/>
    </font>
    <font>
      <b/>
      <sz val="8"/>
      <color rgb="FF0070C0"/>
      <name val="Arial"/>
      <family val="2"/>
    </font>
    <font>
      <sz val="11"/>
      <color rgb="FFFF0000"/>
      <name val="Calibri"/>
      <family val="2"/>
    </font>
    <font>
      <b/>
      <sz val="9"/>
      <color rgb="FFC00000"/>
      <name val="Arial"/>
      <family val="2"/>
    </font>
    <font>
      <b/>
      <sz val="9"/>
      <color rgb="FFFF0000"/>
      <name val="Arial"/>
      <family val="2"/>
    </font>
    <font>
      <b/>
      <sz val="12"/>
      <color rgb="FFFF0000"/>
      <name val="Calibri"/>
      <family val="2"/>
    </font>
    <font>
      <b/>
      <sz val="8"/>
      <name val="Arial"/>
      <family val="2"/>
    </font>
    <font>
      <b/>
      <sz val="8"/>
      <color rgb="FFFFFFFF"/>
      <name val="Arial"/>
    </font>
    <font>
      <sz val="8"/>
      <color rgb="FF000000"/>
      <name val="Arial"/>
    </font>
  </fonts>
  <fills count="42">
    <fill>
      <patternFill patternType="none"/>
    </fill>
    <fill>
      <patternFill patternType="gray125"/>
    </fill>
    <fill>
      <patternFill patternType="solid">
        <fgColor rgb="FF4682B4"/>
        <bgColor rgb="FF4682B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rgb="FF4682B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rgb="FF4682B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/>
        <bgColor rgb="FF4682B4"/>
      </patternFill>
    </fill>
    <fill>
      <patternFill patternType="solid">
        <fgColor theme="2"/>
        <bgColor indexed="64"/>
      </patternFill>
    </fill>
  </fills>
  <borders count="55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22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medium">
        <color indexed="64"/>
      </left>
      <right/>
      <top style="medium">
        <color indexed="64"/>
      </top>
      <bottom style="thin">
        <color rgb="FFD3D3D3"/>
      </bottom>
      <diagonal/>
    </border>
    <border>
      <left/>
      <right/>
      <top style="medium">
        <color indexed="64"/>
      </top>
      <bottom style="thin">
        <color rgb="FFD3D3D3"/>
      </bottom>
      <diagonal/>
    </border>
    <border>
      <left/>
      <right style="medium">
        <color indexed="64"/>
      </right>
      <top style="medium">
        <color indexed="64"/>
      </top>
      <bottom style="thin">
        <color rgb="FFD3D3D3"/>
      </bottom>
      <diagonal/>
    </border>
    <border>
      <left/>
      <right/>
      <top/>
      <bottom style="thin">
        <color rgb="FFD3D3D3"/>
      </bottom>
      <diagonal/>
    </border>
    <border>
      <left style="thin">
        <color rgb="FFD3D3D3"/>
      </left>
      <right style="medium">
        <color indexed="64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/>
      <top style="thin">
        <color rgb="FFD3D3D3"/>
      </top>
      <bottom style="thin">
        <color rgb="FFD3D3D3"/>
      </bottom>
      <diagonal/>
    </border>
    <border>
      <left style="medium">
        <color rgb="FFD3D3D3"/>
      </left>
      <right style="medium">
        <color indexed="64"/>
      </right>
      <top style="thin">
        <color rgb="FFD3D3D3"/>
      </top>
      <bottom style="thin">
        <color rgb="FFD3D3D3"/>
      </bottom>
      <diagonal/>
    </border>
    <border>
      <left style="medium">
        <color indexed="64"/>
      </left>
      <right style="thin">
        <color rgb="FFD3D3D3"/>
      </right>
      <top style="thin">
        <color rgb="FFD3D3D3"/>
      </top>
      <bottom/>
      <diagonal/>
    </border>
    <border>
      <left style="medium">
        <color rgb="FFD3D3D3"/>
      </left>
      <right style="medium">
        <color indexed="64"/>
      </right>
      <top style="thin">
        <color rgb="FFD3D3D3"/>
      </top>
      <bottom/>
      <diagonal/>
    </border>
    <border>
      <left style="thin">
        <color rgb="FFD3D3D3"/>
      </left>
      <right/>
      <top style="thin">
        <color rgb="FFD3D3D3"/>
      </top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  <border>
      <left style="medium">
        <color indexed="64"/>
      </left>
      <right style="thin">
        <color rgb="FFD3D3D3"/>
      </right>
      <top/>
      <bottom style="thin">
        <color rgb="FFD3D3D3"/>
      </bottom>
      <diagonal/>
    </border>
    <border>
      <left style="medium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medium">
        <color indexed="64"/>
      </left>
      <right style="thin">
        <color rgb="FFD3D3D3"/>
      </right>
      <top/>
      <bottom style="medium">
        <color indexed="64"/>
      </bottom>
      <diagonal/>
    </border>
    <border>
      <left style="thin">
        <color rgb="FFD3D3D3"/>
      </left>
      <right style="thin">
        <color rgb="FFD3D3D3"/>
      </right>
      <top/>
      <bottom style="medium">
        <color indexed="64"/>
      </bottom>
      <diagonal/>
    </border>
    <border>
      <left style="thin">
        <color rgb="FFD3D3D3"/>
      </left>
      <right/>
      <top/>
      <bottom style="medium">
        <color indexed="64"/>
      </bottom>
      <diagonal/>
    </border>
    <border>
      <left style="medium">
        <color rgb="FFD3D3D3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</borders>
  <cellStyleXfs count="7">
    <xf numFmtId="0" fontId="0" fillId="0" borderId="0"/>
    <xf numFmtId="9" fontId="5" fillId="0" borderId="0" applyFont="0" applyFill="0" applyBorder="0" applyAlignment="0" applyProtection="0"/>
    <xf numFmtId="0" fontId="6" fillId="0" borderId="0"/>
    <xf numFmtId="0" fontId="5" fillId="0" borderId="0"/>
    <xf numFmtId="9" fontId="5" fillId="0" borderId="0" applyFont="0" applyFill="0" applyBorder="0" applyAlignment="0" applyProtection="0"/>
    <xf numFmtId="0" fontId="22" fillId="0" borderId="0"/>
    <xf numFmtId="165" fontId="5" fillId="0" borderId="0" applyFont="0" applyFill="0" applyBorder="0" applyAlignment="0" applyProtection="0"/>
  </cellStyleXfs>
  <cellXfs count="487">
    <xf numFmtId="0" fontId="0" fillId="0" borderId="0" xfId="0"/>
    <xf numFmtId="0" fontId="1" fillId="2" borderId="1" xfId="0" applyNumberFormat="1" applyFont="1" applyFill="1" applyBorder="1" applyAlignment="1">
      <alignment horizontal="center" vertical="top" wrapText="1" readingOrder="1"/>
    </xf>
    <xf numFmtId="0" fontId="3" fillId="0" borderId="1" xfId="0" applyNumberFormat="1" applyFont="1" applyFill="1" applyBorder="1" applyAlignment="1">
      <alignment vertical="top" wrapText="1" readingOrder="1"/>
    </xf>
    <xf numFmtId="0" fontId="3" fillId="0" borderId="1" xfId="0" applyNumberFormat="1" applyFont="1" applyFill="1" applyBorder="1" applyAlignment="1">
      <alignment horizontal="right" vertical="top" wrapText="1" readingOrder="1"/>
    </xf>
    <xf numFmtId="164" fontId="3" fillId="0" borderId="1" xfId="0" applyNumberFormat="1" applyFont="1" applyFill="1" applyBorder="1" applyAlignment="1">
      <alignment horizontal="right" vertical="top" wrapText="1" readingOrder="1"/>
    </xf>
    <xf numFmtId="0" fontId="3" fillId="3" borderId="1" xfId="0" applyNumberFormat="1" applyFont="1" applyFill="1" applyBorder="1" applyAlignment="1">
      <alignment vertical="top" wrapText="1" readingOrder="1"/>
    </xf>
    <xf numFmtId="0" fontId="3" fillId="3" borderId="1" xfId="0" applyNumberFormat="1" applyFont="1" applyFill="1" applyBorder="1" applyAlignment="1">
      <alignment horizontal="right" vertical="top" wrapText="1" readingOrder="1"/>
    </xf>
    <xf numFmtId="164" fontId="3" fillId="3" borderId="1" xfId="0" applyNumberFormat="1" applyFont="1" applyFill="1" applyBorder="1" applyAlignment="1">
      <alignment horizontal="right" vertical="top" wrapText="1" readingOrder="1"/>
    </xf>
    <xf numFmtId="0" fontId="0" fillId="9" borderId="0" xfId="0" applyFill="1"/>
    <xf numFmtId="0" fontId="3" fillId="9" borderId="1" xfId="0" applyNumberFormat="1" applyFont="1" applyFill="1" applyBorder="1" applyAlignment="1">
      <alignment vertical="top" wrapText="1" readingOrder="1"/>
    </xf>
    <xf numFmtId="0" fontId="3" fillId="9" borderId="1" xfId="0" applyNumberFormat="1" applyFont="1" applyFill="1" applyBorder="1" applyAlignment="1">
      <alignment horizontal="right" vertical="top" wrapText="1" readingOrder="1"/>
    </xf>
    <xf numFmtId="164" fontId="3" fillId="9" borderId="1" xfId="0" applyNumberFormat="1" applyFont="1" applyFill="1" applyBorder="1" applyAlignment="1">
      <alignment horizontal="right" vertical="top" wrapText="1" readingOrder="1"/>
    </xf>
    <xf numFmtId="0" fontId="2" fillId="9" borderId="0" xfId="0" applyFont="1" applyFill="1" applyBorder="1"/>
    <xf numFmtId="0" fontId="2" fillId="0" borderId="0" xfId="0" applyFont="1" applyFill="1" applyBorder="1"/>
    <xf numFmtId="0" fontId="0" fillId="3" borderId="0" xfId="0" applyFill="1"/>
    <xf numFmtId="0" fontId="0" fillId="0" borderId="0" xfId="0" applyFill="1"/>
    <xf numFmtId="0" fontId="3" fillId="11" borderId="1" xfId="0" applyNumberFormat="1" applyFont="1" applyFill="1" applyBorder="1" applyAlignment="1">
      <alignment vertical="top" wrapText="1" readingOrder="1"/>
    </xf>
    <xf numFmtId="0" fontId="3" fillId="11" borderId="1" xfId="0" applyNumberFormat="1" applyFont="1" applyFill="1" applyBorder="1" applyAlignment="1">
      <alignment horizontal="right" vertical="top" wrapText="1" readingOrder="1"/>
    </xf>
    <xf numFmtId="164" fontId="3" fillId="11" borderId="1" xfId="0" applyNumberFormat="1" applyFont="1" applyFill="1" applyBorder="1" applyAlignment="1">
      <alignment horizontal="right" vertical="top" wrapText="1" readingOrder="1"/>
    </xf>
    <xf numFmtId="0" fontId="0" fillId="11" borderId="0" xfId="0" applyFill="1"/>
    <xf numFmtId="0" fontId="3" fillId="4" borderId="1" xfId="0" applyNumberFormat="1" applyFont="1" applyFill="1" applyBorder="1" applyAlignment="1">
      <alignment vertical="top" wrapText="1" readingOrder="1"/>
    </xf>
    <xf numFmtId="0" fontId="3" fillId="4" borderId="1" xfId="0" applyNumberFormat="1" applyFont="1" applyFill="1" applyBorder="1" applyAlignment="1">
      <alignment horizontal="right" vertical="top" wrapText="1" readingOrder="1"/>
    </xf>
    <xf numFmtId="164" fontId="3" fillId="4" borderId="1" xfId="0" applyNumberFormat="1" applyFont="1" applyFill="1" applyBorder="1" applyAlignment="1">
      <alignment horizontal="right" vertical="top" wrapText="1" readingOrder="1"/>
    </xf>
    <xf numFmtId="0" fontId="0" fillId="4" borderId="0" xfId="0" applyFill="1"/>
    <xf numFmtId="0" fontId="2" fillId="4" borderId="0" xfId="0" applyFont="1" applyFill="1" applyBorder="1"/>
    <xf numFmtId="0" fontId="3" fillId="12" borderId="1" xfId="0" applyNumberFormat="1" applyFont="1" applyFill="1" applyBorder="1" applyAlignment="1">
      <alignment vertical="top" wrapText="1" readingOrder="1"/>
    </xf>
    <xf numFmtId="0" fontId="3" fillId="12" borderId="1" xfId="0" applyNumberFormat="1" applyFont="1" applyFill="1" applyBorder="1" applyAlignment="1">
      <alignment horizontal="right" vertical="top" wrapText="1" readingOrder="1"/>
    </xf>
    <xf numFmtId="164" fontId="3" fillId="12" borderId="1" xfId="0" applyNumberFormat="1" applyFont="1" applyFill="1" applyBorder="1" applyAlignment="1">
      <alignment horizontal="right" vertical="top" wrapText="1" readingOrder="1"/>
    </xf>
    <xf numFmtId="0" fontId="0" fillId="12" borderId="0" xfId="0" applyFill="1"/>
    <xf numFmtId="0" fontId="2" fillId="12" borderId="0" xfId="0" applyFont="1" applyFill="1" applyBorder="1"/>
    <xf numFmtId="0" fontId="3" fillId="13" borderId="1" xfId="0" applyNumberFormat="1" applyFont="1" applyFill="1" applyBorder="1" applyAlignment="1">
      <alignment vertical="top" wrapText="1" readingOrder="1"/>
    </xf>
    <xf numFmtId="0" fontId="3" fillId="13" borderId="1" xfId="0" applyNumberFormat="1" applyFont="1" applyFill="1" applyBorder="1" applyAlignment="1">
      <alignment horizontal="right" vertical="top" wrapText="1" readingOrder="1"/>
    </xf>
    <xf numFmtId="164" fontId="3" fillId="13" borderId="1" xfId="0" applyNumberFormat="1" applyFont="1" applyFill="1" applyBorder="1" applyAlignment="1">
      <alignment horizontal="right" vertical="top" wrapText="1" readingOrder="1"/>
    </xf>
    <xf numFmtId="0" fontId="0" fillId="13" borderId="0" xfId="0" applyFill="1"/>
    <xf numFmtId="0" fontId="10" fillId="0" borderId="1" xfId="0" applyNumberFormat="1" applyFont="1" applyFill="1" applyBorder="1" applyAlignment="1">
      <alignment vertical="top" wrapText="1" readingOrder="1"/>
    </xf>
    <xf numFmtId="0" fontId="10" fillId="0" borderId="1" xfId="0" applyNumberFormat="1" applyFont="1" applyFill="1" applyBorder="1" applyAlignment="1">
      <alignment horizontal="right" vertical="top" wrapText="1" readingOrder="1"/>
    </xf>
    <xf numFmtId="164" fontId="10" fillId="0" borderId="1" xfId="0" applyNumberFormat="1" applyFont="1" applyFill="1" applyBorder="1" applyAlignment="1">
      <alignment horizontal="right" vertical="top" wrapText="1" readingOrder="1"/>
    </xf>
    <xf numFmtId="0" fontId="11" fillId="0" borderId="0" xfId="0" applyFont="1" applyFill="1"/>
    <xf numFmtId="0" fontId="5" fillId="0" borderId="0" xfId="0" applyFont="1" applyFill="1"/>
    <xf numFmtId="0" fontId="2" fillId="3" borderId="0" xfId="0" applyFont="1" applyFill="1" applyBorder="1"/>
    <xf numFmtId="17" fontId="12" fillId="15" borderId="0" xfId="3" applyNumberFormat="1" applyFont="1" applyFill="1"/>
    <xf numFmtId="0" fontId="5" fillId="16" borderId="0" xfId="3" applyFill="1"/>
    <xf numFmtId="17" fontId="13" fillId="0" borderId="0" xfId="3" applyNumberFormat="1" applyFont="1"/>
    <xf numFmtId="0" fontId="5" fillId="0" borderId="0" xfId="3"/>
    <xf numFmtId="0" fontId="5" fillId="17" borderId="3" xfId="3" applyFill="1" applyBorder="1"/>
    <xf numFmtId="0" fontId="5" fillId="17" borderId="3" xfId="3" applyFill="1" applyBorder="1" applyAlignment="1">
      <alignment horizontal="center"/>
    </xf>
    <xf numFmtId="0" fontId="5" fillId="17" borderId="3" xfId="3" applyFont="1" applyFill="1" applyBorder="1" applyAlignment="1">
      <alignment horizontal="center"/>
    </xf>
    <xf numFmtId="0" fontId="5" fillId="17" borderId="4" xfId="3" applyFill="1" applyBorder="1"/>
    <xf numFmtId="0" fontId="5" fillId="17" borderId="4" xfId="3" applyFill="1" applyBorder="1" applyAlignment="1">
      <alignment horizontal="center"/>
    </xf>
    <xf numFmtId="0" fontId="5" fillId="0" borderId="2" xfId="3" applyBorder="1"/>
    <xf numFmtId="0" fontId="5" fillId="0" borderId="2" xfId="3" applyFont="1" applyFill="1" applyBorder="1"/>
    <xf numFmtId="0" fontId="5" fillId="0" borderId="2" xfId="3" applyFill="1" applyBorder="1"/>
    <xf numFmtId="10" fontId="5" fillId="0" borderId="2" xfId="1" applyNumberFormat="1" applyFont="1" applyFill="1" applyBorder="1"/>
    <xf numFmtId="3" fontId="5" fillId="0" borderId="2" xfId="3" applyNumberFormat="1" applyFont="1" applyFill="1" applyBorder="1"/>
    <xf numFmtId="0" fontId="5" fillId="9" borderId="2" xfId="3" applyFill="1" applyBorder="1"/>
    <xf numFmtId="0" fontId="5" fillId="0" borderId="0" xfId="3" applyFill="1"/>
    <xf numFmtId="49" fontId="5" fillId="9" borderId="2" xfId="3" applyNumberFormat="1" applyFill="1" applyBorder="1"/>
    <xf numFmtId="0" fontId="5" fillId="9" borderId="2" xfId="3" applyFont="1" applyFill="1" applyBorder="1"/>
    <xf numFmtId="49" fontId="5" fillId="9" borderId="2" xfId="3" applyNumberFormat="1" applyFont="1" applyFill="1" applyBorder="1"/>
    <xf numFmtId="0" fontId="14" fillId="9" borderId="2" xfId="3" applyFont="1" applyFill="1" applyBorder="1"/>
    <xf numFmtId="49" fontId="14" fillId="9" borderId="2" xfId="3" applyNumberFormat="1" applyFont="1" applyFill="1" applyBorder="1"/>
    <xf numFmtId="0" fontId="15" fillId="9" borderId="5" xfId="3" applyFont="1" applyFill="1" applyBorder="1"/>
    <xf numFmtId="0" fontId="13" fillId="18" borderId="2" xfId="3" applyFont="1" applyFill="1" applyBorder="1"/>
    <xf numFmtId="3" fontId="13" fillId="18" borderId="2" xfId="3" applyNumberFormat="1" applyFont="1" applyFill="1" applyBorder="1"/>
    <xf numFmtId="10" fontId="13" fillId="18" borderId="2" xfId="1" applyNumberFormat="1" applyFont="1" applyFill="1" applyBorder="1"/>
    <xf numFmtId="0" fontId="13" fillId="0" borderId="0" xfId="3" applyFont="1"/>
    <xf numFmtId="49" fontId="13" fillId="18" borderId="2" xfId="3" applyNumberFormat="1" applyFont="1" applyFill="1" applyBorder="1"/>
    <xf numFmtId="0" fontId="5" fillId="0" borderId="6" xfId="3" applyBorder="1"/>
    <xf numFmtId="3" fontId="5" fillId="0" borderId="6" xfId="3" applyNumberFormat="1" applyBorder="1"/>
    <xf numFmtId="0" fontId="13" fillId="17" borderId="2" xfId="3" applyFont="1" applyFill="1" applyBorder="1"/>
    <xf numFmtId="0" fontId="5" fillId="17" borderId="2" xfId="3" applyFill="1" applyBorder="1"/>
    <xf numFmtId="3" fontId="13" fillId="17" borderId="2" xfId="3" applyNumberFormat="1" applyFont="1" applyFill="1" applyBorder="1"/>
    <xf numFmtId="10" fontId="13" fillId="17" borderId="2" xfId="3" applyNumberFormat="1" applyFont="1" applyFill="1" applyBorder="1"/>
    <xf numFmtId="49" fontId="5" fillId="0" borderId="2" xfId="3" applyNumberFormat="1" applyFont="1" applyBorder="1"/>
    <xf numFmtId="3" fontId="5" fillId="9" borderId="6" xfId="3" applyNumberFormat="1" applyFill="1" applyBorder="1"/>
    <xf numFmtId="0" fontId="5" fillId="9" borderId="6" xfId="3" applyFill="1" applyBorder="1"/>
    <xf numFmtId="0" fontId="5" fillId="0" borderId="0" xfId="3" applyBorder="1"/>
    <xf numFmtId="3" fontId="5" fillId="5" borderId="2" xfId="3" applyNumberFormat="1" applyFont="1" applyFill="1" applyBorder="1"/>
    <xf numFmtId="0" fontId="5" fillId="0" borderId="0" xfId="3" applyFont="1"/>
    <xf numFmtId="0" fontId="5" fillId="6" borderId="7" xfId="3" applyFont="1" applyFill="1" applyBorder="1"/>
    <xf numFmtId="49" fontId="5" fillId="0" borderId="2" xfId="3" applyNumberFormat="1" applyBorder="1"/>
    <xf numFmtId="0" fontId="5" fillId="0" borderId="0" xfId="3" applyFont="1" applyFill="1"/>
    <xf numFmtId="0" fontId="16" fillId="0" borderId="0" xfId="3" applyFont="1" applyFill="1"/>
    <xf numFmtId="0" fontId="5" fillId="6" borderId="0" xfId="3" applyFont="1" applyFill="1"/>
    <xf numFmtId="0" fontId="5" fillId="19" borderId="2" xfId="3" quotePrefix="1" applyFont="1" applyFill="1" applyBorder="1"/>
    <xf numFmtId="49" fontId="5" fillId="19" borderId="2" xfId="3" applyNumberFormat="1" applyFont="1" applyFill="1" applyBorder="1"/>
    <xf numFmtId="3" fontId="5" fillId="19" borderId="2" xfId="3" applyNumberFormat="1" applyFont="1" applyFill="1" applyBorder="1"/>
    <xf numFmtId="10" fontId="5" fillId="19" borderId="2" xfId="1" applyNumberFormat="1" applyFont="1" applyFill="1" applyBorder="1"/>
    <xf numFmtId="0" fontId="5" fillId="19" borderId="0" xfId="3" applyFont="1" applyFill="1"/>
    <xf numFmtId="0" fontId="16" fillId="0" borderId="0" xfId="3" applyFont="1"/>
    <xf numFmtId="0" fontId="5" fillId="0" borderId="2" xfId="3" applyFont="1" applyBorder="1"/>
    <xf numFmtId="10" fontId="5" fillId="0" borderId="2" xfId="4" applyNumberFormat="1" applyFont="1" applyFill="1" applyBorder="1"/>
    <xf numFmtId="3" fontId="5" fillId="6" borderId="7" xfId="3" applyNumberFormat="1" applyFont="1" applyFill="1" applyBorder="1"/>
    <xf numFmtId="3" fontId="5" fillId="0" borderId="2" xfId="3" applyNumberFormat="1" applyBorder="1"/>
    <xf numFmtId="9" fontId="13" fillId="18" borderId="2" xfId="4" applyNumberFormat="1" applyFont="1" applyFill="1" applyBorder="1"/>
    <xf numFmtId="49" fontId="13" fillId="17" borderId="2" xfId="3" applyNumberFormat="1" applyFont="1" applyFill="1" applyBorder="1"/>
    <xf numFmtId="3" fontId="16" fillId="17" borderId="2" xfId="3" applyNumberFormat="1" applyFont="1" applyFill="1" applyBorder="1"/>
    <xf numFmtId="10" fontId="13" fillId="17" borderId="2" xfId="1" applyNumberFormat="1" applyFont="1" applyFill="1" applyBorder="1"/>
    <xf numFmtId="3" fontId="5" fillId="0" borderId="0" xfId="3" applyNumberFormat="1"/>
    <xf numFmtId="0" fontId="5" fillId="0" borderId="0" xfId="3" applyFont="1" applyFill="1" applyBorder="1"/>
    <xf numFmtId="10" fontId="5" fillId="0" borderId="0" xfId="3" applyNumberFormat="1"/>
    <xf numFmtId="0" fontId="5" fillId="16" borderId="2" xfId="3" applyFill="1" applyBorder="1"/>
    <xf numFmtId="49" fontId="5" fillId="16" borderId="2" xfId="3" applyNumberFormat="1" applyFill="1" applyBorder="1"/>
    <xf numFmtId="3" fontId="16" fillId="18" borderId="2" xfId="3" applyNumberFormat="1" applyFont="1" applyFill="1" applyBorder="1"/>
    <xf numFmtId="0" fontId="13" fillId="0" borderId="8" xfId="3" applyFont="1" applyBorder="1"/>
    <xf numFmtId="0" fontId="13" fillId="0" borderId="6" xfId="3" applyFont="1" applyFill="1" applyBorder="1"/>
    <xf numFmtId="3" fontId="13" fillId="0" borderId="2" xfId="3" applyNumberFormat="1" applyFont="1" applyFill="1" applyBorder="1"/>
    <xf numFmtId="10" fontId="13" fillId="0" borderId="2" xfId="1" applyNumberFormat="1" applyFont="1" applyFill="1" applyBorder="1"/>
    <xf numFmtId="0" fontId="17" fillId="16" borderId="9" xfId="3" applyFont="1" applyFill="1" applyBorder="1" applyAlignment="1">
      <alignment horizontal="left"/>
    </xf>
    <xf numFmtId="0" fontId="13" fillId="0" borderId="2" xfId="3" applyFont="1" applyFill="1" applyBorder="1"/>
    <xf numFmtId="0" fontId="5" fillId="20" borderId="2" xfId="3" applyFill="1" applyBorder="1"/>
    <xf numFmtId="0" fontId="17" fillId="20" borderId="10" xfId="3" applyFont="1" applyFill="1" applyBorder="1"/>
    <xf numFmtId="3" fontId="13" fillId="20" borderId="2" xfId="3" applyNumberFormat="1" applyFont="1" applyFill="1" applyBorder="1"/>
    <xf numFmtId="10" fontId="13" fillId="20" borderId="2" xfId="1" applyNumberFormat="1" applyFont="1" applyFill="1" applyBorder="1"/>
    <xf numFmtId="0" fontId="12" fillId="15" borderId="2" xfId="3" applyFont="1" applyFill="1" applyBorder="1"/>
    <xf numFmtId="3" fontId="12" fillId="15" borderId="2" xfId="3" applyNumberFormat="1" applyFont="1" applyFill="1" applyBorder="1"/>
    <xf numFmtId="10" fontId="12" fillId="15" borderId="2" xfId="1" applyNumberFormat="1" applyFont="1" applyFill="1" applyBorder="1"/>
    <xf numFmtId="0" fontId="5" fillId="0" borderId="11" xfId="3" applyFont="1" applyFill="1" applyBorder="1"/>
    <xf numFmtId="0" fontId="13" fillId="21" borderId="2" xfId="3" applyFont="1" applyFill="1" applyBorder="1"/>
    <xf numFmtId="3" fontId="13" fillId="21" borderId="3" xfId="3" applyNumberFormat="1" applyFont="1" applyFill="1" applyBorder="1"/>
    <xf numFmtId="9" fontId="13" fillId="21" borderId="3" xfId="3" applyNumberFormat="1" applyFont="1" applyFill="1" applyBorder="1"/>
    <xf numFmtId="0" fontId="18" fillId="9" borderId="0" xfId="3" applyFont="1" applyFill="1" applyAlignment="1">
      <alignment wrapText="1"/>
    </xf>
    <xf numFmtId="0" fontId="5" fillId="0" borderId="3" xfId="3" applyFill="1" applyBorder="1"/>
    <xf numFmtId="3" fontId="11" fillId="0" borderId="2" xfId="3" applyNumberFormat="1" applyFont="1" applyFill="1" applyBorder="1"/>
    <xf numFmtId="0" fontId="11" fillId="0" borderId="0" xfId="3" applyFont="1"/>
    <xf numFmtId="0" fontId="5" fillId="6" borderId="2" xfId="3" applyFill="1" applyBorder="1"/>
    <xf numFmtId="0" fontId="5" fillId="6" borderId="3" xfId="3" applyFill="1" applyBorder="1"/>
    <xf numFmtId="1" fontId="5" fillId="6" borderId="3" xfId="3" applyNumberFormat="1" applyFont="1" applyFill="1" applyBorder="1"/>
    <xf numFmtId="0" fontId="5" fillId="6" borderId="3" xfId="3" applyFont="1" applyFill="1" applyBorder="1"/>
    <xf numFmtId="10" fontId="5" fillId="6" borderId="2" xfId="1" applyNumberFormat="1" applyFont="1" applyFill="1" applyBorder="1"/>
    <xf numFmtId="3" fontId="11" fillId="6" borderId="3" xfId="3" applyNumberFormat="1" applyFont="1" applyFill="1" applyBorder="1"/>
    <xf numFmtId="3" fontId="11" fillId="6" borderId="2" xfId="3" applyNumberFormat="1" applyFont="1" applyFill="1" applyBorder="1"/>
    <xf numFmtId="0" fontId="13" fillId="21" borderId="3" xfId="3" applyFont="1" applyFill="1" applyBorder="1"/>
    <xf numFmtId="1" fontId="13" fillId="21" borderId="3" xfId="3" applyNumberFormat="1" applyFont="1" applyFill="1" applyBorder="1"/>
    <xf numFmtId="10" fontId="13" fillId="21" borderId="2" xfId="1" applyNumberFormat="1" applyFont="1" applyFill="1" applyBorder="1"/>
    <xf numFmtId="3" fontId="13" fillId="9" borderId="3" xfId="3" applyNumberFormat="1" applyFont="1" applyFill="1" applyBorder="1"/>
    <xf numFmtId="0" fontId="5" fillId="22" borderId="2" xfId="3" applyFont="1" applyFill="1" applyBorder="1"/>
    <xf numFmtId="3" fontId="13" fillId="22" borderId="2" xfId="3" applyNumberFormat="1" applyFont="1" applyFill="1" applyBorder="1"/>
    <xf numFmtId="3" fontId="5" fillId="22" borderId="2" xfId="3" applyNumberFormat="1" applyFont="1" applyFill="1" applyBorder="1"/>
    <xf numFmtId="0" fontId="5" fillId="22" borderId="0" xfId="3" applyFill="1"/>
    <xf numFmtId="0" fontId="16" fillId="22" borderId="2" xfId="3" applyFont="1" applyFill="1" applyBorder="1"/>
    <xf numFmtId="3" fontId="13" fillId="21" borderId="2" xfId="3" applyNumberFormat="1" applyFont="1" applyFill="1" applyBorder="1"/>
    <xf numFmtId="3" fontId="13" fillId="9" borderId="2" xfId="3" applyNumberFormat="1" applyFont="1" applyFill="1" applyBorder="1"/>
    <xf numFmtId="0" fontId="20" fillId="15" borderId="2" xfId="3" applyFont="1" applyFill="1" applyBorder="1"/>
    <xf numFmtId="0" fontId="21" fillId="0" borderId="12" xfId="3" applyFont="1" applyBorder="1" applyAlignment="1">
      <alignment horizontal="left"/>
    </xf>
    <xf numFmtId="0" fontId="5" fillId="23" borderId="2" xfId="3" applyFill="1" applyBorder="1"/>
    <xf numFmtId="0" fontId="5" fillId="18" borderId="2" xfId="3" applyFill="1" applyBorder="1" applyAlignment="1">
      <alignment horizontal="center"/>
    </xf>
    <xf numFmtId="0" fontId="5" fillId="18" borderId="2" xfId="3" applyFont="1" applyFill="1" applyBorder="1" applyAlignment="1">
      <alignment horizontal="center"/>
    </xf>
    <xf numFmtId="0" fontId="5" fillId="18" borderId="11" xfId="3" applyFill="1" applyBorder="1"/>
    <xf numFmtId="0" fontId="22" fillId="0" borderId="13" xfId="5" applyBorder="1"/>
    <xf numFmtId="0" fontId="22" fillId="0" borderId="2" xfId="5" applyNumberFormat="1" applyBorder="1"/>
    <xf numFmtId="9" fontId="5" fillId="0" borderId="2" xfId="3" applyNumberFormat="1" applyBorder="1"/>
    <xf numFmtId="0" fontId="5" fillId="0" borderId="13" xfId="3" applyBorder="1"/>
    <xf numFmtId="0" fontId="23" fillId="0" borderId="13" xfId="3" applyFont="1" applyBorder="1"/>
    <xf numFmtId="0" fontId="23" fillId="0" borderId="2" xfId="3" applyFont="1" applyBorder="1" applyAlignment="1">
      <alignment horizontal="center"/>
    </xf>
    <xf numFmtId="0" fontId="23" fillId="0" borderId="2" xfId="3" quotePrefix="1" applyFont="1" applyBorder="1" applyAlignment="1">
      <alignment horizontal="center"/>
    </xf>
    <xf numFmtId="10" fontId="23" fillId="0" borderId="2" xfId="3" applyNumberFormat="1" applyFont="1" applyBorder="1"/>
    <xf numFmtId="0" fontId="21" fillId="0" borderId="14" xfId="3" applyFont="1" applyBorder="1" applyAlignment="1">
      <alignment horizontal="left"/>
    </xf>
    <xf numFmtId="0" fontId="5" fillId="23" borderId="3" xfId="3" applyFill="1" applyBorder="1"/>
    <xf numFmtId="3" fontId="5" fillId="23" borderId="3" xfId="3" applyNumberFormat="1" applyFill="1" applyBorder="1"/>
    <xf numFmtId="0" fontId="5" fillId="18" borderId="15" xfId="3" applyFill="1" applyBorder="1"/>
    <xf numFmtId="0" fontId="5" fillId="18" borderId="16" xfId="3" applyFill="1" applyBorder="1"/>
    <xf numFmtId="10" fontId="5" fillId="18" borderId="16" xfId="1" applyNumberFormat="1" applyFont="1" applyFill="1" applyBorder="1"/>
    <xf numFmtId="3" fontId="5" fillId="18" borderId="17" xfId="3" applyNumberFormat="1" applyFill="1" applyBorder="1"/>
    <xf numFmtId="0" fontId="13" fillId="18" borderId="18" xfId="3" applyFont="1" applyFill="1" applyBorder="1"/>
    <xf numFmtId="3" fontId="5" fillId="0" borderId="19" xfId="3" applyNumberFormat="1" applyFont="1" applyFill="1" applyBorder="1"/>
    <xf numFmtId="0" fontId="5" fillId="0" borderId="20" xfId="3" applyBorder="1"/>
    <xf numFmtId="10" fontId="0" fillId="0" borderId="2" xfId="1" applyNumberFormat="1" applyFont="1" applyBorder="1"/>
    <xf numFmtId="3" fontId="5" fillId="0" borderId="19" xfId="3" applyNumberFormat="1" applyBorder="1"/>
    <xf numFmtId="0" fontId="5" fillId="9" borderId="3" xfId="3" applyFont="1" applyFill="1" applyBorder="1"/>
    <xf numFmtId="0" fontId="5" fillId="0" borderId="3" xfId="3" applyBorder="1"/>
    <xf numFmtId="10" fontId="0" fillId="0" borderId="3" xfId="1" applyNumberFormat="1" applyFont="1" applyBorder="1"/>
    <xf numFmtId="3" fontId="5" fillId="0" borderId="21" xfId="3" applyNumberFormat="1" applyBorder="1"/>
    <xf numFmtId="0" fontId="5" fillId="24" borderId="20" xfId="3" applyFont="1" applyFill="1" applyBorder="1" applyAlignment="1">
      <alignment horizontal="right"/>
    </xf>
    <xf numFmtId="0" fontId="5" fillId="24" borderId="2" xfId="3" applyFill="1" applyBorder="1"/>
    <xf numFmtId="10" fontId="5" fillId="24" borderId="2" xfId="3" applyNumberFormat="1" applyFill="1" applyBorder="1"/>
    <xf numFmtId="3" fontId="5" fillId="24" borderId="19" xfId="3" applyNumberFormat="1" applyFill="1" applyBorder="1"/>
    <xf numFmtId="0" fontId="5" fillId="24" borderId="20" xfId="3" applyFill="1" applyBorder="1"/>
    <xf numFmtId="0" fontId="13" fillId="25" borderId="22" xfId="3" applyFont="1" applyFill="1" applyBorder="1" applyAlignment="1">
      <alignment horizontal="right"/>
    </xf>
    <xf numFmtId="0" fontId="13" fillId="25" borderId="23" xfId="3" applyFont="1" applyFill="1" applyBorder="1"/>
    <xf numFmtId="3" fontId="5" fillId="25" borderId="24" xfId="3" applyNumberFormat="1" applyFill="1" applyBorder="1"/>
    <xf numFmtId="10" fontId="5" fillId="25" borderId="24" xfId="3" applyNumberFormat="1" applyFill="1" applyBorder="1"/>
    <xf numFmtId="3" fontId="5" fillId="26" borderId="25" xfId="3" applyNumberFormat="1" applyFill="1" applyBorder="1"/>
    <xf numFmtId="0" fontId="5" fillId="26" borderId="0" xfId="3" applyFill="1"/>
    <xf numFmtId="0" fontId="16" fillId="18" borderId="15" xfId="3" applyFont="1" applyFill="1" applyBorder="1"/>
    <xf numFmtId="0" fontId="16" fillId="18" borderId="16" xfId="3" applyFont="1" applyFill="1" applyBorder="1"/>
    <xf numFmtId="3" fontId="16" fillId="18" borderId="16" xfId="3" applyNumberFormat="1" applyFont="1" applyFill="1" applyBorder="1"/>
    <xf numFmtId="10" fontId="16" fillId="18" borderId="16" xfId="1" applyNumberFormat="1" applyFont="1" applyFill="1" applyBorder="1"/>
    <xf numFmtId="3" fontId="16" fillId="18" borderId="17" xfId="3" applyNumberFormat="1" applyFont="1" applyFill="1" applyBorder="1"/>
    <xf numFmtId="0" fontId="24" fillId="27" borderId="0" xfId="3" applyFont="1" applyFill="1"/>
    <xf numFmtId="0" fontId="5" fillId="8" borderId="20" xfId="3" applyFont="1" applyFill="1" applyBorder="1"/>
    <xf numFmtId="0" fontId="7" fillId="0" borderId="2" xfId="3" applyFont="1" applyFill="1" applyBorder="1"/>
    <xf numFmtId="0" fontId="5" fillId="8" borderId="0" xfId="3" applyFill="1"/>
    <xf numFmtId="0" fontId="5" fillId="8" borderId="20" xfId="3" applyFill="1" applyBorder="1"/>
    <xf numFmtId="0" fontId="2" fillId="0" borderId="2" xfId="3" applyFont="1" applyFill="1" applyBorder="1"/>
    <xf numFmtId="0" fontId="24" fillId="8" borderId="20" xfId="3" applyFont="1" applyFill="1" applyBorder="1"/>
    <xf numFmtId="0" fontId="7" fillId="28" borderId="2" xfId="3" applyFont="1" applyFill="1" applyBorder="1"/>
    <xf numFmtId="3" fontId="5" fillId="28" borderId="2" xfId="3" applyNumberFormat="1" applyFont="1" applyFill="1" applyBorder="1"/>
    <xf numFmtId="10" fontId="5" fillId="28" borderId="2" xfId="1" applyNumberFormat="1" applyFont="1" applyFill="1" applyBorder="1"/>
    <xf numFmtId="3" fontId="5" fillId="28" borderId="19" xfId="3" applyNumberFormat="1" applyFont="1" applyFill="1" applyBorder="1"/>
    <xf numFmtId="0" fontId="24" fillId="8" borderId="0" xfId="3" applyFont="1" applyFill="1"/>
    <xf numFmtId="0" fontId="5" fillId="28" borderId="0" xfId="3" applyFill="1"/>
    <xf numFmtId="0" fontId="16" fillId="10" borderId="22" xfId="3" applyFont="1" applyFill="1" applyBorder="1" applyAlignment="1">
      <alignment horizontal="right"/>
    </xf>
    <xf numFmtId="0" fontId="16" fillId="3" borderId="23" xfId="3" applyFont="1" applyFill="1" applyBorder="1"/>
    <xf numFmtId="3" fontId="16" fillId="3" borderId="24" xfId="3" applyNumberFormat="1" applyFont="1" applyFill="1" applyBorder="1"/>
    <xf numFmtId="10" fontId="16" fillId="3" borderId="24" xfId="3" applyNumberFormat="1" applyFont="1" applyFill="1" applyBorder="1"/>
    <xf numFmtId="3" fontId="16" fillId="3" borderId="25" xfId="3" applyNumberFormat="1" applyFont="1" applyFill="1" applyBorder="1"/>
    <xf numFmtId="0" fontId="5" fillId="10" borderId="0" xfId="3" applyFill="1"/>
    <xf numFmtId="0" fontId="25" fillId="14" borderId="26" xfId="3" applyFont="1" applyFill="1" applyBorder="1"/>
    <xf numFmtId="1" fontId="26" fillId="14" borderId="27" xfId="3" applyNumberFormat="1" applyFont="1" applyFill="1" applyBorder="1" applyAlignment="1">
      <alignment horizontal="left"/>
    </xf>
    <xf numFmtId="3" fontId="5" fillId="14" borderId="27" xfId="3" applyNumberFormat="1" applyFill="1" applyBorder="1"/>
    <xf numFmtId="3" fontId="5" fillId="14" borderId="28" xfId="3" applyNumberFormat="1" applyFill="1" applyBorder="1"/>
    <xf numFmtId="10" fontId="5" fillId="14" borderId="27" xfId="3" applyNumberFormat="1" applyFill="1" applyBorder="1"/>
    <xf numFmtId="3" fontId="5" fillId="14" borderId="29" xfId="3" applyNumberFormat="1" applyFill="1" applyBorder="1"/>
    <xf numFmtId="0" fontId="5" fillId="14" borderId="0" xfId="3" applyFill="1"/>
    <xf numFmtId="0" fontId="27" fillId="0" borderId="0" xfId="3" applyFont="1"/>
    <xf numFmtId="0" fontId="26" fillId="9" borderId="15" xfId="3" applyFont="1" applyFill="1" applyBorder="1"/>
    <xf numFmtId="0" fontId="18" fillId="7" borderId="0" xfId="3" applyFont="1" applyFill="1" applyAlignment="1">
      <alignment wrapText="1"/>
    </xf>
    <xf numFmtId="3" fontId="5" fillId="0" borderId="16" xfId="3" applyNumberFormat="1" applyFont="1" applyFill="1" applyBorder="1"/>
    <xf numFmtId="10" fontId="5" fillId="0" borderId="16" xfId="1" applyNumberFormat="1" applyFont="1" applyFill="1" applyBorder="1"/>
    <xf numFmtId="3" fontId="5" fillId="0" borderId="17" xfId="3" applyNumberFormat="1" applyFont="1" applyFill="1" applyBorder="1"/>
    <xf numFmtId="0" fontId="26" fillId="0" borderId="0" xfId="3" applyFont="1" applyFill="1"/>
    <xf numFmtId="0" fontId="5" fillId="0" borderId="30" xfId="3" applyBorder="1"/>
    <xf numFmtId="0" fontId="18" fillId="0" borderId="0" xfId="3" applyFont="1" applyFill="1" applyAlignment="1">
      <alignment wrapText="1"/>
    </xf>
    <xf numFmtId="0" fontId="5" fillId="5" borderId="20" xfId="3" applyFill="1" applyBorder="1"/>
    <xf numFmtId="0" fontId="3" fillId="5" borderId="1" xfId="3" applyNumberFormat="1" applyFont="1" applyFill="1" applyBorder="1" applyAlignment="1">
      <alignment vertical="top" wrapText="1" readingOrder="1"/>
    </xf>
    <xf numFmtId="0" fontId="5" fillId="9" borderId="20" xfId="3" applyFont="1" applyFill="1" applyBorder="1"/>
    <xf numFmtId="0" fontId="18" fillId="14" borderId="0" xfId="3" applyFont="1" applyFill="1" applyAlignment="1">
      <alignment wrapText="1"/>
    </xf>
    <xf numFmtId="0" fontId="13" fillId="25" borderId="24" xfId="3" applyFont="1" applyFill="1" applyBorder="1"/>
    <xf numFmtId="3" fontId="5" fillId="25" borderId="25" xfId="3" applyNumberFormat="1" applyFill="1" applyBorder="1"/>
    <xf numFmtId="0" fontId="13" fillId="21" borderId="4" xfId="3" applyFont="1" applyFill="1" applyBorder="1"/>
    <xf numFmtId="0" fontId="13" fillId="29" borderId="31" xfId="3" applyFont="1" applyFill="1" applyBorder="1"/>
    <xf numFmtId="3" fontId="5" fillId="29" borderId="31" xfId="3" applyNumberFormat="1" applyFill="1" applyBorder="1"/>
    <xf numFmtId="10" fontId="5" fillId="29" borderId="31" xfId="3" applyNumberFormat="1" applyFill="1" applyBorder="1"/>
    <xf numFmtId="0" fontId="13" fillId="0" borderId="0" xfId="3" applyFont="1" applyFill="1" applyBorder="1"/>
    <xf numFmtId="0" fontId="13" fillId="0" borderId="3" xfId="3" applyFont="1" applyFill="1" applyBorder="1"/>
    <xf numFmtId="10" fontId="5" fillId="0" borderId="3" xfId="3" applyNumberFormat="1" applyFill="1" applyBorder="1"/>
    <xf numFmtId="0" fontId="5" fillId="18" borderId="32" xfId="3" applyFill="1" applyBorder="1"/>
    <xf numFmtId="0" fontId="5" fillId="18" borderId="2" xfId="3" applyFill="1" applyBorder="1"/>
    <xf numFmtId="0" fontId="5" fillId="29" borderId="2" xfId="3" applyFill="1" applyBorder="1"/>
    <xf numFmtId="10" fontId="5" fillId="29" borderId="2" xfId="3" applyNumberFormat="1" applyFill="1" applyBorder="1"/>
    <xf numFmtId="3" fontId="5" fillId="29" borderId="2" xfId="3" applyNumberFormat="1" applyFill="1" applyBorder="1"/>
    <xf numFmtId="0" fontId="16" fillId="7" borderId="31" xfId="3" applyFont="1" applyFill="1" applyBorder="1"/>
    <xf numFmtId="3" fontId="16" fillId="0" borderId="0" xfId="3" applyNumberFormat="1" applyFont="1"/>
    <xf numFmtId="10" fontId="16" fillId="0" borderId="31" xfId="1" applyNumberFormat="1" applyFont="1" applyFill="1" applyBorder="1"/>
    <xf numFmtId="0" fontId="12" fillId="0" borderId="0" xfId="3" applyFont="1" applyFill="1" applyBorder="1"/>
    <xf numFmtId="0" fontId="20" fillId="0" borderId="0" xfId="3" applyFont="1" applyFill="1" applyBorder="1"/>
    <xf numFmtId="3" fontId="12" fillId="0" borderId="0" xfId="3" applyNumberFormat="1" applyFont="1" applyFill="1" applyBorder="1"/>
    <xf numFmtId="10" fontId="12" fillId="0" borderId="0" xfId="1" applyNumberFormat="1" applyFont="1" applyFill="1" applyBorder="1"/>
    <xf numFmtId="0" fontId="5" fillId="6" borderId="2" xfId="3" applyFont="1" applyFill="1" applyBorder="1"/>
    <xf numFmtId="0" fontId="5" fillId="6" borderId="2" xfId="3" applyFont="1" applyFill="1" applyBorder="1" applyAlignment="1">
      <alignment horizontal="left" indent="1"/>
    </xf>
    <xf numFmtId="3" fontId="5" fillId="6" borderId="2" xfId="3" applyNumberFormat="1" applyFill="1" applyBorder="1"/>
    <xf numFmtId="0" fontId="5" fillId="0" borderId="2" xfId="3" applyFont="1" applyFill="1" applyBorder="1" applyAlignment="1">
      <alignment horizontal="left" indent="1"/>
    </xf>
    <xf numFmtId="3" fontId="5" fillId="0" borderId="2" xfId="3" applyNumberFormat="1" applyFill="1" applyBorder="1"/>
    <xf numFmtId="0" fontId="12" fillId="0" borderId="2" xfId="3" applyFont="1" applyFill="1" applyBorder="1"/>
    <xf numFmtId="0" fontId="20" fillId="0" borderId="2" xfId="3" applyFont="1" applyFill="1" applyBorder="1"/>
    <xf numFmtId="3" fontId="12" fillId="0" borderId="2" xfId="3" applyNumberFormat="1" applyFont="1" applyFill="1" applyBorder="1"/>
    <xf numFmtId="10" fontId="12" fillId="0" borderId="2" xfId="1" applyNumberFormat="1" applyFont="1" applyFill="1" applyBorder="1"/>
    <xf numFmtId="0" fontId="5" fillId="30" borderId="0" xfId="3" applyFill="1"/>
    <xf numFmtId="0" fontId="11" fillId="11" borderId="0" xfId="0" applyFont="1" applyFill="1"/>
    <xf numFmtId="0" fontId="10" fillId="11" borderId="1" xfId="0" applyNumberFormat="1" applyFont="1" applyFill="1" applyBorder="1" applyAlignment="1">
      <alignment vertical="top" wrapText="1" readingOrder="1"/>
    </xf>
    <xf numFmtId="0" fontId="10" fillId="11" borderId="1" xfId="0" applyNumberFormat="1" applyFont="1" applyFill="1" applyBorder="1" applyAlignment="1">
      <alignment horizontal="right" vertical="top" wrapText="1" readingOrder="1"/>
    </xf>
    <xf numFmtId="164" fontId="10" fillId="11" borderId="1" xfId="0" applyNumberFormat="1" applyFont="1" applyFill="1" applyBorder="1" applyAlignment="1">
      <alignment horizontal="right" vertical="top" wrapText="1" readingOrder="1"/>
    </xf>
    <xf numFmtId="0" fontId="5" fillId="11" borderId="0" xfId="0" applyFont="1" applyFill="1"/>
    <xf numFmtId="0" fontId="4" fillId="11" borderId="1" xfId="0" applyNumberFormat="1" applyFont="1" applyFill="1" applyBorder="1" applyAlignment="1">
      <alignment vertical="top" wrapText="1" readingOrder="1"/>
    </xf>
    <xf numFmtId="0" fontId="4" fillId="11" borderId="1" xfId="0" applyNumberFormat="1" applyFont="1" applyFill="1" applyBorder="1" applyAlignment="1">
      <alignment horizontal="right" vertical="top" wrapText="1" readingOrder="1"/>
    </xf>
    <xf numFmtId="164" fontId="4" fillId="11" borderId="1" xfId="0" applyNumberFormat="1" applyFont="1" applyFill="1" applyBorder="1" applyAlignment="1">
      <alignment horizontal="right" vertical="top" wrapText="1" readingOrder="1"/>
    </xf>
    <xf numFmtId="0" fontId="2" fillId="11" borderId="0" xfId="0" applyFont="1" applyFill="1" applyBorder="1"/>
    <xf numFmtId="0" fontId="0" fillId="0" borderId="0" xfId="0" applyFont="1" applyFill="1"/>
    <xf numFmtId="0" fontId="3" fillId="5" borderId="1" xfId="0" applyNumberFormat="1" applyFont="1" applyFill="1" applyBorder="1" applyAlignment="1">
      <alignment vertical="top" wrapText="1" readingOrder="1"/>
    </xf>
    <xf numFmtId="0" fontId="7" fillId="8" borderId="2" xfId="0" applyFont="1" applyFill="1" applyBorder="1"/>
    <xf numFmtId="0" fontId="2" fillId="8" borderId="2" xfId="0" applyFont="1" applyFill="1" applyBorder="1"/>
    <xf numFmtId="0" fontId="0" fillId="32" borderId="0" xfId="0" applyFill="1"/>
    <xf numFmtId="0" fontId="3" fillId="32" borderId="1" xfId="0" applyNumberFormat="1" applyFont="1" applyFill="1" applyBorder="1" applyAlignment="1">
      <alignment vertical="top" wrapText="1" readingOrder="1"/>
    </xf>
    <xf numFmtId="0" fontId="3" fillId="32" borderId="1" xfId="0" applyNumberFormat="1" applyFont="1" applyFill="1" applyBorder="1" applyAlignment="1">
      <alignment horizontal="right" vertical="top" wrapText="1" readingOrder="1"/>
    </xf>
    <xf numFmtId="164" fontId="3" fillId="32" borderId="1" xfId="0" applyNumberFormat="1" applyFont="1" applyFill="1" applyBorder="1" applyAlignment="1">
      <alignment horizontal="right" vertical="top" wrapText="1" readingOrder="1"/>
    </xf>
    <xf numFmtId="0" fontId="28" fillId="0" borderId="0" xfId="0" applyFont="1" applyFill="1" applyBorder="1" applyAlignment="1">
      <alignment horizontal="center" readingOrder="1"/>
    </xf>
    <xf numFmtId="0" fontId="28" fillId="0" borderId="0" xfId="0" applyFont="1" applyFill="1" applyBorder="1" applyAlignment="1"/>
    <xf numFmtId="0" fontId="28" fillId="0" borderId="0" xfId="0" applyFont="1" applyFill="1" applyBorder="1" applyAlignment="1">
      <alignment horizontal="center"/>
    </xf>
    <xf numFmtId="165" fontId="28" fillId="0" borderId="0" xfId="6" applyFont="1" applyFill="1" applyBorder="1" applyAlignment="1">
      <alignment horizontal="right"/>
    </xf>
    <xf numFmtId="3" fontId="28" fillId="0" borderId="0" xfId="0" applyNumberFormat="1" applyFont="1" applyFill="1" applyBorder="1" applyAlignment="1">
      <alignment horizontal="right"/>
    </xf>
    <xf numFmtId="166" fontId="29" fillId="0" borderId="0" xfId="6" applyNumberFormat="1" applyFont="1" applyFill="1" applyBorder="1" applyAlignment="1">
      <alignment horizontal="center"/>
    </xf>
    <xf numFmtId="0" fontId="28" fillId="0" borderId="0" xfId="0" applyFont="1" applyFill="1" applyBorder="1"/>
    <xf numFmtId="0" fontId="29" fillId="0" borderId="0" xfId="0" applyFont="1" applyFill="1" applyBorder="1" applyAlignment="1">
      <alignment horizontal="center"/>
    </xf>
    <xf numFmtId="0" fontId="28" fillId="0" borderId="0" xfId="0" applyFont="1" applyFill="1" applyBorder="1" applyAlignment="1">
      <alignment horizontal="left"/>
    </xf>
    <xf numFmtId="0" fontId="30" fillId="0" borderId="0" xfId="0" applyFont="1" applyFill="1" applyBorder="1"/>
    <xf numFmtId="166" fontId="30" fillId="0" borderId="0" xfId="6" applyNumberFormat="1" applyFont="1" applyFill="1" applyBorder="1"/>
    <xf numFmtId="0" fontId="31" fillId="0" borderId="0" xfId="0" applyFont="1" applyFill="1" applyBorder="1"/>
    <xf numFmtId="14" fontId="32" fillId="3" borderId="0" xfId="0" applyNumberFormat="1" applyFont="1" applyFill="1" applyBorder="1" applyAlignment="1">
      <alignment horizontal="center" readingOrder="1"/>
    </xf>
    <xf numFmtId="0" fontId="29" fillId="0" borderId="0" xfId="0" applyFont="1" applyFill="1" applyBorder="1" applyAlignment="1">
      <alignment horizontal="center" readingOrder="1"/>
    </xf>
    <xf numFmtId="3" fontId="29" fillId="0" borderId="0" xfId="0" applyNumberFormat="1" applyFont="1" applyFill="1" applyBorder="1" applyAlignment="1">
      <alignment horizontal="center"/>
    </xf>
    <xf numFmtId="3" fontId="29" fillId="0" borderId="0" xfId="0" applyNumberFormat="1" applyFont="1" applyFill="1" applyBorder="1" applyAlignment="1">
      <alignment horizontal="center" readingOrder="1"/>
    </xf>
    <xf numFmtId="0" fontId="33" fillId="0" borderId="0" xfId="0" applyFont="1" applyFill="1" applyBorder="1" applyAlignment="1">
      <alignment horizontal="center"/>
    </xf>
    <xf numFmtId="3" fontId="1" fillId="0" borderId="37" xfId="0" applyNumberFormat="1" applyFont="1" applyFill="1" applyBorder="1" applyAlignment="1">
      <alignment horizontal="center" vertical="top" wrapText="1" readingOrder="1"/>
    </xf>
    <xf numFmtId="0" fontId="34" fillId="0" borderId="0" xfId="0" applyFont="1" applyFill="1" applyBorder="1" applyAlignment="1">
      <alignment horizontal="center"/>
    </xf>
    <xf numFmtId="166" fontId="34" fillId="0" borderId="0" xfId="6" applyNumberFormat="1" applyFont="1" applyFill="1" applyBorder="1" applyAlignment="1">
      <alignment horizontal="center"/>
    </xf>
    <xf numFmtId="0" fontId="1" fillId="2" borderId="1" xfId="0" applyNumberFormat="1" applyFont="1" applyFill="1" applyBorder="1" applyAlignment="1">
      <alignment horizontal="center" vertical="center" wrapText="1" readingOrder="1"/>
    </xf>
    <xf numFmtId="0" fontId="1" fillId="2" borderId="1" xfId="0" applyNumberFormat="1" applyFont="1" applyFill="1" applyBorder="1" applyAlignment="1">
      <alignment vertical="center" wrapText="1" readingOrder="1"/>
    </xf>
    <xf numFmtId="3" fontId="1" fillId="35" borderId="1" xfId="0" applyNumberFormat="1" applyFont="1" applyFill="1" applyBorder="1" applyAlignment="1">
      <alignment horizontal="center" vertical="center" wrapText="1" readingOrder="1"/>
    </xf>
    <xf numFmtId="3" fontId="1" fillId="2" borderId="1" xfId="0" applyNumberFormat="1" applyFont="1" applyFill="1" applyBorder="1" applyAlignment="1">
      <alignment horizontal="center" vertical="center" wrapText="1" readingOrder="1"/>
    </xf>
    <xf numFmtId="3" fontId="1" fillId="33" borderId="33" xfId="0" applyNumberFormat="1" applyFont="1" applyFill="1" applyBorder="1" applyAlignment="1">
      <alignment horizontal="center" vertical="center" wrapText="1" readingOrder="1"/>
    </xf>
    <xf numFmtId="3" fontId="1" fillId="33" borderId="1" xfId="0" applyNumberFormat="1" applyFont="1" applyFill="1" applyBorder="1" applyAlignment="1">
      <alignment horizontal="center" vertical="center" wrapText="1" readingOrder="1"/>
    </xf>
    <xf numFmtId="3" fontId="1" fillId="33" borderId="38" xfId="0" applyNumberFormat="1" applyFont="1" applyFill="1" applyBorder="1" applyAlignment="1">
      <alignment horizontal="center" vertical="center" wrapText="1" readingOrder="1"/>
    </xf>
    <xf numFmtId="3" fontId="1" fillId="0" borderId="39" xfId="0" applyNumberFormat="1" applyFont="1" applyFill="1" applyBorder="1" applyAlignment="1">
      <alignment horizontal="center" vertical="center" wrapText="1" readingOrder="1"/>
    </xf>
    <xf numFmtId="10" fontId="1" fillId="35" borderId="1" xfId="1" applyNumberFormat="1" applyFont="1" applyFill="1" applyBorder="1" applyAlignment="1">
      <alignment horizontal="center" vertical="center" wrapText="1" readingOrder="1"/>
    </xf>
    <xf numFmtId="0" fontId="34" fillId="0" borderId="0" xfId="0" applyFont="1" applyFill="1" applyBorder="1"/>
    <xf numFmtId="166" fontId="34" fillId="0" borderId="0" xfId="6" applyNumberFormat="1" applyFont="1" applyFill="1" applyBorder="1"/>
    <xf numFmtId="0" fontId="33" fillId="0" borderId="0" xfId="0" applyFont="1" applyFill="1" applyBorder="1"/>
    <xf numFmtId="0" fontId="3" fillId="31" borderId="1" xfId="0" applyNumberFormat="1" applyFont="1" applyFill="1" applyBorder="1" applyAlignment="1">
      <alignment horizontal="center" vertical="top" wrapText="1" readingOrder="1"/>
    </xf>
    <xf numFmtId="0" fontId="3" fillId="31" borderId="1" xfId="0" applyNumberFormat="1" applyFont="1" applyFill="1" applyBorder="1" applyAlignment="1">
      <alignment horizontal="left" vertical="top" wrapText="1" readingOrder="1"/>
    </xf>
    <xf numFmtId="0" fontId="3" fillId="0" borderId="1" xfId="0" applyNumberFormat="1" applyFont="1" applyFill="1" applyBorder="1" applyAlignment="1">
      <alignment horizontal="center" vertical="top" wrapText="1" readingOrder="1"/>
    </xf>
    <xf numFmtId="166" fontId="3" fillId="0" borderId="1" xfId="6" applyNumberFormat="1" applyFont="1" applyFill="1" applyBorder="1" applyAlignment="1">
      <alignment horizontal="center" vertical="top" wrapText="1" readingOrder="1"/>
    </xf>
    <xf numFmtId="10" fontId="3" fillId="31" borderId="1" xfId="1" applyNumberFormat="1" applyFont="1" applyFill="1" applyBorder="1" applyAlignment="1">
      <alignment horizontal="right" vertical="top" wrapText="1" readingOrder="1"/>
    </xf>
    <xf numFmtId="3" fontId="35" fillId="36" borderId="33" xfId="0" applyNumberFormat="1" applyFont="1" applyFill="1" applyBorder="1" applyAlignment="1">
      <alignment horizontal="right" vertical="top" wrapText="1" readingOrder="1"/>
    </xf>
    <xf numFmtId="3" fontId="35" fillId="36" borderId="1" xfId="0" applyNumberFormat="1" applyFont="1" applyFill="1" applyBorder="1" applyAlignment="1">
      <alignment horizontal="right" vertical="top" wrapText="1" readingOrder="1"/>
    </xf>
    <xf numFmtId="3" fontId="35" fillId="36" borderId="40" xfId="0" applyNumberFormat="1" applyFont="1" applyFill="1" applyBorder="1" applyAlignment="1">
      <alignment horizontal="center" vertical="top" wrapText="1" readingOrder="1"/>
    </xf>
    <xf numFmtId="3" fontId="35" fillId="36" borderId="41" xfId="0" applyNumberFormat="1" applyFont="1" applyFill="1" applyBorder="1" applyAlignment="1">
      <alignment horizontal="center" vertical="top" wrapText="1" readingOrder="1"/>
    </xf>
    <xf numFmtId="3" fontId="3" fillId="0" borderId="39" xfId="0" applyNumberFormat="1" applyFont="1" applyFill="1" applyBorder="1" applyAlignment="1">
      <alignment horizontal="right" vertical="top" wrapText="1" readingOrder="1"/>
    </xf>
    <xf numFmtId="0" fontId="3" fillId="0" borderId="1" xfId="0" applyNumberFormat="1" applyFont="1" applyFill="1" applyBorder="1" applyAlignment="1">
      <alignment horizontal="left" vertical="top" wrapText="1" readingOrder="1"/>
    </xf>
    <xf numFmtId="3" fontId="3" fillId="0" borderId="1" xfId="0" applyNumberFormat="1" applyFont="1" applyFill="1" applyBorder="1" applyAlignment="1">
      <alignment horizontal="right" vertical="top" wrapText="1" readingOrder="1"/>
    </xf>
    <xf numFmtId="0" fontId="3" fillId="31" borderId="1" xfId="0" applyNumberFormat="1" applyFont="1" applyFill="1" applyBorder="1" applyAlignment="1">
      <alignment vertical="top" wrapText="1" readingOrder="1"/>
    </xf>
    <xf numFmtId="0" fontId="3" fillId="5" borderId="1" xfId="0" applyNumberFormat="1" applyFont="1" applyFill="1" applyBorder="1" applyAlignment="1">
      <alignment horizontal="center" vertical="top" wrapText="1" readingOrder="1"/>
    </xf>
    <xf numFmtId="3" fontId="35" fillId="36" borderId="40" xfId="0" applyNumberFormat="1" applyFont="1" applyFill="1" applyBorder="1" applyAlignment="1">
      <alignment horizontal="right" vertical="top" wrapText="1" readingOrder="1"/>
    </xf>
    <xf numFmtId="0" fontId="10" fillId="31" borderId="1" xfId="0" applyNumberFormat="1" applyFont="1" applyFill="1" applyBorder="1" applyAlignment="1">
      <alignment horizontal="center" vertical="top" wrapText="1" readingOrder="1"/>
    </xf>
    <xf numFmtId="0" fontId="10" fillId="31" borderId="1" xfId="0" applyNumberFormat="1" applyFont="1" applyFill="1" applyBorder="1" applyAlignment="1">
      <alignment horizontal="left" vertical="top" wrapText="1" readingOrder="1"/>
    </xf>
    <xf numFmtId="0" fontId="10" fillId="0" borderId="1" xfId="0" applyNumberFormat="1" applyFont="1" applyFill="1" applyBorder="1" applyAlignment="1">
      <alignment horizontal="center" vertical="top" wrapText="1" readingOrder="1"/>
    </xf>
    <xf numFmtId="3" fontId="4" fillId="37" borderId="33" xfId="0" applyNumberFormat="1" applyFont="1" applyFill="1" applyBorder="1" applyAlignment="1">
      <alignment horizontal="right" vertical="top" wrapText="1" readingOrder="1"/>
    </xf>
    <xf numFmtId="3" fontId="4" fillId="37" borderId="1" xfId="0" applyNumberFormat="1" applyFont="1" applyFill="1" applyBorder="1" applyAlignment="1">
      <alignment horizontal="right" vertical="top" wrapText="1" readingOrder="1"/>
    </xf>
    <xf numFmtId="3" fontId="4" fillId="37" borderId="40" xfId="0" applyNumberFormat="1" applyFont="1" applyFill="1" applyBorder="1" applyAlignment="1">
      <alignment horizontal="right" vertical="top" wrapText="1" readingOrder="1"/>
    </xf>
    <xf numFmtId="3" fontId="10" fillId="36" borderId="33" xfId="0" applyNumberFormat="1" applyFont="1" applyFill="1" applyBorder="1" applyAlignment="1">
      <alignment horizontal="right" vertical="top" wrapText="1" readingOrder="1"/>
    </xf>
    <xf numFmtId="3" fontId="36" fillId="36" borderId="41" xfId="0" applyNumberFormat="1" applyFont="1" applyFill="1" applyBorder="1" applyAlignment="1">
      <alignment horizontal="center" vertical="top" wrapText="1" readingOrder="1"/>
    </xf>
    <xf numFmtId="3" fontId="37" fillId="36" borderId="41" xfId="0" applyNumberFormat="1" applyFont="1" applyFill="1" applyBorder="1" applyAlignment="1">
      <alignment horizontal="center" vertical="top" wrapText="1" readingOrder="1"/>
    </xf>
    <xf numFmtId="3" fontId="35" fillId="36" borderId="1" xfId="0" applyNumberFormat="1" applyFont="1" applyFill="1" applyBorder="1" applyAlignment="1">
      <alignment horizontal="center" vertical="top" wrapText="1" readingOrder="1"/>
    </xf>
    <xf numFmtId="0" fontId="3" fillId="9" borderId="1" xfId="0" applyNumberFormat="1" applyFont="1" applyFill="1" applyBorder="1" applyAlignment="1">
      <alignment horizontal="center" vertical="top" wrapText="1" readingOrder="1"/>
    </xf>
    <xf numFmtId="10" fontId="3" fillId="9" borderId="1" xfId="1" applyNumberFormat="1" applyFont="1" applyFill="1" applyBorder="1" applyAlignment="1">
      <alignment horizontal="right" vertical="top" wrapText="1" readingOrder="1"/>
    </xf>
    <xf numFmtId="3" fontId="38" fillId="0" borderId="42" xfId="0" applyNumberFormat="1" applyFont="1" applyFill="1" applyBorder="1" applyAlignment="1">
      <alignment horizontal="right" vertical="center" wrapText="1" readingOrder="1"/>
    </xf>
    <xf numFmtId="3" fontId="38" fillId="0" borderId="40" xfId="0" applyNumberFormat="1" applyFont="1" applyFill="1" applyBorder="1" applyAlignment="1">
      <alignment horizontal="right" vertical="center" wrapText="1" readingOrder="1"/>
    </xf>
    <xf numFmtId="3" fontId="38" fillId="0" borderId="43" xfId="0" applyNumberFormat="1" applyFont="1" applyFill="1" applyBorder="1" applyAlignment="1">
      <alignment horizontal="center" vertical="center" wrapText="1" readingOrder="1"/>
    </xf>
    <xf numFmtId="0" fontId="3" fillId="7" borderId="1" xfId="0" applyNumberFormat="1" applyFont="1" applyFill="1" applyBorder="1" applyAlignment="1">
      <alignment horizontal="center" vertical="top" wrapText="1" readingOrder="1"/>
    </xf>
    <xf numFmtId="3" fontId="35" fillId="36" borderId="42" xfId="0" applyNumberFormat="1" applyFont="1" applyFill="1" applyBorder="1" applyAlignment="1">
      <alignment horizontal="right" vertical="top" wrapText="1" readingOrder="1"/>
    </xf>
    <xf numFmtId="3" fontId="35" fillId="36" borderId="43" xfId="0" applyNumberFormat="1" applyFont="1" applyFill="1" applyBorder="1" applyAlignment="1">
      <alignment horizontal="center" vertical="top" wrapText="1" readingOrder="1"/>
    </xf>
    <xf numFmtId="3" fontId="35" fillId="36" borderId="44" xfId="0" applyNumberFormat="1" applyFont="1" applyFill="1" applyBorder="1" applyAlignment="1">
      <alignment horizontal="right" vertical="top" wrapText="1" readingOrder="1"/>
    </xf>
    <xf numFmtId="0" fontId="7" fillId="31" borderId="2" xfId="0" applyFont="1" applyFill="1" applyBorder="1"/>
    <xf numFmtId="0" fontId="4" fillId="31" borderId="1" xfId="0" applyNumberFormat="1" applyFont="1" applyFill="1" applyBorder="1" applyAlignment="1">
      <alignment vertical="top" wrapText="1" readingOrder="1"/>
    </xf>
    <xf numFmtId="0" fontId="3" fillId="8" borderId="1" xfId="0" applyNumberFormat="1" applyFont="1" applyFill="1" applyBorder="1" applyAlignment="1">
      <alignment horizontal="center" vertical="top" wrapText="1" readingOrder="1"/>
    </xf>
    <xf numFmtId="0" fontId="2" fillId="8" borderId="0" xfId="0" applyFont="1" applyFill="1" applyBorder="1"/>
    <xf numFmtId="3" fontId="35" fillId="8" borderId="42" xfId="0" applyNumberFormat="1" applyFont="1" applyFill="1" applyBorder="1" applyAlignment="1">
      <alignment horizontal="right" vertical="top" wrapText="1" readingOrder="1"/>
    </xf>
    <xf numFmtId="3" fontId="39" fillId="8" borderId="45" xfId="0" applyNumberFormat="1" applyFont="1" applyFill="1" applyBorder="1" applyAlignment="1">
      <alignment horizontal="right" vertical="top" wrapText="1" readingOrder="1"/>
    </xf>
    <xf numFmtId="3" fontId="35" fillId="8" borderId="44" xfId="0" applyNumberFormat="1" applyFont="1" applyFill="1" applyBorder="1" applyAlignment="1">
      <alignment horizontal="right" vertical="top" wrapText="1" readingOrder="1"/>
    </xf>
    <xf numFmtId="3" fontId="35" fillId="8" borderId="43" xfId="0" applyNumberFormat="1" applyFont="1" applyFill="1" applyBorder="1" applyAlignment="1">
      <alignment horizontal="center" vertical="top" wrapText="1" readingOrder="1"/>
    </xf>
    <xf numFmtId="0" fontId="4" fillId="8" borderId="1" xfId="0" applyNumberFormat="1" applyFont="1" applyFill="1" applyBorder="1" applyAlignment="1">
      <alignment vertical="top" wrapText="1" readingOrder="1"/>
    </xf>
    <xf numFmtId="3" fontId="3" fillId="8" borderId="1" xfId="0" applyNumberFormat="1" applyFont="1" applyFill="1" applyBorder="1" applyAlignment="1">
      <alignment horizontal="right" vertical="top" wrapText="1" readingOrder="1"/>
    </xf>
    <xf numFmtId="10" fontId="3" fillId="8" borderId="1" xfId="1" applyNumberFormat="1" applyFont="1" applyFill="1" applyBorder="1" applyAlignment="1">
      <alignment horizontal="right" vertical="top" wrapText="1" readingOrder="1"/>
    </xf>
    <xf numFmtId="0" fontId="2" fillId="31" borderId="2" xfId="0" applyFont="1" applyFill="1" applyBorder="1"/>
    <xf numFmtId="3" fontId="35" fillId="36" borderId="46" xfId="0" applyNumberFormat="1" applyFont="1" applyFill="1" applyBorder="1" applyAlignment="1">
      <alignment horizontal="right" vertical="top" wrapText="1" readingOrder="1"/>
    </xf>
    <xf numFmtId="0" fontId="10" fillId="0" borderId="1" xfId="0" applyNumberFormat="1" applyFont="1" applyFill="1" applyBorder="1" applyAlignment="1">
      <alignment horizontal="left" vertical="top" wrapText="1" readingOrder="1"/>
    </xf>
    <xf numFmtId="3" fontId="4" fillId="38" borderId="40" xfId="0" applyNumberFormat="1" applyFont="1" applyFill="1" applyBorder="1" applyAlignment="1">
      <alignment horizontal="right" vertical="top" wrapText="1" readingOrder="1"/>
    </xf>
    <xf numFmtId="3" fontId="4" fillId="37" borderId="47" xfId="0" applyNumberFormat="1" applyFont="1" applyFill="1" applyBorder="1" applyAlignment="1">
      <alignment horizontal="right" vertical="top" wrapText="1" readingOrder="1"/>
    </xf>
    <xf numFmtId="3" fontId="35" fillId="36" borderId="47" xfId="0" applyNumberFormat="1" applyFont="1" applyFill="1" applyBorder="1" applyAlignment="1">
      <alignment horizontal="right" vertical="top" wrapText="1" readingOrder="1"/>
    </xf>
    <xf numFmtId="0" fontId="40" fillId="0" borderId="1" xfId="0" applyNumberFormat="1" applyFont="1" applyFill="1" applyBorder="1" applyAlignment="1">
      <alignment horizontal="center" vertical="top" wrapText="1" readingOrder="1"/>
    </xf>
    <xf numFmtId="0" fontId="40" fillId="0" borderId="1" xfId="0" applyNumberFormat="1" applyFont="1" applyFill="1" applyBorder="1" applyAlignment="1">
      <alignment horizontal="left" vertical="top" wrapText="1" readingOrder="1"/>
    </xf>
    <xf numFmtId="0" fontId="10" fillId="3" borderId="1" xfId="0" applyNumberFormat="1" applyFont="1" applyFill="1" applyBorder="1" applyAlignment="1">
      <alignment horizontal="center" vertical="top" wrapText="1" readingOrder="1"/>
    </xf>
    <xf numFmtId="0" fontId="2" fillId="39" borderId="0" xfId="0" applyFont="1" applyFill="1" applyBorder="1"/>
    <xf numFmtId="3" fontId="4" fillId="0" borderId="33" xfId="0" applyNumberFormat="1" applyFont="1" applyFill="1" applyBorder="1" applyAlignment="1">
      <alignment horizontal="right" vertical="top" wrapText="1" readingOrder="1"/>
    </xf>
    <xf numFmtId="3" fontId="4" fillId="0" borderId="40" xfId="0" applyNumberFormat="1" applyFont="1" applyFill="1" applyBorder="1" applyAlignment="1">
      <alignment horizontal="right" vertical="top" wrapText="1" readingOrder="1"/>
    </xf>
    <xf numFmtId="3" fontId="4" fillId="0" borderId="41" xfId="0" applyNumberFormat="1" applyFont="1" applyFill="1" applyBorder="1" applyAlignment="1">
      <alignment horizontal="center" vertical="top" wrapText="1" readingOrder="1"/>
    </xf>
    <xf numFmtId="0" fontId="4" fillId="9" borderId="1" xfId="0" applyNumberFormat="1" applyFont="1" applyFill="1" applyBorder="1" applyAlignment="1">
      <alignment horizontal="left" vertical="top" wrapText="1" readingOrder="1"/>
    </xf>
    <xf numFmtId="3" fontId="10" fillId="36" borderId="40" xfId="0" applyNumberFormat="1" applyFont="1" applyFill="1" applyBorder="1" applyAlignment="1">
      <alignment horizontal="right" vertical="top" wrapText="1" readingOrder="1"/>
    </xf>
    <xf numFmtId="0" fontId="3" fillId="9" borderId="1" xfId="0" applyNumberFormat="1" applyFont="1" applyFill="1" applyBorder="1" applyAlignment="1">
      <alignment horizontal="left" vertical="top" wrapText="1" readingOrder="1"/>
    </xf>
    <xf numFmtId="3" fontId="3" fillId="9" borderId="1" xfId="0" applyNumberFormat="1" applyFont="1" applyFill="1" applyBorder="1" applyAlignment="1">
      <alignment horizontal="right" vertical="top" wrapText="1" readingOrder="1"/>
    </xf>
    <xf numFmtId="0" fontId="34" fillId="9" borderId="0" xfId="0" applyFont="1" applyFill="1" applyBorder="1"/>
    <xf numFmtId="166" fontId="34" fillId="9" borderId="0" xfId="6" applyNumberFormat="1" applyFont="1" applyFill="1" applyBorder="1"/>
    <xf numFmtId="0" fontId="33" fillId="9" borderId="0" xfId="0" applyFont="1" applyFill="1" applyBorder="1"/>
    <xf numFmtId="3" fontId="35" fillId="36" borderId="45" xfId="0" applyNumberFormat="1" applyFont="1" applyFill="1" applyBorder="1" applyAlignment="1">
      <alignment horizontal="right" vertical="top" wrapText="1" readingOrder="1"/>
    </xf>
    <xf numFmtId="3" fontId="35" fillId="36" borderId="48" xfId="0" applyNumberFormat="1" applyFont="1" applyFill="1" applyBorder="1" applyAlignment="1">
      <alignment horizontal="right" vertical="top" wrapText="1" readingOrder="1"/>
    </xf>
    <xf numFmtId="3" fontId="35" fillId="36" borderId="49" xfId="0" applyNumberFormat="1" applyFont="1" applyFill="1" applyBorder="1" applyAlignment="1">
      <alignment horizontal="right" vertical="top" wrapText="1" readingOrder="1"/>
    </xf>
    <xf numFmtId="3" fontId="35" fillId="36" borderId="50" xfId="0" applyNumberFormat="1" applyFont="1" applyFill="1" applyBorder="1" applyAlignment="1">
      <alignment horizontal="right" vertical="top" wrapText="1" readingOrder="1"/>
    </xf>
    <xf numFmtId="3" fontId="35" fillId="36" borderId="51" xfId="0" applyNumberFormat="1" applyFont="1" applyFill="1" applyBorder="1" applyAlignment="1">
      <alignment horizontal="center" vertical="top" wrapText="1" readingOrder="1"/>
    </xf>
    <xf numFmtId="0" fontId="2" fillId="0" borderId="0" xfId="0" applyFont="1" applyFill="1" applyBorder="1" applyAlignment="1">
      <alignment horizontal="center" readingOrder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3" fontId="2" fillId="0" borderId="0" xfId="0" applyNumberFormat="1" applyFont="1" applyFill="1" applyBorder="1" applyAlignment="1">
      <alignment horizontal="right"/>
    </xf>
    <xf numFmtId="10" fontId="2" fillId="0" borderId="0" xfId="1" applyNumberFormat="1" applyFont="1" applyFill="1" applyBorder="1" applyAlignment="1">
      <alignment horizontal="center"/>
    </xf>
    <xf numFmtId="0" fontId="41" fillId="0" borderId="52" xfId="0" applyNumberFormat="1" applyFont="1" applyFill="1" applyBorder="1" applyAlignment="1">
      <alignment vertical="top" wrapText="1" readingOrder="1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right"/>
    </xf>
    <xf numFmtId="10" fontId="2" fillId="0" borderId="0" xfId="1" applyNumberFormat="1" applyFont="1" applyFill="1" applyBorder="1" applyAlignment="1">
      <alignment horizontal="right"/>
    </xf>
    <xf numFmtId="0" fontId="42" fillId="0" borderId="0" xfId="0" applyFont="1" applyFill="1" applyBorder="1"/>
    <xf numFmtId="0" fontId="42" fillId="0" borderId="0" xfId="0" applyFont="1" applyFill="1" applyBorder="1" applyAlignment="1">
      <alignment horizontal="center"/>
    </xf>
    <xf numFmtId="0" fontId="43" fillId="40" borderId="1" xfId="0" applyNumberFormat="1" applyFont="1" applyFill="1" applyBorder="1" applyAlignment="1">
      <alignment horizontal="left" vertical="center" wrapText="1" readingOrder="1"/>
    </xf>
    <xf numFmtId="3" fontId="42" fillId="0" borderId="0" xfId="0" applyNumberFormat="1" applyFont="1" applyFill="1" applyBorder="1"/>
    <xf numFmtId="0" fontId="2" fillId="3" borderId="0" xfId="0" applyFont="1" applyFill="1" applyBorder="1" applyAlignment="1">
      <alignment horizontal="right"/>
    </xf>
    <xf numFmtId="166" fontId="2" fillId="3" borderId="0" xfId="0" applyNumberFormat="1" applyFont="1" applyFill="1" applyBorder="1" applyAlignment="1">
      <alignment horizontal="right"/>
    </xf>
    <xf numFmtId="0" fontId="44" fillId="14" borderId="1" xfId="0" applyNumberFormat="1" applyFont="1" applyFill="1" applyBorder="1" applyAlignment="1">
      <alignment horizontal="center" vertical="top" wrapText="1" readingOrder="1"/>
    </xf>
    <xf numFmtId="166" fontId="44" fillId="14" borderId="1" xfId="6" applyNumberFormat="1" applyFont="1" applyFill="1" applyBorder="1" applyAlignment="1">
      <alignment horizontal="center" vertical="top" wrapText="1" readingOrder="1"/>
    </xf>
    <xf numFmtId="10" fontId="44" fillId="14" borderId="1" xfId="1" applyNumberFormat="1" applyFont="1" applyFill="1" applyBorder="1" applyAlignment="1">
      <alignment horizontal="right" vertical="top" wrapText="1" readingOrder="1"/>
    </xf>
    <xf numFmtId="0" fontId="45" fillId="0" borderId="0" xfId="0" applyFont="1" applyFill="1" applyBorder="1"/>
    <xf numFmtId="3" fontId="46" fillId="36" borderId="0" xfId="0" applyNumberFormat="1" applyFont="1" applyFill="1" applyBorder="1" applyAlignment="1">
      <alignment horizontal="right" vertical="top" wrapText="1" readingOrder="1"/>
    </xf>
    <xf numFmtId="0" fontId="44" fillId="14" borderId="1" xfId="0" applyNumberFormat="1" applyFont="1" applyFill="1" applyBorder="1" applyAlignment="1">
      <alignment vertical="top" wrapText="1" readingOrder="1"/>
    </xf>
    <xf numFmtId="166" fontId="44" fillId="14" borderId="1" xfId="0" applyNumberFormat="1" applyFont="1" applyFill="1" applyBorder="1" applyAlignment="1">
      <alignment horizontal="left" vertical="top" wrapText="1" readingOrder="1"/>
    </xf>
    <xf numFmtId="10" fontId="44" fillId="14" borderId="1" xfId="1" applyNumberFormat="1" applyFont="1" applyFill="1" applyBorder="1" applyAlignment="1">
      <alignment horizontal="center" vertical="top" wrapText="1" readingOrder="1"/>
    </xf>
    <xf numFmtId="10" fontId="34" fillId="0" borderId="0" xfId="0" applyNumberFormat="1" applyFont="1" applyFill="1" applyBorder="1" applyAlignment="1">
      <alignment horizontal="center"/>
    </xf>
    <xf numFmtId="0" fontId="45" fillId="3" borderId="0" xfId="0" applyFont="1" applyFill="1" applyBorder="1"/>
    <xf numFmtId="166" fontId="45" fillId="3" borderId="0" xfId="0" applyNumberFormat="1" applyFont="1" applyFill="1" applyBorder="1"/>
    <xf numFmtId="166" fontId="45" fillId="0" borderId="0" xfId="0" applyNumberFormat="1" applyFont="1" applyFill="1" applyBorder="1"/>
    <xf numFmtId="0" fontId="3" fillId="12" borderId="1" xfId="0" applyNumberFormat="1" applyFont="1" applyFill="1" applyBorder="1" applyAlignment="1">
      <alignment horizontal="center" vertical="top" wrapText="1" readingOrder="1"/>
    </xf>
    <xf numFmtId="0" fontId="44" fillId="12" borderId="1" xfId="0" quotePrefix="1" applyNumberFormat="1" applyFont="1" applyFill="1" applyBorder="1" applyAlignment="1">
      <alignment horizontal="left" vertical="top" wrapText="1" indent="1" readingOrder="1"/>
    </xf>
    <xf numFmtId="166" fontId="3" fillId="12" borderId="1" xfId="6" applyNumberFormat="1" applyFont="1" applyFill="1" applyBorder="1" applyAlignment="1">
      <alignment horizontal="center" vertical="top" wrapText="1" readingOrder="1"/>
    </xf>
    <xf numFmtId="10" fontId="3" fillId="12" borderId="1" xfId="1" applyNumberFormat="1" applyFont="1" applyFill="1" applyBorder="1" applyAlignment="1">
      <alignment horizontal="right" vertical="top" wrapText="1" readingOrder="1"/>
    </xf>
    <xf numFmtId="3" fontId="35" fillId="36" borderId="0" xfId="0" applyNumberFormat="1" applyFont="1" applyFill="1" applyBorder="1" applyAlignment="1">
      <alignment horizontal="right" vertical="top" wrapText="1" readingOrder="1"/>
    </xf>
    <xf numFmtId="166" fontId="44" fillId="12" borderId="1" xfId="0" applyNumberFormat="1" applyFont="1" applyFill="1" applyBorder="1" applyAlignment="1">
      <alignment horizontal="left" vertical="top" wrapText="1" readingOrder="1"/>
    </xf>
    <xf numFmtId="10" fontId="3" fillId="12" borderId="1" xfId="1" applyNumberFormat="1" applyFont="1" applyFill="1" applyBorder="1" applyAlignment="1">
      <alignment horizontal="center" vertical="top" wrapText="1" readingOrder="1"/>
    </xf>
    <xf numFmtId="10" fontId="33" fillId="0" borderId="0" xfId="0" applyNumberFormat="1" applyFont="1" applyFill="1" applyBorder="1" applyAlignment="1">
      <alignment horizontal="center"/>
    </xf>
    <xf numFmtId="166" fontId="33" fillId="0" borderId="0" xfId="6" applyNumberFormat="1" applyFont="1" applyFill="1" applyBorder="1" applyAlignment="1">
      <alignment horizontal="center"/>
    </xf>
    <xf numFmtId="166" fontId="2" fillId="0" borderId="0" xfId="0" applyNumberFormat="1" applyFont="1" applyFill="1" applyBorder="1"/>
    <xf numFmtId="0" fontId="3" fillId="12" borderId="0" xfId="0" applyNumberFormat="1" applyFont="1" applyFill="1" applyBorder="1" applyAlignment="1">
      <alignment horizontal="center" vertical="top" wrapText="1" readingOrder="1"/>
    </xf>
    <xf numFmtId="0" fontId="44" fillId="12" borderId="0" xfId="0" applyNumberFormat="1" applyFont="1" applyFill="1" applyBorder="1" applyAlignment="1">
      <alignment horizontal="left" vertical="top" wrapText="1" indent="1" readingOrder="1"/>
    </xf>
    <xf numFmtId="166" fontId="3" fillId="12" borderId="0" xfId="6" applyNumberFormat="1" applyFont="1" applyFill="1" applyBorder="1" applyAlignment="1">
      <alignment horizontal="center" vertical="top" wrapText="1" readingOrder="1"/>
    </xf>
    <xf numFmtId="3" fontId="35" fillId="36" borderId="0" xfId="0" applyNumberFormat="1" applyFont="1" applyFill="1" applyBorder="1" applyAlignment="1">
      <alignment horizontal="center" vertical="top" wrapText="1" readingOrder="1"/>
    </xf>
    <xf numFmtId="0" fontId="3" fillId="12" borderId="0" xfId="0" applyNumberFormat="1" applyFont="1" applyFill="1" applyBorder="1" applyAlignment="1">
      <alignment vertical="top" wrapText="1" readingOrder="1"/>
    </xf>
    <xf numFmtId="166" fontId="44" fillId="12" borderId="0" xfId="0" applyNumberFormat="1" applyFont="1" applyFill="1" applyBorder="1" applyAlignment="1">
      <alignment horizontal="left" vertical="top" wrapText="1" readingOrder="1"/>
    </xf>
    <xf numFmtId="166" fontId="47" fillId="0" borderId="0" xfId="0" applyNumberFormat="1" applyFont="1" applyFill="1" applyBorder="1"/>
    <xf numFmtId="0" fontId="48" fillId="6" borderId="0" xfId="0" applyNumberFormat="1" applyFont="1" applyFill="1" applyBorder="1" applyAlignment="1">
      <alignment horizontal="center" vertical="top" wrapText="1" readingOrder="1"/>
    </xf>
    <xf numFmtId="0" fontId="48" fillId="6" borderId="0" xfId="0" quotePrefix="1" applyNumberFormat="1" applyFont="1" applyFill="1" applyBorder="1" applyAlignment="1">
      <alignment horizontal="left" vertical="top" wrapText="1" indent="1" readingOrder="1"/>
    </xf>
    <xf numFmtId="166" fontId="48" fillId="6" borderId="0" xfId="6" applyNumberFormat="1" applyFont="1" applyFill="1" applyBorder="1" applyAlignment="1">
      <alignment horizontal="center" vertical="top" wrapText="1" readingOrder="1"/>
    </xf>
    <xf numFmtId="10" fontId="48" fillId="6" borderId="0" xfId="1" applyNumberFormat="1" applyFont="1" applyFill="1" applyBorder="1" applyAlignment="1">
      <alignment horizontal="center" vertical="top" wrapText="1" readingOrder="1"/>
    </xf>
    <xf numFmtId="3" fontId="46" fillId="36" borderId="0" xfId="0" applyNumberFormat="1" applyFont="1" applyFill="1" applyBorder="1" applyAlignment="1">
      <alignment horizontal="center" vertical="top" wrapText="1" readingOrder="1"/>
    </xf>
    <xf numFmtId="0" fontId="49" fillId="6" borderId="0" xfId="0" applyNumberFormat="1" applyFont="1" applyFill="1" applyBorder="1" applyAlignment="1">
      <alignment vertical="top" wrapText="1" readingOrder="1"/>
    </xf>
    <xf numFmtId="166" fontId="49" fillId="6" borderId="0" xfId="6" applyNumberFormat="1" applyFont="1" applyFill="1" applyBorder="1" applyAlignment="1">
      <alignment horizontal="center" vertical="top" wrapText="1" readingOrder="1"/>
    </xf>
    <xf numFmtId="10" fontId="49" fillId="6" borderId="0" xfId="1" applyNumberFormat="1" applyFont="1" applyFill="1" applyBorder="1" applyAlignment="1">
      <alignment horizontal="center" vertical="top" wrapText="1" readingOrder="1"/>
    </xf>
    <xf numFmtId="10" fontId="2" fillId="0" borderId="0" xfId="0" applyNumberFormat="1" applyFont="1" applyFill="1" applyBorder="1"/>
    <xf numFmtId="0" fontId="44" fillId="14" borderId="1" xfId="0" applyNumberFormat="1" applyFont="1" applyFill="1" applyBorder="1" applyAlignment="1">
      <alignment horizontal="left" vertical="top" wrapText="1" readingOrder="1"/>
    </xf>
    <xf numFmtId="0" fontId="45" fillId="12" borderId="0" xfId="0" applyFont="1" applyFill="1" applyBorder="1"/>
    <xf numFmtId="0" fontId="2" fillId="12" borderId="0" xfId="0" applyFont="1" applyFill="1" applyBorder="1" applyAlignment="1">
      <alignment horizontal="center"/>
    </xf>
    <xf numFmtId="0" fontId="48" fillId="4" borderId="1" xfId="0" applyNumberFormat="1" applyFont="1" applyFill="1" applyBorder="1" applyAlignment="1">
      <alignment horizontal="center" vertical="top" wrapText="1" readingOrder="1"/>
    </xf>
    <xf numFmtId="0" fontId="48" fillId="4" borderId="1" xfId="0" applyNumberFormat="1" applyFont="1" applyFill="1" applyBorder="1" applyAlignment="1">
      <alignment horizontal="left" vertical="top" wrapText="1" readingOrder="1"/>
    </xf>
    <xf numFmtId="166" fontId="48" fillId="4" borderId="1" xfId="6" applyNumberFormat="1" applyFont="1" applyFill="1" applyBorder="1" applyAlignment="1">
      <alignment horizontal="center" vertical="top" wrapText="1" readingOrder="1"/>
    </xf>
    <xf numFmtId="10" fontId="48" fillId="4" borderId="1" xfId="1" applyNumberFormat="1" applyFont="1" applyFill="1" applyBorder="1" applyAlignment="1">
      <alignment horizontal="right" vertical="top" wrapText="1" readingOrder="1"/>
    </xf>
    <xf numFmtId="0" fontId="49" fillId="4" borderId="1" xfId="0" applyNumberFormat="1" applyFont="1" applyFill="1" applyBorder="1" applyAlignment="1">
      <alignment vertical="top" wrapText="1" readingOrder="1"/>
    </xf>
    <xf numFmtId="166" fontId="49" fillId="4" borderId="1" xfId="0" applyNumberFormat="1" applyFont="1" applyFill="1" applyBorder="1" applyAlignment="1">
      <alignment horizontal="left" vertical="top" wrapText="1" readingOrder="1"/>
    </xf>
    <xf numFmtId="166" fontId="49" fillId="4" borderId="1" xfId="6" applyNumberFormat="1" applyFont="1" applyFill="1" applyBorder="1" applyAlignment="1">
      <alignment horizontal="center" vertical="top" wrapText="1" readingOrder="1"/>
    </xf>
    <xf numFmtId="10" fontId="49" fillId="4" borderId="1" xfId="1" applyNumberFormat="1" applyFont="1" applyFill="1" applyBorder="1" applyAlignment="1">
      <alignment horizontal="center" vertical="top" wrapText="1" readingOrder="1"/>
    </xf>
    <xf numFmtId="166" fontId="2" fillId="0" borderId="0" xfId="6" applyNumberFormat="1" applyFont="1" applyFill="1" applyBorder="1" applyAlignment="1">
      <alignment horizontal="right"/>
    </xf>
    <xf numFmtId="166" fontId="2" fillId="0" borderId="0" xfId="0" applyNumberFormat="1" applyFont="1" applyFill="1" applyBorder="1" applyAlignment="1">
      <alignment horizontal="right"/>
    </xf>
    <xf numFmtId="3" fontId="2" fillId="0" borderId="0" xfId="0" applyNumberFormat="1" applyFont="1" applyFill="1" applyBorder="1"/>
    <xf numFmtId="166" fontId="2" fillId="0" borderId="0" xfId="1" applyNumberFormat="1" applyFont="1" applyFill="1" applyBorder="1" applyAlignment="1">
      <alignment horizontal="right"/>
    </xf>
    <xf numFmtId="0" fontId="50" fillId="0" borderId="0" xfId="0" applyFont="1" applyFill="1" applyBorder="1" applyAlignment="1">
      <alignment horizontal="left"/>
    </xf>
    <xf numFmtId="0" fontId="3" fillId="0" borderId="0" xfId="0" applyNumberFormat="1" applyFont="1" applyFill="1" applyBorder="1" applyAlignment="1">
      <alignment vertical="top" wrapText="1" readingOrder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2" fillId="4" borderId="1" xfId="0" applyFont="1" applyFill="1" applyBorder="1"/>
    <xf numFmtId="0" fontId="3" fillId="9" borderId="0" xfId="0" applyNumberFormat="1" applyFont="1" applyFill="1" applyBorder="1" applyAlignment="1">
      <alignment vertical="top" wrapText="1" readingOrder="1"/>
    </xf>
    <xf numFmtId="0" fontId="2" fillId="0" borderId="1" xfId="0" applyFont="1" applyFill="1" applyBorder="1"/>
    <xf numFmtId="0" fontId="2" fillId="11" borderId="1" xfId="0" applyFont="1" applyFill="1" applyBorder="1"/>
    <xf numFmtId="0" fontId="3" fillId="32" borderId="0" xfId="0" applyNumberFormat="1" applyFont="1" applyFill="1" applyBorder="1" applyAlignment="1">
      <alignment vertical="top" wrapText="1" readingOrder="1"/>
    </xf>
    <xf numFmtId="0" fontId="0" fillId="0" borderId="1" xfId="0" applyFill="1" applyBorder="1"/>
    <xf numFmtId="0" fontId="0" fillId="0" borderId="0" xfId="0" applyFill="1" applyBorder="1"/>
    <xf numFmtId="0" fontId="10" fillId="0" borderId="0" xfId="0" applyNumberFormat="1" applyFont="1" applyFill="1" applyBorder="1" applyAlignment="1">
      <alignment horizontal="right" vertical="top" wrapText="1" readingOrder="1"/>
    </xf>
    <xf numFmtId="0" fontId="0" fillId="0" borderId="0" xfId="0" applyAlignment="1">
      <alignment horizontal="center"/>
    </xf>
    <xf numFmtId="10" fontId="0" fillId="0" borderId="0" xfId="0" applyNumberFormat="1"/>
    <xf numFmtId="0" fontId="0" fillId="0" borderId="0" xfId="0" pivotButton="1" applyAlignment="1">
      <alignment horizontal="center"/>
    </xf>
    <xf numFmtId="0" fontId="4" fillId="32" borderId="53" xfId="0" applyNumberFormat="1" applyFont="1" applyFill="1" applyBorder="1" applyAlignment="1">
      <alignment vertical="top" wrapText="1" readingOrder="1"/>
    </xf>
    <xf numFmtId="0" fontId="0" fillId="0" borderId="0" xfId="0" applyAlignment="1">
      <alignment horizontal="center" vertical="center" readingOrder="1"/>
    </xf>
    <xf numFmtId="9" fontId="0" fillId="0" borderId="0" xfId="1" applyFont="1" applyAlignment="1">
      <alignment horizontal="center" vertical="center" readingOrder="1"/>
    </xf>
    <xf numFmtId="0" fontId="51" fillId="32" borderId="53" xfId="0" applyNumberFormat="1" applyFont="1" applyFill="1" applyBorder="1" applyAlignment="1">
      <alignment horizontal="center" vertical="center" wrapText="1" readingOrder="1"/>
    </xf>
    <xf numFmtId="0" fontId="0" fillId="0" borderId="0" xfId="0" applyBorder="1"/>
    <xf numFmtId="3" fontId="1" fillId="33" borderId="34" xfId="0" applyNumberFormat="1" applyFont="1" applyFill="1" applyBorder="1" applyAlignment="1">
      <alignment horizontal="center" vertical="top" wrapText="1" readingOrder="1"/>
    </xf>
    <xf numFmtId="3" fontId="1" fillId="33" borderId="35" xfId="0" applyNumberFormat="1" applyFont="1" applyFill="1" applyBorder="1" applyAlignment="1">
      <alignment horizontal="center" vertical="top" wrapText="1" readingOrder="1"/>
    </xf>
    <xf numFmtId="3" fontId="1" fillId="33" borderId="36" xfId="0" applyNumberFormat="1" applyFont="1" applyFill="1" applyBorder="1" applyAlignment="1">
      <alignment horizontal="center" vertical="top" wrapText="1" readingOrder="1"/>
    </xf>
    <xf numFmtId="0" fontId="33" fillId="34" borderId="37" xfId="0" applyFont="1" applyFill="1" applyBorder="1" applyAlignment="1">
      <alignment horizontal="center"/>
    </xf>
    <xf numFmtId="0" fontId="26" fillId="5" borderId="20" xfId="3" applyFont="1" applyFill="1" applyBorder="1" applyAlignment="1">
      <alignment horizontal="left" vertical="center"/>
    </xf>
    <xf numFmtId="0" fontId="26" fillId="5" borderId="20" xfId="3" applyFont="1" applyFill="1" applyBorder="1" applyAlignment="1">
      <alignment horizontal="right" vertical="center"/>
    </xf>
    <xf numFmtId="0" fontId="5" fillId="41" borderId="37" xfId="0" applyFont="1" applyFill="1" applyBorder="1" applyAlignment="1">
      <alignment horizontal="center"/>
    </xf>
    <xf numFmtId="0" fontId="3" fillId="0" borderId="53" xfId="0" applyNumberFormat="1" applyFont="1" applyFill="1" applyBorder="1" applyAlignment="1">
      <alignment vertical="top" wrapText="1" readingOrder="1"/>
    </xf>
    <xf numFmtId="0" fontId="52" fillId="2" borderId="1" xfId="0" applyNumberFormat="1" applyFont="1" applyFill="1" applyBorder="1" applyAlignment="1">
      <alignment horizontal="center" vertical="top" wrapText="1" readingOrder="1"/>
    </xf>
    <xf numFmtId="0" fontId="53" fillId="0" borderId="1" xfId="0" applyNumberFormat="1" applyFont="1" applyFill="1" applyBorder="1" applyAlignment="1">
      <alignment vertical="top" wrapText="1" readingOrder="1"/>
    </xf>
    <xf numFmtId="0" fontId="53" fillId="0" borderId="1" xfId="0" applyNumberFormat="1" applyFont="1" applyFill="1" applyBorder="1" applyAlignment="1">
      <alignment horizontal="right" vertical="top" wrapText="1" readingOrder="1"/>
    </xf>
    <xf numFmtId="164" fontId="53" fillId="0" borderId="1" xfId="0" applyNumberFormat="1" applyFont="1" applyFill="1" applyBorder="1" applyAlignment="1">
      <alignment horizontal="right" vertical="top" wrapText="1" readingOrder="1"/>
    </xf>
    <xf numFmtId="0" fontId="1" fillId="2" borderId="54" xfId="0" applyNumberFormat="1" applyFont="1" applyFill="1" applyBorder="1" applyAlignment="1">
      <alignment vertical="center" wrapText="1"/>
    </xf>
    <xf numFmtId="9" fontId="1" fillId="2" borderId="54" xfId="1" applyFont="1" applyFill="1" applyBorder="1" applyAlignment="1">
      <alignment vertical="center" wrapText="1"/>
    </xf>
    <xf numFmtId="0" fontId="0" fillId="41" borderId="0" xfId="0" applyFill="1" applyAlignment="1">
      <alignment vertical="center"/>
    </xf>
    <xf numFmtId="3" fontId="0" fillId="41" borderId="0" xfId="0" applyNumberFormat="1" applyFill="1" applyAlignment="1">
      <alignment vertical="center"/>
    </xf>
    <xf numFmtId="9" fontId="0" fillId="41" borderId="0" xfId="1" applyFont="1" applyFill="1" applyAlignment="1">
      <alignment vertical="center"/>
    </xf>
    <xf numFmtId="0" fontId="0" fillId="0" borderId="0" xfId="0" applyAlignment="1">
      <alignment vertical="center"/>
    </xf>
    <xf numFmtId="9" fontId="0" fillId="0" borderId="0" xfId="1" applyFont="1" applyAlignment="1">
      <alignment vertical="center"/>
    </xf>
    <xf numFmtId="0" fontId="0" fillId="41" borderId="0" xfId="0" applyFill="1" applyAlignment="1">
      <alignment horizontal="center" vertical="center"/>
    </xf>
  </cellXfs>
  <cellStyles count="7">
    <cellStyle name="Milliers 2" xfId="6"/>
    <cellStyle name="Normal" xfId="0" builtinId="0"/>
    <cellStyle name="Normal 2" xfId="3"/>
    <cellStyle name="Normal 3" xfId="2"/>
    <cellStyle name="Normal_Feuil1" xfId="5"/>
    <cellStyle name="Pourcentage" xfId="1" builtinId="5"/>
    <cellStyle name="Pourcentage 2" xfId="4"/>
  </cellStyles>
  <dxfs count="32">
    <dxf>
      <numFmt numFmtId="0" formatCode="General"/>
      <fill>
        <patternFill patternType="solid">
          <fgColor indexed="64"/>
          <bgColor theme="2"/>
        </patternFill>
      </fill>
      <alignment horizontal="general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FFFFFF"/>
        <name val="Arial"/>
        <scheme val="none"/>
      </font>
      <numFmt numFmtId="0" formatCode="General"/>
      <fill>
        <patternFill patternType="solid">
          <fgColor rgb="FF4682B4"/>
          <bgColor rgb="FF4682B4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rgb="FFD3D3D3"/>
        </left>
        <right style="thin">
          <color rgb="FFD3D3D3"/>
        </right>
        <top/>
        <bottom/>
      </border>
    </dxf>
    <dxf>
      <fill>
        <patternFill patternType="solid">
          <fgColor indexed="64"/>
          <bgColor theme="2"/>
        </patternFill>
      </fill>
      <alignment horizontal="general" vertical="center" textRotation="0" indent="0" justifyLastLine="0" shrinkToFit="0" readingOrder="0"/>
    </dxf>
    <dxf>
      <fill>
        <patternFill patternType="solid">
          <fgColor indexed="64"/>
          <bgColor theme="2"/>
        </patternFill>
      </fill>
      <alignment horizontal="general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3" formatCode="0%"/>
      <fill>
        <patternFill patternType="solid">
          <fgColor indexed="64"/>
          <bgColor theme="2"/>
        </patternFill>
      </fill>
      <alignment horizontal="general" vertical="center" textRotation="0" indent="0" justifyLastLine="0" shrinkToFit="0" readingOrder="0"/>
    </dxf>
    <dxf>
      <fill>
        <patternFill patternType="solid">
          <fgColor indexed="64"/>
          <bgColor theme="2"/>
        </patternFill>
      </fill>
      <alignment horizontal="general" vertical="center" textRotation="0" indent="0" justifyLastLine="0" shrinkToFit="0" readingOrder="0"/>
    </dxf>
    <dxf>
      <numFmt numFmtId="3" formatCode="#,##0"/>
      <fill>
        <patternFill patternType="solid">
          <fgColor indexed="64"/>
          <bgColor theme="2"/>
        </patternFill>
      </fill>
      <alignment horizontal="general" vertical="center" textRotation="0" indent="0" justifyLastLine="0" shrinkToFit="0" readingOrder="0"/>
    </dxf>
    <dxf>
      <numFmt numFmtId="0" formatCode="General"/>
      <fill>
        <patternFill patternType="solid">
          <fgColor indexed="64"/>
          <bgColor theme="2"/>
        </patternFill>
      </fill>
      <alignment horizontal="general" vertical="center" textRotation="0" indent="0" justifyLastLine="0" shrinkToFit="0" readingOrder="0"/>
    </dxf>
    <dxf>
      <numFmt numFmtId="0" formatCode="General"/>
      <fill>
        <patternFill patternType="solid">
          <fgColor indexed="64"/>
          <bgColor theme="2"/>
        </patternFill>
      </fill>
      <alignment horizontal="general" vertical="center" textRotation="0" indent="0" justifyLastLine="0" shrinkToFit="0" readingOrder="0"/>
    </dxf>
    <dxf>
      <fill>
        <patternFill patternType="solid">
          <fgColor indexed="64"/>
          <bgColor theme="2"/>
        </patternFill>
      </fill>
      <alignment horizontal="general" vertical="center" textRotation="0" indent="0" justifyLastLine="0" shrinkToFit="0" readingOrder="0"/>
    </dxf>
    <dxf>
      <fill>
        <patternFill patternType="solid">
          <fgColor indexed="64"/>
          <bgColor theme="2"/>
        </patternFill>
      </fill>
      <alignment horizontal="general" vertical="center" textRotation="0" indent="0" justifyLastLine="0" shrinkToFit="0" readingOrder="0"/>
    </dxf>
    <dxf>
      <fill>
        <patternFill patternType="solid">
          <fgColor indexed="64"/>
          <bgColor theme="2"/>
        </patternFill>
      </fill>
      <alignment horizontal="general" vertical="center" textRotation="0" indent="0" justifyLastLine="0" shrinkToFit="0" readingOrder="0"/>
    </dxf>
    <dxf>
      <fill>
        <patternFill patternType="solid">
          <fgColor indexed="64"/>
          <bgColor theme="2"/>
        </patternFill>
      </fill>
      <alignment horizontal="general" vertical="center" textRotation="0" indent="0" justifyLastLine="0" shrinkToFit="0" readingOrder="0"/>
    </dxf>
    <dxf>
      <fill>
        <patternFill patternType="solid">
          <fgColor indexed="64"/>
          <bgColor theme="2"/>
        </patternFill>
      </fill>
      <alignment horizontal="general" vertical="center" textRotation="0" indent="0" justifyLastLine="0" shrinkToFit="0" readingOrder="0"/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border outline="0">
        <top style="thin">
          <color rgb="FFD3D3D3"/>
        </top>
      </border>
    </dxf>
    <dxf>
      <border outline="0">
        <bottom style="thin">
          <color rgb="FFD3D3D3"/>
        </bottom>
      </border>
    </dxf>
    <dxf>
      <alignment horizontal="center" readingOrder="0"/>
    </dxf>
    <dxf>
      <alignment horizontal="center" readingOrder="0"/>
    </dxf>
  </dxfs>
  <tableStyles count="0" defaultTableStyle="TableStyleMedium2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115957</xdr:colOff>
      <xdr:row>107</xdr:row>
      <xdr:rowOff>124239</xdr:rowOff>
    </xdr:from>
    <xdr:to>
      <xdr:col>23</xdr:col>
      <xdr:colOff>230672</xdr:colOff>
      <xdr:row>116</xdr:row>
      <xdr:rowOff>171863</xdr:rowOff>
    </xdr:to>
    <xdr:pic>
      <xdr:nvPicPr>
        <xdr:cNvPr id="2" name="Picture 2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50232" y="22955664"/>
          <a:ext cx="5648740" cy="177164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126</xdr:row>
      <xdr:rowOff>16566</xdr:rowOff>
    </xdr:from>
    <xdr:to>
      <xdr:col>11</xdr:col>
      <xdr:colOff>337752</xdr:colOff>
      <xdr:row>137</xdr:row>
      <xdr:rowOff>168685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26477016"/>
          <a:ext cx="8033952" cy="224761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119</xdr:row>
      <xdr:rowOff>8283</xdr:rowOff>
    </xdr:from>
    <xdr:to>
      <xdr:col>9</xdr:col>
      <xdr:colOff>643038</xdr:colOff>
      <xdr:row>126</xdr:row>
      <xdr:rowOff>74783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25135233"/>
          <a:ext cx="7453413" cy="14000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Commun\LOGISTIQUE\30_ORDONNANCEMENT\COSTING\10-21\V&#233;rif_costing_Oct-2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COSTING\08-ao&#251;t-2018\V&#233;rif_costing_aout-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U"/>
      <sheetName val="RPL Ref"/>
      <sheetName val="WIP adj par produit"/>
      <sheetName val="MES Adj"/>
      <sheetName val="MES Costing Report"/>
      <sheetName val="MOP"/>
      <sheetName val="BS"/>
      <sheetName val="Feuil1"/>
      <sheetName val="Feuil2"/>
      <sheetName val="Feuil3"/>
    </sheetNames>
    <sheetDataSet>
      <sheetData sheetId="0"/>
      <sheetData sheetId="1">
        <row r="1">
          <cell r="A1">
            <v>44470</v>
          </cell>
        </row>
        <row r="5">
          <cell r="C5">
            <v>0</v>
          </cell>
          <cell r="D5">
            <v>0</v>
          </cell>
          <cell r="F5">
            <v>0</v>
          </cell>
        </row>
        <row r="6">
          <cell r="C6">
            <v>0</v>
          </cell>
          <cell r="D6">
            <v>0</v>
          </cell>
          <cell r="F6">
            <v>0</v>
          </cell>
        </row>
        <row r="7">
          <cell r="C7">
            <v>0</v>
          </cell>
          <cell r="D7">
            <v>0</v>
          </cell>
          <cell r="F7">
            <v>0</v>
          </cell>
        </row>
        <row r="8">
          <cell r="C8">
            <v>0</v>
          </cell>
          <cell r="D8">
            <v>0</v>
          </cell>
          <cell r="F8">
            <v>0</v>
          </cell>
        </row>
        <row r="9">
          <cell r="C9">
            <v>0</v>
          </cell>
          <cell r="D9">
            <v>0</v>
          </cell>
          <cell r="F9">
            <v>0</v>
          </cell>
        </row>
        <row r="10">
          <cell r="C10">
            <v>0</v>
          </cell>
          <cell r="D10">
            <v>0</v>
          </cell>
          <cell r="F10">
            <v>0</v>
          </cell>
        </row>
        <row r="11">
          <cell r="C11">
            <v>0</v>
          </cell>
          <cell r="D11">
            <v>0</v>
          </cell>
          <cell r="F11">
            <v>0</v>
          </cell>
        </row>
        <row r="12">
          <cell r="C12">
            <v>0</v>
          </cell>
          <cell r="D12">
            <v>0</v>
          </cell>
          <cell r="F12">
            <v>0</v>
          </cell>
        </row>
        <row r="14">
          <cell r="C14">
            <v>0</v>
          </cell>
          <cell r="D14">
            <v>0</v>
          </cell>
          <cell r="F14">
            <v>0</v>
          </cell>
        </row>
        <row r="15">
          <cell r="C15">
            <v>0</v>
          </cell>
          <cell r="D15">
            <v>0</v>
          </cell>
          <cell r="F15">
            <v>0</v>
          </cell>
        </row>
        <row r="20">
          <cell r="C20">
            <v>95440</v>
          </cell>
          <cell r="D20">
            <v>91795</v>
          </cell>
          <cell r="F20">
            <v>8063</v>
          </cell>
        </row>
        <row r="21">
          <cell r="C21">
            <v>0</v>
          </cell>
          <cell r="D21">
            <v>0</v>
          </cell>
          <cell r="F21">
            <v>0</v>
          </cell>
        </row>
        <row r="24">
          <cell r="C24">
            <v>0</v>
          </cell>
          <cell r="D24">
            <v>0</v>
          </cell>
          <cell r="F24">
            <v>0</v>
          </cell>
        </row>
        <row r="30">
          <cell r="C30">
            <v>0</v>
          </cell>
          <cell r="D30">
            <v>0</v>
          </cell>
          <cell r="F30">
            <v>0</v>
          </cell>
        </row>
        <row r="31">
          <cell r="C31">
            <v>0</v>
          </cell>
          <cell r="D31">
            <v>0</v>
          </cell>
          <cell r="F31">
            <v>0</v>
          </cell>
        </row>
        <row r="32">
          <cell r="C32">
            <v>21360</v>
          </cell>
          <cell r="D32">
            <v>19878</v>
          </cell>
          <cell r="F32">
            <v>6535</v>
          </cell>
        </row>
        <row r="33">
          <cell r="C33">
            <v>0</v>
          </cell>
          <cell r="D33">
            <v>0</v>
          </cell>
          <cell r="F33">
            <v>0</v>
          </cell>
        </row>
        <row r="34">
          <cell r="C34">
            <v>6228</v>
          </cell>
          <cell r="D34">
            <v>5664</v>
          </cell>
          <cell r="F34">
            <v>648</v>
          </cell>
        </row>
        <row r="35">
          <cell r="C35">
            <v>0</v>
          </cell>
          <cell r="D35">
            <v>0</v>
          </cell>
          <cell r="F35">
            <v>0</v>
          </cell>
        </row>
        <row r="36">
          <cell r="C36">
            <v>1664</v>
          </cell>
          <cell r="D36">
            <v>1441</v>
          </cell>
          <cell r="F36">
            <v>0</v>
          </cell>
        </row>
        <row r="37">
          <cell r="C37">
            <v>0</v>
          </cell>
          <cell r="D37">
            <v>0</v>
          </cell>
          <cell r="F37">
            <v>0</v>
          </cell>
        </row>
        <row r="38">
          <cell r="C38">
            <v>160</v>
          </cell>
          <cell r="D38">
            <v>152</v>
          </cell>
          <cell r="F38">
            <v>0</v>
          </cell>
        </row>
        <row r="39">
          <cell r="C39">
            <v>0</v>
          </cell>
          <cell r="D39">
            <v>0</v>
          </cell>
          <cell r="F39">
            <v>0</v>
          </cell>
        </row>
        <row r="40">
          <cell r="C40">
            <v>0</v>
          </cell>
          <cell r="D40">
            <v>0</v>
          </cell>
          <cell r="F40">
            <v>0</v>
          </cell>
        </row>
        <row r="41">
          <cell r="C41">
            <v>0</v>
          </cell>
          <cell r="D41">
            <v>0</v>
          </cell>
          <cell r="F41">
            <v>0</v>
          </cell>
        </row>
        <row r="42">
          <cell r="C42">
            <v>17200</v>
          </cell>
          <cell r="D42">
            <v>16085</v>
          </cell>
          <cell r="F42">
            <v>2489</v>
          </cell>
        </row>
        <row r="45">
          <cell r="C45">
            <v>0</v>
          </cell>
          <cell r="D45">
            <v>0</v>
          </cell>
          <cell r="F45">
            <v>0</v>
          </cell>
        </row>
        <row r="46">
          <cell r="C46">
            <v>0</v>
          </cell>
          <cell r="D46">
            <v>0</v>
          </cell>
          <cell r="F46">
            <v>0</v>
          </cell>
        </row>
        <row r="47">
          <cell r="C47">
            <v>0</v>
          </cell>
          <cell r="D47">
            <v>0</v>
          </cell>
          <cell r="F47">
            <v>0</v>
          </cell>
        </row>
        <row r="48">
          <cell r="C48">
            <v>0</v>
          </cell>
          <cell r="D48">
            <v>0</v>
          </cell>
          <cell r="F48">
            <v>0</v>
          </cell>
        </row>
        <row r="49">
          <cell r="C49">
            <v>0</v>
          </cell>
          <cell r="D49">
            <v>0</v>
          </cell>
          <cell r="F49">
            <v>0</v>
          </cell>
        </row>
        <row r="50">
          <cell r="C50">
            <v>0</v>
          </cell>
          <cell r="D50">
            <v>0</v>
          </cell>
          <cell r="F50">
            <v>0</v>
          </cell>
        </row>
        <row r="51">
          <cell r="C51">
            <v>0</v>
          </cell>
          <cell r="D51">
            <v>0</v>
          </cell>
          <cell r="F51">
            <v>0</v>
          </cell>
        </row>
        <row r="52">
          <cell r="C52">
            <v>0</v>
          </cell>
          <cell r="D52">
            <v>0</v>
          </cell>
          <cell r="F52">
            <v>0</v>
          </cell>
        </row>
        <row r="55">
          <cell r="C55">
            <v>31360</v>
          </cell>
          <cell r="D55">
            <v>30395</v>
          </cell>
          <cell r="F55">
            <v>0</v>
          </cell>
        </row>
        <row r="56">
          <cell r="C56">
            <v>106592</v>
          </cell>
          <cell r="D56">
            <v>102830</v>
          </cell>
          <cell r="F56">
            <v>1275</v>
          </cell>
        </row>
        <row r="65">
          <cell r="C65">
            <v>57</v>
          </cell>
          <cell r="D65">
            <v>50</v>
          </cell>
          <cell r="F65">
            <v>8</v>
          </cell>
        </row>
        <row r="66">
          <cell r="C66">
            <v>432</v>
          </cell>
          <cell r="D66">
            <v>352</v>
          </cell>
          <cell r="F66">
            <v>2</v>
          </cell>
        </row>
        <row r="67">
          <cell r="C67">
            <v>90</v>
          </cell>
          <cell r="D67">
            <v>75</v>
          </cell>
          <cell r="F67">
            <v>0</v>
          </cell>
        </row>
        <row r="68">
          <cell r="C68">
            <v>252</v>
          </cell>
          <cell r="D68">
            <v>218</v>
          </cell>
          <cell r="F68">
            <v>0</v>
          </cell>
        </row>
        <row r="69">
          <cell r="C69">
            <v>0</v>
          </cell>
          <cell r="D69">
            <v>0</v>
          </cell>
          <cell r="F69">
            <v>0</v>
          </cell>
        </row>
        <row r="70">
          <cell r="C70">
            <v>0</v>
          </cell>
          <cell r="D70">
            <v>0</v>
          </cell>
          <cell r="F70">
            <v>0</v>
          </cell>
        </row>
        <row r="71">
          <cell r="C71">
            <v>0</v>
          </cell>
          <cell r="D71">
            <v>0</v>
          </cell>
          <cell r="F71">
            <v>0</v>
          </cell>
        </row>
        <row r="72">
          <cell r="C72">
            <v>0</v>
          </cell>
          <cell r="D72">
            <v>0</v>
          </cell>
          <cell r="F72">
            <v>0</v>
          </cell>
        </row>
        <row r="73">
          <cell r="C73">
            <v>55</v>
          </cell>
          <cell r="D73">
            <v>37</v>
          </cell>
          <cell r="F73">
            <v>2</v>
          </cell>
        </row>
        <row r="74">
          <cell r="C74">
            <v>111</v>
          </cell>
          <cell r="D74">
            <v>82</v>
          </cell>
          <cell r="F74">
            <v>4</v>
          </cell>
        </row>
        <row r="75">
          <cell r="C75">
            <v>616</v>
          </cell>
          <cell r="D75">
            <v>536</v>
          </cell>
          <cell r="F75">
            <v>224</v>
          </cell>
        </row>
        <row r="76">
          <cell r="C76">
            <v>4539</v>
          </cell>
          <cell r="D76">
            <v>3738</v>
          </cell>
          <cell r="F76">
            <v>975</v>
          </cell>
        </row>
        <row r="77">
          <cell r="C77">
            <v>1534</v>
          </cell>
          <cell r="D77">
            <v>1298</v>
          </cell>
          <cell r="F77">
            <v>312</v>
          </cell>
        </row>
        <row r="79">
          <cell r="F79">
            <v>2163</v>
          </cell>
        </row>
        <row r="80">
          <cell r="F80">
            <v>3868</v>
          </cell>
        </row>
        <row r="81">
          <cell r="F81">
            <v>0</v>
          </cell>
        </row>
        <row r="82">
          <cell r="F82">
            <v>0</v>
          </cell>
        </row>
        <row r="83">
          <cell r="F83">
            <v>0</v>
          </cell>
        </row>
        <row r="107">
          <cell r="C107">
            <v>0</v>
          </cell>
          <cell r="D107">
            <v>0</v>
          </cell>
          <cell r="F107">
            <v>0</v>
          </cell>
        </row>
        <row r="108">
          <cell r="C108">
            <v>0</v>
          </cell>
          <cell r="D108">
            <v>0</v>
          </cell>
          <cell r="F108">
            <v>0</v>
          </cell>
        </row>
        <row r="109">
          <cell r="C109">
            <v>0</v>
          </cell>
          <cell r="D109">
            <v>3</v>
          </cell>
          <cell r="F109">
            <v>0</v>
          </cell>
        </row>
        <row r="110">
          <cell r="C110">
            <v>0</v>
          </cell>
          <cell r="D110">
            <v>0</v>
          </cell>
          <cell r="F110">
            <v>0</v>
          </cell>
        </row>
        <row r="111">
          <cell r="C111">
            <v>2714</v>
          </cell>
          <cell r="D111">
            <v>2233</v>
          </cell>
          <cell r="F111">
            <v>636</v>
          </cell>
        </row>
        <row r="112">
          <cell r="C112">
            <v>0</v>
          </cell>
          <cell r="D112">
            <v>0</v>
          </cell>
          <cell r="F112">
            <v>0</v>
          </cell>
        </row>
        <row r="113">
          <cell r="C113">
            <v>0</v>
          </cell>
          <cell r="D113">
            <v>0</v>
          </cell>
          <cell r="F113">
            <v>0</v>
          </cell>
        </row>
        <row r="114">
          <cell r="C114">
            <v>4563</v>
          </cell>
          <cell r="D114">
            <v>3821</v>
          </cell>
          <cell r="F114">
            <v>2127</v>
          </cell>
        </row>
        <row r="115">
          <cell r="C115">
            <v>0</v>
          </cell>
          <cell r="D115">
            <v>0</v>
          </cell>
          <cell r="F115">
            <v>0</v>
          </cell>
        </row>
        <row r="116">
          <cell r="C116">
            <v>0</v>
          </cell>
          <cell r="D116">
            <v>0</v>
          </cell>
          <cell r="F116">
            <v>0</v>
          </cell>
        </row>
        <row r="117">
          <cell r="C117">
            <v>2689</v>
          </cell>
          <cell r="D117">
            <v>2336</v>
          </cell>
          <cell r="F117">
            <v>989</v>
          </cell>
        </row>
        <row r="118">
          <cell r="C118">
            <v>0</v>
          </cell>
          <cell r="D118">
            <v>0</v>
          </cell>
          <cell r="F118">
            <v>0</v>
          </cell>
        </row>
        <row r="119">
          <cell r="C119">
            <v>0</v>
          </cell>
          <cell r="D119">
            <v>0</v>
          </cell>
          <cell r="F119">
            <v>0</v>
          </cell>
        </row>
        <row r="120">
          <cell r="C120">
            <v>10001</v>
          </cell>
          <cell r="D120">
            <v>8588</v>
          </cell>
          <cell r="F120">
            <v>2718</v>
          </cell>
        </row>
        <row r="123">
          <cell r="C123">
            <v>519</v>
          </cell>
          <cell r="D123">
            <v>403</v>
          </cell>
          <cell r="F123">
            <v>145</v>
          </cell>
        </row>
        <row r="124">
          <cell r="C124">
            <v>79</v>
          </cell>
          <cell r="D124">
            <v>73</v>
          </cell>
          <cell r="F124">
            <v>10</v>
          </cell>
        </row>
        <row r="125">
          <cell r="C125">
            <v>1375</v>
          </cell>
          <cell r="D125">
            <v>1167</v>
          </cell>
          <cell r="F125">
            <v>295</v>
          </cell>
        </row>
        <row r="126">
          <cell r="C126">
            <v>1689</v>
          </cell>
          <cell r="D126">
            <v>1509</v>
          </cell>
          <cell r="F126">
            <v>950</v>
          </cell>
        </row>
        <row r="129">
          <cell r="C129">
            <v>1670</v>
          </cell>
          <cell r="D129">
            <v>1440</v>
          </cell>
          <cell r="F129">
            <v>793</v>
          </cell>
        </row>
        <row r="130">
          <cell r="C130">
            <v>2044</v>
          </cell>
          <cell r="D130">
            <v>1836</v>
          </cell>
          <cell r="F130">
            <v>753</v>
          </cell>
        </row>
        <row r="131">
          <cell r="C131">
            <v>1924</v>
          </cell>
          <cell r="D131">
            <v>1668</v>
          </cell>
          <cell r="F131">
            <v>394</v>
          </cell>
        </row>
        <row r="132">
          <cell r="C132">
            <v>2112</v>
          </cell>
          <cell r="D132">
            <v>1911</v>
          </cell>
          <cell r="F132">
            <v>750</v>
          </cell>
        </row>
        <row r="133">
          <cell r="C133">
            <v>0</v>
          </cell>
          <cell r="D133">
            <v>0</v>
          </cell>
          <cell r="F133">
            <v>0</v>
          </cell>
        </row>
        <row r="134">
          <cell r="C134">
            <v>0</v>
          </cell>
          <cell r="D134">
            <v>0</v>
          </cell>
          <cell r="F134">
            <v>0</v>
          </cell>
        </row>
        <row r="135">
          <cell r="C135">
            <v>1285</v>
          </cell>
          <cell r="D135">
            <v>1099</v>
          </cell>
          <cell r="F135">
            <v>351</v>
          </cell>
        </row>
        <row r="136">
          <cell r="C136">
            <v>3935</v>
          </cell>
          <cell r="D136">
            <v>3485</v>
          </cell>
          <cell r="F136">
            <v>825</v>
          </cell>
        </row>
        <row r="137">
          <cell r="C137">
            <v>0</v>
          </cell>
          <cell r="D137">
            <v>0</v>
          </cell>
          <cell r="F137">
            <v>0</v>
          </cell>
        </row>
        <row r="138">
          <cell r="C138">
            <v>0</v>
          </cell>
          <cell r="D138">
            <v>0</v>
          </cell>
          <cell r="F138">
            <v>0</v>
          </cell>
        </row>
        <row r="140">
          <cell r="C140">
            <v>0</v>
          </cell>
          <cell r="D140">
            <v>0</v>
          </cell>
          <cell r="E140" t="str">
            <v/>
          </cell>
          <cell r="F140">
            <v>0</v>
          </cell>
        </row>
        <row r="141">
          <cell r="C141">
            <v>1703</v>
          </cell>
          <cell r="D141">
            <v>1221</v>
          </cell>
          <cell r="F141">
            <v>424</v>
          </cell>
        </row>
        <row r="142">
          <cell r="C142">
            <v>1153</v>
          </cell>
          <cell r="D142">
            <v>966</v>
          </cell>
          <cell r="F142">
            <v>680</v>
          </cell>
        </row>
        <row r="143">
          <cell r="C143">
            <v>5128</v>
          </cell>
          <cell r="D143">
            <v>4013</v>
          </cell>
          <cell r="F143">
            <v>113</v>
          </cell>
        </row>
        <row r="144">
          <cell r="C144">
            <v>4677</v>
          </cell>
          <cell r="D144">
            <v>4070</v>
          </cell>
          <cell r="F144">
            <v>19</v>
          </cell>
        </row>
        <row r="145">
          <cell r="C145">
            <v>35</v>
          </cell>
          <cell r="D145">
            <v>29</v>
          </cell>
          <cell r="F145">
            <v>10</v>
          </cell>
        </row>
        <row r="146">
          <cell r="C146">
            <v>331</v>
          </cell>
          <cell r="D146">
            <v>207</v>
          </cell>
          <cell r="F146">
            <v>101</v>
          </cell>
        </row>
        <row r="147">
          <cell r="C147">
            <v>1436</v>
          </cell>
          <cell r="D147">
            <v>1171</v>
          </cell>
          <cell r="F147">
            <v>663</v>
          </cell>
        </row>
        <row r="148">
          <cell r="C148">
            <v>331</v>
          </cell>
          <cell r="D148">
            <v>257</v>
          </cell>
          <cell r="F148">
            <v>316</v>
          </cell>
        </row>
        <row r="149">
          <cell r="C149">
            <v>785</v>
          </cell>
          <cell r="D149">
            <v>568</v>
          </cell>
          <cell r="F149">
            <v>68</v>
          </cell>
        </row>
        <row r="150">
          <cell r="C150">
            <v>3844</v>
          </cell>
          <cell r="D150">
            <v>3107</v>
          </cell>
          <cell r="F150">
            <v>416</v>
          </cell>
        </row>
        <row r="155">
          <cell r="C155">
            <v>0</v>
          </cell>
          <cell r="D155">
            <v>0</v>
          </cell>
          <cell r="F155">
            <v>0</v>
          </cell>
        </row>
        <row r="156">
          <cell r="C156">
            <v>0</v>
          </cell>
          <cell r="D156">
            <v>0</v>
          </cell>
          <cell r="F156">
            <v>0</v>
          </cell>
        </row>
        <row r="157">
          <cell r="C157">
            <v>0</v>
          </cell>
          <cell r="D157">
            <v>0</v>
          </cell>
          <cell r="F157">
            <v>0</v>
          </cell>
        </row>
        <row r="158">
          <cell r="C158">
            <v>0</v>
          </cell>
          <cell r="D158">
            <v>0</v>
          </cell>
          <cell r="F158">
            <v>0</v>
          </cell>
        </row>
        <row r="159">
          <cell r="C159">
            <v>0</v>
          </cell>
          <cell r="D159">
            <v>0</v>
          </cell>
          <cell r="F159">
            <v>0</v>
          </cell>
        </row>
        <row r="160">
          <cell r="C160">
            <v>0</v>
          </cell>
          <cell r="D160">
            <v>0</v>
          </cell>
          <cell r="F160">
            <v>0</v>
          </cell>
        </row>
        <row r="161">
          <cell r="C161">
            <v>0</v>
          </cell>
          <cell r="D161">
            <v>0</v>
          </cell>
          <cell r="F161">
            <v>0</v>
          </cell>
        </row>
        <row r="162">
          <cell r="C162">
            <v>0</v>
          </cell>
          <cell r="D162">
            <v>0</v>
          </cell>
          <cell r="F162">
            <v>0</v>
          </cell>
        </row>
        <row r="163">
          <cell r="C163">
            <v>79</v>
          </cell>
          <cell r="D163">
            <v>54</v>
          </cell>
          <cell r="F163">
            <v>70</v>
          </cell>
        </row>
        <row r="164">
          <cell r="C164">
            <v>0</v>
          </cell>
          <cell r="D164">
            <v>0</v>
          </cell>
          <cell r="F164">
            <v>0</v>
          </cell>
        </row>
        <row r="165">
          <cell r="C165">
            <v>0</v>
          </cell>
          <cell r="D165">
            <v>0</v>
          </cell>
          <cell r="F165">
            <v>0</v>
          </cell>
        </row>
        <row r="166">
          <cell r="C166">
            <v>0</v>
          </cell>
          <cell r="D166">
            <v>0</v>
          </cell>
          <cell r="F166">
            <v>0</v>
          </cell>
        </row>
        <row r="167">
          <cell r="C167">
            <v>36</v>
          </cell>
          <cell r="D167">
            <v>15</v>
          </cell>
          <cell r="F167">
            <v>14</v>
          </cell>
        </row>
        <row r="168">
          <cell r="C168">
            <v>0</v>
          </cell>
          <cell r="D168">
            <v>0</v>
          </cell>
          <cell r="F168">
            <v>0</v>
          </cell>
        </row>
        <row r="169">
          <cell r="C169">
            <v>0</v>
          </cell>
          <cell r="D169">
            <v>0</v>
          </cell>
          <cell r="F169">
            <v>0</v>
          </cell>
        </row>
        <row r="170">
          <cell r="C170">
            <v>0</v>
          </cell>
          <cell r="D170">
            <v>0</v>
          </cell>
          <cell r="F170">
            <v>0</v>
          </cell>
        </row>
        <row r="171">
          <cell r="C171">
            <v>534</v>
          </cell>
          <cell r="D171">
            <v>424</v>
          </cell>
          <cell r="F171">
            <v>272</v>
          </cell>
        </row>
        <row r="172">
          <cell r="C172">
            <v>15</v>
          </cell>
          <cell r="D172">
            <v>0</v>
          </cell>
          <cell r="F172">
            <v>0</v>
          </cell>
        </row>
        <row r="173">
          <cell r="C173">
            <v>0</v>
          </cell>
          <cell r="D173">
            <v>0</v>
          </cell>
          <cell r="F173">
            <v>0</v>
          </cell>
        </row>
        <row r="174">
          <cell r="C174">
            <v>0</v>
          </cell>
          <cell r="D174">
            <v>0</v>
          </cell>
          <cell r="F174">
            <v>0</v>
          </cell>
        </row>
        <row r="175">
          <cell r="C175">
            <v>309</v>
          </cell>
          <cell r="D175">
            <v>238</v>
          </cell>
          <cell r="F175">
            <v>76</v>
          </cell>
        </row>
        <row r="176">
          <cell r="C176">
            <v>117</v>
          </cell>
          <cell r="D176">
            <v>84</v>
          </cell>
          <cell r="F176">
            <v>20</v>
          </cell>
        </row>
        <row r="177">
          <cell r="C177">
            <v>754</v>
          </cell>
          <cell r="D177">
            <v>554</v>
          </cell>
          <cell r="F177">
            <v>180</v>
          </cell>
        </row>
        <row r="178">
          <cell r="C178">
            <v>141</v>
          </cell>
          <cell r="D178">
            <v>108</v>
          </cell>
          <cell r="F178">
            <v>52</v>
          </cell>
        </row>
        <row r="179">
          <cell r="C179">
            <v>219</v>
          </cell>
          <cell r="D179">
            <v>152</v>
          </cell>
          <cell r="F179">
            <v>15</v>
          </cell>
        </row>
        <row r="180">
          <cell r="C180">
            <v>691</v>
          </cell>
          <cell r="D180">
            <v>533</v>
          </cell>
          <cell r="F180">
            <v>381</v>
          </cell>
        </row>
        <row r="185">
          <cell r="C185">
            <v>0</v>
          </cell>
          <cell r="D185">
            <v>0</v>
          </cell>
          <cell r="F185">
            <v>0</v>
          </cell>
        </row>
      </sheetData>
      <sheetData sheetId="2"/>
      <sheetData sheetId="3"/>
      <sheetData sheetId="4">
        <row r="2">
          <cell r="A2" t="str">
            <v>3518100650675EF</v>
          </cell>
          <cell r="B2" t="str">
            <v>CRIZAL FORTE UV35</v>
          </cell>
          <cell r="C2" t="str">
            <v>1.6</v>
          </cell>
          <cell r="D2" t="str">
            <v>HMC</v>
          </cell>
          <cell r="E2" t="str">
            <v>FSV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</row>
        <row r="3">
          <cell r="A3" t="str">
            <v>3518100650719EF</v>
          </cell>
          <cell r="B3" t="str">
            <v>SAPPHIR LAGOON</v>
          </cell>
          <cell r="C3" t="str">
            <v>1.6</v>
          </cell>
          <cell r="D3" t="str">
            <v>HMC</v>
          </cell>
          <cell r="E3" t="str">
            <v>FSV</v>
          </cell>
          <cell r="F3">
            <v>519</v>
          </cell>
          <cell r="G3">
            <v>403</v>
          </cell>
          <cell r="H3">
            <v>0.77649325626204202</v>
          </cell>
          <cell r="I3">
            <v>798</v>
          </cell>
          <cell r="J3">
            <v>145</v>
          </cell>
          <cell r="K3">
            <v>1</v>
          </cell>
        </row>
        <row r="4">
          <cell r="A4" t="str">
            <v>3518100750719EF</v>
          </cell>
          <cell r="B4" t="str">
            <v>SAPPHIR LAGOON</v>
          </cell>
          <cell r="C4" t="str">
            <v>1.6</v>
          </cell>
          <cell r="D4" t="str">
            <v>HMC</v>
          </cell>
          <cell r="E4" t="str">
            <v>FSV</v>
          </cell>
          <cell r="F4">
            <v>79</v>
          </cell>
          <cell r="G4">
            <v>73</v>
          </cell>
          <cell r="H4">
            <v>0.924050632911392</v>
          </cell>
          <cell r="I4">
            <v>146</v>
          </cell>
          <cell r="J4">
            <v>10</v>
          </cell>
          <cell r="K4">
            <v>0</v>
          </cell>
        </row>
        <row r="5">
          <cell r="A5" t="str">
            <v>3524100650237EF</v>
          </cell>
          <cell r="B5" t="str">
            <v>CRIZAL ALIZE</v>
          </cell>
          <cell r="C5" t="str">
            <v>1.6</v>
          </cell>
          <cell r="D5" t="str">
            <v>HMC</v>
          </cell>
          <cell r="E5" t="str">
            <v>FSV</v>
          </cell>
          <cell r="F5">
            <v>2714</v>
          </cell>
          <cell r="G5">
            <v>2223</v>
          </cell>
          <cell r="H5">
            <v>0.81908621960206296</v>
          </cell>
          <cell r="I5">
            <v>4332</v>
          </cell>
          <cell r="J5">
            <v>636</v>
          </cell>
          <cell r="K5">
            <v>249</v>
          </cell>
        </row>
        <row r="6">
          <cell r="A6" t="str">
            <v>3524100650640EF</v>
          </cell>
          <cell r="B6" t="str">
            <v>ROCK GREEN</v>
          </cell>
          <cell r="C6" t="str">
            <v>1.6</v>
          </cell>
          <cell r="D6" t="str">
            <v>HMC</v>
          </cell>
          <cell r="E6" t="str">
            <v>FSV</v>
          </cell>
          <cell r="F6">
            <v>1703</v>
          </cell>
          <cell r="G6">
            <v>1221</v>
          </cell>
          <cell r="H6">
            <v>0.71697005284791504</v>
          </cell>
          <cell r="I6">
            <v>1926</v>
          </cell>
          <cell r="J6">
            <v>424</v>
          </cell>
          <cell r="K6">
            <v>155</v>
          </cell>
        </row>
        <row r="7">
          <cell r="A7" t="str">
            <v>3524100650675EF</v>
          </cell>
          <cell r="B7" t="str">
            <v>CRIZAL FORTE UV35</v>
          </cell>
          <cell r="C7" t="str">
            <v>1.6</v>
          </cell>
          <cell r="D7" t="str">
            <v>HMC</v>
          </cell>
          <cell r="E7" t="str">
            <v>FSV</v>
          </cell>
          <cell r="F7">
            <v>1</v>
          </cell>
          <cell r="G7">
            <v>0</v>
          </cell>
          <cell r="H7">
            <v>0</v>
          </cell>
          <cell r="I7">
            <v>0</v>
          </cell>
          <cell r="J7">
            <v>3</v>
          </cell>
          <cell r="K7">
            <v>0</v>
          </cell>
        </row>
        <row r="8">
          <cell r="A8" t="str">
            <v>3524100650676EF</v>
          </cell>
          <cell r="B8" t="str">
            <v>CRIZAL PREVENCIA UV35</v>
          </cell>
          <cell r="C8" t="str">
            <v>1.6</v>
          </cell>
          <cell r="D8" t="str">
            <v>HMC</v>
          </cell>
          <cell r="E8" t="str">
            <v>FSV</v>
          </cell>
          <cell r="F8">
            <v>4563</v>
          </cell>
          <cell r="G8">
            <v>3817</v>
          </cell>
          <cell r="H8">
            <v>0.836511067280298</v>
          </cell>
          <cell r="I8">
            <v>7511</v>
          </cell>
          <cell r="J8">
            <v>2127</v>
          </cell>
          <cell r="K8">
            <v>374</v>
          </cell>
        </row>
        <row r="9">
          <cell r="A9" t="str">
            <v>3524100650719EF</v>
          </cell>
          <cell r="B9" t="str">
            <v>SAPPHIR LAGOON</v>
          </cell>
          <cell r="C9" t="str">
            <v>1.6</v>
          </cell>
          <cell r="D9" t="str">
            <v>HMC</v>
          </cell>
          <cell r="E9" t="str">
            <v>FSV</v>
          </cell>
          <cell r="F9">
            <v>1375</v>
          </cell>
          <cell r="G9">
            <v>1165</v>
          </cell>
          <cell r="H9">
            <v>0.84727272727272696</v>
          </cell>
          <cell r="I9">
            <v>2500</v>
          </cell>
          <cell r="J9">
            <v>295</v>
          </cell>
          <cell r="K9">
            <v>0</v>
          </cell>
        </row>
        <row r="10">
          <cell r="A10" t="str">
            <v>3524100650876EF</v>
          </cell>
          <cell r="B10" t="str">
            <v>FSV SAPPHIRE HR BLUE 65 OFG</v>
          </cell>
          <cell r="C10" t="str">
            <v>1.6</v>
          </cell>
          <cell r="D10" t="str">
            <v>HMC</v>
          </cell>
          <cell r="E10" t="str">
            <v>FSV</v>
          </cell>
          <cell r="F10">
            <v>5128</v>
          </cell>
          <cell r="G10">
            <v>4002</v>
          </cell>
          <cell r="H10">
            <v>0.78042121684867405</v>
          </cell>
          <cell r="I10">
            <v>13320</v>
          </cell>
          <cell r="J10">
            <v>113</v>
          </cell>
          <cell r="K10">
            <v>417</v>
          </cell>
        </row>
        <row r="11">
          <cell r="A11" t="str">
            <v>352410075000000</v>
          </cell>
          <cell r="B11" t="str">
            <v>SPH NU</v>
          </cell>
          <cell r="C11" t="str">
            <v>1.6</v>
          </cell>
          <cell r="D11" t="str">
            <v>UNC</v>
          </cell>
          <cell r="E11" t="str">
            <v>FSV</v>
          </cell>
          <cell r="F11">
            <v>1553</v>
          </cell>
          <cell r="G11">
            <v>1553</v>
          </cell>
          <cell r="H11">
            <v>1</v>
          </cell>
          <cell r="I11">
            <v>0</v>
          </cell>
          <cell r="J11">
            <v>48</v>
          </cell>
          <cell r="K11">
            <v>0</v>
          </cell>
        </row>
        <row r="12">
          <cell r="A12" t="str">
            <v>3524100750237EF</v>
          </cell>
          <cell r="B12" t="str">
            <v>CRIZAL ALIZE</v>
          </cell>
          <cell r="C12" t="str">
            <v>1.6</v>
          </cell>
          <cell r="D12" t="str">
            <v>HMC</v>
          </cell>
          <cell r="E12" t="str">
            <v>FSV</v>
          </cell>
          <cell r="F12">
            <v>2689</v>
          </cell>
          <cell r="G12">
            <v>2332</v>
          </cell>
          <cell r="H12">
            <v>0.86723689103755996</v>
          </cell>
          <cell r="I12">
            <v>4377</v>
          </cell>
          <cell r="J12">
            <v>989</v>
          </cell>
          <cell r="K12">
            <v>224</v>
          </cell>
        </row>
        <row r="13">
          <cell r="A13" t="str">
            <v>3524100750640EF</v>
          </cell>
          <cell r="B13" t="str">
            <v>ROCK GREEN</v>
          </cell>
          <cell r="C13" t="str">
            <v>1.6</v>
          </cell>
          <cell r="D13" t="str">
            <v>HMC</v>
          </cell>
          <cell r="E13" t="str">
            <v>FSV</v>
          </cell>
          <cell r="F13">
            <v>1153</v>
          </cell>
          <cell r="G13">
            <v>966</v>
          </cell>
          <cell r="H13">
            <v>0.83781439722463102</v>
          </cell>
          <cell r="I13">
            <v>1851</v>
          </cell>
          <cell r="J13">
            <v>680</v>
          </cell>
          <cell r="K13">
            <v>0</v>
          </cell>
        </row>
        <row r="14">
          <cell r="A14" t="str">
            <v>3524100750675EF</v>
          </cell>
          <cell r="B14" t="str">
            <v>CRIZAL FORTE UV35</v>
          </cell>
          <cell r="C14" t="str">
            <v>1.6</v>
          </cell>
          <cell r="D14" t="str">
            <v>HMC</v>
          </cell>
          <cell r="E14" t="str">
            <v>FSV</v>
          </cell>
          <cell r="F14">
            <v>1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</row>
        <row r="15">
          <cell r="A15" t="str">
            <v>3524100750676EF</v>
          </cell>
          <cell r="B15" t="str">
            <v>CRIZAL PREVENCIA UV35</v>
          </cell>
          <cell r="C15" t="str">
            <v>1.6</v>
          </cell>
          <cell r="D15" t="str">
            <v>HMC</v>
          </cell>
          <cell r="E15" t="str">
            <v>FSV</v>
          </cell>
          <cell r="F15">
            <v>10001</v>
          </cell>
          <cell r="G15">
            <v>8580</v>
          </cell>
          <cell r="H15">
            <v>0.85791420857914202</v>
          </cell>
          <cell r="I15">
            <v>15573</v>
          </cell>
          <cell r="J15">
            <v>2718</v>
          </cell>
          <cell r="K15">
            <v>1310</v>
          </cell>
        </row>
        <row r="16">
          <cell r="A16" t="str">
            <v>3524100750719EF</v>
          </cell>
          <cell r="B16" t="str">
            <v>SAPPHIR LAGOON</v>
          </cell>
          <cell r="C16" t="str">
            <v>1.6</v>
          </cell>
          <cell r="D16" t="str">
            <v>HMC</v>
          </cell>
          <cell r="E16" t="str">
            <v>FSV</v>
          </cell>
          <cell r="F16">
            <v>1689</v>
          </cell>
          <cell r="G16">
            <v>1506</v>
          </cell>
          <cell r="H16">
            <v>0.89165186500888105</v>
          </cell>
          <cell r="I16">
            <v>3321</v>
          </cell>
          <cell r="J16">
            <v>950</v>
          </cell>
          <cell r="K16">
            <v>0</v>
          </cell>
        </row>
        <row r="17">
          <cell r="A17" t="str">
            <v>3524100750876EF</v>
          </cell>
          <cell r="B17" t="str">
            <v>FSV SAPPHIRE HR BLUE 75 OFG</v>
          </cell>
          <cell r="C17" t="str">
            <v>1.6</v>
          </cell>
          <cell r="D17" t="str">
            <v>HMC</v>
          </cell>
          <cell r="E17" t="str">
            <v>FSV</v>
          </cell>
          <cell r="F17">
            <v>4677</v>
          </cell>
          <cell r="G17">
            <v>4065</v>
          </cell>
          <cell r="H17">
            <v>0.86914688903143</v>
          </cell>
          <cell r="I17">
            <v>18176</v>
          </cell>
          <cell r="J17">
            <v>19</v>
          </cell>
          <cell r="K17">
            <v>384</v>
          </cell>
        </row>
        <row r="18">
          <cell r="A18" t="str">
            <v>3524100750A2EB1</v>
          </cell>
          <cell r="B18" t="str">
            <v>NEVA MAX MC5</v>
          </cell>
          <cell r="C18" t="str">
            <v>1.6</v>
          </cell>
          <cell r="D18" t="str">
            <v>HMC</v>
          </cell>
          <cell r="E18" t="str">
            <v>FSV</v>
          </cell>
          <cell r="F18">
            <v>1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</row>
        <row r="19">
          <cell r="A19" t="str">
            <v>3524942650667EF</v>
          </cell>
          <cell r="B19" t="str">
            <v>BCT OXA ALIZEE</v>
          </cell>
          <cell r="C19" t="str">
            <v>1.6</v>
          </cell>
          <cell r="D19" t="str">
            <v>HMC</v>
          </cell>
          <cell r="E19" t="str">
            <v>FSV</v>
          </cell>
          <cell r="F19">
            <v>1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</row>
        <row r="20">
          <cell r="A20" t="str">
            <v>3524942750876EF</v>
          </cell>
          <cell r="B20" t="str">
            <v>BCT OXA SAPPHIRE HR</v>
          </cell>
          <cell r="C20" t="str">
            <v>1.6</v>
          </cell>
          <cell r="D20" t="str">
            <v>HMC</v>
          </cell>
          <cell r="E20" t="str">
            <v>FSV</v>
          </cell>
          <cell r="F20">
            <v>1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</row>
        <row r="21">
          <cell r="A21" t="str">
            <v>3547100550314J1</v>
          </cell>
          <cell r="B21" t="str">
            <v>FSV PC 55 NTPC</v>
          </cell>
          <cell r="C21" t="str">
            <v>Poly</v>
          </cell>
          <cell r="D21" t="str">
            <v>HC</v>
          </cell>
          <cell r="E21" t="str">
            <v>FSV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40</v>
          </cell>
          <cell r="K21">
            <v>0</v>
          </cell>
        </row>
        <row r="22">
          <cell r="A22" t="str">
            <v>3547100550676EF</v>
          </cell>
          <cell r="B22" t="str">
            <v>FSV KIDS 55 OFG</v>
          </cell>
          <cell r="C22" t="str">
            <v>Poly</v>
          </cell>
          <cell r="D22" t="str">
            <v>HMC</v>
          </cell>
          <cell r="E22" t="str">
            <v>FSV</v>
          </cell>
          <cell r="F22">
            <v>616</v>
          </cell>
          <cell r="G22">
            <v>530</v>
          </cell>
          <cell r="H22">
            <v>0.86038961038961004</v>
          </cell>
          <cell r="I22">
            <v>779</v>
          </cell>
          <cell r="J22">
            <v>224</v>
          </cell>
          <cell r="K22">
            <v>0</v>
          </cell>
        </row>
        <row r="23">
          <cell r="A23" t="str">
            <v>3547100600314J1</v>
          </cell>
          <cell r="B23" t="str">
            <v>FSV PC 60 NTPC</v>
          </cell>
          <cell r="C23" t="str">
            <v>Poly</v>
          </cell>
          <cell r="D23" t="str">
            <v>HC</v>
          </cell>
          <cell r="E23" t="str">
            <v>FSV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39</v>
          </cell>
          <cell r="K23">
            <v>0</v>
          </cell>
        </row>
        <row r="24">
          <cell r="A24" t="str">
            <v>3547100600676EF</v>
          </cell>
          <cell r="B24" t="str">
            <v>FSV KIDS 60 OFG</v>
          </cell>
          <cell r="C24" t="str">
            <v>Poly</v>
          </cell>
          <cell r="D24" t="str">
            <v>HMC</v>
          </cell>
          <cell r="E24" t="str">
            <v>FSV</v>
          </cell>
          <cell r="F24">
            <v>4539</v>
          </cell>
          <cell r="G24">
            <v>3708</v>
          </cell>
          <cell r="H24">
            <v>0.81692002643754102</v>
          </cell>
          <cell r="I24">
            <v>6916</v>
          </cell>
          <cell r="J24">
            <v>975</v>
          </cell>
          <cell r="K24">
            <v>0</v>
          </cell>
        </row>
        <row r="25">
          <cell r="A25" t="str">
            <v>3547100650237EF</v>
          </cell>
          <cell r="B25" t="str">
            <v>FSV SPHPC CZ AL+UV EU 65 OFG</v>
          </cell>
          <cell r="C25" t="str">
            <v>Poly</v>
          </cell>
          <cell r="D25" t="str">
            <v>HMC</v>
          </cell>
          <cell r="E25" t="str">
            <v>FSV</v>
          </cell>
          <cell r="F25">
            <v>90</v>
          </cell>
          <cell r="G25">
            <v>75</v>
          </cell>
          <cell r="H25">
            <v>0.83333333333333304</v>
          </cell>
          <cell r="I25">
            <v>149</v>
          </cell>
          <cell r="J25">
            <v>0</v>
          </cell>
          <cell r="K25">
            <v>0</v>
          </cell>
        </row>
        <row r="26">
          <cell r="A26" t="str">
            <v>354710065031400</v>
          </cell>
          <cell r="B26" t="str">
            <v>FSV SPH POLY NTPC D65</v>
          </cell>
          <cell r="C26" t="str">
            <v>Poly</v>
          </cell>
          <cell r="D26" t="str">
            <v>HC</v>
          </cell>
          <cell r="E26" t="str">
            <v>FSV</v>
          </cell>
          <cell r="F26">
            <v>40</v>
          </cell>
          <cell r="G26">
            <v>35</v>
          </cell>
          <cell r="H26">
            <v>0.875</v>
          </cell>
          <cell r="I26">
            <v>0</v>
          </cell>
          <cell r="J26">
            <v>57</v>
          </cell>
          <cell r="K26">
            <v>2140</v>
          </cell>
        </row>
        <row r="27">
          <cell r="A27" t="str">
            <v>354710065060NEF</v>
          </cell>
          <cell r="B27" t="str">
            <v>FSV ROCK GREEN 65 OFG</v>
          </cell>
          <cell r="C27" t="str">
            <v>Poly</v>
          </cell>
          <cell r="D27" t="str">
            <v>HMC</v>
          </cell>
          <cell r="E27" t="str">
            <v>FSV</v>
          </cell>
          <cell r="F27">
            <v>57</v>
          </cell>
          <cell r="G27">
            <v>50</v>
          </cell>
          <cell r="H27">
            <v>0.87719298245613997</v>
          </cell>
          <cell r="I27">
            <v>100</v>
          </cell>
          <cell r="J27">
            <v>8</v>
          </cell>
          <cell r="K27">
            <v>37</v>
          </cell>
        </row>
        <row r="28">
          <cell r="A28" t="str">
            <v>3547100650675EF</v>
          </cell>
          <cell r="B28" t="str">
            <v>FSV SPH PC CZ D65 FORTE UV35</v>
          </cell>
          <cell r="C28" t="str">
            <v>Poly</v>
          </cell>
          <cell r="D28" t="str">
            <v>HMC</v>
          </cell>
          <cell r="E28" t="str">
            <v>FSV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</row>
        <row r="29">
          <cell r="A29" t="str">
            <v>3547100650676EF</v>
          </cell>
          <cell r="B29" t="str">
            <v>FSV KIDS 65 OFG</v>
          </cell>
          <cell r="C29" t="str">
            <v>Poly</v>
          </cell>
          <cell r="D29" t="str">
            <v>HMC</v>
          </cell>
          <cell r="E29" t="str">
            <v>FSV</v>
          </cell>
          <cell r="F29">
            <v>1534</v>
          </cell>
          <cell r="G29">
            <v>1296</v>
          </cell>
          <cell r="H29">
            <v>0.84485006518904804</v>
          </cell>
          <cell r="I29">
            <v>2090</v>
          </cell>
          <cell r="J29">
            <v>312</v>
          </cell>
          <cell r="K29">
            <v>0</v>
          </cell>
        </row>
        <row r="30">
          <cell r="A30" t="str">
            <v>3547100650770EF</v>
          </cell>
          <cell r="B30" t="str">
            <v>SAPPHIR LAGOON D65</v>
          </cell>
          <cell r="C30" t="str">
            <v>Poly</v>
          </cell>
          <cell r="D30" t="str">
            <v>HMC</v>
          </cell>
          <cell r="E30" t="str">
            <v>FSV</v>
          </cell>
          <cell r="F30">
            <v>55</v>
          </cell>
          <cell r="G30">
            <v>19</v>
          </cell>
          <cell r="H30">
            <v>0.34545454545454501</v>
          </cell>
          <cell r="I30">
            <v>56</v>
          </cell>
          <cell r="J30">
            <v>2</v>
          </cell>
          <cell r="K30">
            <v>0</v>
          </cell>
        </row>
        <row r="31">
          <cell r="A31" t="str">
            <v>354710065087NEF</v>
          </cell>
          <cell r="B31" t="str">
            <v>FSV SAPPHIRE HR BLUE 65 OFG</v>
          </cell>
          <cell r="C31" t="str">
            <v>Poly</v>
          </cell>
          <cell r="D31" t="str">
            <v>HMC</v>
          </cell>
          <cell r="E31" t="str">
            <v>FSV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1</v>
          </cell>
          <cell r="K31">
            <v>0</v>
          </cell>
        </row>
        <row r="32">
          <cell r="A32" t="str">
            <v>3547100700237EF</v>
          </cell>
          <cell r="B32" t="str">
            <v>FSV SPH PC CZ AL+UV EU 70 OFG</v>
          </cell>
          <cell r="C32" t="str">
            <v>Poly</v>
          </cell>
          <cell r="D32" t="str">
            <v>HMC</v>
          </cell>
          <cell r="E32" t="str">
            <v>FSV</v>
          </cell>
          <cell r="F32">
            <v>252</v>
          </cell>
          <cell r="G32">
            <v>218</v>
          </cell>
          <cell r="H32">
            <v>0.865079365079365</v>
          </cell>
          <cell r="I32">
            <v>436</v>
          </cell>
          <cell r="J32">
            <v>0</v>
          </cell>
          <cell r="K32">
            <v>0</v>
          </cell>
        </row>
        <row r="33">
          <cell r="A33" t="str">
            <v>354710070031401</v>
          </cell>
          <cell r="B33" t="str">
            <v>FSV SPH PC 70 HC NTPC EP</v>
          </cell>
          <cell r="C33" t="str">
            <v>Poly</v>
          </cell>
          <cell r="D33" t="str">
            <v>HC</v>
          </cell>
          <cell r="E33" t="str">
            <v>FSV</v>
          </cell>
          <cell r="F33">
            <v>260</v>
          </cell>
          <cell r="G33">
            <v>247</v>
          </cell>
          <cell r="H33">
            <v>0.95</v>
          </cell>
          <cell r="I33">
            <v>0</v>
          </cell>
          <cell r="J33">
            <v>350</v>
          </cell>
          <cell r="K33">
            <v>3302</v>
          </cell>
        </row>
        <row r="34">
          <cell r="A34" t="str">
            <v>354710070060NEF</v>
          </cell>
          <cell r="B34" t="str">
            <v>FSV ROCK GREEN 70 OFG</v>
          </cell>
          <cell r="C34" t="str">
            <v>Poly</v>
          </cell>
          <cell r="D34" t="str">
            <v>HMC</v>
          </cell>
          <cell r="E34" t="str">
            <v>FSV</v>
          </cell>
          <cell r="F34">
            <v>432</v>
          </cell>
          <cell r="G34">
            <v>352</v>
          </cell>
          <cell r="H34">
            <v>0.81481481481481499</v>
          </cell>
          <cell r="I34">
            <v>828</v>
          </cell>
          <cell r="J34">
            <v>2</v>
          </cell>
          <cell r="K34">
            <v>91</v>
          </cell>
        </row>
        <row r="35">
          <cell r="A35" t="str">
            <v>3547100700675EF</v>
          </cell>
          <cell r="B35" t="str">
            <v>FSV SPH PC CZ D70 FORTE UV35</v>
          </cell>
          <cell r="C35" t="str">
            <v>Poly</v>
          </cell>
          <cell r="D35" t="str">
            <v>HMC</v>
          </cell>
          <cell r="E35" t="str">
            <v>FSV</v>
          </cell>
          <cell r="F35">
            <v>2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</row>
        <row r="36">
          <cell r="A36" t="str">
            <v>3547100700770EF</v>
          </cell>
          <cell r="B36" t="str">
            <v>SAPPHIR LAGOON D70</v>
          </cell>
          <cell r="C36" t="str">
            <v>Poly</v>
          </cell>
          <cell r="D36" t="str">
            <v>HMC</v>
          </cell>
          <cell r="E36" t="str">
            <v>FSV</v>
          </cell>
          <cell r="F36">
            <v>111</v>
          </cell>
          <cell r="G36">
            <v>81</v>
          </cell>
          <cell r="H36">
            <v>0.72972972972973005</v>
          </cell>
          <cell r="I36">
            <v>168</v>
          </cell>
          <cell r="J36">
            <v>4</v>
          </cell>
          <cell r="K36">
            <v>0</v>
          </cell>
        </row>
        <row r="37">
          <cell r="A37" t="str">
            <v>3555100650719EF</v>
          </cell>
          <cell r="B37" t="str">
            <v>SAPPHIR LAGOON</v>
          </cell>
          <cell r="C37" t="str">
            <v>1.67</v>
          </cell>
          <cell r="D37" t="str">
            <v>HMC</v>
          </cell>
          <cell r="E37" t="str">
            <v>FSV</v>
          </cell>
          <cell r="F37">
            <v>309</v>
          </cell>
          <cell r="G37">
            <v>237</v>
          </cell>
          <cell r="H37">
            <v>0.76699029126213603</v>
          </cell>
          <cell r="I37">
            <v>383</v>
          </cell>
          <cell r="J37">
            <v>76</v>
          </cell>
          <cell r="K37">
            <v>5</v>
          </cell>
        </row>
        <row r="38">
          <cell r="A38" t="str">
            <v>3555100750719EF</v>
          </cell>
          <cell r="B38" t="str">
            <v>SAPPHIR LAGOON</v>
          </cell>
          <cell r="C38" t="str">
            <v>1.67</v>
          </cell>
          <cell r="D38" t="str">
            <v>HMC</v>
          </cell>
          <cell r="E38" t="str">
            <v>FSV</v>
          </cell>
          <cell r="F38">
            <v>117</v>
          </cell>
          <cell r="G38">
            <v>84</v>
          </cell>
          <cell r="H38">
            <v>0.71794871794871795</v>
          </cell>
          <cell r="I38">
            <v>164</v>
          </cell>
          <cell r="J38">
            <v>20</v>
          </cell>
          <cell r="K38">
            <v>0</v>
          </cell>
        </row>
        <row r="39">
          <cell r="A39" t="str">
            <v>3555100800719EF</v>
          </cell>
          <cell r="B39" t="str">
            <v>SAPPHIR LAGOON</v>
          </cell>
          <cell r="C39" t="str">
            <v>1.67</v>
          </cell>
          <cell r="D39" t="str">
            <v>HMC</v>
          </cell>
          <cell r="E39" t="str">
            <v>FSV</v>
          </cell>
          <cell r="F39">
            <v>754</v>
          </cell>
          <cell r="G39">
            <v>554</v>
          </cell>
          <cell r="H39">
            <v>0.73474801061007999</v>
          </cell>
          <cell r="I39">
            <v>973</v>
          </cell>
          <cell r="J39">
            <v>180</v>
          </cell>
          <cell r="K39">
            <v>0</v>
          </cell>
        </row>
        <row r="40">
          <cell r="A40" t="str">
            <v>3561100650237EF</v>
          </cell>
          <cell r="B40" t="str">
            <v>CRIZAL ALIZE</v>
          </cell>
          <cell r="C40" t="str">
            <v>1.67</v>
          </cell>
          <cell r="D40" t="str">
            <v>HMC</v>
          </cell>
          <cell r="E40" t="str">
            <v>FSV</v>
          </cell>
          <cell r="F40">
            <v>79</v>
          </cell>
          <cell r="G40">
            <v>54</v>
          </cell>
          <cell r="H40">
            <v>0.683544303797468</v>
          </cell>
          <cell r="I40">
            <v>157</v>
          </cell>
          <cell r="J40">
            <v>70</v>
          </cell>
          <cell r="K40">
            <v>1</v>
          </cell>
        </row>
        <row r="41">
          <cell r="A41" t="str">
            <v>3561100650640EF</v>
          </cell>
          <cell r="B41" t="str">
            <v>ROCK GREEN</v>
          </cell>
          <cell r="C41" t="str">
            <v>1.67</v>
          </cell>
          <cell r="D41" t="str">
            <v>HMC</v>
          </cell>
          <cell r="E41" t="str">
            <v>FSV</v>
          </cell>
          <cell r="F41">
            <v>35</v>
          </cell>
          <cell r="G41">
            <v>29</v>
          </cell>
          <cell r="H41">
            <v>0.82857142857142896</v>
          </cell>
          <cell r="I41">
            <v>38</v>
          </cell>
          <cell r="J41">
            <v>10</v>
          </cell>
          <cell r="K41">
            <v>0</v>
          </cell>
        </row>
        <row r="42">
          <cell r="A42" t="str">
            <v>3561100650675EF</v>
          </cell>
          <cell r="B42" t="str">
            <v>CRIZAL FORTE UV35</v>
          </cell>
          <cell r="C42" t="str">
            <v>1.67</v>
          </cell>
          <cell r="D42" t="str">
            <v>HMC</v>
          </cell>
          <cell r="E42" t="str">
            <v>FSV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</row>
        <row r="43">
          <cell r="A43" t="str">
            <v>3561100650719EF</v>
          </cell>
          <cell r="B43" t="str">
            <v>SAPPHIR LAGOON</v>
          </cell>
          <cell r="C43" t="str">
            <v>1.67</v>
          </cell>
          <cell r="D43" t="str">
            <v>HMC</v>
          </cell>
          <cell r="E43" t="str">
            <v>FSV</v>
          </cell>
          <cell r="F43">
            <v>141</v>
          </cell>
          <cell r="G43">
            <v>108</v>
          </cell>
          <cell r="H43">
            <v>0.76595744680851097</v>
          </cell>
          <cell r="I43">
            <v>270</v>
          </cell>
          <cell r="J43">
            <v>52</v>
          </cell>
          <cell r="K43">
            <v>9</v>
          </cell>
        </row>
        <row r="44">
          <cell r="A44" t="str">
            <v>3561100650876EF</v>
          </cell>
          <cell r="B44" t="str">
            <v>FSV SAPPHIRE HR BLUE 65 OFG</v>
          </cell>
          <cell r="C44" t="str">
            <v>1.67</v>
          </cell>
          <cell r="D44" t="str">
            <v>HMC</v>
          </cell>
          <cell r="E44" t="str">
            <v>FSV</v>
          </cell>
          <cell r="F44">
            <v>331</v>
          </cell>
          <cell r="G44">
            <v>255</v>
          </cell>
          <cell r="H44">
            <v>0.77039274924471302</v>
          </cell>
          <cell r="I44">
            <v>1984</v>
          </cell>
          <cell r="J44">
            <v>316</v>
          </cell>
          <cell r="K44">
            <v>242</v>
          </cell>
        </row>
        <row r="45">
          <cell r="A45" t="str">
            <v>3561100700237EF</v>
          </cell>
          <cell r="B45" t="str">
            <v>CRIZAL ALIZE</v>
          </cell>
          <cell r="C45" t="str">
            <v>1.67</v>
          </cell>
          <cell r="D45" t="str">
            <v>HMC</v>
          </cell>
          <cell r="E45" t="str">
            <v>FSV</v>
          </cell>
          <cell r="F45">
            <v>36</v>
          </cell>
          <cell r="G45">
            <v>15</v>
          </cell>
          <cell r="H45">
            <v>0.41666666666666702</v>
          </cell>
          <cell r="I45">
            <v>36</v>
          </cell>
          <cell r="J45">
            <v>14</v>
          </cell>
          <cell r="K45">
            <v>0</v>
          </cell>
        </row>
        <row r="46">
          <cell r="A46" t="str">
            <v>3561100700640EF</v>
          </cell>
          <cell r="B46" t="str">
            <v>ROCK GREEN</v>
          </cell>
          <cell r="C46" t="str">
            <v>1.67</v>
          </cell>
          <cell r="D46" t="str">
            <v>HMC</v>
          </cell>
          <cell r="E46" t="str">
            <v>FSV</v>
          </cell>
          <cell r="F46">
            <v>331</v>
          </cell>
          <cell r="G46">
            <v>207</v>
          </cell>
          <cell r="H46">
            <v>0.62537764350453195</v>
          </cell>
          <cell r="I46">
            <v>356</v>
          </cell>
          <cell r="J46">
            <v>101</v>
          </cell>
          <cell r="K46">
            <v>0</v>
          </cell>
        </row>
        <row r="47">
          <cell r="A47" t="str">
            <v>3561100700675EF</v>
          </cell>
          <cell r="B47" t="str">
            <v>CRIZAL FORTE UV35</v>
          </cell>
          <cell r="C47" t="str">
            <v>1.67</v>
          </cell>
          <cell r="D47" t="str">
            <v>HMC</v>
          </cell>
          <cell r="E47" t="str">
            <v>FSV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</row>
        <row r="48">
          <cell r="A48" t="str">
            <v>3561100700719EF</v>
          </cell>
          <cell r="B48" t="str">
            <v>SAPPHIR LAGOON</v>
          </cell>
          <cell r="C48" t="str">
            <v>1.67</v>
          </cell>
          <cell r="D48" t="str">
            <v>HMC</v>
          </cell>
          <cell r="E48" t="str">
            <v>FSV</v>
          </cell>
          <cell r="F48">
            <v>219</v>
          </cell>
          <cell r="G48">
            <v>152</v>
          </cell>
          <cell r="H48">
            <v>0.69406392694063901</v>
          </cell>
          <cell r="I48">
            <v>231</v>
          </cell>
          <cell r="J48">
            <v>15</v>
          </cell>
          <cell r="K48">
            <v>0</v>
          </cell>
        </row>
        <row r="49">
          <cell r="A49" t="str">
            <v>3561100700876EF</v>
          </cell>
          <cell r="B49" t="str">
            <v>FSV SAPPHIRE HR BLUE 70 OFG</v>
          </cell>
          <cell r="C49" t="str">
            <v>1.67</v>
          </cell>
          <cell r="D49" t="str">
            <v>HMC</v>
          </cell>
          <cell r="E49" t="str">
            <v>FSV</v>
          </cell>
          <cell r="F49">
            <v>785</v>
          </cell>
          <cell r="G49">
            <v>563</v>
          </cell>
          <cell r="H49">
            <v>0.71719745222929898</v>
          </cell>
          <cell r="I49">
            <v>961</v>
          </cell>
          <cell r="J49">
            <v>68</v>
          </cell>
          <cell r="K49">
            <v>493</v>
          </cell>
        </row>
        <row r="50">
          <cell r="A50" t="str">
            <v>356110075000000</v>
          </cell>
          <cell r="B50" t="str">
            <v>SPH NU</v>
          </cell>
          <cell r="C50" t="str">
            <v>1.67</v>
          </cell>
          <cell r="D50" t="str">
            <v>UNC</v>
          </cell>
          <cell r="E50" t="str">
            <v>FSV</v>
          </cell>
          <cell r="F50">
            <v>478</v>
          </cell>
          <cell r="G50">
            <v>478</v>
          </cell>
          <cell r="H50">
            <v>1</v>
          </cell>
          <cell r="I50">
            <v>0</v>
          </cell>
          <cell r="J50">
            <v>43</v>
          </cell>
          <cell r="K50">
            <v>0</v>
          </cell>
        </row>
        <row r="51">
          <cell r="A51" t="str">
            <v>3561100750237EF</v>
          </cell>
          <cell r="B51" t="str">
            <v>CRIZAL ALIZE</v>
          </cell>
          <cell r="C51" t="str">
            <v>1.67</v>
          </cell>
          <cell r="D51" t="str">
            <v>HMC</v>
          </cell>
          <cell r="E51" t="str">
            <v>FSV</v>
          </cell>
          <cell r="F51">
            <v>534</v>
          </cell>
          <cell r="G51">
            <v>424</v>
          </cell>
          <cell r="H51">
            <v>0.79400749063670395</v>
          </cell>
          <cell r="I51">
            <v>822</v>
          </cell>
          <cell r="J51">
            <v>272</v>
          </cell>
          <cell r="K51">
            <v>2</v>
          </cell>
        </row>
        <row r="52">
          <cell r="A52" t="str">
            <v>3561100750640EF</v>
          </cell>
          <cell r="B52" t="str">
            <v>ROCK GREEN</v>
          </cell>
          <cell r="C52" t="str">
            <v>1.67</v>
          </cell>
          <cell r="D52" t="str">
            <v>HMC</v>
          </cell>
          <cell r="E52" t="str">
            <v>FSV</v>
          </cell>
          <cell r="F52">
            <v>1436</v>
          </cell>
          <cell r="G52">
            <v>1171</v>
          </cell>
          <cell r="H52">
            <v>0.81545961002785505</v>
          </cell>
          <cell r="I52">
            <v>2084</v>
          </cell>
          <cell r="J52">
            <v>663</v>
          </cell>
          <cell r="K52">
            <v>0</v>
          </cell>
        </row>
        <row r="53">
          <cell r="A53" t="str">
            <v>3561100750675EF</v>
          </cell>
          <cell r="B53" t="str">
            <v>CRIZAL FORTE UV35</v>
          </cell>
          <cell r="C53" t="str">
            <v>1.67</v>
          </cell>
          <cell r="D53" t="str">
            <v>HMC</v>
          </cell>
          <cell r="E53" t="str">
            <v>FSV</v>
          </cell>
          <cell r="F53">
            <v>15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</row>
        <row r="54">
          <cell r="A54" t="str">
            <v>3561100750719EF</v>
          </cell>
          <cell r="B54" t="str">
            <v>SAPPHIR LAGOON</v>
          </cell>
          <cell r="C54" t="str">
            <v>1.67</v>
          </cell>
          <cell r="D54" t="str">
            <v>HMC</v>
          </cell>
          <cell r="E54" t="str">
            <v>FSV</v>
          </cell>
          <cell r="F54">
            <v>691</v>
          </cell>
          <cell r="G54">
            <v>533</v>
          </cell>
          <cell r="H54">
            <v>0.77134587554269196</v>
          </cell>
          <cell r="I54">
            <v>1075</v>
          </cell>
          <cell r="J54">
            <v>381</v>
          </cell>
          <cell r="K54">
            <v>0</v>
          </cell>
        </row>
        <row r="55">
          <cell r="A55" t="str">
            <v>3561100750876EF</v>
          </cell>
          <cell r="B55" t="str">
            <v>FSV SAPPHIRE HR BLUE 75 OFG</v>
          </cell>
          <cell r="C55" t="str">
            <v>1.67</v>
          </cell>
          <cell r="D55" t="str">
            <v>HMC</v>
          </cell>
          <cell r="E55" t="str">
            <v>FSV</v>
          </cell>
          <cell r="F55">
            <v>3844</v>
          </cell>
          <cell r="G55">
            <v>3106</v>
          </cell>
          <cell r="H55">
            <v>0.80801248699271599</v>
          </cell>
          <cell r="I55">
            <v>5051</v>
          </cell>
          <cell r="J55">
            <v>416</v>
          </cell>
          <cell r="K55">
            <v>2266</v>
          </cell>
        </row>
        <row r="56">
          <cell r="A56" t="str">
            <v>3T24100650667EF</v>
          </cell>
          <cell r="B56" t="str">
            <v>CRIZAL ALIZE BCT</v>
          </cell>
          <cell r="C56" t="str">
            <v>1.6</v>
          </cell>
          <cell r="D56" t="str">
            <v>HMC</v>
          </cell>
          <cell r="E56" t="str">
            <v>FSV</v>
          </cell>
          <cell r="F56">
            <v>1670</v>
          </cell>
          <cell r="G56">
            <v>1436</v>
          </cell>
          <cell r="H56">
            <v>0.85988023952095805</v>
          </cell>
          <cell r="I56">
            <v>2860</v>
          </cell>
          <cell r="J56">
            <v>793</v>
          </cell>
          <cell r="K56">
            <v>0</v>
          </cell>
        </row>
        <row r="57">
          <cell r="A57" t="str">
            <v>3T2410065071900</v>
          </cell>
          <cell r="B57" t="str">
            <v>SAPPHIRE BCT EOLP</v>
          </cell>
          <cell r="C57" t="str">
            <v>1.6</v>
          </cell>
          <cell r="D57" t="str">
            <v>HMC</v>
          </cell>
          <cell r="E57" t="str">
            <v>FSV</v>
          </cell>
          <cell r="F57">
            <v>1285</v>
          </cell>
          <cell r="G57">
            <v>1096</v>
          </cell>
          <cell r="H57">
            <v>0.85291828793774305</v>
          </cell>
          <cell r="I57">
            <v>1939</v>
          </cell>
          <cell r="J57">
            <v>351</v>
          </cell>
          <cell r="K57">
            <v>240</v>
          </cell>
        </row>
        <row r="58">
          <cell r="A58" t="str">
            <v>3T24100650719EF</v>
          </cell>
          <cell r="B58" t="str">
            <v>SAPPHIR LAGOON BCT</v>
          </cell>
          <cell r="C58" t="str">
            <v>1.6</v>
          </cell>
          <cell r="D58" t="str">
            <v>HMC</v>
          </cell>
          <cell r="E58" t="str">
            <v>FSV</v>
          </cell>
          <cell r="F58">
            <v>1924</v>
          </cell>
          <cell r="G58">
            <v>1666</v>
          </cell>
          <cell r="H58">
            <v>0.86590436590436604</v>
          </cell>
          <cell r="I58">
            <v>3226</v>
          </cell>
          <cell r="J58">
            <v>394</v>
          </cell>
          <cell r="K58">
            <v>0</v>
          </cell>
        </row>
        <row r="59">
          <cell r="A59" t="str">
            <v>3T24100650A2EB1</v>
          </cell>
          <cell r="B59" t="str">
            <v>MC5 BCT EOLP</v>
          </cell>
          <cell r="C59" t="str">
            <v>1.6</v>
          </cell>
          <cell r="D59" t="str">
            <v>HMC</v>
          </cell>
          <cell r="E59" t="str">
            <v>FSV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15</v>
          </cell>
          <cell r="K59">
            <v>0</v>
          </cell>
        </row>
        <row r="60">
          <cell r="A60" t="str">
            <v>3T24100650A2EK1</v>
          </cell>
          <cell r="B60" t="str">
            <v>MC5 BCT-NIKON</v>
          </cell>
          <cell r="C60" t="str">
            <v>1.6</v>
          </cell>
          <cell r="D60" t="str">
            <v>HMC</v>
          </cell>
          <cell r="E60" t="str">
            <v>FSV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</row>
        <row r="61">
          <cell r="A61" t="str">
            <v>3T24100750667EF</v>
          </cell>
          <cell r="B61" t="str">
            <v>CRIZAL ALIZE BCT</v>
          </cell>
          <cell r="C61" t="str">
            <v>1.6</v>
          </cell>
          <cell r="D61" t="str">
            <v>HMC</v>
          </cell>
          <cell r="E61" t="str">
            <v>FSV</v>
          </cell>
          <cell r="F61">
            <v>2044</v>
          </cell>
          <cell r="G61">
            <v>1833</v>
          </cell>
          <cell r="H61">
            <v>0.89677103718199602</v>
          </cell>
          <cell r="I61">
            <v>3615</v>
          </cell>
          <cell r="J61">
            <v>753</v>
          </cell>
          <cell r="K61">
            <v>0</v>
          </cell>
        </row>
        <row r="62">
          <cell r="A62" t="str">
            <v>3T2410075071900</v>
          </cell>
          <cell r="B62" t="str">
            <v>SAPPHIRE BCT EOLP</v>
          </cell>
          <cell r="C62" t="str">
            <v>1.6</v>
          </cell>
          <cell r="D62" t="str">
            <v>HMC</v>
          </cell>
          <cell r="E62" t="str">
            <v>FSV</v>
          </cell>
          <cell r="F62">
            <v>3935</v>
          </cell>
          <cell r="G62">
            <v>3484</v>
          </cell>
          <cell r="H62">
            <v>0.88538754764930105</v>
          </cell>
          <cell r="I62">
            <v>6671</v>
          </cell>
          <cell r="J62">
            <v>825</v>
          </cell>
          <cell r="K62">
            <v>500</v>
          </cell>
        </row>
        <row r="63">
          <cell r="A63" t="str">
            <v>3T24100750719EF</v>
          </cell>
          <cell r="B63" t="str">
            <v>SAPPHIR LAGOON BCT</v>
          </cell>
          <cell r="C63" t="str">
            <v>1.6</v>
          </cell>
          <cell r="D63" t="str">
            <v>HMC</v>
          </cell>
          <cell r="E63" t="str">
            <v>FSV</v>
          </cell>
          <cell r="F63">
            <v>2112</v>
          </cell>
          <cell r="G63">
            <v>1907</v>
          </cell>
          <cell r="H63">
            <v>0.90293560606060597</v>
          </cell>
          <cell r="I63">
            <v>3636</v>
          </cell>
          <cell r="J63">
            <v>750</v>
          </cell>
          <cell r="K63">
            <v>2</v>
          </cell>
        </row>
        <row r="64">
          <cell r="A64" t="str">
            <v>3T24100750A2EB1</v>
          </cell>
          <cell r="B64" t="str">
            <v>MC5 BCT EOLP</v>
          </cell>
          <cell r="C64" t="str">
            <v>1.6</v>
          </cell>
          <cell r="D64" t="str">
            <v>HMC</v>
          </cell>
          <cell r="E64" t="str">
            <v>FSV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5</v>
          </cell>
          <cell r="K64">
            <v>1</v>
          </cell>
        </row>
        <row r="65">
          <cell r="A65" t="str">
            <v>3T24100750A2EK1</v>
          </cell>
          <cell r="B65" t="str">
            <v>MC5 BCT-NIKON</v>
          </cell>
          <cell r="C65" t="str">
            <v>1.6</v>
          </cell>
          <cell r="D65" t="str">
            <v>HMC</v>
          </cell>
          <cell r="E65" t="str">
            <v>FSV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</row>
        <row r="66">
          <cell r="A66" t="str">
            <v>531510080231400</v>
          </cell>
          <cell r="B66" t="str">
            <v>SF EVOLIS PC 80 NTPC</v>
          </cell>
          <cell r="C66" t="str">
            <v>Poly</v>
          </cell>
          <cell r="D66" t="str">
            <v>HC</v>
          </cell>
          <cell r="E66" t="str">
            <v>SFPAL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A67" t="str">
            <v>547410081200000</v>
          </cell>
          <cell r="B67" t="str">
            <v>SF GX PC 80 UNCOAT</v>
          </cell>
          <cell r="C67" t="str">
            <v>Poly</v>
          </cell>
          <cell r="D67" t="str">
            <v>UNC</v>
          </cell>
          <cell r="E67" t="str">
            <v>SFPAL</v>
          </cell>
          <cell r="F67">
            <v>106592</v>
          </cell>
          <cell r="G67">
            <v>102830</v>
          </cell>
          <cell r="H67">
            <v>0.96470654458120697</v>
          </cell>
          <cell r="I67">
            <v>0</v>
          </cell>
          <cell r="J67">
            <v>1275</v>
          </cell>
          <cell r="K67">
            <v>0</v>
          </cell>
        </row>
        <row r="68">
          <cell r="A68" t="str">
            <v>547410081231401</v>
          </cell>
          <cell r="B68" t="str">
            <v>SF GX PC 80 NTPC</v>
          </cell>
          <cell r="C68" t="str">
            <v>Poly</v>
          </cell>
          <cell r="D68" t="str">
            <v>HC</v>
          </cell>
          <cell r="E68" t="str">
            <v>SFPAL</v>
          </cell>
          <cell r="F68">
            <v>17200</v>
          </cell>
          <cell r="G68">
            <v>16085</v>
          </cell>
          <cell r="H68">
            <v>0.935174418604651</v>
          </cell>
          <cell r="I68">
            <v>0</v>
          </cell>
          <cell r="J68">
            <v>2489</v>
          </cell>
          <cell r="K68">
            <v>0</v>
          </cell>
        </row>
        <row r="69">
          <cell r="A69" t="str">
            <v>548410081200000</v>
          </cell>
          <cell r="B69" t="str">
            <v>SF ROCKY PC 80 UNCOAT</v>
          </cell>
          <cell r="C69" t="str">
            <v>Poly</v>
          </cell>
          <cell r="D69" t="str">
            <v>UNC</v>
          </cell>
          <cell r="E69" t="str">
            <v>SFPAL</v>
          </cell>
          <cell r="F69">
            <v>31360</v>
          </cell>
          <cell r="G69">
            <v>30395</v>
          </cell>
          <cell r="H69">
            <v>0.96922831632653095</v>
          </cell>
          <cell r="I69">
            <v>26790</v>
          </cell>
          <cell r="J69">
            <v>0</v>
          </cell>
          <cell r="K69">
            <v>7770</v>
          </cell>
        </row>
        <row r="70">
          <cell r="A70" t="str">
            <v>548410081231400</v>
          </cell>
          <cell r="B70" t="str">
            <v>SF ROCKY PC 80 NTPC</v>
          </cell>
          <cell r="C70" t="str">
            <v>Poly</v>
          </cell>
          <cell r="D70" t="str">
            <v>HC</v>
          </cell>
          <cell r="E70" t="str">
            <v>SFPAL</v>
          </cell>
          <cell r="F70">
            <v>21360</v>
          </cell>
          <cell r="G70">
            <v>19878</v>
          </cell>
          <cell r="H70">
            <v>0.93061797752808995</v>
          </cell>
          <cell r="I70">
            <v>0</v>
          </cell>
          <cell r="J70">
            <v>6535</v>
          </cell>
          <cell r="K70">
            <v>0</v>
          </cell>
        </row>
        <row r="71">
          <cell r="A71" t="str">
            <v>554410076000000</v>
          </cell>
          <cell r="B71" t="str">
            <v>SFSV ASPH PC 76 UNCOAT</v>
          </cell>
          <cell r="C71" t="str">
            <v>Poly</v>
          </cell>
          <cell r="D71" t="str">
            <v>UNC</v>
          </cell>
          <cell r="E71" t="str">
            <v>SFSV</v>
          </cell>
          <cell r="F71">
            <v>0</v>
          </cell>
          <cell r="G71">
            <v>0</v>
          </cell>
          <cell r="H71">
            <v>0</v>
          </cell>
          <cell r="I71">
            <v>1650</v>
          </cell>
          <cell r="J71">
            <v>0</v>
          </cell>
          <cell r="K71">
            <v>291</v>
          </cell>
        </row>
        <row r="72">
          <cell r="A72" t="str">
            <v>554410076031400</v>
          </cell>
          <cell r="B72" t="str">
            <v>SFSV ASPH PC 76 NTPC AIRWEAR</v>
          </cell>
          <cell r="C72" t="str">
            <v>Poly</v>
          </cell>
          <cell r="D72" t="str">
            <v>HC</v>
          </cell>
          <cell r="E72" t="str">
            <v>SFSV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20</v>
          </cell>
          <cell r="K72">
            <v>0</v>
          </cell>
        </row>
        <row r="73">
          <cell r="A73" t="str">
            <v>554710076000000</v>
          </cell>
          <cell r="B73" t="str">
            <v>SFSV SPH PC 76 UNCOAT</v>
          </cell>
          <cell r="C73" t="str">
            <v>Poly</v>
          </cell>
          <cell r="D73" t="str">
            <v>UNC</v>
          </cell>
          <cell r="E73" t="str">
            <v>SFSV</v>
          </cell>
          <cell r="F73">
            <v>116551</v>
          </cell>
          <cell r="G73">
            <v>112330</v>
          </cell>
          <cell r="H73">
            <v>0.96378409451656399</v>
          </cell>
          <cell r="I73">
            <v>104670</v>
          </cell>
          <cell r="J73">
            <v>8551</v>
          </cell>
          <cell r="K73">
            <v>10795</v>
          </cell>
        </row>
        <row r="74">
          <cell r="A74" t="str">
            <v>554710076031400</v>
          </cell>
          <cell r="B74" t="str">
            <v>SFSV SPH PC 76 NTPC AIRWEAR</v>
          </cell>
          <cell r="C74" t="str">
            <v>Poly</v>
          </cell>
          <cell r="D74" t="str">
            <v>HC</v>
          </cell>
          <cell r="E74" t="str">
            <v>SFSV</v>
          </cell>
          <cell r="F74">
            <v>95440</v>
          </cell>
          <cell r="G74">
            <v>91795</v>
          </cell>
          <cell r="H74">
            <v>0.96180846605197001</v>
          </cell>
          <cell r="I74">
            <v>93180</v>
          </cell>
          <cell r="J74">
            <v>8063</v>
          </cell>
          <cell r="K74">
            <v>12279</v>
          </cell>
        </row>
        <row r="75">
          <cell r="A75" t="str">
            <v>5673100802314B1</v>
          </cell>
          <cell r="B75" t="str">
            <v>SF SNL6 PC 80 NTPC</v>
          </cell>
          <cell r="C75" t="str">
            <v>Poly</v>
          </cell>
          <cell r="D75" t="str">
            <v>HC</v>
          </cell>
          <cell r="E75" t="str">
            <v>SFPAL</v>
          </cell>
          <cell r="F75">
            <v>160</v>
          </cell>
          <cell r="G75">
            <v>152</v>
          </cell>
          <cell r="H75">
            <v>0.95</v>
          </cell>
          <cell r="I75">
            <v>0</v>
          </cell>
          <cell r="J75">
            <v>0</v>
          </cell>
          <cell r="K75">
            <v>0</v>
          </cell>
        </row>
        <row r="76">
          <cell r="A76" t="str">
            <v>580410080231400</v>
          </cell>
          <cell r="B76" t="str">
            <v>SF CONDE PC 80 NTPC</v>
          </cell>
          <cell r="C76" t="str">
            <v>Poly</v>
          </cell>
          <cell r="D76" t="str">
            <v>HC</v>
          </cell>
          <cell r="E76" t="str">
            <v>SFPAL</v>
          </cell>
          <cell r="F76">
            <v>1664</v>
          </cell>
          <cell r="G76">
            <v>1441</v>
          </cell>
          <cell r="H76">
            <v>0.86598557692307698</v>
          </cell>
          <cell r="I76">
            <v>0</v>
          </cell>
          <cell r="J76">
            <v>0</v>
          </cell>
          <cell r="K76">
            <v>0</v>
          </cell>
        </row>
        <row r="77">
          <cell r="A77" t="str">
            <v>580910080231400</v>
          </cell>
          <cell r="B77" t="str">
            <v>SF OVATION PC 80 NTPC</v>
          </cell>
          <cell r="C77" t="str">
            <v>Poly</v>
          </cell>
          <cell r="D77" t="str">
            <v>HC</v>
          </cell>
          <cell r="E77" t="str">
            <v>SFPAL</v>
          </cell>
          <cell r="F77">
            <v>6228</v>
          </cell>
          <cell r="G77">
            <v>5664</v>
          </cell>
          <cell r="H77">
            <v>0.90944123314065495</v>
          </cell>
          <cell r="I77">
            <v>6990</v>
          </cell>
          <cell r="J77">
            <v>648</v>
          </cell>
          <cell r="K77">
            <v>5449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U"/>
      <sheetName val="RPL Ref"/>
      <sheetName val="WIP adj par produit"/>
      <sheetName val="MES Adj"/>
      <sheetName val="MES Costing Report"/>
      <sheetName val="MOP"/>
      <sheetName val="Feuil1"/>
      <sheetName val="Feuil2"/>
    </sheetNames>
    <sheetDataSet>
      <sheetData sheetId="0" refreshError="1"/>
      <sheetData sheetId="1" refreshError="1"/>
      <sheetData sheetId="2" refreshError="1"/>
      <sheetData sheetId="3">
        <row r="72">
          <cell r="U72">
            <v>0.81223366693452159</v>
          </cell>
          <cell r="V72">
            <v>14521</v>
          </cell>
        </row>
        <row r="73">
          <cell r="U73">
            <v>0.82304761904761903</v>
          </cell>
          <cell r="V73">
            <v>11503</v>
          </cell>
        </row>
        <row r="74">
          <cell r="U74">
            <v>0.77662799205602595</v>
          </cell>
          <cell r="V74">
            <v>3018</v>
          </cell>
        </row>
        <row r="75">
          <cell r="U75">
            <v>0.55058499655884374</v>
          </cell>
          <cell r="V75">
            <v>620</v>
          </cell>
        </row>
        <row r="76">
          <cell r="U76">
            <v>0.94698852141789081</v>
          </cell>
          <cell r="V76">
            <v>41802</v>
          </cell>
        </row>
        <row r="77">
          <cell r="U77">
            <v>0.72592169191197486</v>
          </cell>
          <cell r="V77">
            <v>13495</v>
          </cell>
        </row>
        <row r="78">
          <cell r="U78">
            <v>0.95583341909368458</v>
          </cell>
          <cell r="V78">
            <v>28307</v>
          </cell>
        </row>
        <row r="79">
          <cell r="U79">
            <v>0.91976348340640934</v>
          </cell>
          <cell r="V79">
            <v>56943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AYOTTE Jérémy" refreshedDate="44535.939779976849" createdVersion="6" refreshedVersion="6" minRefreshableVersion="3" recordCount="76">
  <cacheSource type="worksheet">
    <worksheetSource ref="R2:AD78" sheet="Mes adj 1"/>
  </cacheSource>
  <cacheFields count="13">
    <cacheField name="RPL Family" numFmtId="0">
      <sharedItems count="76">
        <s v="3524100650640EF"/>
        <s v="3524100650876EF"/>
        <s v="3524100750640EF"/>
        <s v="3524100750876EF"/>
        <s v="352410075000000"/>
        <s v="3518100650675EF"/>
        <s v="3518100650719EF"/>
        <s v="3518100750719EF"/>
        <s v="3524100650237EF"/>
        <s v="3524100650675EF"/>
        <s v="3524100650676EF"/>
        <s v="3524100650719EF"/>
        <s v="3524100750237EF"/>
        <s v="3524100750675EF"/>
        <s v="3524100750676EF"/>
        <s v="3524100750719EF"/>
        <s v="3524100750A2EB1"/>
        <s v="3T24100650667EF"/>
        <s v="3T2410065071900"/>
        <s v="3T24100650719EF"/>
        <s v="3T24100650A2EB1"/>
        <s v="3T24100650A2EK1"/>
        <s v="3T24100750667EF"/>
        <s v="3T2410075071900"/>
        <s v="3T24100750719EF"/>
        <s v="3T24100750A2EB1"/>
        <s v="3T24100750A2EK1"/>
        <s v="3524942750876EF"/>
        <s v="3524942650667EF"/>
        <s v="356110075000000"/>
        <s v="3555100650719EF"/>
        <s v="3555100750719EF"/>
        <s v="3555100800719EF"/>
        <s v="3561100650237EF"/>
        <s v="3561100650640EF"/>
        <s v="3561100650675EF"/>
        <s v="3561100650719EF"/>
        <s v="3561100650876EF"/>
        <s v="3561100700237EF"/>
        <s v="3561100700640EF"/>
        <s v="3561100700675EF"/>
        <s v="3561100700719EF"/>
        <s v="3561100700876EF"/>
        <s v="3561100750237EF"/>
        <s v="3561100750640EF"/>
        <s v="3561100750675EF"/>
        <s v="3561100750719EF"/>
        <s v="3561100750876EF"/>
        <s v="3547100550314J1"/>
        <s v="3547100600314J1"/>
        <s v="354710065031400"/>
        <s v="354710070031401"/>
        <s v="3547100550676EF"/>
        <s v="3547100600676EF"/>
        <s v="3547100650237EF"/>
        <s v="354710065060NEF"/>
        <s v="3547100650675EF"/>
        <s v="3547100650676EF"/>
        <s v="3547100650770EF"/>
        <s v="354710065087NEF"/>
        <s v="3547100700237EF"/>
        <s v="354710070060NEF"/>
        <s v="3547100700675EF"/>
        <s v="3547100700770EF"/>
        <s v="531510080231400"/>
        <s v="547410081200000"/>
        <s v="547410081231401"/>
        <s v="548410081200000"/>
        <s v="548410081231400"/>
        <s v="554410076000000"/>
        <s v="554410076031400"/>
        <s v="554710076000000"/>
        <s v="554710076031400"/>
        <s v="5673100802314B1"/>
        <s v="580410080231400"/>
        <s v="580910080231400"/>
      </sharedItems>
    </cacheField>
    <cacheField name="Family Description" numFmtId="0">
      <sharedItems count="45">
        <s v="ROCK GREEN TITANIUM"/>
        <s v="FSV SAPPHIRE HR BLUE 65 OFG TITANIUM"/>
        <s v="FSV SAPPHIRE HR BLUE 75 OFG TITANIUM"/>
        <s v="SPH NU"/>
        <s v="CRIZAL FORTE UV35"/>
        <s v="SAPPHIR LAGOON"/>
        <s v="CRIZAL ALIZE"/>
        <s v="CRIZAL PREVENCIA UV35"/>
        <s v="NEVA MAX MC5"/>
        <s v="CRIZAL ALIZE BCT"/>
        <s v="SAPPHIRE BCT EOLP"/>
        <s v="SAPPHIR LAGOON BCT"/>
        <s v="MC5 BCT EOLP"/>
        <s v="MC5 BCT-NIKON"/>
        <s v="BCT OXA SAPPHIRE HR TITANIUM"/>
        <s v="BCT OXA ALIZEE "/>
        <s v="FSV SAPPHIRE HR BLUE 70 OFG TITANIUM"/>
        <s v="FSV PC 55 NTPC"/>
        <s v="FSV PC 60 NTPC"/>
        <s v="FSV SPH POLY NTPC D65"/>
        <s v="FSV SPH PC 70 HC NTPC EP"/>
        <s v="FSV KIDS 55 OFG"/>
        <s v="FSV KIDS 60 OFG"/>
        <s v="FSV SPHPC CZ AL+UV EU 65 OFG"/>
        <s v="FSV ROCK GREEN 65 OFG"/>
        <s v="FSV SPH PC CZ D65 FORTE UV35"/>
        <s v="FSV KIDS 65 OFG"/>
        <s v="SAPPHIR LAGOON D65"/>
        <s v="FSV SAPPHIRE HR BLUE 65 OFG"/>
        <s v="FSV SPH PC CZ AL+UV EU 70 OFG"/>
        <s v="FSV ROCK GREEN 70 OFG"/>
        <s v="FSV SPH PC CZ D70 FORTE UV35"/>
        <s v="SAPPHIR LAGOON D70"/>
        <s v="SF EVOLIS PC 80 NTPC"/>
        <s v="SF GX PC 80 UNCOAT"/>
        <s v="SF GX PC 80 NTPC"/>
        <s v="SF ROCKY PC 80 UNCOAT"/>
        <s v="SF ROCKY PC 80 NTPC"/>
        <s v="SFSV ASPH PC 76 UNCOAT"/>
        <s v="SFSV ASPH PC 76 NTPC AIRWEAR"/>
        <s v="SFSV SPH PC 76 UNCOAT"/>
        <s v="SFSV SPH PC 76 NTPC AIRWEAR"/>
        <s v="SF SNL6 PC 80 NTPC"/>
        <s v="SF CONDE PC 80 NTPC"/>
        <s v="SF OVATION PC 80 NTPC"/>
      </sharedItems>
    </cacheField>
    <cacheField name="Index" numFmtId="0">
      <sharedItems count="5">
        <s v="1.6"/>
        <s v="1.6 BCT NG"/>
        <s v="1.6 BCT OXA"/>
        <s v="1.67"/>
        <s v="Poly"/>
      </sharedItems>
    </cacheField>
    <cacheField name="CLIENT" numFmtId="0">
      <sharedItems containsMixedTypes="1" containsNumber="1" containsInteger="1" minValue="0" maxValue="0" count="8">
        <s v="CHALON"/>
        <s v="ARRET PROD"/>
        <s v="EOLP"/>
        <n v="0"/>
        <s v="ESSILOR /PROVINS"/>
        <s v="US"/>
        <s v="ESSILOR PROVINS/US"/>
        <s v="PROVINS bbgr"/>
      </sharedItems>
    </cacheField>
    <cacheField name="VA" numFmtId="0">
      <sharedItems count="4">
        <s v="HMC"/>
        <s v="UNC"/>
        <s v="HC"/>
        <s v="SV UNC"/>
      </sharedItems>
    </cacheField>
    <cacheField name="Design" numFmtId="0">
      <sharedItems count="3">
        <s v="FSV"/>
        <s v="SFPAL"/>
        <s v="SFSV"/>
      </sharedItems>
    </cacheField>
    <cacheField name="CAT" numFmtId="0">
      <sharedItems containsMixedTypes="1" containsNumber="1" containsInteger="1" minValue="0" maxValue="0" count="5">
        <s v="TITANIUM"/>
        <n v="0"/>
        <s v="BCT NEX GEN"/>
        <s v="TITANIUM OXA BCT"/>
        <s v="UNCOAT TS DESTINATAIRE"/>
      </sharedItems>
    </cacheField>
    <cacheField name="Launched Qty" numFmtId="3">
      <sharedItems containsSemiMixedTypes="0" containsString="0" containsNumber="1" containsInteger="1" minValue="0" maxValue="116551"/>
    </cacheField>
    <cacheField name="Good Qty" numFmtId="0">
      <sharedItems containsSemiMixedTypes="0" containsString="0" containsNumber="1" containsInteger="1" minValue="0" maxValue="112330"/>
    </cacheField>
    <cacheField name="Yield (%)" numFmtId="9">
      <sharedItems containsMixedTypes="1" containsNumber="1" minValue="0" maxValue="1"/>
    </cacheField>
    <cacheField name="Shipment (Stock Lens)" numFmtId="0">
      <sharedItems containsSemiMixedTypes="0" containsString="0" containsNumber="1" containsInteger="1" minValue="0" maxValue="104670"/>
    </cacheField>
    <cacheField name="WIP Production" numFmtId="0">
      <sharedItems containsSemiMixedTypes="0" containsString="0" containsNumber="1" containsInteger="1" minValue="0" maxValue="8551"/>
    </cacheField>
    <cacheField name="Wip Stock " numFmtId="0">
      <sharedItems containsSemiMixedTypes="0" containsString="0" containsNumber="1" containsInteger="1" minValue="0" maxValue="12279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6">
  <r>
    <x v="0"/>
    <x v="0"/>
    <x v="0"/>
    <x v="0"/>
    <x v="0"/>
    <x v="0"/>
    <x v="0"/>
    <n v="1703"/>
    <n v="1221"/>
    <n v="0.71697005284791548"/>
    <n v="1926"/>
    <n v="424"/>
    <n v="155"/>
  </r>
  <r>
    <x v="1"/>
    <x v="1"/>
    <x v="0"/>
    <x v="0"/>
    <x v="0"/>
    <x v="0"/>
    <x v="0"/>
    <n v="5128"/>
    <n v="4002"/>
    <n v="0.78042121684867394"/>
    <n v="13320"/>
    <n v="113"/>
    <n v="417"/>
  </r>
  <r>
    <x v="2"/>
    <x v="0"/>
    <x v="0"/>
    <x v="0"/>
    <x v="0"/>
    <x v="0"/>
    <x v="0"/>
    <n v="1153"/>
    <n v="966"/>
    <n v="0.83781439722463136"/>
    <n v="1851"/>
    <n v="680"/>
    <n v="0"/>
  </r>
  <r>
    <x v="3"/>
    <x v="2"/>
    <x v="0"/>
    <x v="0"/>
    <x v="0"/>
    <x v="0"/>
    <x v="0"/>
    <n v="4677"/>
    <n v="4065"/>
    <n v="0.86914688903143045"/>
    <n v="18176"/>
    <n v="19"/>
    <n v="384"/>
  </r>
  <r>
    <x v="4"/>
    <x v="3"/>
    <x v="0"/>
    <x v="0"/>
    <x v="1"/>
    <x v="0"/>
    <x v="1"/>
    <n v="1553"/>
    <n v="1553"/>
    <n v="1"/>
    <n v="0"/>
    <n v="48"/>
    <n v="0"/>
  </r>
  <r>
    <x v="5"/>
    <x v="4"/>
    <x v="0"/>
    <x v="0"/>
    <x v="0"/>
    <x v="0"/>
    <x v="1"/>
    <n v="0"/>
    <n v="0"/>
    <s v=""/>
    <n v="0"/>
    <n v="0"/>
    <n v="0"/>
  </r>
  <r>
    <x v="6"/>
    <x v="5"/>
    <x v="0"/>
    <x v="0"/>
    <x v="0"/>
    <x v="0"/>
    <x v="1"/>
    <n v="519"/>
    <n v="403"/>
    <n v="0.77649325626204235"/>
    <n v="798"/>
    <n v="145"/>
    <n v="1"/>
  </r>
  <r>
    <x v="7"/>
    <x v="5"/>
    <x v="0"/>
    <x v="0"/>
    <x v="0"/>
    <x v="0"/>
    <x v="1"/>
    <n v="79"/>
    <n v="73"/>
    <n v="0.92405063291139244"/>
    <n v="146"/>
    <n v="10"/>
    <n v="0"/>
  </r>
  <r>
    <x v="8"/>
    <x v="6"/>
    <x v="0"/>
    <x v="0"/>
    <x v="0"/>
    <x v="0"/>
    <x v="1"/>
    <n v="2714"/>
    <n v="2223"/>
    <n v="0.8190862196020634"/>
    <n v="4332"/>
    <n v="636"/>
    <n v="249"/>
  </r>
  <r>
    <x v="9"/>
    <x v="4"/>
    <x v="0"/>
    <x v="0"/>
    <x v="0"/>
    <x v="0"/>
    <x v="1"/>
    <n v="1"/>
    <n v="0"/>
    <n v="0"/>
    <n v="0"/>
    <n v="3"/>
    <n v="0"/>
  </r>
  <r>
    <x v="10"/>
    <x v="7"/>
    <x v="0"/>
    <x v="0"/>
    <x v="0"/>
    <x v="0"/>
    <x v="1"/>
    <n v="4563"/>
    <n v="3817"/>
    <n v="0.836511067280298"/>
    <n v="7511"/>
    <n v="2127"/>
    <n v="374"/>
  </r>
  <r>
    <x v="11"/>
    <x v="5"/>
    <x v="0"/>
    <x v="0"/>
    <x v="0"/>
    <x v="0"/>
    <x v="1"/>
    <n v="1375"/>
    <n v="1165"/>
    <n v="0.84727272727272729"/>
    <n v="2500"/>
    <n v="295"/>
    <n v="0"/>
  </r>
  <r>
    <x v="12"/>
    <x v="6"/>
    <x v="0"/>
    <x v="0"/>
    <x v="0"/>
    <x v="0"/>
    <x v="1"/>
    <n v="2689"/>
    <n v="2332"/>
    <n v="0.86723689103756041"/>
    <n v="4377"/>
    <n v="989"/>
    <n v="224"/>
  </r>
  <r>
    <x v="13"/>
    <x v="4"/>
    <x v="0"/>
    <x v="0"/>
    <x v="0"/>
    <x v="0"/>
    <x v="1"/>
    <n v="1"/>
    <n v="0"/>
    <n v="0"/>
    <n v="0"/>
    <n v="0"/>
    <n v="0"/>
  </r>
  <r>
    <x v="14"/>
    <x v="7"/>
    <x v="0"/>
    <x v="0"/>
    <x v="0"/>
    <x v="0"/>
    <x v="1"/>
    <n v="10001"/>
    <n v="8580"/>
    <n v="0.85791420857914213"/>
    <n v="15573"/>
    <n v="2718"/>
    <n v="1310"/>
  </r>
  <r>
    <x v="15"/>
    <x v="5"/>
    <x v="0"/>
    <x v="0"/>
    <x v="0"/>
    <x v="0"/>
    <x v="1"/>
    <n v="1689"/>
    <n v="1506"/>
    <n v="0.89165186500888094"/>
    <n v="3321"/>
    <n v="950"/>
    <n v="0"/>
  </r>
  <r>
    <x v="16"/>
    <x v="8"/>
    <x v="0"/>
    <x v="1"/>
    <x v="0"/>
    <x v="0"/>
    <x v="1"/>
    <n v="1"/>
    <n v="0"/>
    <n v="0"/>
    <n v="0"/>
    <n v="0"/>
    <n v="0"/>
  </r>
  <r>
    <x v="17"/>
    <x v="9"/>
    <x v="1"/>
    <x v="0"/>
    <x v="0"/>
    <x v="0"/>
    <x v="2"/>
    <n v="1670"/>
    <n v="1436"/>
    <n v="0.85988023952095805"/>
    <n v="2860"/>
    <n v="793"/>
    <n v="0"/>
  </r>
  <r>
    <x v="18"/>
    <x v="10"/>
    <x v="1"/>
    <x v="0"/>
    <x v="0"/>
    <x v="0"/>
    <x v="2"/>
    <n v="1285"/>
    <n v="1096"/>
    <n v="0.85291828793774316"/>
    <n v="1939"/>
    <n v="351"/>
    <n v="240"/>
  </r>
  <r>
    <x v="19"/>
    <x v="11"/>
    <x v="1"/>
    <x v="0"/>
    <x v="0"/>
    <x v="0"/>
    <x v="2"/>
    <n v="1924"/>
    <n v="1666"/>
    <n v="0.86590436590436592"/>
    <n v="3226"/>
    <n v="394"/>
    <n v="0"/>
  </r>
  <r>
    <x v="20"/>
    <x v="12"/>
    <x v="1"/>
    <x v="1"/>
    <x v="0"/>
    <x v="0"/>
    <x v="2"/>
    <n v="0"/>
    <n v="0"/>
    <s v=""/>
    <n v="0"/>
    <n v="15"/>
    <n v="0"/>
  </r>
  <r>
    <x v="21"/>
    <x v="13"/>
    <x v="1"/>
    <x v="1"/>
    <x v="0"/>
    <x v="0"/>
    <x v="2"/>
    <n v="0"/>
    <n v="0"/>
    <s v=""/>
    <n v="0"/>
    <n v="0"/>
    <n v="0"/>
  </r>
  <r>
    <x v="22"/>
    <x v="9"/>
    <x v="1"/>
    <x v="0"/>
    <x v="0"/>
    <x v="0"/>
    <x v="2"/>
    <n v="2044"/>
    <n v="1833"/>
    <n v="0.89677103718199613"/>
    <n v="3615"/>
    <n v="753"/>
    <n v="0"/>
  </r>
  <r>
    <x v="23"/>
    <x v="10"/>
    <x v="1"/>
    <x v="2"/>
    <x v="0"/>
    <x v="0"/>
    <x v="2"/>
    <n v="3935"/>
    <n v="3484"/>
    <n v="0.88538754764930117"/>
    <n v="6671"/>
    <n v="825"/>
    <n v="500"/>
  </r>
  <r>
    <x v="24"/>
    <x v="11"/>
    <x v="1"/>
    <x v="0"/>
    <x v="0"/>
    <x v="0"/>
    <x v="2"/>
    <n v="2112"/>
    <n v="1907"/>
    <n v="0.90293560606060608"/>
    <n v="3636"/>
    <n v="750"/>
    <n v="2"/>
  </r>
  <r>
    <x v="25"/>
    <x v="12"/>
    <x v="1"/>
    <x v="1"/>
    <x v="0"/>
    <x v="0"/>
    <x v="2"/>
    <n v="0"/>
    <n v="0"/>
    <s v=""/>
    <n v="0"/>
    <n v="5"/>
    <n v="1"/>
  </r>
  <r>
    <x v="26"/>
    <x v="13"/>
    <x v="1"/>
    <x v="1"/>
    <x v="0"/>
    <x v="0"/>
    <x v="2"/>
    <n v="0"/>
    <n v="0"/>
    <s v=""/>
    <n v="0"/>
    <n v="0"/>
    <n v="0"/>
  </r>
  <r>
    <x v="27"/>
    <x v="14"/>
    <x v="2"/>
    <x v="0"/>
    <x v="0"/>
    <x v="0"/>
    <x v="3"/>
    <n v="1"/>
    <n v="0"/>
    <n v="0"/>
    <n v="0"/>
    <n v="0"/>
    <n v="0"/>
  </r>
  <r>
    <x v="28"/>
    <x v="15"/>
    <x v="2"/>
    <x v="0"/>
    <x v="0"/>
    <x v="0"/>
    <x v="1"/>
    <n v="1"/>
    <n v="0"/>
    <n v="0"/>
    <n v="0"/>
    <n v="0"/>
    <n v="0"/>
  </r>
  <r>
    <x v="29"/>
    <x v="3"/>
    <x v="3"/>
    <x v="3"/>
    <x v="1"/>
    <x v="0"/>
    <x v="1"/>
    <n v="478"/>
    <n v="478"/>
    <n v="1"/>
    <n v="0"/>
    <n v="43"/>
    <n v="0"/>
  </r>
  <r>
    <x v="30"/>
    <x v="5"/>
    <x v="3"/>
    <x v="3"/>
    <x v="0"/>
    <x v="0"/>
    <x v="1"/>
    <n v="309"/>
    <n v="237"/>
    <n v="0.76699029126213591"/>
    <n v="383"/>
    <n v="76"/>
    <n v="5"/>
  </r>
  <r>
    <x v="31"/>
    <x v="5"/>
    <x v="3"/>
    <x v="3"/>
    <x v="0"/>
    <x v="0"/>
    <x v="1"/>
    <n v="117"/>
    <n v="84"/>
    <n v="0.71794871794871795"/>
    <n v="164"/>
    <n v="20"/>
    <n v="0"/>
  </r>
  <r>
    <x v="32"/>
    <x v="5"/>
    <x v="3"/>
    <x v="3"/>
    <x v="0"/>
    <x v="0"/>
    <x v="1"/>
    <n v="754"/>
    <n v="554"/>
    <n v="0.73474801061007955"/>
    <n v="973"/>
    <n v="180"/>
    <n v="0"/>
  </r>
  <r>
    <x v="33"/>
    <x v="6"/>
    <x v="3"/>
    <x v="3"/>
    <x v="0"/>
    <x v="0"/>
    <x v="1"/>
    <n v="79"/>
    <n v="54"/>
    <n v="0.68354430379746833"/>
    <n v="157"/>
    <n v="70"/>
    <n v="1"/>
  </r>
  <r>
    <x v="34"/>
    <x v="0"/>
    <x v="3"/>
    <x v="3"/>
    <x v="0"/>
    <x v="0"/>
    <x v="0"/>
    <n v="35"/>
    <n v="29"/>
    <n v="0.82857142857142863"/>
    <n v="38"/>
    <n v="10"/>
    <n v="0"/>
  </r>
  <r>
    <x v="35"/>
    <x v="4"/>
    <x v="3"/>
    <x v="3"/>
    <x v="0"/>
    <x v="0"/>
    <x v="1"/>
    <n v="0"/>
    <n v="0"/>
    <s v=""/>
    <n v="0"/>
    <n v="0"/>
    <n v="0"/>
  </r>
  <r>
    <x v="36"/>
    <x v="5"/>
    <x v="3"/>
    <x v="3"/>
    <x v="0"/>
    <x v="0"/>
    <x v="1"/>
    <n v="141"/>
    <n v="108"/>
    <n v="0.76595744680851063"/>
    <n v="270"/>
    <n v="52"/>
    <n v="9"/>
  </r>
  <r>
    <x v="37"/>
    <x v="1"/>
    <x v="3"/>
    <x v="3"/>
    <x v="0"/>
    <x v="0"/>
    <x v="0"/>
    <n v="331"/>
    <n v="255"/>
    <n v="0.77039274924471302"/>
    <n v="1984"/>
    <n v="316"/>
    <n v="242"/>
  </r>
  <r>
    <x v="38"/>
    <x v="6"/>
    <x v="3"/>
    <x v="3"/>
    <x v="0"/>
    <x v="0"/>
    <x v="1"/>
    <n v="36"/>
    <n v="15"/>
    <n v="0.41666666666666669"/>
    <n v="36"/>
    <n v="14"/>
    <n v="0"/>
  </r>
  <r>
    <x v="39"/>
    <x v="0"/>
    <x v="3"/>
    <x v="3"/>
    <x v="0"/>
    <x v="0"/>
    <x v="0"/>
    <n v="331"/>
    <n v="207"/>
    <n v="0.62537764350453173"/>
    <n v="356"/>
    <n v="101"/>
    <n v="0"/>
  </r>
  <r>
    <x v="40"/>
    <x v="4"/>
    <x v="3"/>
    <x v="3"/>
    <x v="0"/>
    <x v="0"/>
    <x v="1"/>
    <n v="0"/>
    <n v="0"/>
    <s v=""/>
    <n v="0"/>
    <n v="0"/>
    <n v="0"/>
  </r>
  <r>
    <x v="41"/>
    <x v="5"/>
    <x v="3"/>
    <x v="3"/>
    <x v="0"/>
    <x v="0"/>
    <x v="1"/>
    <n v="219"/>
    <n v="152"/>
    <n v="0.69406392694063923"/>
    <n v="231"/>
    <n v="15"/>
    <n v="0"/>
  </r>
  <r>
    <x v="42"/>
    <x v="16"/>
    <x v="3"/>
    <x v="3"/>
    <x v="0"/>
    <x v="0"/>
    <x v="0"/>
    <n v="785"/>
    <n v="563"/>
    <n v="0.71719745222929931"/>
    <n v="961"/>
    <n v="68"/>
    <n v="493"/>
  </r>
  <r>
    <x v="43"/>
    <x v="6"/>
    <x v="3"/>
    <x v="3"/>
    <x v="0"/>
    <x v="0"/>
    <x v="1"/>
    <n v="534"/>
    <n v="424"/>
    <n v="0.79400749063670417"/>
    <n v="822"/>
    <n v="272"/>
    <n v="2"/>
  </r>
  <r>
    <x v="44"/>
    <x v="0"/>
    <x v="3"/>
    <x v="3"/>
    <x v="0"/>
    <x v="0"/>
    <x v="0"/>
    <n v="1436"/>
    <n v="1171"/>
    <n v="0.81545961002785516"/>
    <n v="2084"/>
    <n v="663"/>
    <n v="0"/>
  </r>
  <r>
    <x v="45"/>
    <x v="4"/>
    <x v="3"/>
    <x v="3"/>
    <x v="0"/>
    <x v="0"/>
    <x v="1"/>
    <n v="15"/>
    <n v="0"/>
    <n v="0"/>
    <n v="0"/>
    <n v="0"/>
    <n v="0"/>
  </r>
  <r>
    <x v="46"/>
    <x v="5"/>
    <x v="3"/>
    <x v="3"/>
    <x v="0"/>
    <x v="0"/>
    <x v="1"/>
    <n v="691"/>
    <n v="533"/>
    <n v="0.77134587554269174"/>
    <n v="1075"/>
    <n v="381"/>
    <n v="0"/>
  </r>
  <r>
    <x v="47"/>
    <x v="2"/>
    <x v="3"/>
    <x v="3"/>
    <x v="0"/>
    <x v="0"/>
    <x v="0"/>
    <n v="3844"/>
    <n v="3106"/>
    <n v="0.80801248699271588"/>
    <n v="5051"/>
    <n v="416"/>
    <n v="2266"/>
  </r>
  <r>
    <x v="48"/>
    <x v="17"/>
    <x v="4"/>
    <x v="3"/>
    <x v="2"/>
    <x v="0"/>
    <x v="1"/>
    <n v="0"/>
    <n v="0"/>
    <s v=""/>
    <n v="0"/>
    <n v="40"/>
    <n v="0"/>
  </r>
  <r>
    <x v="49"/>
    <x v="18"/>
    <x v="4"/>
    <x v="3"/>
    <x v="2"/>
    <x v="0"/>
    <x v="1"/>
    <n v="0"/>
    <n v="0"/>
    <s v=""/>
    <n v="0"/>
    <n v="39"/>
    <n v="0"/>
  </r>
  <r>
    <x v="50"/>
    <x v="19"/>
    <x v="4"/>
    <x v="3"/>
    <x v="2"/>
    <x v="0"/>
    <x v="1"/>
    <n v="40"/>
    <n v="35"/>
    <n v="0.875"/>
    <n v="0"/>
    <n v="57"/>
    <n v="2140"/>
  </r>
  <r>
    <x v="51"/>
    <x v="20"/>
    <x v="4"/>
    <x v="3"/>
    <x v="2"/>
    <x v="0"/>
    <x v="1"/>
    <n v="260"/>
    <n v="247"/>
    <n v="0.95"/>
    <n v="0"/>
    <n v="350"/>
    <n v="3302"/>
  </r>
  <r>
    <x v="52"/>
    <x v="21"/>
    <x v="4"/>
    <x v="0"/>
    <x v="0"/>
    <x v="0"/>
    <x v="1"/>
    <n v="616"/>
    <n v="530"/>
    <n v="0.86038961038961037"/>
    <n v="779"/>
    <n v="224"/>
    <n v="0"/>
  </r>
  <r>
    <x v="53"/>
    <x v="22"/>
    <x v="4"/>
    <x v="0"/>
    <x v="0"/>
    <x v="0"/>
    <x v="1"/>
    <n v="4539"/>
    <n v="3708"/>
    <n v="0.81692002643754136"/>
    <n v="6916"/>
    <n v="975"/>
    <n v="0"/>
  </r>
  <r>
    <x v="54"/>
    <x v="23"/>
    <x v="4"/>
    <x v="0"/>
    <x v="0"/>
    <x v="0"/>
    <x v="1"/>
    <n v="90"/>
    <n v="75"/>
    <n v="0.83333333333333337"/>
    <n v="149"/>
    <n v="0"/>
    <n v="0"/>
  </r>
  <r>
    <x v="55"/>
    <x v="24"/>
    <x v="4"/>
    <x v="0"/>
    <x v="0"/>
    <x v="0"/>
    <x v="1"/>
    <n v="57"/>
    <n v="50"/>
    <n v="0.8771929824561403"/>
    <n v="100"/>
    <n v="8"/>
    <n v="37"/>
  </r>
  <r>
    <x v="56"/>
    <x v="25"/>
    <x v="4"/>
    <x v="1"/>
    <x v="0"/>
    <x v="0"/>
    <x v="1"/>
    <n v="0"/>
    <n v="0"/>
    <s v=""/>
    <n v="0"/>
    <n v="0"/>
    <n v="0"/>
  </r>
  <r>
    <x v="57"/>
    <x v="26"/>
    <x v="4"/>
    <x v="0"/>
    <x v="0"/>
    <x v="0"/>
    <x v="1"/>
    <n v="1534"/>
    <n v="1296"/>
    <n v="0.84485006518904826"/>
    <n v="2090"/>
    <n v="312"/>
    <n v="0"/>
  </r>
  <r>
    <x v="58"/>
    <x v="27"/>
    <x v="4"/>
    <x v="0"/>
    <x v="0"/>
    <x v="0"/>
    <x v="1"/>
    <n v="55"/>
    <n v="19"/>
    <n v="0.34545454545454546"/>
    <n v="56"/>
    <n v="2"/>
    <n v="0"/>
  </r>
  <r>
    <x v="59"/>
    <x v="28"/>
    <x v="4"/>
    <x v="0"/>
    <x v="0"/>
    <x v="0"/>
    <x v="1"/>
    <n v="0"/>
    <n v="0"/>
    <s v=""/>
    <n v="0"/>
    <n v="1"/>
    <n v="0"/>
  </r>
  <r>
    <x v="60"/>
    <x v="29"/>
    <x v="4"/>
    <x v="0"/>
    <x v="0"/>
    <x v="0"/>
    <x v="1"/>
    <n v="252"/>
    <n v="218"/>
    <n v="0.86507936507936511"/>
    <n v="436"/>
    <n v="0"/>
    <n v="0"/>
  </r>
  <r>
    <x v="61"/>
    <x v="30"/>
    <x v="4"/>
    <x v="0"/>
    <x v="0"/>
    <x v="0"/>
    <x v="1"/>
    <n v="432"/>
    <n v="352"/>
    <n v="0.81481481481481477"/>
    <n v="828"/>
    <n v="2"/>
    <n v="91"/>
  </r>
  <r>
    <x v="62"/>
    <x v="31"/>
    <x v="4"/>
    <x v="1"/>
    <x v="0"/>
    <x v="0"/>
    <x v="1"/>
    <n v="2"/>
    <n v="0"/>
    <n v="0"/>
    <n v="0"/>
    <n v="0"/>
    <n v="0"/>
  </r>
  <r>
    <x v="63"/>
    <x v="32"/>
    <x v="4"/>
    <x v="0"/>
    <x v="0"/>
    <x v="0"/>
    <x v="1"/>
    <n v="111"/>
    <n v="81"/>
    <n v="0.72972972972972971"/>
    <n v="168"/>
    <n v="4"/>
    <n v="0"/>
  </r>
  <r>
    <x v="64"/>
    <x v="33"/>
    <x v="4"/>
    <x v="1"/>
    <x v="2"/>
    <x v="1"/>
    <x v="1"/>
    <n v="0"/>
    <n v="0"/>
    <s v=""/>
    <n v="0"/>
    <n v="0"/>
    <n v="0"/>
  </r>
  <r>
    <x v="65"/>
    <x v="34"/>
    <x v="4"/>
    <x v="4"/>
    <x v="1"/>
    <x v="1"/>
    <x v="4"/>
    <n v="106592"/>
    <n v="102830"/>
    <n v="0.96470654458120686"/>
    <n v="0"/>
    <n v="1275"/>
    <n v="0"/>
  </r>
  <r>
    <x v="66"/>
    <x v="35"/>
    <x v="4"/>
    <x v="4"/>
    <x v="2"/>
    <x v="1"/>
    <x v="1"/>
    <n v="17200"/>
    <n v="16085"/>
    <n v="0.93517441860465111"/>
    <n v="0"/>
    <n v="2489"/>
    <n v="0"/>
  </r>
  <r>
    <x v="67"/>
    <x v="36"/>
    <x v="4"/>
    <x v="5"/>
    <x v="1"/>
    <x v="1"/>
    <x v="4"/>
    <n v="31360"/>
    <n v="30395"/>
    <n v="0.96922831632653061"/>
    <n v="26790"/>
    <n v="0"/>
    <n v="7770"/>
  </r>
  <r>
    <x v="68"/>
    <x v="37"/>
    <x v="4"/>
    <x v="4"/>
    <x v="2"/>
    <x v="1"/>
    <x v="1"/>
    <n v="21360"/>
    <n v="19878"/>
    <n v="0.93061797752808983"/>
    <n v="0"/>
    <n v="6535"/>
    <n v="0"/>
  </r>
  <r>
    <x v="69"/>
    <x v="38"/>
    <x v="4"/>
    <x v="5"/>
    <x v="3"/>
    <x v="2"/>
    <x v="4"/>
    <n v="0"/>
    <n v="0"/>
    <s v=""/>
    <n v="1650"/>
    <n v="0"/>
    <n v="291"/>
  </r>
  <r>
    <x v="70"/>
    <x v="39"/>
    <x v="4"/>
    <x v="4"/>
    <x v="2"/>
    <x v="2"/>
    <x v="1"/>
    <n v="0"/>
    <n v="0"/>
    <s v=""/>
    <n v="0"/>
    <n v="20"/>
    <n v="0"/>
  </r>
  <r>
    <x v="71"/>
    <x v="40"/>
    <x v="4"/>
    <x v="5"/>
    <x v="3"/>
    <x v="2"/>
    <x v="4"/>
    <n v="116551"/>
    <n v="112330"/>
    <n v="0.96378409451656355"/>
    <n v="104670"/>
    <n v="8551"/>
    <n v="10795"/>
  </r>
  <r>
    <x v="72"/>
    <x v="41"/>
    <x v="4"/>
    <x v="6"/>
    <x v="2"/>
    <x v="2"/>
    <x v="1"/>
    <n v="95440"/>
    <n v="91795"/>
    <n v="0.96180846605196979"/>
    <n v="93180"/>
    <n v="8063"/>
    <n v="12279"/>
  </r>
  <r>
    <x v="73"/>
    <x v="42"/>
    <x v="4"/>
    <x v="7"/>
    <x v="2"/>
    <x v="1"/>
    <x v="1"/>
    <n v="160"/>
    <n v="152"/>
    <n v="0.95"/>
    <n v="0"/>
    <n v="0"/>
    <n v="0"/>
  </r>
  <r>
    <x v="74"/>
    <x v="43"/>
    <x v="4"/>
    <x v="4"/>
    <x v="2"/>
    <x v="1"/>
    <x v="1"/>
    <n v="1664"/>
    <n v="1441"/>
    <n v="0.86598557692307687"/>
    <n v="0"/>
    <n v="0"/>
    <n v="0"/>
  </r>
  <r>
    <x v="75"/>
    <x v="44"/>
    <x v="4"/>
    <x v="5"/>
    <x v="2"/>
    <x v="1"/>
    <x v="1"/>
    <n v="6228"/>
    <n v="5664"/>
    <n v="0.90944123314065506"/>
    <n v="6990"/>
    <n v="648"/>
    <n v="544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6" indent="0" outline="1" outlineData="1" multipleFieldFilters="0" rowHeaderCaption="RPL">
  <location ref="A8:E85" firstHeaderRow="0" firstDataRow="1" firstDataCol="1" rowPageCount="6" colPageCount="1"/>
  <pivotFields count="13">
    <pivotField axis="axisRow" showAll="0">
      <items count="77">
        <item x="5"/>
        <item x="6"/>
        <item x="7"/>
        <item x="8"/>
        <item x="0"/>
        <item x="9"/>
        <item x="10"/>
        <item x="11"/>
        <item x="1"/>
        <item x="4"/>
        <item x="12"/>
        <item x="2"/>
        <item x="13"/>
        <item x="14"/>
        <item x="15"/>
        <item x="3"/>
        <item x="16"/>
        <item x="28"/>
        <item x="27"/>
        <item x="48"/>
        <item x="52"/>
        <item x="49"/>
        <item x="53"/>
        <item x="54"/>
        <item x="50"/>
        <item x="55"/>
        <item x="56"/>
        <item x="57"/>
        <item x="58"/>
        <item x="59"/>
        <item x="60"/>
        <item x="51"/>
        <item x="61"/>
        <item x="62"/>
        <item x="63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29"/>
        <item x="43"/>
        <item x="44"/>
        <item x="45"/>
        <item x="46"/>
        <item x="47"/>
        <item x="17"/>
        <item x="18"/>
        <item x="19"/>
        <item x="20"/>
        <item x="21"/>
        <item x="22"/>
        <item x="23"/>
        <item x="24"/>
        <item x="25"/>
        <item x="26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t="default"/>
      </items>
    </pivotField>
    <pivotField axis="axisPage" multipleItemSelectionAllowed="1" showAll="0">
      <items count="46">
        <item x="15"/>
        <item x="14"/>
        <item x="6"/>
        <item x="9"/>
        <item x="4"/>
        <item x="7"/>
        <item x="21"/>
        <item x="22"/>
        <item x="26"/>
        <item x="17"/>
        <item x="18"/>
        <item x="24"/>
        <item x="30"/>
        <item x="28"/>
        <item x="1"/>
        <item x="16"/>
        <item x="2"/>
        <item x="20"/>
        <item x="29"/>
        <item x="25"/>
        <item x="31"/>
        <item x="19"/>
        <item x="23"/>
        <item x="12"/>
        <item x="13"/>
        <item x="8"/>
        <item x="0"/>
        <item x="5"/>
        <item x="11"/>
        <item x="27"/>
        <item x="32"/>
        <item x="10"/>
        <item x="43"/>
        <item x="33"/>
        <item x="35"/>
        <item x="34"/>
        <item x="44"/>
        <item x="37"/>
        <item x="36"/>
        <item x="42"/>
        <item x="39"/>
        <item x="38"/>
        <item x="41"/>
        <item x="40"/>
        <item x="3"/>
        <item t="default"/>
      </items>
    </pivotField>
    <pivotField axis="axisPage" multipleItemSelectionAllowed="1" showAll="0">
      <items count="6">
        <item x="0"/>
        <item x="1"/>
        <item x="2"/>
        <item x="3"/>
        <item x="4"/>
        <item t="default"/>
      </items>
    </pivotField>
    <pivotField axis="axisPage" multipleItemSelectionAllowed="1" showAll="0">
      <items count="9">
        <item x="3"/>
        <item x="1"/>
        <item x="0"/>
        <item x="2"/>
        <item x="4"/>
        <item x="6"/>
        <item x="7"/>
        <item x="5"/>
        <item t="default"/>
      </items>
    </pivotField>
    <pivotField axis="axisPage" multipleItemSelectionAllowed="1" showAll="0">
      <items count="5">
        <item x="2"/>
        <item x="0"/>
        <item x="3"/>
        <item x="1"/>
        <item t="default"/>
      </items>
    </pivotField>
    <pivotField axis="axisPage" multipleItemSelectionAllowed="1" showAll="0">
      <items count="4">
        <item x="0"/>
        <item x="1"/>
        <item x="2"/>
        <item t="default"/>
      </items>
    </pivotField>
    <pivotField axis="axisPage" multipleItemSelectionAllowed="1" showAll="0">
      <items count="6">
        <item x="1"/>
        <item x="2"/>
        <item x="0"/>
        <item x="3"/>
        <item x="4"/>
        <item t="default"/>
      </items>
    </pivotField>
    <pivotField dataField="1" numFmtId="3" showAll="0"/>
    <pivotField dataField="1" showAll="0"/>
    <pivotField dataField="1" showAll="0"/>
    <pivotField showAll="0"/>
    <pivotField dataField="1" showAll="0"/>
    <pivotField showAll="0"/>
  </pivotFields>
  <rowFields count="1">
    <field x="0"/>
  </rowFields>
  <rowItems count="7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6">
    <pageField fld="2" hier="-1"/>
    <pageField fld="5" hier="-1"/>
    <pageField fld="1" hier="-1"/>
    <pageField fld="4" hier="-1"/>
    <pageField fld="6" hier="-1"/>
    <pageField fld="3" hier="-1"/>
  </pageFields>
  <dataFields count="4">
    <dataField name=" Launched Qty" fld="7" baseField="0" baseItem="0"/>
    <dataField name=" Good Qty" fld="8" baseField="0" baseItem="0"/>
    <dataField name="Somme de Yield (%)" fld="9" baseField="0" baseItem="0" numFmtId="10"/>
    <dataField name=" WIP Production" fld="11" baseField="0" baseItem="0"/>
  </dataFields>
  <formats count="2">
    <format dxfId="31">
      <pivotArea field="0" type="button" dataOnly="0" labelOnly="1" outline="0" axis="axisRow" fieldPosition="0"/>
    </format>
    <format dxfId="30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</formats>
  <pivotTableStyleInfo name="PivotStyleMedium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R2:AC78" totalsRowShown="0" headerRowDxfId="1" dataDxfId="0" headerRowBorderDxfId="29" tableBorderDxfId="28">
  <autoFilter ref="R2:AC78"/>
  <tableColumns count="12">
    <tableColumn id="1" name="RPL Family" dataDxfId="13"/>
    <tableColumn id="2" name="Family Description" dataDxfId="12"/>
    <tableColumn id="3" name="Index" dataDxfId="11"/>
    <tableColumn id="4" name="VA" dataDxfId="10"/>
    <tableColumn id="5" name="Design" dataDxfId="9"/>
    <tableColumn id="6" name="CAT" dataDxfId="8"/>
    <tableColumn id="12" name="CLIENT" dataDxfId="7"/>
    <tableColumn id="7" name="Launched QtyLaunched Qty" dataDxfId="6"/>
    <tableColumn id="8" name="Good QtyGood Qty" dataDxfId="5"/>
    <tableColumn id="9" name="Yield (%)" dataDxfId="4" dataCellStyle="Pourcentage"/>
    <tableColumn id="10" name="Shipment (Stock Lens)" dataDxfId="3"/>
    <tableColumn id="11" name="WIP Production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C00000"/>
    <pageSetUpPr fitToPage="1"/>
  </sheetPr>
  <dimension ref="A1:AL108"/>
  <sheetViews>
    <sheetView zoomScaleNormal="100" workbookViewId="0">
      <pane xSplit="2" ySplit="3" topLeftCell="L82" activePane="bottomRight" state="frozen"/>
      <selection pane="topRight" activeCell="C1" sqref="C1"/>
      <selection pane="bottomLeft" activeCell="A3" sqref="A3"/>
      <selection pane="bottomRight" activeCell="W19" sqref="W19"/>
    </sheetView>
  </sheetViews>
  <sheetFormatPr baseColWidth="10" defaultRowHeight="15" outlineLevelRow="1" outlineLevelCol="1" x14ac:dyDescent="0.25"/>
  <cols>
    <col min="1" max="1" width="18.85546875" style="378" customWidth="1"/>
    <col min="2" max="2" width="26.28515625" style="379" customWidth="1" outlineLevel="1"/>
    <col min="3" max="3" width="5.42578125" style="380" bestFit="1" customWidth="1" outlineLevel="1"/>
    <col min="4" max="4" width="4.42578125" style="380" bestFit="1" customWidth="1" outlineLevel="1"/>
    <col min="5" max="5" width="6.5703125" style="380" bestFit="1" customWidth="1" outlineLevel="1"/>
    <col min="6" max="7" width="10.140625" style="381" customWidth="1"/>
    <col min="8" max="8" width="10.140625" style="382" customWidth="1"/>
    <col min="9" max="9" width="10.140625" style="381" customWidth="1" outlineLevel="1"/>
    <col min="10" max="10" width="10.85546875" style="381" customWidth="1"/>
    <col min="11" max="11" width="2.42578125" style="13" customWidth="1"/>
    <col min="12" max="12" width="9.7109375" style="13" customWidth="1"/>
    <col min="13" max="13" width="10" style="13" customWidth="1"/>
    <col min="14" max="14" width="11" style="13" customWidth="1"/>
    <col min="15" max="15" width="16.140625" style="380" bestFit="1" customWidth="1"/>
    <col min="16" max="16" width="5.7109375" style="13" customWidth="1"/>
    <col min="17" max="17" width="17.5703125" style="13" customWidth="1"/>
    <col min="18" max="18" width="5.42578125" style="380" hidden="1" customWidth="1" outlineLevel="1"/>
    <col min="19" max="19" width="4.42578125" style="380" hidden="1" customWidth="1" outlineLevel="1"/>
    <col min="20" max="20" width="6.5703125" style="380" hidden="1" customWidth="1" outlineLevel="1"/>
    <col min="21" max="21" width="20.28515625" style="380" hidden="1" customWidth="1" outlineLevel="1"/>
    <col min="22" max="22" width="25.5703125" style="384" hidden="1" customWidth="1" outlineLevel="1"/>
    <col min="23" max="23" width="10.42578125" style="385" customWidth="1" collapsed="1"/>
    <col min="24" max="24" width="12.7109375" style="385" bestFit="1" customWidth="1"/>
    <col min="25" max="25" width="10.42578125" style="386" customWidth="1"/>
    <col min="26" max="26" width="10.42578125" style="13" customWidth="1"/>
    <col min="27" max="27" width="6.85546875" style="305" hidden="1" customWidth="1" outlineLevel="1"/>
    <col min="28" max="28" width="9" style="306" hidden="1" customWidth="1" outlineLevel="1"/>
    <col min="29" max="29" width="8.42578125" style="307" hidden="1" customWidth="1" collapsed="1"/>
    <col min="30" max="30" width="9.28515625" style="13" hidden="1" customWidth="1"/>
    <col min="31" max="31" width="20" style="13" hidden="1" customWidth="1"/>
    <col min="32" max="16384" width="11.42578125" style="13"/>
  </cols>
  <sheetData>
    <row r="1" spans="1:36" s="282" customFormat="1" ht="15.75" outlineLevel="1" thickBot="1" x14ac:dyDescent="0.3">
      <c r="A1" s="276"/>
      <c r="B1" s="277"/>
      <c r="C1" s="278"/>
      <c r="D1" s="278"/>
      <c r="E1" s="278"/>
      <c r="F1" s="279">
        <f>SUM(F4:F92)-F104</f>
        <v>0</v>
      </c>
      <c r="G1" s="279">
        <f>SUM(G4:G92)-G104</f>
        <v>0</v>
      </c>
      <c r="H1" s="280"/>
      <c r="I1" s="279">
        <f>SUM(I4:I92)-I104</f>
        <v>0</v>
      </c>
      <c r="J1" s="281">
        <f>SUM(J4:J92)-J104-J100</f>
        <v>0</v>
      </c>
      <c r="L1" s="283">
        <v>12</v>
      </c>
      <c r="M1" s="283">
        <v>13</v>
      </c>
      <c r="N1" s="283">
        <v>14</v>
      </c>
      <c r="O1" s="283">
        <v>15</v>
      </c>
      <c r="R1" s="278"/>
      <c r="S1" s="278"/>
      <c r="T1" s="278"/>
      <c r="U1" s="278"/>
      <c r="V1" s="284"/>
      <c r="W1" s="279">
        <f>SUM(W4:W92)-W104</f>
        <v>0</v>
      </c>
      <c r="X1" s="279">
        <f>SUM(X4:X92)-X104</f>
        <v>0</v>
      </c>
      <c r="Y1" s="279"/>
      <c r="Z1" s="279">
        <f>SUM(Z4:Z92)-Z104</f>
        <v>0</v>
      </c>
      <c r="AA1" s="285"/>
      <c r="AB1" s="286"/>
      <c r="AC1" s="287"/>
      <c r="AH1" s="13"/>
      <c r="AI1" s="13"/>
      <c r="AJ1" s="13"/>
    </row>
    <row r="2" spans="1:36" s="292" customFormat="1" ht="13.5" customHeight="1" x14ac:dyDescent="0.25">
      <c r="A2" s="288">
        <v>44470</v>
      </c>
      <c r="B2" s="283">
        <v>2</v>
      </c>
      <c r="C2" s="289">
        <v>3</v>
      </c>
      <c r="D2" s="283">
        <v>4</v>
      </c>
      <c r="E2" s="289">
        <v>5</v>
      </c>
      <c r="F2" s="290">
        <v>6</v>
      </c>
      <c r="G2" s="291">
        <v>7</v>
      </c>
      <c r="H2" s="290">
        <v>8</v>
      </c>
      <c r="I2" s="291">
        <v>9</v>
      </c>
      <c r="J2" s="290">
        <v>10</v>
      </c>
      <c r="L2" s="467" t="s">
        <v>370</v>
      </c>
      <c r="M2" s="468"/>
      <c r="N2" s="468"/>
      <c r="O2" s="469"/>
      <c r="P2" s="293"/>
      <c r="Q2" s="470" t="s">
        <v>371</v>
      </c>
      <c r="R2" s="470"/>
      <c r="S2" s="470"/>
      <c r="T2" s="470"/>
      <c r="U2" s="470"/>
      <c r="V2" s="470"/>
      <c r="W2" s="470"/>
      <c r="X2" s="470"/>
      <c r="Y2" s="470"/>
      <c r="Z2" s="470"/>
      <c r="AA2" s="294"/>
      <c r="AB2" s="295"/>
      <c r="AH2" s="13"/>
      <c r="AI2" s="13"/>
      <c r="AJ2" s="13"/>
    </row>
    <row r="3" spans="1:36" ht="36" customHeight="1" x14ac:dyDescent="0.25">
      <c r="A3" s="296" t="s">
        <v>0</v>
      </c>
      <c r="B3" s="297" t="s">
        <v>1</v>
      </c>
      <c r="C3" s="296" t="s">
        <v>2</v>
      </c>
      <c r="D3" s="296" t="s">
        <v>3</v>
      </c>
      <c r="E3" s="296" t="s">
        <v>4</v>
      </c>
      <c r="F3" s="298" t="s">
        <v>5</v>
      </c>
      <c r="G3" s="298" t="s">
        <v>6</v>
      </c>
      <c r="H3" s="298" t="s">
        <v>7</v>
      </c>
      <c r="I3" s="299" t="s">
        <v>8</v>
      </c>
      <c r="J3" s="298" t="s">
        <v>9</v>
      </c>
      <c r="L3" s="300" t="s">
        <v>5</v>
      </c>
      <c r="M3" s="301" t="s">
        <v>6</v>
      </c>
      <c r="N3" s="301" t="s">
        <v>9</v>
      </c>
      <c r="O3" s="302" t="s">
        <v>372</v>
      </c>
      <c r="P3" s="303"/>
      <c r="Q3" s="296" t="s">
        <v>0</v>
      </c>
      <c r="R3" s="296" t="s">
        <v>2</v>
      </c>
      <c r="S3" s="296" t="s">
        <v>3</v>
      </c>
      <c r="T3" s="296" t="s">
        <v>4</v>
      </c>
      <c r="U3" s="296" t="s">
        <v>414</v>
      </c>
      <c r="V3" s="296" t="s">
        <v>1</v>
      </c>
      <c r="W3" s="298" t="s">
        <v>5</v>
      </c>
      <c r="X3" s="298" t="s">
        <v>6</v>
      </c>
      <c r="Y3" s="304" t="s">
        <v>7</v>
      </c>
      <c r="Z3" s="298" t="s">
        <v>9</v>
      </c>
    </row>
    <row r="4" spans="1:36" ht="15" customHeight="1" outlineLevel="1" x14ac:dyDescent="0.25">
      <c r="A4" s="308" t="s">
        <v>301</v>
      </c>
      <c r="B4" s="309" t="s">
        <v>24</v>
      </c>
      <c r="C4" s="310" t="s">
        <v>13</v>
      </c>
      <c r="D4" s="310" t="s">
        <v>14</v>
      </c>
      <c r="E4" s="310" t="s">
        <v>15</v>
      </c>
      <c r="F4" s="311">
        <f>IFERROR(VLOOKUP($A4,'[1]MES Costing Report'!$A$2:$K$77,F$2,0),0)</f>
        <v>0</v>
      </c>
      <c r="G4" s="311">
        <f>IFERROR(VLOOKUP($A4,'[1]MES Costing Report'!$A$2:$K$77,G$2,0),0)</f>
        <v>0</v>
      </c>
      <c r="H4" s="312" t="str">
        <f t="shared" ref="H4:H67" si="0">IF(F4&gt;0,G4/F4,"")</f>
        <v/>
      </c>
      <c r="I4" s="311">
        <f>IFERROR(VLOOKUP($A4,'[1]MES Costing Report'!$A$2:$K$77,I$2,0),0)</f>
        <v>0</v>
      </c>
      <c r="J4" s="311">
        <f>IFERROR(VLOOKUP($A4,'[1]MES Costing Report'!$A$2:$K$77,J$2,0),0)</f>
        <v>0</v>
      </c>
      <c r="L4" s="313"/>
      <c r="M4" s="314"/>
      <c r="N4" s="315"/>
      <c r="O4" s="316"/>
      <c r="P4" s="317"/>
      <c r="Q4" s="318" t="str">
        <f t="shared" ref="Q4:Q12" si="1">A4</f>
        <v>3518100650237EF</v>
      </c>
      <c r="R4" s="310" t="s">
        <v>13</v>
      </c>
      <c r="S4" s="310" t="s">
        <v>14</v>
      </c>
      <c r="T4" s="310" t="s">
        <v>15</v>
      </c>
      <c r="U4" s="310" t="e">
        <f>VLOOKUP(A4,'MES Costing Report'!B$2:N$77,1,)</f>
        <v>#N/A</v>
      </c>
      <c r="V4" s="318" t="str">
        <f t="shared" ref="V4:V12" si="2">B4</f>
        <v>CRIZAL ALIZE</v>
      </c>
      <c r="W4" s="319">
        <f t="shared" ref="W4:W35" si="3">F4+L4</f>
        <v>0</v>
      </c>
      <c r="X4" s="319">
        <f t="shared" ref="X4:X35" si="4">G4+M4</f>
        <v>0</v>
      </c>
      <c r="Y4" s="312" t="str">
        <f t="shared" ref="Y4:Y67" si="5">IF(W4&gt;0,X4/W4,"")</f>
        <v/>
      </c>
      <c r="Z4" s="319">
        <f t="shared" ref="Z4:Z35" si="6">J4+N4</f>
        <v>0</v>
      </c>
      <c r="AD4" s="13">
        <v>31147</v>
      </c>
    </row>
    <row r="5" spans="1:36" ht="15" customHeight="1" outlineLevel="1" x14ac:dyDescent="0.25">
      <c r="A5" s="308" t="s">
        <v>11</v>
      </c>
      <c r="B5" s="309" t="s">
        <v>12</v>
      </c>
      <c r="C5" s="310" t="s">
        <v>13</v>
      </c>
      <c r="D5" s="310" t="s">
        <v>14</v>
      </c>
      <c r="E5" s="310" t="s">
        <v>15</v>
      </c>
      <c r="F5" s="311">
        <f>IFERROR(VLOOKUP($A5,'[1]MES Costing Report'!$A$2:$K$77,F$2,0),0)</f>
        <v>0</v>
      </c>
      <c r="G5" s="311">
        <f>IFERROR(VLOOKUP($A5,'[1]MES Costing Report'!$A$2:$K$77,G$2,0),0)</f>
        <v>0</v>
      </c>
      <c r="H5" s="312" t="str">
        <f t="shared" si="0"/>
        <v/>
      </c>
      <c r="I5" s="311">
        <f>IFERROR(VLOOKUP($A5,'[1]MES Costing Report'!$A$2:$K$77,I$2,0),0)</f>
        <v>0</v>
      </c>
      <c r="J5" s="311">
        <f>IFERROR(VLOOKUP($A5,'[1]MES Costing Report'!$A$2:$K$77,J$2,0),0)</f>
        <v>0</v>
      </c>
      <c r="L5" s="313"/>
      <c r="M5" s="314"/>
      <c r="N5" s="315"/>
      <c r="O5" s="316"/>
      <c r="P5" s="317"/>
      <c r="Q5" s="318" t="str">
        <f t="shared" si="1"/>
        <v>3518100650675EF</v>
      </c>
      <c r="R5" s="310" t="s">
        <v>13</v>
      </c>
      <c r="S5" s="310" t="s">
        <v>14</v>
      </c>
      <c r="T5" s="310" t="s">
        <v>15</v>
      </c>
      <c r="U5" s="310">
        <f>VLOOKUP(A5,'MES Costing Report'!B$2:N$77,7,)</f>
        <v>0</v>
      </c>
      <c r="V5" s="318" t="str">
        <f t="shared" si="2"/>
        <v>CRIZAL FORTE UV35</v>
      </c>
      <c r="W5" s="319">
        <f t="shared" si="3"/>
        <v>0</v>
      </c>
      <c r="X5" s="319">
        <f t="shared" si="4"/>
        <v>0</v>
      </c>
      <c r="Y5" s="312" t="str">
        <f t="shared" si="5"/>
        <v/>
      </c>
      <c r="Z5" s="319">
        <f t="shared" si="6"/>
        <v>0</v>
      </c>
      <c r="AD5" s="13">
        <v>35357</v>
      </c>
    </row>
    <row r="6" spans="1:36" ht="15" customHeight="1" outlineLevel="1" x14ac:dyDescent="0.25">
      <c r="A6" s="308" t="s">
        <v>16</v>
      </c>
      <c r="B6" s="309" t="s">
        <v>17</v>
      </c>
      <c r="C6" s="310" t="s">
        <v>13</v>
      </c>
      <c r="D6" s="310" t="s">
        <v>14</v>
      </c>
      <c r="E6" s="310" t="s">
        <v>15</v>
      </c>
      <c r="F6" s="311">
        <f>IFERROR(VLOOKUP($A6,'[1]MES Costing Report'!$A$2:$K$77,F$2,0),0)</f>
        <v>519</v>
      </c>
      <c r="G6" s="311">
        <f>IFERROR(VLOOKUP($A6,'[1]MES Costing Report'!$A$2:$K$77,G$2,0),0)</f>
        <v>403</v>
      </c>
      <c r="H6" s="312">
        <f t="shared" si="0"/>
        <v>0.77649325626204235</v>
      </c>
      <c r="I6" s="311">
        <f>IFERROR(VLOOKUP($A6,'[1]MES Costing Report'!$A$2:$K$77,I$2,0),0)</f>
        <v>798</v>
      </c>
      <c r="J6" s="311">
        <f>IFERROR(VLOOKUP($A6,'[1]MES Costing Report'!$A$2:$K$77,J$2,0),0)</f>
        <v>145</v>
      </c>
      <c r="L6" s="313"/>
      <c r="M6" s="314"/>
      <c r="N6" s="315"/>
      <c r="O6" s="316"/>
      <c r="P6" s="317"/>
      <c r="Q6" s="318" t="str">
        <f t="shared" si="1"/>
        <v>3518100650719EF</v>
      </c>
      <c r="R6" s="310" t="s">
        <v>13</v>
      </c>
      <c r="S6" s="310" t="s">
        <v>14</v>
      </c>
      <c r="T6" s="310" t="s">
        <v>15</v>
      </c>
      <c r="U6" s="310">
        <f>VLOOKUP(A6,'MES Costing Report'!B$2:N$77,7,)</f>
        <v>0</v>
      </c>
      <c r="V6" s="318" t="str">
        <f t="shared" si="2"/>
        <v>SAPPHIR LAGOON</v>
      </c>
      <c r="W6" s="319">
        <f t="shared" si="3"/>
        <v>519</v>
      </c>
      <c r="X6" s="319">
        <f t="shared" si="4"/>
        <v>403</v>
      </c>
      <c r="Y6" s="312">
        <f t="shared" si="5"/>
        <v>0.77649325626204235</v>
      </c>
      <c r="Z6" s="319">
        <f t="shared" si="6"/>
        <v>145</v>
      </c>
      <c r="AD6" s="13">
        <f>+AD5-AD4</f>
        <v>4210</v>
      </c>
    </row>
    <row r="7" spans="1:36" ht="15" customHeight="1" outlineLevel="1" x14ac:dyDescent="0.25">
      <c r="A7" s="308" t="s">
        <v>365</v>
      </c>
      <c r="B7" s="309" t="s">
        <v>42</v>
      </c>
      <c r="C7" s="310" t="s">
        <v>13</v>
      </c>
      <c r="D7" s="310" t="s">
        <v>14</v>
      </c>
      <c r="E7" s="310" t="s">
        <v>15</v>
      </c>
      <c r="F7" s="311">
        <f>IFERROR(VLOOKUP($A7,'[1]MES Costing Report'!$A$2:$K$77,F$2,0),0)</f>
        <v>0</v>
      </c>
      <c r="G7" s="311">
        <f>IFERROR(VLOOKUP($A7,'[1]MES Costing Report'!$A$2:$K$77,G$2,0),0)</f>
        <v>0</v>
      </c>
      <c r="H7" s="312" t="str">
        <f t="shared" si="0"/>
        <v/>
      </c>
      <c r="I7" s="311">
        <f>IFERROR(VLOOKUP($A7,'[1]MES Costing Report'!$A$2:$K$77,I$2,0),0)</f>
        <v>0</v>
      </c>
      <c r="J7" s="311">
        <f>IFERROR(VLOOKUP($A7,'[1]MES Costing Report'!$A$2:$K$77,J$2,0),0)</f>
        <v>0</v>
      </c>
      <c r="L7" s="313"/>
      <c r="M7" s="314"/>
      <c r="N7" s="315"/>
      <c r="O7" s="316"/>
      <c r="P7" s="317"/>
      <c r="Q7" s="318" t="str">
        <f t="shared" si="1"/>
        <v>3518100650A2EB1</v>
      </c>
      <c r="R7" s="310" t="s">
        <v>13</v>
      </c>
      <c r="S7" s="310" t="s">
        <v>14</v>
      </c>
      <c r="T7" s="310" t="s">
        <v>15</v>
      </c>
      <c r="U7" s="310" t="e">
        <f>VLOOKUP(A7,'MES Costing Report'!B$2:N$77,7,)</f>
        <v>#N/A</v>
      </c>
      <c r="V7" s="318" t="str">
        <f t="shared" si="2"/>
        <v>NEVA MAX MC5</v>
      </c>
      <c r="W7" s="319">
        <f t="shared" si="3"/>
        <v>0</v>
      </c>
      <c r="X7" s="319">
        <f t="shared" si="4"/>
        <v>0</v>
      </c>
      <c r="Y7" s="312" t="str">
        <f t="shared" si="5"/>
        <v/>
      </c>
      <c r="Z7" s="319">
        <f t="shared" si="6"/>
        <v>0</v>
      </c>
    </row>
    <row r="8" spans="1:36" ht="15" customHeight="1" outlineLevel="1" x14ac:dyDescent="0.25">
      <c r="A8" s="308" t="s">
        <v>302</v>
      </c>
      <c r="B8" s="309" t="s">
        <v>24</v>
      </c>
      <c r="C8" s="310" t="s">
        <v>13</v>
      </c>
      <c r="D8" s="310" t="s">
        <v>14</v>
      </c>
      <c r="E8" s="310" t="s">
        <v>15</v>
      </c>
      <c r="F8" s="311">
        <f>IFERROR(VLOOKUP($A8,'[1]MES Costing Report'!$A$2:$K$77,F$2,0),0)</f>
        <v>0</v>
      </c>
      <c r="G8" s="311">
        <f>IFERROR(VLOOKUP($A8,'[1]MES Costing Report'!$A$2:$K$77,G$2,0),0)</f>
        <v>0</v>
      </c>
      <c r="H8" s="312" t="str">
        <f t="shared" si="0"/>
        <v/>
      </c>
      <c r="I8" s="311">
        <f>IFERROR(VLOOKUP($A8,'[1]MES Costing Report'!$A$2:$K$77,I$2,0),0)</f>
        <v>0</v>
      </c>
      <c r="J8" s="311">
        <f>IFERROR(VLOOKUP($A8,'[1]MES Costing Report'!$A$2:$K$77,J$2,0),0)</f>
        <v>0</v>
      </c>
      <c r="L8" s="313"/>
      <c r="M8" s="314">
        <v>3</v>
      </c>
      <c r="N8" s="315"/>
      <c r="O8" s="316"/>
      <c r="P8" s="317"/>
      <c r="Q8" s="318" t="str">
        <f t="shared" si="1"/>
        <v>3518100750237EF</v>
      </c>
      <c r="R8" s="310" t="s">
        <v>13</v>
      </c>
      <c r="S8" s="310" t="s">
        <v>14</v>
      </c>
      <c r="T8" s="310" t="s">
        <v>15</v>
      </c>
      <c r="U8" s="310" t="e">
        <f>VLOOKUP(A8,'MES Costing Report'!B$2:N$77,7,)</f>
        <v>#N/A</v>
      </c>
      <c r="V8" s="318" t="str">
        <f t="shared" si="2"/>
        <v>CRIZAL ALIZE</v>
      </c>
      <c r="W8" s="319">
        <f t="shared" si="3"/>
        <v>0</v>
      </c>
      <c r="X8" s="319">
        <f t="shared" si="4"/>
        <v>3</v>
      </c>
      <c r="Y8" s="312" t="str">
        <f t="shared" si="5"/>
        <v/>
      </c>
      <c r="Z8" s="319">
        <f t="shared" si="6"/>
        <v>0</v>
      </c>
    </row>
    <row r="9" spans="1:36" ht="15" customHeight="1" outlineLevel="1" x14ac:dyDescent="0.25">
      <c r="A9" s="308" t="s">
        <v>303</v>
      </c>
      <c r="B9" s="309" t="s">
        <v>12</v>
      </c>
      <c r="C9" s="310" t="s">
        <v>13</v>
      </c>
      <c r="D9" s="310" t="s">
        <v>14</v>
      </c>
      <c r="E9" s="310" t="s">
        <v>15</v>
      </c>
      <c r="F9" s="311">
        <f>IFERROR(VLOOKUP($A9,'[1]MES Costing Report'!$A$2:$K$77,F$2,0),0)</f>
        <v>0</v>
      </c>
      <c r="G9" s="311">
        <f>IFERROR(VLOOKUP($A9,'[1]MES Costing Report'!$A$2:$K$77,G$2,0),0)</f>
        <v>0</v>
      </c>
      <c r="H9" s="312" t="str">
        <f t="shared" si="0"/>
        <v/>
      </c>
      <c r="I9" s="311">
        <f>IFERROR(VLOOKUP($A9,'[1]MES Costing Report'!$A$2:$K$77,I$2,0),0)</f>
        <v>0</v>
      </c>
      <c r="J9" s="311">
        <f>IFERROR(VLOOKUP($A9,'[1]MES Costing Report'!$A$2:$K$77,J$2,0),0)</f>
        <v>0</v>
      </c>
      <c r="L9" s="313"/>
      <c r="M9" s="314"/>
      <c r="N9" s="315"/>
      <c r="O9" s="316"/>
      <c r="P9" s="317"/>
      <c r="Q9" s="318" t="str">
        <f t="shared" si="1"/>
        <v>3518100750675EF</v>
      </c>
      <c r="R9" s="310" t="s">
        <v>13</v>
      </c>
      <c r="S9" s="310" t="s">
        <v>14</v>
      </c>
      <c r="T9" s="310" t="s">
        <v>15</v>
      </c>
      <c r="U9" s="310" t="e">
        <f>VLOOKUP(A9,'MES Costing Report'!B$2:N$77,7,)</f>
        <v>#N/A</v>
      </c>
      <c r="V9" s="318" t="str">
        <f t="shared" si="2"/>
        <v>CRIZAL FORTE UV35</v>
      </c>
      <c r="W9" s="319">
        <f t="shared" si="3"/>
        <v>0</v>
      </c>
      <c r="X9" s="319">
        <f t="shared" si="4"/>
        <v>0</v>
      </c>
      <c r="Y9" s="312" t="str">
        <f t="shared" si="5"/>
        <v/>
      </c>
      <c r="Z9" s="319">
        <f t="shared" si="6"/>
        <v>0</v>
      </c>
    </row>
    <row r="10" spans="1:36" ht="15" customHeight="1" outlineLevel="1" x14ac:dyDescent="0.25">
      <c r="A10" s="308" t="s">
        <v>20</v>
      </c>
      <c r="B10" s="309" t="s">
        <v>17</v>
      </c>
      <c r="C10" s="310" t="s">
        <v>13</v>
      </c>
      <c r="D10" s="310" t="s">
        <v>14</v>
      </c>
      <c r="E10" s="310" t="s">
        <v>15</v>
      </c>
      <c r="F10" s="311">
        <f>IFERROR(VLOOKUP($A10,'[1]MES Costing Report'!$A$2:$K$77,F$2,0),0)</f>
        <v>79</v>
      </c>
      <c r="G10" s="311">
        <f>IFERROR(VLOOKUP($A10,'[1]MES Costing Report'!$A$2:$K$77,G$2,0),0)</f>
        <v>73</v>
      </c>
      <c r="H10" s="312">
        <f t="shared" si="0"/>
        <v>0.92405063291139244</v>
      </c>
      <c r="I10" s="311">
        <f>IFERROR(VLOOKUP($A10,'[1]MES Costing Report'!$A$2:$K$77,I$2,0),0)</f>
        <v>146</v>
      </c>
      <c r="J10" s="311">
        <f>IFERROR(VLOOKUP($A10,'[1]MES Costing Report'!$A$2:$K$77,J$2,0),0)</f>
        <v>10</v>
      </c>
      <c r="L10" s="313"/>
      <c r="M10" s="314"/>
      <c r="N10" s="315"/>
      <c r="O10" s="316"/>
      <c r="P10" s="317"/>
      <c r="Q10" s="318" t="str">
        <f t="shared" si="1"/>
        <v>3518100750719EF</v>
      </c>
      <c r="R10" s="310" t="s">
        <v>13</v>
      </c>
      <c r="S10" s="310" t="s">
        <v>14</v>
      </c>
      <c r="T10" s="310" t="s">
        <v>15</v>
      </c>
      <c r="U10" s="310">
        <f>VLOOKUP(A10,'MES Costing Report'!B$2:N$77,7,)</f>
        <v>0</v>
      </c>
      <c r="V10" s="318" t="str">
        <f t="shared" si="2"/>
        <v>SAPPHIR LAGOON</v>
      </c>
      <c r="W10" s="319">
        <f t="shared" si="3"/>
        <v>79</v>
      </c>
      <c r="X10" s="319">
        <f t="shared" si="4"/>
        <v>73</v>
      </c>
      <c r="Y10" s="312">
        <f t="shared" si="5"/>
        <v>0.92405063291139244</v>
      </c>
      <c r="Z10" s="319">
        <f t="shared" si="6"/>
        <v>10</v>
      </c>
    </row>
    <row r="11" spans="1:36" ht="15" customHeight="1" outlineLevel="1" x14ac:dyDescent="0.25">
      <c r="A11" s="308" t="s">
        <v>364</v>
      </c>
      <c r="B11" s="309" t="s">
        <v>42</v>
      </c>
      <c r="C11" s="310" t="s">
        <v>13</v>
      </c>
      <c r="D11" s="310" t="s">
        <v>14</v>
      </c>
      <c r="E11" s="310" t="s">
        <v>15</v>
      </c>
      <c r="F11" s="311">
        <f>IFERROR(VLOOKUP($A11,'[1]MES Costing Report'!$A$2:$K$77,F$2,0),0)</f>
        <v>0</v>
      </c>
      <c r="G11" s="311">
        <f>IFERROR(VLOOKUP($A11,'[1]MES Costing Report'!$A$2:$K$77,G$2,0),0)</f>
        <v>0</v>
      </c>
      <c r="H11" s="312" t="str">
        <f t="shared" si="0"/>
        <v/>
      </c>
      <c r="I11" s="311">
        <f>IFERROR(VLOOKUP($A11,'[1]MES Costing Report'!$A$2:$K$77,I$2,0),0)</f>
        <v>0</v>
      </c>
      <c r="J11" s="311">
        <f>IFERROR(VLOOKUP($A11,'[1]MES Costing Report'!$A$2:$K$77,J$2,0),0)</f>
        <v>0</v>
      </c>
      <c r="L11" s="313"/>
      <c r="M11" s="314"/>
      <c r="N11" s="315"/>
      <c r="O11" s="316"/>
      <c r="P11" s="317"/>
      <c r="Q11" s="318" t="str">
        <f t="shared" si="1"/>
        <v>3518100750A2EB1</v>
      </c>
      <c r="R11" s="310" t="s">
        <v>13</v>
      </c>
      <c r="S11" s="310" t="s">
        <v>14</v>
      </c>
      <c r="T11" s="310" t="s">
        <v>15</v>
      </c>
      <c r="U11" s="310" t="e">
        <f>VLOOKUP(A11,'MES Costing Report'!B$2:N$77,7,)</f>
        <v>#N/A</v>
      </c>
      <c r="V11" s="318" t="str">
        <f t="shared" si="2"/>
        <v>NEVA MAX MC5</v>
      </c>
      <c r="W11" s="319">
        <f t="shared" si="3"/>
        <v>0</v>
      </c>
      <c r="X11" s="319">
        <f t="shared" si="4"/>
        <v>0</v>
      </c>
      <c r="Y11" s="312" t="str">
        <f t="shared" si="5"/>
        <v/>
      </c>
      <c r="Z11" s="319">
        <f t="shared" si="6"/>
        <v>0</v>
      </c>
    </row>
    <row r="12" spans="1:36" ht="15" customHeight="1" outlineLevel="1" x14ac:dyDescent="0.25">
      <c r="A12" s="320" t="s">
        <v>25</v>
      </c>
      <c r="B12" s="320" t="s">
        <v>361</v>
      </c>
      <c r="C12" s="310" t="s">
        <v>13</v>
      </c>
      <c r="D12" s="310" t="s">
        <v>14</v>
      </c>
      <c r="E12" s="310" t="s">
        <v>15</v>
      </c>
      <c r="F12" s="311">
        <f>IFERROR(VLOOKUP($A12,'[1]MES Costing Report'!$A$2:$K$77,F$2,0),0)</f>
        <v>1703</v>
      </c>
      <c r="G12" s="311">
        <f>IFERROR(VLOOKUP($A12,'[1]MES Costing Report'!$A$2:$K$77,G$2,0),0)</f>
        <v>1221</v>
      </c>
      <c r="H12" s="312">
        <f t="shared" si="0"/>
        <v>0.71697005284791548</v>
      </c>
      <c r="I12" s="311">
        <f>IFERROR(VLOOKUP($A12,'[1]MES Costing Report'!$A$2:$K$77,I$2,0),0)</f>
        <v>1926</v>
      </c>
      <c r="J12" s="311">
        <f>IFERROR(VLOOKUP($A12,'[1]MES Costing Report'!$A$2:$K$77,J$2,0),0)</f>
        <v>424</v>
      </c>
      <c r="L12" s="313"/>
      <c r="M12" s="314"/>
      <c r="N12" s="315"/>
      <c r="O12" s="316"/>
      <c r="P12" s="317"/>
      <c r="Q12" s="318" t="str">
        <f t="shared" si="1"/>
        <v>3524100650640EF</v>
      </c>
      <c r="R12" s="310" t="s">
        <v>13</v>
      </c>
      <c r="S12" s="310" t="s">
        <v>14</v>
      </c>
      <c r="T12" s="310" t="s">
        <v>15</v>
      </c>
      <c r="U12" s="310" t="str">
        <f>VLOOKUP(A12,'MES Costing Report'!B$2:N$77,7,)</f>
        <v>TITANIUM</v>
      </c>
      <c r="V12" s="318" t="str">
        <f t="shared" si="2"/>
        <v>ROCK GREEN</v>
      </c>
      <c r="W12" s="319">
        <f t="shared" si="3"/>
        <v>1703</v>
      </c>
      <c r="X12" s="319">
        <f t="shared" si="4"/>
        <v>1221</v>
      </c>
      <c r="Y12" s="312">
        <f t="shared" si="5"/>
        <v>0.71697005284791548</v>
      </c>
      <c r="Z12" s="319">
        <f t="shared" si="6"/>
        <v>424</v>
      </c>
    </row>
    <row r="13" spans="1:36" ht="15" customHeight="1" outlineLevel="1" x14ac:dyDescent="0.25">
      <c r="A13" s="269" t="s">
        <v>30</v>
      </c>
      <c r="B13" s="269" t="s">
        <v>31</v>
      </c>
      <c r="C13" s="321" t="s">
        <v>13</v>
      </c>
      <c r="D13" s="321" t="s">
        <v>14</v>
      </c>
      <c r="E13" s="321" t="s">
        <v>15</v>
      </c>
      <c r="F13" s="311">
        <f>IFERROR(VLOOKUP($A13,'[1]MES Costing Report'!$A$2:$K$77,F$2,0),0)</f>
        <v>5128</v>
      </c>
      <c r="G13" s="311">
        <f>IFERROR(VLOOKUP($A13,'[1]MES Costing Report'!$A$2:$K$77,G$2,0),0)</f>
        <v>4002</v>
      </c>
      <c r="H13" s="312">
        <f t="shared" si="0"/>
        <v>0.78042121684867394</v>
      </c>
      <c r="I13" s="311">
        <f>IFERROR(VLOOKUP($A13,'[1]MES Costing Report'!$A$2:$K$77,I$2,0),0)</f>
        <v>13320</v>
      </c>
      <c r="J13" s="311">
        <f>IFERROR(VLOOKUP($A13,'[1]MES Costing Report'!$A$2:$K$77,J$2,0),0)</f>
        <v>113</v>
      </c>
      <c r="L13" s="313"/>
      <c r="M13" s="314">
        <v>11</v>
      </c>
      <c r="N13" s="315"/>
      <c r="O13" s="316"/>
      <c r="P13" s="317"/>
      <c r="Q13" s="273" t="s">
        <v>30</v>
      </c>
      <c r="R13" s="321" t="s">
        <v>13</v>
      </c>
      <c r="S13" s="321" t="s">
        <v>14</v>
      </c>
      <c r="T13" s="321" t="s">
        <v>15</v>
      </c>
      <c r="U13" s="310" t="str">
        <f>VLOOKUP(A13,'MES Costing Report'!B$2:N$77,7,)</f>
        <v>TITANIUM</v>
      </c>
      <c r="V13" s="269" t="s">
        <v>31</v>
      </c>
      <c r="W13" s="319">
        <f t="shared" si="3"/>
        <v>5128</v>
      </c>
      <c r="X13" s="319">
        <f t="shared" si="4"/>
        <v>4013</v>
      </c>
      <c r="Y13" s="312">
        <f t="shared" si="5"/>
        <v>0.78256630265210614</v>
      </c>
      <c r="Z13" s="319">
        <f t="shared" si="6"/>
        <v>113</v>
      </c>
    </row>
    <row r="14" spans="1:36" ht="15" customHeight="1" outlineLevel="1" x14ac:dyDescent="0.25">
      <c r="A14" s="308" t="s">
        <v>23</v>
      </c>
      <c r="B14" s="309" t="s">
        <v>24</v>
      </c>
      <c r="C14" s="310" t="s">
        <v>13</v>
      </c>
      <c r="D14" s="310" t="s">
        <v>14</v>
      </c>
      <c r="E14" s="310" t="s">
        <v>15</v>
      </c>
      <c r="F14" s="311">
        <f>IFERROR(VLOOKUP($A14,'[1]MES Costing Report'!$A$2:$K$77,F$2,0),0)</f>
        <v>2714</v>
      </c>
      <c r="G14" s="311">
        <f>IFERROR(VLOOKUP($A14,'[1]MES Costing Report'!$A$2:$K$77,G$2,0),0)</f>
        <v>2223</v>
      </c>
      <c r="H14" s="312">
        <f t="shared" si="0"/>
        <v>0.8190862196020634</v>
      </c>
      <c r="I14" s="311">
        <f>IFERROR(VLOOKUP($A14,'[1]MES Costing Report'!$A$2:$K$77,I$2,0),0)</f>
        <v>4332</v>
      </c>
      <c r="J14" s="311">
        <f>IFERROR(VLOOKUP($A14,'[1]MES Costing Report'!$A$2:$K$77,J$2,0),0)</f>
        <v>636</v>
      </c>
      <c r="L14" s="313"/>
      <c r="M14" s="314">
        <v>10</v>
      </c>
      <c r="N14" s="315"/>
      <c r="O14" s="316"/>
      <c r="P14" s="317"/>
      <c r="Q14" s="318" t="str">
        <f t="shared" ref="Q14:Q19" si="7">A14</f>
        <v>3524100650237EF</v>
      </c>
      <c r="R14" s="310" t="s">
        <v>13</v>
      </c>
      <c r="S14" s="310" t="s">
        <v>14</v>
      </c>
      <c r="T14" s="310" t="s">
        <v>15</v>
      </c>
      <c r="U14" s="310">
        <f>VLOOKUP(A14,'MES Costing Report'!B$2:N$77,7,)</f>
        <v>0</v>
      </c>
      <c r="V14" s="318" t="str">
        <f t="shared" ref="V14:V19" si="8">B14</f>
        <v>CRIZAL ALIZE</v>
      </c>
      <c r="W14" s="319">
        <f t="shared" si="3"/>
        <v>2714</v>
      </c>
      <c r="X14" s="319">
        <f t="shared" si="4"/>
        <v>2233</v>
      </c>
      <c r="Y14" s="312">
        <f t="shared" si="5"/>
        <v>0.82277081798084006</v>
      </c>
      <c r="Z14" s="319">
        <f t="shared" si="6"/>
        <v>636</v>
      </c>
    </row>
    <row r="15" spans="1:36" ht="15" customHeight="1" outlineLevel="1" x14ac:dyDescent="0.25">
      <c r="A15" s="308" t="s">
        <v>26</v>
      </c>
      <c r="B15" s="309" t="s">
        <v>12</v>
      </c>
      <c r="C15" s="310" t="s">
        <v>13</v>
      </c>
      <c r="D15" s="310" t="s">
        <v>14</v>
      </c>
      <c r="E15" s="310" t="s">
        <v>15</v>
      </c>
      <c r="F15" s="311">
        <f>IFERROR(VLOOKUP($A15,'[1]MES Costing Report'!$A$2:$K$77,F$2,0),0)</f>
        <v>1</v>
      </c>
      <c r="G15" s="311">
        <f>IFERROR(VLOOKUP($A15,'[1]MES Costing Report'!$A$2:$K$77,G$2,0),0)</f>
        <v>0</v>
      </c>
      <c r="H15" s="312">
        <f t="shared" si="0"/>
        <v>0</v>
      </c>
      <c r="I15" s="311">
        <f>IFERROR(VLOOKUP($A15,'[1]MES Costing Report'!$A$2:$K$77,I$2,0),0)</f>
        <v>0</v>
      </c>
      <c r="J15" s="311">
        <f>IFERROR(VLOOKUP($A15,'[1]MES Costing Report'!$A$2:$K$77,J$2,0),0)</f>
        <v>3</v>
      </c>
      <c r="L15" s="313">
        <v>-1</v>
      </c>
      <c r="M15" s="314"/>
      <c r="N15" s="315">
        <v>-3</v>
      </c>
      <c r="O15" s="316" t="s">
        <v>373</v>
      </c>
      <c r="P15" s="317"/>
      <c r="Q15" s="318" t="str">
        <f t="shared" si="7"/>
        <v>3524100650675EF</v>
      </c>
      <c r="R15" s="310" t="s">
        <v>13</v>
      </c>
      <c r="S15" s="310" t="s">
        <v>14</v>
      </c>
      <c r="T15" s="310" t="s">
        <v>15</v>
      </c>
      <c r="U15" s="310">
        <f>VLOOKUP(A15,'MES Costing Report'!B$2:N$77,7,)</f>
        <v>0</v>
      </c>
      <c r="V15" s="318" t="str">
        <f t="shared" si="8"/>
        <v>CRIZAL FORTE UV35</v>
      </c>
      <c r="W15" s="319">
        <f t="shared" si="3"/>
        <v>0</v>
      </c>
      <c r="X15" s="319">
        <f t="shared" si="4"/>
        <v>0</v>
      </c>
      <c r="Y15" s="312" t="str">
        <f t="shared" si="5"/>
        <v/>
      </c>
      <c r="Z15" s="319">
        <f t="shared" si="6"/>
        <v>0</v>
      </c>
    </row>
    <row r="16" spans="1:36" ht="15" customHeight="1" outlineLevel="1" x14ac:dyDescent="0.25">
      <c r="A16" s="308" t="s">
        <v>27</v>
      </c>
      <c r="B16" s="309" t="s">
        <v>28</v>
      </c>
      <c r="C16" s="310" t="s">
        <v>13</v>
      </c>
      <c r="D16" s="310" t="s">
        <v>14</v>
      </c>
      <c r="E16" s="310" t="s">
        <v>15</v>
      </c>
      <c r="F16" s="311">
        <f>IFERROR(VLOOKUP($A16,'[1]MES Costing Report'!$A$2:$K$77,F$2,0),0)</f>
        <v>4563</v>
      </c>
      <c r="G16" s="311">
        <f>IFERROR(VLOOKUP($A16,'[1]MES Costing Report'!$A$2:$K$77,G$2,0),0)</f>
        <v>3817</v>
      </c>
      <c r="H16" s="312">
        <f t="shared" si="0"/>
        <v>0.836511067280298</v>
      </c>
      <c r="I16" s="311">
        <f>IFERROR(VLOOKUP($A16,'[1]MES Costing Report'!$A$2:$K$77,I$2,0),0)</f>
        <v>7511</v>
      </c>
      <c r="J16" s="311">
        <f>IFERROR(VLOOKUP($A16,'[1]MES Costing Report'!$A$2:$K$77,J$2,0),0)</f>
        <v>2127</v>
      </c>
      <c r="L16" s="313"/>
      <c r="M16" s="314">
        <v>4</v>
      </c>
      <c r="N16" s="315"/>
      <c r="O16" s="316"/>
      <c r="P16" s="317"/>
      <c r="Q16" s="318" t="str">
        <f t="shared" si="7"/>
        <v>3524100650676EF</v>
      </c>
      <c r="R16" s="310" t="s">
        <v>13</v>
      </c>
      <c r="S16" s="310" t="s">
        <v>14</v>
      </c>
      <c r="T16" s="310" t="s">
        <v>15</v>
      </c>
      <c r="U16" s="310">
        <f>VLOOKUP(A16,'MES Costing Report'!B$2:N$77,7,)</f>
        <v>0</v>
      </c>
      <c r="V16" s="318" t="str">
        <f t="shared" si="8"/>
        <v>CRIZAL PREVENCIA UV35</v>
      </c>
      <c r="W16" s="319">
        <f t="shared" si="3"/>
        <v>4563</v>
      </c>
      <c r="X16" s="319">
        <f t="shared" si="4"/>
        <v>3821</v>
      </c>
      <c r="Y16" s="312">
        <f t="shared" si="5"/>
        <v>0.8373876835415297</v>
      </c>
      <c r="Z16" s="319">
        <f t="shared" si="6"/>
        <v>2127</v>
      </c>
    </row>
    <row r="17" spans="1:26" ht="15" customHeight="1" outlineLevel="1" x14ac:dyDescent="0.25">
      <c r="A17" s="308" t="s">
        <v>29</v>
      </c>
      <c r="B17" s="309" t="s">
        <v>17</v>
      </c>
      <c r="C17" s="310" t="s">
        <v>13</v>
      </c>
      <c r="D17" s="310" t="s">
        <v>14</v>
      </c>
      <c r="E17" s="310" t="s">
        <v>15</v>
      </c>
      <c r="F17" s="311">
        <f>IFERROR(VLOOKUP($A17,'[1]MES Costing Report'!$A$2:$K$77,F$2,0),0)</f>
        <v>1375</v>
      </c>
      <c r="G17" s="311">
        <f>IFERROR(VLOOKUP($A17,'[1]MES Costing Report'!$A$2:$K$77,G$2,0),0)</f>
        <v>1165</v>
      </c>
      <c r="H17" s="312">
        <f t="shared" si="0"/>
        <v>0.84727272727272729</v>
      </c>
      <c r="I17" s="311">
        <f>IFERROR(VLOOKUP($A17,'[1]MES Costing Report'!$A$2:$K$77,I$2,0),0)</f>
        <v>2500</v>
      </c>
      <c r="J17" s="311">
        <f>IFERROR(VLOOKUP($A17,'[1]MES Costing Report'!$A$2:$K$77,J$2,0),0)</f>
        <v>295</v>
      </c>
      <c r="L17" s="313"/>
      <c r="M17" s="314">
        <v>2</v>
      </c>
      <c r="N17" s="322"/>
      <c r="O17" s="316"/>
      <c r="P17" s="317"/>
      <c r="Q17" s="318" t="str">
        <f t="shared" si="7"/>
        <v>3524100650719EF</v>
      </c>
      <c r="R17" s="310" t="s">
        <v>13</v>
      </c>
      <c r="S17" s="310" t="s">
        <v>14</v>
      </c>
      <c r="T17" s="310" t="s">
        <v>15</v>
      </c>
      <c r="U17" s="310">
        <f>VLOOKUP(A17,'MES Costing Report'!B$2:N$77,7,)</f>
        <v>0</v>
      </c>
      <c r="V17" s="318" t="str">
        <f t="shared" si="8"/>
        <v>SAPPHIR LAGOON</v>
      </c>
      <c r="W17" s="319">
        <f t="shared" si="3"/>
        <v>1375</v>
      </c>
      <c r="X17" s="319">
        <f t="shared" si="4"/>
        <v>1167</v>
      </c>
      <c r="Y17" s="312">
        <f t="shared" si="5"/>
        <v>0.84872727272727277</v>
      </c>
      <c r="Z17" s="319">
        <f t="shared" si="6"/>
        <v>295</v>
      </c>
    </row>
    <row r="18" spans="1:26" ht="15" customHeight="1" outlineLevel="1" x14ac:dyDescent="0.25">
      <c r="A18" s="308" t="s">
        <v>363</v>
      </c>
      <c r="B18" s="309" t="s">
        <v>42</v>
      </c>
      <c r="C18" s="310" t="s">
        <v>13</v>
      </c>
      <c r="D18" s="310" t="s">
        <v>14</v>
      </c>
      <c r="E18" s="310" t="s">
        <v>15</v>
      </c>
      <c r="F18" s="311">
        <f>IFERROR(VLOOKUP($A18,'[1]MES Costing Report'!$A$2:$K$77,F$2,0),0)</f>
        <v>0</v>
      </c>
      <c r="G18" s="311">
        <f>IFERROR(VLOOKUP($A18,'[1]MES Costing Report'!$A$2:$K$77,G$2,0),0)</f>
        <v>0</v>
      </c>
      <c r="H18" s="312" t="str">
        <f t="shared" si="0"/>
        <v/>
      </c>
      <c r="I18" s="311">
        <f>IFERROR(VLOOKUP($A18,'[1]MES Costing Report'!$A$2:$K$77,I$2,0),0)</f>
        <v>0</v>
      </c>
      <c r="J18" s="311">
        <f>IFERROR(VLOOKUP($A18,'[1]MES Costing Report'!$A$2:$K$77,J$2,0),0)</f>
        <v>0</v>
      </c>
      <c r="L18" s="313"/>
      <c r="M18" s="314"/>
      <c r="N18" s="322"/>
      <c r="O18" s="316"/>
      <c r="P18" s="317"/>
      <c r="Q18" s="318" t="str">
        <f t="shared" si="7"/>
        <v>3524100650A2EB1</v>
      </c>
      <c r="R18" s="310" t="s">
        <v>13</v>
      </c>
      <c r="S18" s="310" t="s">
        <v>14</v>
      </c>
      <c r="T18" s="310" t="s">
        <v>15</v>
      </c>
      <c r="U18" s="310" t="e">
        <f>VLOOKUP(A18,'MES Costing Report'!B$2:N$77,7,)</f>
        <v>#N/A</v>
      </c>
      <c r="V18" s="318" t="str">
        <f t="shared" si="8"/>
        <v>NEVA MAX MC5</v>
      </c>
      <c r="W18" s="319">
        <f t="shared" si="3"/>
        <v>0</v>
      </c>
      <c r="X18" s="319">
        <f t="shared" si="4"/>
        <v>0</v>
      </c>
      <c r="Y18" s="312" t="str">
        <f t="shared" si="5"/>
        <v/>
      </c>
      <c r="Z18" s="319">
        <f t="shared" si="6"/>
        <v>0</v>
      </c>
    </row>
    <row r="19" spans="1:26" ht="15" customHeight="1" outlineLevel="1" x14ac:dyDescent="0.25">
      <c r="A19" s="320" t="s">
        <v>35</v>
      </c>
      <c r="B19" s="320" t="s">
        <v>361</v>
      </c>
      <c r="C19" s="310" t="s">
        <v>13</v>
      </c>
      <c r="D19" s="310" t="s">
        <v>14</v>
      </c>
      <c r="E19" s="310" t="s">
        <v>15</v>
      </c>
      <c r="F19" s="311">
        <f>IFERROR(VLOOKUP($A19,'[1]MES Costing Report'!$A$2:$K$77,F$2,0),0)</f>
        <v>1153</v>
      </c>
      <c r="G19" s="311">
        <f>IFERROR(VLOOKUP($A19,'[1]MES Costing Report'!$A$2:$K$77,G$2,0),0)</f>
        <v>966</v>
      </c>
      <c r="H19" s="312">
        <f t="shared" si="0"/>
        <v>0.83781439722463136</v>
      </c>
      <c r="I19" s="311">
        <f>IFERROR(VLOOKUP($A19,'[1]MES Costing Report'!$A$2:$K$77,I$2,0),0)</f>
        <v>1851</v>
      </c>
      <c r="J19" s="311">
        <f>IFERROR(VLOOKUP($A19,'[1]MES Costing Report'!$A$2:$K$77,J$2,0),0)</f>
        <v>680</v>
      </c>
      <c r="L19" s="313"/>
      <c r="M19" s="314"/>
      <c r="N19" s="322"/>
      <c r="O19" s="316"/>
      <c r="P19" s="317"/>
      <c r="Q19" s="318" t="str">
        <f t="shared" si="7"/>
        <v>3524100750640EF</v>
      </c>
      <c r="R19" s="310" t="s">
        <v>13</v>
      </c>
      <c r="S19" s="310" t="s">
        <v>14</v>
      </c>
      <c r="T19" s="310" t="s">
        <v>15</v>
      </c>
      <c r="U19" s="310" t="str">
        <f>VLOOKUP(A19,'MES Costing Report'!B$2:N$77,7,)</f>
        <v>TITANIUM</v>
      </c>
      <c r="V19" s="318" t="str">
        <f t="shared" si="8"/>
        <v>ROCK GREEN</v>
      </c>
      <c r="W19" s="319">
        <f t="shared" si="3"/>
        <v>1153</v>
      </c>
      <c r="X19" s="319">
        <f t="shared" si="4"/>
        <v>966</v>
      </c>
      <c r="Y19" s="312">
        <f t="shared" si="5"/>
        <v>0.83781439722463136</v>
      </c>
      <c r="Z19" s="319">
        <f t="shared" si="6"/>
        <v>680</v>
      </c>
    </row>
    <row r="20" spans="1:26" ht="15" customHeight="1" outlineLevel="1" x14ac:dyDescent="0.25">
      <c r="A20" s="269" t="s">
        <v>40</v>
      </c>
      <c r="B20" s="269" t="s">
        <v>374</v>
      </c>
      <c r="C20" s="310" t="s">
        <v>13</v>
      </c>
      <c r="D20" s="310" t="s">
        <v>14</v>
      </c>
      <c r="E20" s="310" t="s">
        <v>15</v>
      </c>
      <c r="F20" s="311">
        <f>IFERROR(VLOOKUP($A20,'[1]MES Costing Report'!$A$2:$K$77,F$2,0),0)</f>
        <v>4677</v>
      </c>
      <c r="G20" s="311">
        <f>IFERROR(VLOOKUP($A20,'[1]MES Costing Report'!$A$2:$K$77,G$2,0),0)</f>
        <v>4065</v>
      </c>
      <c r="H20" s="312">
        <f t="shared" si="0"/>
        <v>0.86914688903143045</v>
      </c>
      <c r="I20" s="311">
        <f>IFERROR(VLOOKUP($A20,'[1]MES Costing Report'!$A$2:$K$77,I$2,0),0)</f>
        <v>18176</v>
      </c>
      <c r="J20" s="311">
        <f>IFERROR(VLOOKUP($A20,'[1]MES Costing Report'!$A$2:$K$77,J$2,0),0)</f>
        <v>19</v>
      </c>
      <c r="L20" s="313"/>
      <c r="M20" s="314">
        <v>5</v>
      </c>
      <c r="N20" s="322"/>
      <c r="O20" s="316"/>
      <c r="P20" s="317"/>
      <c r="Q20" s="269" t="s">
        <v>40</v>
      </c>
      <c r="R20" s="310" t="s">
        <v>13</v>
      </c>
      <c r="S20" s="310" t="s">
        <v>14</v>
      </c>
      <c r="T20" s="310" t="s">
        <v>15</v>
      </c>
      <c r="U20" s="310" t="str">
        <f>VLOOKUP(A20,'MES Costing Report'!B$2:N$77,7,)</f>
        <v>TITANIUM</v>
      </c>
      <c r="V20" s="269" t="s">
        <v>374</v>
      </c>
      <c r="W20" s="319">
        <f t="shared" si="3"/>
        <v>4677</v>
      </c>
      <c r="X20" s="319">
        <f t="shared" si="4"/>
        <v>4070</v>
      </c>
      <c r="Y20" s="312">
        <f t="shared" si="5"/>
        <v>0.87021595039555266</v>
      </c>
      <c r="Z20" s="319">
        <f t="shared" si="6"/>
        <v>19</v>
      </c>
    </row>
    <row r="21" spans="1:26" ht="15" customHeight="1" outlineLevel="1" x14ac:dyDescent="0.25">
      <c r="A21" s="323" t="s">
        <v>18</v>
      </c>
      <c r="B21" s="324" t="s">
        <v>19</v>
      </c>
      <c r="C21" s="325" t="s">
        <v>13</v>
      </c>
      <c r="D21" s="325" t="s">
        <v>32</v>
      </c>
      <c r="E21" s="325" t="s">
        <v>15</v>
      </c>
      <c r="F21" s="311">
        <f>IFERROR(VLOOKUP($A21,'[1]MES Costing Report'!$A$2:$K$77,F$2,0),0)</f>
        <v>1553</v>
      </c>
      <c r="G21" s="311">
        <f>IFERROR(VLOOKUP($A21,'[1]MES Costing Report'!$A$2:$K$77,G$2,0),0)</f>
        <v>1553</v>
      </c>
      <c r="H21" s="312">
        <f t="shared" si="0"/>
        <v>1</v>
      </c>
      <c r="I21" s="311">
        <f>IFERROR(VLOOKUP($A21,'[1]MES Costing Report'!$A$2:$K$77,I$2,0),0)</f>
        <v>0</v>
      </c>
      <c r="J21" s="311">
        <f>IFERROR(VLOOKUP($A21,'[1]MES Costing Report'!$A$2:$K$77,J$2,0),0)</f>
        <v>48</v>
      </c>
      <c r="L21" s="326">
        <f>-F21</f>
        <v>-1553</v>
      </c>
      <c r="M21" s="327">
        <f>(-G21)+0</f>
        <v>-1553</v>
      </c>
      <c r="N21" s="328">
        <f>-J21</f>
        <v>-48</v>
      </c>
      <c r="O21" s="316" t="s">
        <v>375</v>
      </c>
      <c r="P21" s="317"/>
      <c r="Q21" s="318" t="str">
        <f t="shared" ref="Q21:Q49" si="9">A21</f>
        <v>352410075000000</v>
      </c>
      <c r="R21" s="325" t="s">
        <v>13</v>
      </c>
      <c r="S21" s="325" t="s">
        <v>32</v>
      </c>
      <c r="T21" s="325" t="s">
        <v>15</v>
      </c>
      <c r="U21" s="310">
        <f>VLOOKUP(A21,'MES Costing Report'!B$2:N$77,7,)</f>
        <v>0</v>
      </c>
      <c r="V21" s="318" t="str">
        <f t="shared" ref="V21:V49" si="10">B21</f>
        <v>SPH NU</v>
      </c>
      <c r="W21" s="319">
        <f t="shared" si="3"/>
        <v>0</v>
      </c>
      <c r="X21" s="319">
        <f t="shared" si="4"/>
        <v>0</v>
      </c>
      <c r="Y21" s="312" t="str">
        <f t="shared" si="5"/>
        <v/>
      </c>
      <c r="Z21" s="319">
        <f t="shared" si="6"/>
        <v>0</v>
      </c>
    </row>
    <row r="22" spans="1:26" ht="15" customHeight="1" outlineLevel="1" x14ac:dyDescent="0.25">
      <c r="A22" s="308" t="s">
        <v>34</v>
      </c>
      <c r="B22" s="309" t="s">
        <v>24</v>
      </c>
      <c r="C22" s="310" t="s">
        <v>13</v>
      </c>
      <c r="D22" s="310" t="s">
        <v>14</v>
      </c>
      <c r="E22" s="310" t="s">
        <v>15</v>
      </c>
      <c r="F22" s="311">
        <f>IFERROR(VLOOKUP($A22,'[1]MES Costing Report'!$A$2:$K$77,F$2,0),0)</f>
        <v>2689</v>
      </c>
      <c r="G22" s="311">
        <f>IFERROR(VLOOKUP($A22,'[1]MES Costing Report'!$A$2:$K$77,G$2,0),0)</f>
        <v>2332</v>
      </c>
      <c r="H22" s="312">
        <f t="shared" si="0"/>
        <v>0.86723689103756041</v>
      </c>
      <c r="I22" s="311">
        <f>IFERROR(VLOOKUP($A22,'[1]MES Costing Report'!$A$2:$K$77,I$2,0),0)</f>
        <v>4377</v>
      </c>
      <c r="J22" s="311">
        <f>IFERROR(VLOOKUP($A22,'[1]MES Costing Report'!$A$2:$K$77,J$2,0),0)</f>
        <v>989</v>
      </c>
      <c r="L22" s="329"/>
      <c r="M22" s="314">
        <v>4</v>
      </c>
      <c r="N22" s="315"/>
      <c r="O22" s="330"/>
      <c r="P22" s="317"/>
      <c r="Q22" s="318" t="str">
        <f t="shared" si="9"/>
        <v>3524100750237EF</v>
      </c>
      <c r="R22" s="310" t="s">
        <v>13</v>
      </c>
      <c r="S22" s="310" t="s">
        <v>14</v>
      </c>
      <c r="T22" s="310" t="s">
        <v>15</v>
      </c>
      <c r="U22" s="310">
        <f>VLOOKUP(A22,'MES Costing Report'!B$2:N$77,7,)</f>
        <v>0</v>
      </c>
      <c r="V22" s="318" t="str">
        <f t="shared" si="10"/>
        <v>CRIZAL ALIZE</v>
      </c>
      <c r="W22" s="319">
        <f t="shared" si="3"/>
        <v>2689</v>
      </c>
      <c r="X22" s="319">
        <f t="shared" si="4"/>
        <v>2336</v>
      </c>
      <c r="Y22" s="312">
        <f t="shared" si="5"/>
        <v>0.8687244328746746</v>
      </c>
      <c r="Z22" s="319">
        <f t="shared" si="6"/>
        <v>989</v>
      </c>
    </row>
    <row r="23" spans="1:26" ht="15" customHeight="1" outlineLevel="1" x14ac:dyDescent="0.25">
      <c r="A23" s="308" t="s">
        <v>36</v>
      </c>
      <c r="B23" s="309" t="s">
        <v>12</v>
      </c>
      <c r="C23" s="310" t="s">
        <v>13</v>
      </c>
      <c r="D23" s="310" t="s">
        <v>14</v>
      </c>
      <c r="E23" s="310" t="s">
        <v>15</v>
      </c>
      <c r="F23" s="311">
        <f>IFERROR(VLOOKUP($A23,'[1]MES Costing Report'!$A$2:$K$77,F$2,0),0)</f>
        <v>1</v>
      </c>
      <c r="G23" s="311">
        <f>IFERROR(VLOOKUP($A23,'[1]MES Costing Report'!$A$2:$K$77,G$2,0),0)</f>
        <v>0</v>
      </c>
      <c r="H23" s="312">
        <f t="shared" si="0"/>
        <v>0</v>
      </c>
      <c r="I23" s="311">
        <f>IFERROR(VLOOKUP($A23,'[1]MES Costing Report'!$A$2:$K$77,I$2,0),0)</f>
        <v>0</v>
      </c>
      <c r="J23" s="311">
        <f>IFERROR(VLOOKUP($A23,'[1]MES Costing Report'!$A$2:$K$77,J$2,0),0)</f>
        <v>0</v>
      </c>
      <c r="L23" s="313">
        <v>-1</v>
      </c>
      <c r="M23" s="314"/>
      <c r="N23" s="315"/>
      <c r="O23" s="316" t="s">
        <v>373</v>
      </c>
      <c r="P23" s="317"/>
      <c r="Q23" s="318" t="str">
        <f t="shared" si="9"/>
        <v>3524100750675EF</v>
      </c>
      <c r="R23" s="310" t="s">
        <v>13</v>
      </c>
      <c r="S23" s="310" t="s">
        <v>14</v>
      </c>
      <c r="T23" s="310" t="s">
        <v>15</v>
      </c>
      <c r="U23" s="310">
        <f>VLOOKUP(A23,'MES Costing Report'!B$2:N$77,7,)</f>
        <v>0</v>
      </c>
      <c r="V23" s="318" t="str">
        <f t="shared" si="10"/>
        <v>CRIZAL FORTE UV35</v>
      </c>
      <c r="W23" s="319">
        <f t="shared" si="3"/>
        <v>0</v>
      </c>
      <c r="X23" s="319">
        <f t="shared" si="4"/>
        <v>0</v>
      </c>
      <c r="Y23" s="312" t="str">
        <f t="shared" si="5"/>
        <v/>
      </c>
      <c r="Z23" s="319">
        <f t="shared" si="6"/>
        <v>0</v>
      </c>
    </row>
    <row r="24" spans="1:26" outlineLevel="1" x14ac:dyDescent="0.25">
      <c r="A24" s="308" t="s">
        <v>37</v>
      </c>
      <c r="B24" s="309" t="s">
        <v>28</v>
      </c>
      <c r="C24" s="310" t="s">
        <v>13</v>
      </c>
      <c r="D24" s="310" t="s">
        <v>14</v>
      </c>
      <c r="E24" s="310" t="s">
        <v>15</v>
      </c>
      <c r="F24" s="311">
        <f>IFERROR(VLOOKUP($A24,'[1]MES Costing Report'!$A$2:$K$77,F$2,0),0)</f>
        <v>10001</v>
      </c>
      <c r="G24" s="311">
        <f>IFERROR(VLOOKUP($A24,'[1]MES Costing Report'!$A$2:$K$77,G$2,0),0)</f>
        <v>8580</v>
      </c>
      <c r="H24" s="312">
        <f t="shared" si="0"/>
        <v>0.85791420857914213</v>
      </c>
      <c r="I24" s="311">
        <f>IFERROR(VLOOKUP($A24,'[1]MES Costing Report'!$A$2:$K$77,I$2,0),0)</f>
        <v>15573</v>
      </c>
      <c r="J24" s="311">
        <f>IFERROR(VLOOKUP($A24,'[1]MES Costing Report'!$A$2:$K$77,J$2,0),0)</f>
        <v>2718</v>
      </c>
      <c r="L24" s="313"/>
      <c r="M24" s="314">
        <v>8</v>
      </c>
      <c r="N24" s="315"/>
      <c r="O24" s="316"/>
      <c r="P24" s="317"/>
      <c r="Q24" s="318" t="str">
        <f t="shared" si="9"/>
        <v>3524100750676EF</v>
      </c>
      <c r="R24" s="310" t="s">
        <v>13</v>
      </c>
      <c r="S24" s="310" t="s">
        <v>14</v>
      </c>
      <c r="T24" s="310" t="s">
        <v>15</v>
      </c>
      <c r="U24" s="310">
        <f>VLOOKUP(A24,'MES Costing Report'!B$2:N$77,7,)</f>
        <v>0</v>
      </c>
      <c r="V24" s="318" t="str">
        <f t="shared" si="10"/>
        <v>CRIZAL PREVENCIA UV35</v>
      </c>
      <c r="W24" s="319">
        <f t="shared" si="3"/>
        <v>10001</v>
      </c>
      <c r="X24" s="319">
        <f t="shared" si="4"/>
        <v>8588</v>
      </c>
      <c r="Y24" s="312">
        <f t="shared" si="5"/>
        <v>0.85871412858714125</v>
      </c>
      <c r="Z24" s="319">
        <f t="shared" si="6"/>
        <v>2718</v>
      </c>
    </row>
    <row r="25" spans="1:26" ht="15" customHeight="1" outlineLevel="1" x14ac:dyDescent="0.25">
      <c r="A25" s="308" t="s">
        <v>39</v>
      </c>
      <c r="B25" s="309" t="s">
        <v>17</v>
      </c>
      <c r="C25" s="310" t="s">
        <v>13</v>
      </c>
      <c r="D25" s="310" t="s">
        <v>14</v>
      </c>
      <c r="E25" s="310" t="s">
        <v>15</v>
      </c>
      <c r="F25" s="311">
        <f>IFERROR(VLOOKUP($A25,'[1]MES Costing Report'!$A$2:$K$77,F$2,0),0)</f>
        <v>1689</v>
      </c>
      <c r="G25" s="311">
        <f>IFERROR(VLOOKUP($A25,'[1]MES Costing Report'!$A$2:$K$77,G$2,0),0)</f>
        <v>1506</v>
      </c>
      <c r="H25" s="312">
        <f t="shared" si="0"/>
        <v>0.89165186500888094</v>
      </c>
      <c r="I25" s="311">
        <f>IFERROR(VLOOKUP($A25,'[1]MES Costing Report'!$A$2:$K$77,I$2,0),0)</f>
        <v>3321</v>
      </c>
      <c r="J25" s="311">
        <f>IFERROR(VLOOKUP($A25,'[1]MES Costing Report'!$A$2:$K$77,J$2,0),0)</f>
        <v>950</v>
      </c>
      <c r="L25" s="313"/>
      <c r="M25" s="314">
        <v>3</v>
      </c>
      <c r="N25" s="315"/>
      <c r="O25" s="316"/>
      <c r="P25" s="317"/>
      <c r="Q25" s="318" t="str">
        <f t="shared" si="9"/>
        <v>3524100750719EF</v>
      </c>
      <c r="R25" s="310" t="s">
        <v>13</v>
      </c>
      <c r="S25" s="310" t="s">
        <v>14</v>
      </c>
      <c r="T25" s="310" t="s">
        <v>15</v>
      </c>
      <c r="U25" s="310">
        <f>VLOOKUP(A25,'MES Costing Report'!B$2:N$77,7,)</f>
        <v>0</v>
      </c>
      <c r="V25" s="318" t="str">
        <f t="shared" si="10"/>
        <v>SAPPHIR LAGOON</v>
      </c>
      <c r="W25" s="319">
        <f t="shared" si="3"/>
        <v>1689</v>
      </c>
      <c r="X25" s="319">
        <f t="shared" si="4"/>
        <v>1509</v>
      </c>
      <c r="Y25" s="312">
        <f t="shared" si="5"/>
        <v>0.89342806394316165</v>
      </c>
      <c r="Z25" s="319">
        <f t="shared" si="6"/>
        <v>950</v>
      </c>
    </row>
    <row r="26" spans="1:26" ht="15" customHeight="1" outlineLevel="1" x14ac:dyDescent="0.25">
      <c r="A26" s="308" t="s">
        <v>362</v>
      </c>
      <c r="B26" s="309" t="s">
        <v>376</v>
      </c>
      <c r="C26" s="310" t="s">
        <v>13</v>
      </c>
      <c r="D26" s="310" t="s">
        <v>14</v>
      </c>
      <c r="E26" s="310" t="s">
        <v>15</v>
      </c>
      <c r="F26" s="311">
        <f>IFERROR(VLOOKUP($A26,'[1]MES Costing Report'!$A$2:$K$77,F$2,0),0)</f>
        <v>0</v>
      </c>
      <c r="G26" s="311">
        <f>IFERROR(VLOOKUP($A26,'[1]MES Costing Report'!$A$2:$K$77,G$2,0),0)</f>
        <v>0</v>
      </c>
      <c r="H26" s="312" t="str">
        <f t="shared" si="0"/>
        <v/>
      </c>
      <c r="I26" s="311">
        <f>IFERROR(VLOOKUP($A26,'[1]MES Costing Report'!$A$2:$K$77,I$2,0),0)</f>
        <v>0</v>
      </c>
      <c r="J26" s="311">
        <f>IFERROR(VLOOKUP($A26,'[1]MES Costing Report'!$A$2:$K$77,J$2,0),0)</f>
        <v>0</v>
      </c>
      <c r="L26" s="313"/>
      <c r="M26" s="314"/>
      <c r="N26" s="315"/>
      <c r="O26" s="331"/>
      <c r="P26" s="317"/>
      <c r="Q26" s="318" t="str">
        <f t="shared" si="9"/>
        <v>352410075071901</v>
      </c>
      <c r="R26" s="310" t="s">
        <v>13</v>
      </c>
      <c r="S26" s="310" t="s">
        <v>14</v>
      </c>
      <c r="T26" s="310" t="s">
        <v>15</v>
      </c>
      <c r="U26" s="310" t="e">
        <f>VLOOKUP(A26,'MES Costing Report'!B$2:N$77,7,)</f>
        <v>#N/A</v>
      </c>
      <c r="V26" s="318" t="str">
        <f t="shared" si="10"/>
        <v>SAPPHIR LAGOON EOLP</v>
      </c>
      <c r="W26" s="319">
        <f t="shared" si="3"/>
        <v>0</v>
      </c>
      <c r="X26" s="319">
        <f t="shared" si="4"/>
        <v>0</v>
      </c>
      <c r="Y26" s="312" t="str">
        <f t="shared" si="5"/>
        <v/>
      </c>
      <c r="Z26" s="319">
        <f t="shared" si="6"/>
        <v>0</v>
      </c>
    </row>
    <row r="27" spans="1:26" outlineLevel="1" x14ac:dyDescent="0.25">
      <c r="A27" s="308" t="s">
        <v>41</v>
      </c>
      <c r="B27" s="309" t="s">
        <v>42</v>
      </c>
      <c r="C27" s="310" t="s">
        <v>13</v>
      </c>
      <c r="D27" s="310" t="s">
        <v>14</v>
      </c>
      <c r="E27" s="310" t="s">
        <v>15</v>
      </c>
      <c r="F27" s="311">
        <f>IFERROR(VLOOKUP($A27,'[1]MES Costing Report'!$A$2:$K$77,F$2,0),0)</f>
        <v>1</v>
      </c>
      <c r="G27" s="311">
        <f>IFERROR(VLOOKUP($A27,'[1]MES Costing Report'!$A$2:$K$77,G$2,0),0)</f>
        <v>0</v>
      </c>
      <c r="H27" s="312">
        <f t="shared" si="0"/>
        <v>0</v>
      </c>
      <c r="I27" s="311">
        <f>IFERROR(VLOOKUP($A27,'[1]MES Costing Report'!$A$2:$K$77,I$2,0),0)</f>
        <v>0</v>
      </c>
      <c r="J27" s="311">
        <f>IFERROR(VLOOKUP($A27,'[1]MES Costing Report'!$A$2:$K$77,J$2,0),0)</f>
        <v>0</v>
      </c>
      <c r="L27" s="313"/>
      <c r="M27" s="314"/>
      <c r="N27" s="315"/>
      <c r="O27" s="316"/>
      <c r="P27" s="317"/>
      <c r="Q27" s="318" t="str">
        <f t="shared" si="9"/>
        <v>3524100750A2EB1</v>
      </c>
      <c r="R27" s="310" t="s">
        <v>13</v>
      </c>
      <c r="S27" s="310" t="s">
        <v>14</v>
      </c>
      <c r="T27" s="310" t="s">
        <v>15</v>
      </c>
      <c r="U27" s="310">
        <f>VLOOKUP(A27,'MES Costing Report'!B$2:N$77,7,)</f>
        <v>0</v>
      </c>
      <c r="V27" s="318" t="str">
        <f t="shared" si="10"/>
        <v>NEVA MAX MC5</v>
      </c>
      <c r="W27" s="319">
        <f t="shared" si="3"/>
        <v>1</v>
      </c>
      <c r="X27" s="319">
        <f t="shared" si="4"/>
        <v>0</v>
      </c>
      <c r="Y27" s="312">
        <f t="shared" si="5"/>
        <v>0</v>
      </c>
      <c r="Z27" s="319">
        <f t="shared" si="6"/>
        <v>0</v>
      </c>
    </row>
    <row r="28" spans="1:26" outlineLevel="1" x14ac:dyDescent="0.25">
      <c r="A28" s="308" t="s">
        <v>333</v>
      </c>
      <c r="B28" s="309" t="s">
        <v>24</v>
      </c>
      <c r="C28" s="310" t="s">
        <v>22</v>
      </c>
      <c r="D28" s="310" t="s">
        <v>14</v>
      </c>
      <c r="E28" s="310" t="s">
        <v>15</v>
      </c>
      <c r="F28" s="311">
        <f>IFERROR(VLOOKUP($A28,'[1]MES Costing Report'!$A$2:$K$77,F$2,0),0)</f>
        <v>0</v>
      </c>
      <c r="G28" s="311">
        <f>IFERROR(VLOOKUP($A28,'[1]MES Costing Report'!$A$2:$K$77,G$2,0),0)</f>
        <v>0</v>
      </c>
      <c r="H28" s="312" t="str">
        <f t="shared" si="0"/>
        <v/>
      </c>
      <c r="I28" s="311">
        <f>IFERROR(VLOOKUP($A28,'[1]MES Costing Report'!$A$2:$K$77,I$2,0),0)</f>
        <v>0</v>
      </c>
      <c r="J28" s="311">
        <f>IFERROR(VLOOKUP($A28,'[1]MES Costing Report'!$A$2:$K$77,J$2,0),0)</f>
        <v>0</v>
      </c>
      <c r="L28" s="332"/>
      <c r="M28" s="314"/>
      <c r="N28" s="315"/>
      <c r="O28" s="316"/>
      <c r="P28" s="317"/>
      <c r="Q28" s="2" t="str">
        <f t="shared" si="9"/>
        <v>3555100650237EF</v>
      </c>
      <c r="R28" s="310" t="s">
        <v>22</v>
      </c>
      <c r="S28" s="310" t="s">
        <v>14</v>
      </c>
      <c r="T28" s="310" t="s">
        <v>15</v>
      </c>
      <c r="U28" s="310" t="e">
        <f>VLOOKUP(A28,'MES Costing Report'!B$2:N$77,7,)</f>
        <v>#N/A</v>
      </c>
      <c r="V28" s="318" t="str">
        <f t="shared" si="10"/>
        <v>CRIZAL ALIZE</v>
      </c>
      <c r="W28" s="319">
        <f t="shared" si="3"/>
        <v>0</v>
      </c>
      <c r="X28" s="319">
        <f t="shared" si="4"/>
        <v>0</v>
      </c>
      <c r="Y28" s="312" t="str">
        <f t="shared" si="5"/>
        <v/>
      </c>
      <c r="Z28" s="319">
        <f t="shared" si="6"/>
        <v>0</v>
      </c>
    </row>
    <row r="29" spans="1:26" outlineLevel="1" x14ac:dyDescent="0.25">
      <c r="A29" s="308" t="s">
        <v>334</v>
      </c>
      <c r="B29" s="309" t="s">
        <v>12</v>
      </c>
      <c r="C29" s="310" t="s">
        <v>22</v>
      </c>
      <c r="D29" s="310" t="s">
        <v>14</v>
      </c>
      <c r="E29" s="310" t="s">
        <v>15</v>
      </c>
      <c r="F29" s="311">
        <f>IFERROR(VLOOKUP($A29,'[1]MES Costing Report'!$A$2:$K$77,F$2,0),0)</f>
        <v>0</v>
      </c>
      <c r="G29" s="311">
        <f>IFERROR(VLOOKUP($A29,'[1]MES Costing Report'!$A$2:$K$77,G$2,0),0)</f>
        <v>0</v>
      </c>
      <c r="H29" s="312" t="str">
        <f t="shared" si="0"/>
        <v/>
      </c>
      <c r="I29" s="311">
        <f>IFERROR(VLOOKUP($A29,'[1]MES Costing Report'!$A$2:$K$77,I$2,0),0)</f>
        <v>0</v>
      </c>
      <c r="J29" s="311">
        <f>IFERROR(VLOOKUP($A29,'[1]MES Costing Report'!$A$2:$K$77,J$2,0),0)</f>
        <v>0</v>
      </c>
      <c r="L29" s="332"/>
      <c r="M29" s="314"/>
      <c r="N29" s="315"/>
      <c r="O29" s="316"/>
      <c r="P29" s="317"/>
      <c r="Q29" s="2" t="str">
        <f t="shared" si="9"/>
        <v>3555100650675EF</v>
      </c>
      <c r="R29" s="310" t="s">
        <v>22</v>
      </c>
      <c r="S29" s="310" t="s">
        <v>14</v>
      </c>
      <c r="T29" s="310" t="s">
        <v>15</v>
      </c>
      <c r="U29" s="310" t="e">
        <f>VLOOKUP(A29,'MES Costing Report'!B$2:N$77,7,)</f>
        <v>#N/A</v>
      </c>
      <c r="V29" s="318" t="str">
        <f t="shared" si="10"/>
        <v>CRIZAL FORTE UV35</v>
      </c>
      <c r="W29" s="319">
        <f t="shared" si="3"/>
        <v>0</v>
      </c>
      <c r="X29" s="319">
        <f t="shared" si="4"/>
        <v>0</v>
      </c>
      <c r="Y29" s="312" t="str">
        <f t="shared" si="5"/>
        <v/>
      </c>
      <c r="Z29" s="319">
        <f t="shared" si="6"/>
        <v>0</v>
      </c>
    </row>
    <row r="30" spans="1:26" outlineLevel="1" x14ac:dyDescent="0.25">
      <c r="A30" s="308" t="s">
        <v>88</v>
      </c>
      <c r="B30" s="309" t="s">
        <v>17</v>
      </c>
      <c r="C30" s="310" t="s">
        <v>22</v>
      </c>
      <c r="D30" s="310" t="s">
        <v>14</v>
      </c>
      <c r="E30" s="310" t="s">
        <v>15</v>
      </c>
      <c r="F30" s="311">
        <f>IFERROR(VLOOKUP($A30,'[1]MES Costing Report'!$A$2:$K$77,F$2,0),0)</f>
        <v>309</v>
      </c>
      <c r="G30" s="311">
        <f>IFERROR(VLOOKUP($A30,'[1]MES Costing Report'!$A$2:$K$77,G$2,0),0)</f>
        <v>237</v>
      </c>
      <c r="H30" s="312">
        <f t="shared" si="0"/>
        <v>0.76699029126213591</v>
      </c>
      <c r="I30" s="311">
        <f>IFERROR(VLOOKUP($A30,'[1]MES Costing Report'!$A$2:$K$77,I$2,0),0)</f>
        <v>383</v>
      </c>
      <c r="J30" s="311">
        <f>IFERROR(VLOOKUP($A30,'[1]MES Costing Report'!$A$2:$K$77,J$2,0),0)</f>
        <v>76</v>
      </c>
      <c r="L30" s="332"/>
      <c r="M30" s="314">
        <v>1</v>
      </c>
      <c r="N30" s="315"/>
      <c r="O30" s="316"/>
      <c r="P30" s="317"/>
      <c r="Q30" s="2" t="str">
        <f t="shared" si="9"/>
        <v>3555100650719EF</v>
      </c>
      <c r="R30" s="310" t="s">
        <v>22</v>
      </c>
      <c r="S30" s="310" t="s">
        <v>14</v>
      </c>
      <c r="T30" s="310" t="s">
        <v>15</v>
      </c>
      <c r="U30" s="310">
        <f>VLOOKUP(A30,'MES Costing Report'!B$2:N$77,7,)</f>
        <v>0</v>
      </c>
      <c r="V30" s="318" t="str">
        <f t="shared" si="10"/>
        <v>SAPPHIR LAGOON</v>
      </c>
      <c r="W30" s="319">
        <f t="shared" si="3"/>
        <v>309</v>
      </c>
      <c r="X30" s="319">
        <f t="shared" si="4"/>
        <v>238</v>
      </c>
      <c r="Y30" s="312">
        <f t="shared" si="5"/>
        <v>0.77022653721682843</v>
      </c>
      <c r="Z30" s="319">
        <f t="shared" si="6"/>
        <v>76</v>
      </c>
    </row>
    <row r="31" spans="1:26" outlineLevel="1" x14ac:dyDescent="0.25">
      <c r="A31" s="308" t="s">
        <v>336</v>
      </c>
      <c r="B31" s="309" t="s">
        <v>24</v>
      </c>
      <c r="C31" s="310" t="s">
        <v>22</v>
      </c>
      <c r="D31" s="310" t="s">
        <v>14</v>
      </c>
      <c r="E31" s="310" t="s">
        <v>15</v>
      </c>
      <c r="F31" s="311">
        <f>IFERROR(VLOOKUP($A31,'[1]MES Costing Report'!$A$2:$K$77,F$2,0),0)</f>
        <v>0</v>
      </c>
      <c r="G31" s="311">
        <f>IFERROR(VLOOKUP($A31,'[1]MES Costing Report'!$A$2:$K$77,G$2,0),0)</f>
        <v>0</v>
      </c>
      <c r="H31" s="312" t="str">
        <f t="shared" si="0"/>
        <v/>
      </c>
      <c r="I31" s="311">
        <f>IFERROR(VLOOKUP($A31,'[1]MES Costing Report'!$A$2:$K$77,I$2,0),0)</f>
        <v>0</v>
      </c>
      <c r="J31" s="311">
        <f>IFERROR(VLOOKUP($A31,'[1]MES Costing Report'!$A$2:$K$77,J$2,0),0)</f>
        <v>0</v>
      </c>
      <c r="L31" s="332"/>
      <c r="M31" s="314"/>
      <c r="N31" s="315"/>
      <c r="O31" s="316"/>
      <c r="P31" s="317"/>
      <c r="Q31" s="2" t="str">
        <f t="shared" si="9"/>
        <v>3555100750237EF</v>
      </c>
      <c r="R31" s="310" t="s">
        <v>22</v>
      </c>
      <c r="S31" s="310" t="s">
        <v>14</v>
      </c>
      <c r="T31" s="310" t="s">
        <v>15</v>
      </c>
      <c r="U31" s="310" t="e">
        <f>VLOOKUP(A31,'MES Costing Report'!B$2:N$77,7,)</f>
        <v>#N/A</v>
      </c>
      <c r="V31" s="318" t="str">
        <f t="shared" si="10"/>
        <v>CRIZAL ALIZE</v>
      </c>
      <c r="W31" s="319">
        <f t="shared" si="3"/>
        <v>0</v>
      </c>
      <c r="X31" s="319">
        <f t="shared" si="4"/>
        <v>0</v>
      </c>
      <c r="Y31" s="312" t="str">
        <f t="shared" si="5"/>
        <v/>
      </c>
      <c r="Z31" s="319">
        <f t="shared" si="6"/>
        <v>0</v>
      </c>
    </row>
    <row r="32" spans="1:26" outlineLevel="1" x14ac:dyDescent="0.25">
      <c r="A32" s="308" t="s">
        <v>337</v>
      </c>
      <c r="B32" s="309" t="s">
        <v>12</v>
      </c>
      <c r="C32" s="310" t="s">
        <v>22</v>
      </c>
      <c r="D32" s="310" t="s">
        <v>14</v>
      </c>
      <c r="E32" s="310" t="s">
        <v>15</v>
      </c>
      <c r="F32" s="311">
        <f>IFERROR(VLOOKUP($A32,'[1]MES Costing Report'!$A$2:$K$77,F$2,0),0)</f>
        <v>0</v>
      </c>
      <c r="G32" s="311">
        <f>IFERROR(VLOOKUP($A32,'[1]MES Costing Report'!$A$2:$K$77,G$2,0),0)</f>
        <v>0</v>
      </c>
      <c r="H32" s="312" t="str">
        <f t="shared" si="0"/>
        <v/>
      </c>
      <c r="I32" s="311">
        <f>IFERROR(VLOOKUP($A32,'[1]MES Costing Report'!$A$2:$K$77,I$2,0),0)</f>
        <v>0</v>
      </c>
      <c r="J32" s="311">
        <f>IFERROR(VLOOKUP($A32,'[1]MES Costing Report'!$A$2:$K$77,J$2,0),0)</f>
        <v>0</v>
      </c>
      <c r="L32" s="332"/>
      <c r="M32" s="314"/>
      <c r="N32" s="315"/>
      <c r="O32" s="316"/>
      <c r="P32" s="317"/>
      <c r="Q32" s="2" t="str">
        <f t="shared" si="9"/>
        <v>3555100750675EF</v>
      </c>
      <c r="R32" s="310" t="s">
        <v>22</v>
      </c>
      <c r="S32" s="310" t="s">
        <v>14</v>
      </c>
      <c r="T32" s="310" t="s">
        <v>15</v>
      </c>
      <c r="U32" s="310" t="e">
        <f>VLOOKUP(A32,'MES Costing Report'!B$2:N$77,7,)</f>
        <v>#N/A</v>
      </c>
      <c r="V32" s="318" t="str">
        <f t="shared" si="10"/>
        <v>CRIZAL FORTE UV35</v>
      </c>
      <c r="W32" s="319">
        <f t="shared" si="3"/>
        <v>0</v>
      </c>
      <c r="X32" s="319">
        <f t="shared" si="4"/>
        <v>0</v>
      </c>
      <c r="Y32" s="312" t="str">
        <f t="shared" si="5"/>
        <v/>
      </c>
      <c r="Z32" s="319">
        <f t="shared" si="6"/>
        <v>0</v>
      </c>
    </row>
    <row r="33" spans="1:33" outlineLevel="1" x14ac:dyDescent="0.25">
      <c r="A33" s="308" t="s">
        <v>89</v>
      </c>
      <c r="B33" s="309" t="s">
        <v>17</v>
      </c>
      <c r="C33" s="310" t="s">
        <v>22</v>
      </c>
      <c r="D33" s="310" t="s">
        <v>14</v>
      </c>
      <c r="E33" s="310" t="s">
        <v>15</v>
      </c>
      <c r="F33" s="311">
        <f>IFERROR(VLOOKUP($A33,'[1]MES Costing Report'!$A$2:$K$77,F$2,0),0)</f>
        <v>117</v>
      </c>
      <c r="G33" s="311">
        <f>IFERROR(VLOOKUP($A33,'[1]MES Costing Report'!$A$2:$K$77,G$2,0),0)</f>
        <v>84</v>
      </c>
      <c r="H33" s="312">
        <f t="shared" si="0"/>
        <v>0.71794871794871795</v>
      </c>
      <c r="I33" s="311">
        <f>IFERROR(VLOOKUP($A33,'[1]MES Costing Report'!$A$2:$K$77,I$2,0),0)</f>
        <v>164</v>
      </c>
      <c r="J33" s="311">
        <f>IFERROR(VLOOKUP($A33,'[1]MES Costing Report'!$A$2:$K$77,J$2,0),0)</f>
        <v>20</v>
      </c>
      <c r="L33" s="332"/>
      <c r="M33" s="314"/>
      <c r="N33" s="315"/>
      <c r="O33" s="316"/>
      <c r="P33" s="317"/>
      <c r="Q33" s="2" t="str">
        <f t="shared" si="9"/>
        <v>3555100750719EF</v>
      </c>
      <c r="R33" s="310" t="s">
        <v>22</v>
      </c>
      <c r="S33" s="310" t="s">
        <v>14</v>
      </c>
      <c r="T33" s="310" t="s">
        <v>15</v>
      </c>
      <c r="U33" s="310">
        <f>VLOOKUP(A33,'MES Costing Report'!B$2:N$77,7,)</f>
        <v>0</v>
      </c>
      <c r="V33" s="318" t="str">
        <f t="shared" si="10"/>
        <v>SAPPHIR LAGOON</v>
      </c>
      <c r="W33" s="319">
        <f t="shared" si="3"/>
        <v>117</v>
      </c>
      <c r="X33" s="319">
        <f t="shared" si="4"/>
        <v>84</v>
      </c>
      <c r="Y33" s="312">
        <f t="shared" si="5"/>
        <v>0.71794871794871795</v>
      </c>
      <c r="Z33" s="319">
        <f t="shared" si="6"/>
        <v>20</v>
      </c>
    </row>
    <row r="34" spans="1:33" outlineLevel="1" x14ac:dyDescent="0.25">
      <c r="A34" s="308" t="s">
        <v>338</v>
      </c>
      <c r="B34" s="309" t="s">
        <v>24</v>
      </c>
      <c r="C34" s="310" t="s">
        <v>22</v>
      </c>
      <c r="D34" s="310" t="s">
        <v>14</v>
      </c>
      <c r="E34" s="310" t="s">
        <v>15</v>
      </c>
      <c r="F34" s="311">
        <f>IFERROR(VLOOKUP($A34,'[1]MES Costing Report'!$A$2:$K$77,F$2,0),0)</f>
        <v>0</v>
      </c>
      <c r="G34" s="311">
        <f>IFERROR(VLOOKUP($A34,'[1]MES Costing Report'!$A$2:$K$77,G$2,0),0)</f>
        <v>0</v>
      </c>
      <c r="H34" s="312" t="str">
        <f t="shared" si="0"/>
        <v/>
      </c>
      <c r="I34" s="311">
        <f>IFERROR(VLOOKUP($A34,'[1]MES Costing Report'!$A$2:$K$77,I$2,0),0)</f>
        <v>0</v>
      </c>
      <c r="J34" s="311">
        <f>IFERROR(VLOOKUP($A34,'[1]MES Costing Report'!$A$2:$K$77,J$2,0),0)</f>
        <v>0</v>
      </c>
      <c r="L34" s="332"/>
      <c r="M34" s="314"/>
      <c r="N34" s="315"/>
      <c r="O34" s="316"/>
      <c r="P34" s="317"/>
      <c r="Q34" s="2" t="str">
        <f t="shared" si="9"/>
        <v>3555100800237EF</v>
      </c>
      <c r="R34" s="310" t="s">
        <v>22</v>
      </c>
      <c r="S34" s="310" t="s">
        <v>14</v>
      </c>
      <c r="T34" s="310" t="s">
        <v>15</v>
      </c>
      <c r="U34" s="310" t="e">
        <f>VLOOKUP(A34,'MES Costing Report'!B$2:N$77,7,)</f>
        <v>#N/A</v>
      </c>
      <c r="V34" s="318" t="str">
        <f t="shared" si="10"/>
        <v>CRIZAL ALIZE</v>
      </c>
      <c r="W34" s="319">
        <f t="shared" si="3"/>
        <v>0</v>
      </c>
      <c r="X34" s="319">
        <f t="shared" si="4"/>
        <v>0</v>
      </c>
      <c r="Y34" s="312" t="str">
        <f t="shared" si="5"/>
        <v/>
      </c>
      <c r="Z34" s="319">
        <f t="shared" si="6"/>
        <v>0</v>
      </c>
    </row>
    <row r="35" spans="1:33" outlineLevel="1" x14ac:dyDescent="0.25">
      <c r="A35" s="308" t="s">
        <v>339</v>
      </c>
      <c r="B35" s="309" t="s">
        <v>12</v>
      </c>
      <c r="C35" s="310" t="s">
        <v>22</v>
      </c>
      <c r="D35" s="310" t="s">
        <v>14</v>
      </c>
      <c r="E35" s="310" t="s">
        <v>15</v>
      </c>
      <c r="F35" s="311">
        <f>IFERROR(VLOOKUP($A35,'[1]MES Costing Report'!$A$2:$K$77,F$2,0),0)</f>
        <v>0</v>
      </c>
      <c r="G35" s="311">
        <f>IFERROR(VLOOKUP($A35,'[1]MES Costing Report'!$A$2:$K$77,G$2,0),0)</f>
        <v>0</v>
      </c>
      <c r="H35" s="312" t="str">
        <f t="shared" si="0"/>
        <v/>
      </c>
      <c r="I35" s="311">
        <f>IFERROR(VLOOKUP($A35,'[1]MES Costing Report'!$A$2:$K$77,I$2,0),0)</f>
        <v>0</v>
      </c>
      <c r="J35" s="311">
        <f>IFERROR(VLOOKUP($A35,'[1]MES Costing Report'!$A$2:$K$77,J$2,0),0)</f>
        <v>0</v>
      </c>
      <c r="L35" s="332"/>
      <c r="M35" s="314"/>
      <c r="N35" s="315"/>
      <c r="O35" s="316"/>
      <c r="P35" s="317"/>
      <c r="Q35" s="2" t="str">
        <f t="shared" si="9"/>
        <v>3555100800675EF</v>
      </c>
      <c r="R35" s="310" t="s">
        <v>22</v>
      </c>
      <c r="S35" s="310" t="s">
        <v>14</v>
      </c>
      <c r="T35" s="310" t="s">
        <v>15</v>
      </c>
      <c r="U35" s="310" t="e">
        <f>VLOOKUP(A35,'MES Costing Report'!B$2:N$77,7,)</f>
        <v>#N/A</v>
      </c>
      <c r="V35" s="318" t="str">
        <f t="shared" si="10"/>
        <v>CRIZAL FORTE UV35</v>
      </c>
      <c r="W35" s="319">
        <f t="shared" si="3"/>
        <v>0</v>
      </c>
      <c r="X35" s="319">
        <f t="shared" si="4"/>
        <v>0</v>
      </c>
      <c r="Y35" s="312" t="str">
        <f t="shared" si="5"/>
        <v/>
      </c>
      <c r="Z35" s="319">
        <f t="shared" si="6"/>
        <v>0</v>
      </c>
    </row>
    <row r="36" spans="1:33" outlineLevel="1" x14ac:dyDescent="0.25">
      <c r="A36" s="308" t="s">
        <v>90</v>
      </c>
      <c r="B36" s="309" t="s">
        <v>17</v>
      </c>
      <c r="C36" s="310" t="s">
        <v>22</v>
      </c>
      <c r="D36" s="310" t="s">
        <v>14</v>
      </c>
      <c r="E36" s="310" t="s">
        <v>15</v>
      </c>
      <c r="F36" s="311">
        <f>IFERROR(VLOOKUP($A36,'[1]MES Costing Report'!$A$2:$K$77,F$2,0),0)</f>
        <v>754</v>
      </c>
      <c r="G36" s="311">
        <f>IFERROR(VLOOKUP($A36,'[1]MES Costing Report'!$A$2:$K$77,G$2,0),0)</f>
        <v>554</v>
      </c>
      <c r="H36" s="312">
        <f t="shared" si="0"/>
        <v>0.73474801061007955</v>
      </c>
      <c r="I36" s="311">
        <f>IFERROR(VLOOKUP($A36,'[1]MES Costing Report'!$A$2:$K$77,I$2,0),0)</f>
        <v>973</v>
      </c>
      <c r="J36" s="311">
        <f>IFERROR(VLOOKUP($A36,'[1]MES Costing Report'!$A$2:$K$77,J$2,0),0)</f>
        <v>180</v>
      </c>
      <c r="L36" s="332"/>
      <c r="M36" s="314"/>
      <c r="N36" s="315"/>
      <c r="O36" s="316"/>
      <c r="P36" s="317"/>
      <c r="Q36" s="2" t="str">
        <f t="shared" si="9"/>
        <v>3555100800719EF</v>
      </c>
      <c r="R36" s="310" t="s">
        <v>22</v>
      </c>
      <c r="S36" s="310" t="s">
        <v>14</v>
      </c>
      <c r="T36" s="310" t="s">
        <v>15</v>
      </c>
      <c r="U36" s="310">
        <f>VLOOKUP(A36,'MES Costing Report'!B$2:N$77,7,)</f>
        <v>0</v>
      </c>
      <c r="V36" s="318" t="str">
        <f t="shared" si="10"/>
        <v>SAPPHIR LAGOON</v>
      </c>
      <c r="W36" s="319">
        <f t="shared" ref="W36:W67" si="11">F36+L36</f>
        <v>754</v>
      </c>
      <c r="X36" s="319">
        <f t="shared" ref="X36:X67" si="12">G36+M36</f>
        <v>554</v>
      </c>
      <c r="Y36" s="312">
        <f t="shared" si="5"/>
        <v>0.73474801061007955</v>
      </c>
      <c r="Z36" s="319">
        <f t="shared" ref="Z36:Z67" si="13">J36+N36</f>
        <v>180</v>
      </c>
    </row>
    <row r="37" spans="1:33" outlineLevel="1" x14ac:dyDescent="0.25">
      <c r="A37" s="308" t="s">
        <v>91</v>
      </c>
      <c r="B37" s="309" t="s">
        <v>24</v>
      </c>
      <c r="C37" s="310" t="s">
        <v>22</v>
      </c>
      <c r="D37" s="310" t="s">
        <v>14</v>
      </c>
      <c r="E37" s="310" t="s">
        <v>15</v>
      </c>
      <c r="F37" s="311">
        <f>IFERROR(VLOOKUP($A37,'[1]MES Costing Report'!$A$2:$K$77,F$2,0),0)</f>
        <v>79</v>
      </c>
      <c r="G37" s="311">
        <f>IFERROR(VLOOKUP($A37,'[1]MES Costing Report'!$A$2:$K$77,G$2,0),0)</f>
        <v>54</v>
      </c>
      <c r="H37" s="312">
        <f t="shared" si="0"/>
        <v>0.68354430379746833</v>
      </c>
      <c r="I37" s="311">
        <f>IFERROR(VLOOKUP($A37,'[1]MES Costing Report'!$A$2:$K$77,I$2,0),0)</f>
        <v>157</v>
      </c>
      <c r="J37" s="311">
        <f>IFERROR(VLOOKUP($A37,'[1]MES Costing Report'!$A$2:$K$77,J$2,0),0)</f>
        <v>70</v>
      </c>
      <c r="L37" s="332"/>
      <c r="M37" s="314"/>
      <c r="N37" s="315"/>
      <c r="O37" s="316"/>
      <c r="P37" s="317"/>
      <c r="Q37" s="2" t="str">
        <f t="shared" si="9"/>
        <v>3561100650237EF</v>
      </c>
      <c r="R37" s="310" t="s">
        <v>22</v>
      </c>
      <c r="S37" s="310" t="s">
        <v>14</v>
      </c>
      <c r="T37" s="310" t="s">
        <v>15</v>
      </c>
      <c r="U37" s="310">
        <f>VLOOKUP(A37,'MES Costing Report'!B$2:N$77,7,)</f>
        <v>0</v>
      </c>
      <c r="V37" s="318" t="str">
        <f t="shared" si="10"/>
        <v>CRIZAL ALIZE</v>
      </c>
      <c r="W37" s="319">
        <f t="shared" si="11"/>
        <v>79</v>
      </c>
      <c r="X37" s="319">
        <f t="shared" si="12"/>
        <v>54</v>
      </c>
      <c r="Y37" s="312">
        <f t="shared" si="5"/>
        <v>0.68354430379746833</v>
      </c>
      <c r="Z37" s="319">
        <f t="shared" si="13"/>
        <v>70</v>
      </c>
    </row>
    <row r="38" spans="1:33" outlineLevel="1" x14ac:dyDescent="0.25">
      <c r="A38" s="308" t="s">
        <v>93</v>
      </c>
      <c r="B38" s="309" t="s">
        <v>12</v>
      </c>
      <c r="C38" s="310" t="s">
        <v>22</v>
      </c>
      <c r="D38" s="310" t="s">
        <v>14</v>
      </c>
      <c r="E38" s="310" t="s">
        <v>15</v>
      </c>
      <c r="F38" s="311">
        <f>IFERROR(VLOOKUP($A38,'[1]MES Costing Report'!$A$2:$K$77,F$2,0),0)</f>
        <v>0</v>
      </c>
      <c r="G38" s="311">
        <f>IFERROR(VLOOKUP($A38,'[1]MES Costing Report'!$A$2:$K$77,G$2,0),0)</f>
        <v>0</v>
      </c>
      <c r="H38" s="312" t="str">
        <f t="shared" si="0"/>
        <v/>
      </c>
      <c r="I38" s="311">
        <f>IFERROR(VLOOKUP($A38,'[1]MES Costing Report'!$A$2:$K$77,I$2,0),0)</f>
        <v>0</v>
      </c>
      <c r="J38" s="311">
        <f>IFERROR(VLOOKUP($A38,'[1]MES Costing Report'!$A$2:$K$77,J$2,0),0)</f>
        <v>0</v>
      </c>
      <c r="L38" s="332"/>
      <c r="M38" s="314"/>
      <c r="N38" s="315"/>
      <c r="O38" s="316"/>
      <c r="P38" s="317"/>
      <c r="Q38" s="2" t="str">
        <f t="shared" si="9"/>
        <v>3561100650675EF</v>
      </c>
      <c r="R38" s="310" t="s">
        <v>22</v>
      </c>
      <c r="S38" s="310" t="s">
        <v>14</v>
      </c>
      <c r="T38" s="310" t="s">
        <v>15</v>
      </c>
      <c r="U38" s="310">
        <f>VLOOKUP(A38,'MES Costing Report'!B$2:N$77,7,)</f>
        <v>0</v>
      </c>
      <c r="V38" s="318" t="str">
        <f t="shared" si="10"/>
        <v>CRIZAL FORTE UV35</v>
      </c>
      <c r="W38" s="319">
        <f t="shared" si="11"/>
        <v>0</v>
      </c>
      <c r="X38" s="319">
        <f t="shared" si="12"/>
        <v>0</v>
      </c>
      <c r="Y38" s="312" t="str">
        <f t="shared" si="5"/>
        <v/>
      </c>
      <c r="Z38" s="319">
        <f t="shared" si="13"/>
        <v>0</v>
      </c>
    </row>
    <row r="39" spans="1:33" outlineLevel="1" x14ac:dyDescent="0.25">
      <c r="A39" s="308" t="s">
        <v>94</v>
      </c>
      <c r="B39" s="309" t="s">
        <v>17</v>
      </c>
      <c r="C39" s="310" t="s">
        <v>22</v>
      </c>
      <c r="D39" s="310" t="s">
        <v>14</v>
      </c>
      <c r="E39" s="310" t="s">
        <v>15</v>
      </c>
      <c r="F39" s="311">
        <f>IFERROR(VLOOKUP($A39,'[1]MES Costing Report'!$A$2:$K$77,F$2,0),0)</f>
        <v>141</v>
      </c>
      <c r="G39" s="311">
        <f>IFERROR(VLOOKUP($A39,'[1]MES Costing Report'!$A$2:$K$77,G$2,0),0)</f>
        <v>108</v>
      </c>
      <c r="H39" s="312">
        <f t="shared" si="0"/>
        <v>0.76595744680851063</v>
      </c>
      <c r="I39" s="311">
        <f>IFERROR(VLOOKUP($A39,'[1]MES Costing Report'!$A$2:$K$77,I$2,0),0)</f>
        <v>270</v>
      </c>
      <c r="J39" s="311">
        <f>IFERROR(VLOOKUP($A39,'[1]MES Costing Report'!$A$2:$K$77,J$2,0),0)</f>
        <v>52</v>
      </c>
      <c r="L39" s="332"/>
      <c r="M39" s="314"/>
      <c r="N39" s="315"/>
      <c r="O39" s="316"/>
      <c r="P39" s="317"/>
      <c r="Q39" s="2" t="str">
        <f t="shared" si="9"/>
        <v>3561100650719EF</v>
      </c>
      <c r="R39" s="310" t="s">
        <v>22</v>
      </c>
      <c r="S39" s="310" t="s">
        <v>14</v>
      </c>
      <c r="T39" s="310" t="s">
        <v>15</v>
      </c>
      <c r="U39" s="310">
        <f>VLOOKUP(A39,'MES Costing Report'!B$2:N$77,7,)</f>
        <v>0</v>
      </c>
      <c r="V39" s="318" t="str">
        <f t="shared" si="10"/>
        <v>SAPPHIR LAGOON</v>
      </c>
      <c r="W39" s="319">
        <f t="shared" si="11"/>
        <v>141</v>
      </c>
      <c r="X39" s="319">
        <f t="shared" si="12"/>
        <v>108</v>
      </c>
      <c r="Y39" s="312">
        <f t="shared" si="5"/>
        <v>0.76595744680851063</v>
      </c>
      <c r="Z39" s="319">
        <f t="shared" si="13"/>
        <v>52</v>
      </c>
    </row>
    <row r="40" spans="1:33" outlineLevel="1" x14ac:dyDescent="0.25">
      <c r="A40" s="308" t="s">
        <v>96</v>
      </c>
      <c r="B40" s="309" t="s">
        <v>24</v>
      </c>
      <c r="C40" s="310" t="s">
        <v>22</v>
      </c>
      <c r="D40" s="310" t="s">
        <v>14</v>
      </c>
      <c r="E40" s="310" t="s">
        <v>15</v>
      </c>
      <c r="F40" s="311">
        <f>IFERROR(VLOOKUP($A40,'[1]MES Costing Report'!$A$2:$K$77,F$2,0),0)</f>
        <v>36</v>
      </c>
      <c r="G40" s="311">
        <f>IFERROR(VLOOKUP($A40,'[1]MES Costing Report'!$A$2:$K$77,G$2,0),0)</f>
        <v>15</v>
      </c>
      <c r="H40" s="312">
        <f t="shared" si="0"/>
        <v>0.41666666666666669</v>
      </c>
      <c r="I40" s="311">
        <f>IFERROR(VLOOKUP($A40,'[1]MES Costing Report'!$A$2:$K$77,I$2,0),0)</f>
        <v>36</v>
      </c>
      <c r="J40" s="311">
        <f>IFERROR(VLOOKUP($A40,'[1]MES Costing Report'!$A$2:$K$77,J$2,0),0)</f>
        <v>14</v>
      </c>
      <c r="L40" s="332"/>
      <c r="M40" s="314"/>
      <c r="N40" s="322"/>
      <c r="O40" s="316"/>
      <c r="P40" s="317"/>
      <c r="Q40" s="2" t="str">
        <f t="shared" si="9"/>
        <v>3561100700237EF</v>
      </c>
      <c r="R40" s="310" t="s">
        <v>22</v>
      </c>
      <c r="S40" s="310" t="s">
        <v>14</v>
      </c>
      <c r="T40" s="310" t="s">
        <v>15</v>
      </c>
      <c r="U40" s="310">
        <f>VLOOKUP(A40,'MES Costing Report'!B$2:N$77,7,)</f>
        <v>0</v>
      </c>
      <c r="V40" s="318" t="str">
        <f t="shared" si="10"/>
        <v>CRIZAL ALIZE</v>
      </c>
      <c r="W40" s="319">
        <f t="shared" si="11"/>
        <v>36</v>
      </c>
      <c r="X40" s="319">
        <f t="shared" si="12"/>
        <v>15</v>
      </c>
      <c r="Y40" s="312">
        <f t="shared" si="5"/>
        <v>0.41666666666666669</v>
      </c>
      <c r="Z40" s="319">
        <f t="shared" si="13"/>
        <v>14</v>
      </c>
    </row>
    <row r="41" spans="1:33" outlineLevel="1" x14ac:dyDescent="0.25">
      <c r="A41" s="308" t="s">
        <v>98</v>
      </c>
      <c r="B41" s="309" t="s">
        <v>12</v>
      </c>
      <c r="C41" s="310" t="s">
        <v>22</v>
      </c>
      <c r="D41" s="310" t="s">
        <v>14</v>
      </c>
      <c r="E41" s="310" t="s">
        <v>15</v>
      </c>
      <c r="F41" s="311">
        <f>IFERROR(VLOOKUP($A41,'[1]MES Costing Report'!$A$2:$K$77,F$2,0),0)</f>
        <v>0</v>
      </c>
      <c r="G41" s="311">
        <f>IFERROR(VLOOKUP($A41,'[1]MES Costing Report'!$A$2:$K$77,G$2,0),0)</f>
        <v>0</v>
      </c>
      <c r="H41" s="312" t="str">
        <f t="shared" si="0"/>
        <v/>
      </c>
      <c r="I41" s="311">
        <f>IFERROR(VLOOKUP($A41,'[1]MES Costing Report'!$A$2:$K$77,I$2,0),0)</f>
        <v>0</v>
      </c>
      <c r="J41" s="311">
        <f>IFERROR(VLOOKUP($A41,'[1]MES Costing Report'!$A$2:$K$77,J$2,0),0)</f>
        <v>0</v>
      </c>
      <c r="L41" s="313"/>
      <c r="M41" s="314"/>
      <c r="N41" s="322"/>
      <c r="O41" s="316"/>
      <c r="P41" s="317"/>
      <c r="Q41" s="2" t="str">
        <f t="shared" si="9"/>
        <v>3561100700675EF</v>
      </c>
      <c r="R41" s="310" t="s">
        <v>22</v>
      </c>
      <c r="S41" s="310" t="s">
        <v>14</v>
      </c>
      <c r="T41" s="310" t="s">
        <v>15</v>
      </c>
      <c r="U41" s="310">
        <f>VLOOKUP(A41,'MES Costing Report'!B$2:N$77,7,)</f>
        <v>0</v>
      </c>
      <c r="V41" s="318" t="str">
        <f t="shared" si="10"/>
        <v>CRIZAL FORTE UV35</v>
      </c>
      <c r="W41" s="319">
        <f t="shared" si="11"/>
        <v>0</v>
      </c>
      <c r="X41" s="319">
        <f t="shared" si="12"/>
        <v>0</v>
      </c>
      <c r="Y41" s="312" t="str">
        <f t="shared" si="5"/>
        <v/>
      </c>
      <c r="Z41" s="319">
        <f t="shared" si="13"/>
        <v>0</v>
      </c>
    </row>
    <row r="42" spans="1:33" outlineLevel="1" x14ac:dyDescent="0.25">
      <c r="A42" s="308" t="s">
        <v>99</v>
      </c>
      <c r="B42" s="309" t="s">
        <v>17</v>
      </c>
      <c r="C42" s="310" t="s">
        <v>22</v>
      </c>
      <c r="D42" s="310" t="s">
        <v>14</v>
      </c>
      <c r="E42" s="310" t="s">
        <v>15</v>
      </c>
      <c r="F42" s="311">
        <f>IFERROR(VLOOKUP($A42,'[1]MES Costing Report'!$A$2:$K$77,F$2,0),0)</f>
        <v>219</v>
      </c>
      <c r="G42" s="311">
        <f>IFERROR(VLOOKUP($A42,'[1]MES Costing Report'!$A$2:$K$77,G$2,0),0)</f>
        <v>152</v>
      </c>
      <c r="H42" s="312">
        <f t="shared" si="0"/>
        <v>0.69406392694063923</v>
      </c>
      <c r="I42" s="311">
        <f>IFERROR(VLOOKUP($A42,'[1]MES Costing Report'!$A$2:$K$77,I$2,0),0)</f>
        <v>231</v>
      </c>
      <c r="J42" s="311">
        <f>IFERROR(VLOOKUP($A42,'[1]MES Costing Report'!$A$2:$K$77,J$2,0),0)</f>
        <v>15</v>
      </c>
      <c r="L42" s="313"/>
      <c r="M42" s="314"/>
      <c r="N42" s="322"/>
      <c r="O42" s="316"/>
      <c r="P42" s="317"/>
      <c r="Q42" s="2" t="str">
        <f t="shared" si="9"/>
        <v>3561100700719EF</v>
      </c>
      <c r="R42" s="310" t="s">
        <v>22</v>
      </c>
      <c r="S42" s="310" t="s">
        <v>14</v>
      </c>
      <c r="T42" s="310" t="s">
        <v>15</v>
      </c>
      <c r="U42" s="310">
        <f>VLOOKUP(A42,'MES Costing Report'!B$2:N$77,7,)</f>
        <v>0</v>
      </c>
      <c r="V42" s="318" t="str">
        <f t="shared" si="10"/>
        <v>SAPPHIR LAGOON</v>
      </c>
      <c r="W42" s="319">
        <f t="shared" si="11"/>
        <v>219</v>
      </c>
      <c r="X42" s="319">
        <f t="shared" si="12"/>
        <v>152</v>
      </c>
      <c r="Y42" s="312">
        <f t="shared" si="5"/>
        <v>0.69406392694063923</v>
      </c>
      <c r="Z42" s="319">
        <f t="shared" si="13"/>
        <v>15</v>
      </c>
    </row>
    <row r="43" spans="1:33" outlineLevel="1" x14ac:dyDescent="0.25">
      <c r="A43" s="323" t="s">
        <v>21</v>
      </c>
      <c r="B43" s="324" t="s">
        <v>19</v>
      </c>
      <c r="C43" s="325" t="s">
        <v>22</v>
      </c>
      <c r="D43" s="325" t="s">
        <v>32</v>
      </c>
      <c r="E43" s="325" t="s">
        <v>15</v>
      </c>
      <c r="F43" s="311">
        <f>IFERROR(VLOOKUP($A43,'[1]MES Costing Report'!$A$2:$K$77,F$2,0),0)</f>
        <v>478</v>
      </c>
      <c r="G43" s="311">
        <f>IFERROR(VLOOKUP($A43,'[1]MES Costing Report'!$A$2:$K$77,G$2,0),0)</f>
        <v>478</v>
      </c>
      <c r="H43" s="312">
        <f t="shared" si="0"/>
        <v>1</v>
      </c>
      <c r="I43" s="311">
        <f>IFERROR(VLOOKUP($A43,'[1]MES Costing Report'!$A$2:$K$77,I$2,0),0)</f>
        <v>0</v>
      </c>
      <c r="J43" s="311">
        <f>IFERROR(VLOOKUP($A43,'[1]MES Costing Report'!$A$2:$K$77,J$2,0),0)</f>
        <v>43</v>
      </c>
      <c r="L43" s="326">
        <f>-F43</f>
        <v>-478</v>
      </c>
      <c r="M43" s="327">
        <f>(-G43)+0</f>
        <v>-478</v>
      </c>
      <c r="N43" s="328">
        <f>-J43</f>
        <v>-43</v>
      </c>
      <c r="O43" s="316" t="s">
        <v>375</v>
      </c>
      <c r="P43" s="317"/>
      <c r="Q43" s="2" t="str">
        <f t="shared" si="9"/>
        <v>356110075000000</v>
      </c>
      <c r="R43" s="325" t="s">
        <v>22</v>
      </c>
      <c r="S43" s="325" t="s">
        <v>32</v>
      </c>
      <c r="T43" s="325" t="s">
        <v>15</v>
      </c>
      <c r="U43" s="310">
        <f>VLOOKUP(A43,'MES Costing Report'!B$2:N$77,7,)</f>
        <v>0</v>
      </c>
      <c r="V43" s="318" t="str">
        <f t="shared" si="10"/>
        <v>SPH NU</v>
      </c>
      <c r="W43" s="319">
        <f t="shared" si="11"/>
        <v>0</v>
      </c>
      <c r="X43" s="319">
        <f t="shared" si="12"/>
        <v>0</v>
      </c>
      <c r="Y43" s="312" t="str">
        <f t="shared" si="5"/>
        <v/>
      </c>
      <c r="Z43" s="319">
        <f t="shared" si="13"/>
        <v>0</v>
      </c>
    </row>
    <row r="44" spans="1:33" outlineLevel="1" x14ac:dyDescent="0.25">
      <c r="A44" s="308" t="s">
        <v>101</v>
      </c>
      <c r="B44" s="309" t="s">
        <v>24</v>
      </c>
      <c r="C44" s="310" t="s">
        <v>22</v>
      </c>
      <c r="D44" s="310" t="s">
        <v>14</v>
      </c>
      <c r="E44" s="310" t="s">
        <v>15</v>
      </c>
      <c r="F44" s="311">
        <f>IFERROR(VLOOKUP($A44,'[1]MES Costing Report'!$A$2:$K$77,F$2,0),0)</f>
        <v>534</v>
      </c>
      <c r="G44" s="311">
        <f>IFERROR(VLOOKUP($A44,'[1]MES Costing Report'!$A$2:$K$77,G$2,0),0)</f>
        <v>424</v>
      </c>
      <c r="H44" s="312">
        <f t="shared" si="0"/>
        <v>0.79400749063670417</v>
      </c>
      <c r="I44" s="311">
        <f>IFERROR(VLOOKUP($A44,'[1]MES Costing Report'!$A$2:$K$77,I$2,0),0)</f>
        <v>822</v>
      </c>
      <c r="J44" s="311">
        <f>IFERROR(VLOOKUP($A44,'[1]MES Costing Report'!$A$2:$K$77,J$2,0),0)</f>
        <v>272</v>
      </c>
      <c r="L44" s="314"/>
      <c r="M44" s="314"/>
      <c r="N44" s="322"/>
      <c r="O44" s="316"/>
      <c r="P44" s="317"/>
      <c r="Q44" s="2" t="str">
        <f t="shared" si="9"/>
        <v>3561100750237EF</v>
      </c>
      <c r="R44" s="310" t="s">
        <v>22</v>
      </c>
      <c r="S44" s="310" t="s">
        <v>14</v>
      </c>
      <c r="T44" s="310" t="s">
        <v>15</v>
      </c>
      <c r="U44" s="310">
        <f>VLOOKUP(A44,'MES Costing Report'!B$2:N$77,7,)</f>
        <v>0</v>
      </c>
      <c r="V44" s="318" t="str">
        <f t="shared" si="10"/>
        <v>CRIZAL ALIZE</v>
      </c>
      <c r="W44" s="319">
        <f t="shared" si="11"/>
        <v>534</v>
      </c>
      <c r="X44" s="319">
        <f t="shared" si="12"/>
        <v>424</v>
      </c>
      <c r="Y44" s="312">
        <f t="shared" si="5"/>
        <v>0.79400749063670417</v>
      </c>
      <c r="Z44" s="319">
        <f t="shared" si="13"/>
        <v>272</v>
      </c>
    </row>
    <row r="45" spans="1:33" outlineLevel="1" x14ac:dyDescent="0.25">
      <c r="A45" s="308" t="s">
        <v>103</v>
      </c>
      <c r="B45" s="309" t="s">
        <v>12</v>
      </c>
      <c r="C45" s="310" t="s">
        <v>22</v>
      </c>
      <c r="D45" s="310" t="s">
        <v>14</v>
      </c>
      <c r="E45" s="310" t="s">
        <v>15</v>
      </c>
      <c r="F45" s="311">
        <f>IFERROR(VLOOKUP($A45,'[1]MES Costing Report'!$A$2:$K$77,F$2,0),0)</f>
        <v>15</v>
      </c>
      <c r="G45" s="311">
        <f>IFERROR(VLOOKUP($A45,'[1]MES Costing Report'!$A$2:$K$77,G$2,0),0)</f>
        <v>0</v>
      </c>
      <c r="H45" s="312">
        <f t="shared" si="0"/>
        <v>0</v>
      </c>
      <c r="I45" s="311">
        <f>IFERROR(VLOOKUP($A45,'[1]MES Costing Report'!$A$2:$K$77,I$2,0),0)</f>
        <v>0</v>
      </c>
      <c r="J45" s="311">
        <f>IFERROR(VLOOKUP($A45,'[1]MES Costing Report'!$A$2:$K$77,J$2,0),0)</f>
        <v>0</v>
      </c>
      <c r="L45" s="314"/>
      <c r="M45" s="314"/>
      <c r="N45" s="322"/>
      <c r="O45" s="316"/>
      <c r="P45" s="317"/>
      <c r="Q45" s="2" t="str">
        <f t="shared" si="9"/>
        <v>3561100750675EF</v>
      </c>
      <c r="R45" s="310" t="s">
        <v>22</v>
      </c>
      <c r="S45" s="310" t="s">
        <v>14</v>
      </c>
      <c r="T45" s="310" t="s">
        <v>15</v>
      </c>
      <c r="U45" s="310">
        <f>VLOOKUP(A45,'MES Costing Report'!B$2:N$77,7,)</f>
        <v>0</v>
      </c>
      <c r="V45" s="318" t="str">
        <f t="shared" si="10"/>
        <v>CRIZAL FORTE UV35</v>
      </c>
      <c r="W45" s="319">
        <f t="shared" si="11"/>
        <v>15</v>
      </c>
      <c r="X45" s="319">
        <f t="shared" si="12"/>
        <v>0</v>
      </c>
      <c r="Y45" s="312">
        <f t="shared" si="5"/>
        <v>0</v>
      </c>
      <c r="Z45" s="319">
        <f t="shared" si="13"/>
        <v>0</v>
      </c>
    </row>
    <row r="46" spans="1:33" outlineLevel="1" x14ac:dyDescent="0.25">
      <c r="A46" s="308" t="s">
        <v>104</v>
      </c>
      <c r="B46" s="309" t="s">
        <v>17</v>
      </c>
      <c r="C46" s="310" t="s">
        <v>22</v>
      </c>
      <c r="D46" s="310" t="s">
        <v>14</v>
      </c>
      <c r="E46" s="310" t="s">
        <v>15</v>
      </c>
      <c r="F46" s="311">
        <f>IFERROR(VLOOKUP($A46,'[1]MES Costing Report'!$A$2:$K$77,F$2,0),0)</f>
        <v>691</v>
      </c>
      <c r="G46" s="311">
        <f>IFERROR(VLOOKUP($A46,'[1]MES Costing Report'!$A$2:$K$77,G$2,0),0)</f>
        <v>533</v>
      </c>
      <c r="H46" s="312">
        <f t="shared" si="0"/>
        <v>0.77134587554269174</v>
      </c>
      <c r="I46" s="311">
        <f>IFERROR(VLOOKUP($A46,'[1]MES Costing Report'!$A$2:$K$77,I$2,0),0)</f>
        <v>1075</v>
      </c>
      <c r="J46" s="311">
        <f>IFERROR(VLOOKUP($A46,'[1]MES Costing Report'!$A$2:$K$77,J$2,0),0)</f>
        <v>381</v>
      </c>
      <c r="L46" s="313"/>
      <c r="M46" s="314"/>
      <c r="N46" s="322"/>
      <c r="O46" s="316"/>
      <c r="P46" s="317"/>
      <c r="Q46" s="2" t="str">
        <f t="shared" si="9"/>
        <v>3561100750719EF</v>
      </c>
      <c r="R46" s="310" t="s">
        <v>22</v>
      </c>
      <c r="S46" s="310" t="s">
        <v>14</v>
      </c>
      <c r="T46" s="310" t="s">
        <v>15</v>
      </c>
      <c r="U46" s="310">
        <f>VLOOKUP(A46,'MES Costing Report'!B$2:N$77,7,)</f>
        <v>0</v>
      </c>
      <c r="V46" s="318" t="str">
        <f t="shared" si="10"/>
        <v>SAPPHIR LAGOON</v>
      </c>
      <c r="W46" s="319">
        <f t="shared" si="11"/>
        <v>691</v>
      </c>
      <c r="X46" s="319">
        <f t="shared" si="12"/>
        <v>533</v>
      </c>
      <c r="Y46" s="312">
        <f t="shared" si="5"/>
        <v>0.77134587554269174</v>
      </c>
      <c r="Z46" s="319">
        <f t="shared" si="13"/>
        <v>381</v>
      </c>
      <c r="AG46" s="13">
        <f>4013-3730</f>
        <v>283</v>
      </c>
    </row>
    <row r="47" spans="1:33" outlineLevel="1" x14ac:dyDescent="0.25">
      <c r="A47" s="308" t="s">
        <v>92</v>
      </c>
      <c r="B47" s="320" t="s">
        <v>361</v>
      </c>
      <c r="C47" s="333" t="s">
        <v>22</v>
      </c>
      <c r="D47" s="333" t="s">
        <v>14</v>
      </c>
      <c r="E47" s="333" t="s">
        <v>15</v>
      </c>
      <c r="F47" s="311">
        <f>IFERROR(VLOOKUP($A47,'[1]MES Costing Report'!$A$2:$K$77,F$2,0),0)</f>
        <v>35</v>
      </c>
      <c r="G47" s="311">
        <f>IFERROR(VLOOKUP($A47,'[1]MES Costing Report'!$A$2:$K$77,G$2,0),0)</f>
        <v>29</v>
      </c>
      <c r="H47" s="334">
        <f t="shared" si="0"/>
        <v>0.82857142857142863</v>
      </c>
      <c r="I47" s="311">
        <f>IFERROR(VLOOKUP($A47,'[1]MES Costing Report'!$A$2:$K$77,I$2,0),0)</f>
        <v>38</v>
      </c>
      <c r="J47" s="311">
        <f>IFERROR(VLOOKUP($A47,'[1]MES Costing Report'!$A$2:$K$77,J$2,0),0)</f>
        <v>10</v>
      </c>
      <c r="L47" s="335"/>
      <c r="M47" s="314"/>
      <c r="N47" s="336"/>
      <c r="O47" s="337"/>
      <c r="P47" s="317"/>
      <c r="Q47" s="2" t="str">
        <f t="shared" si="9"/>
        <v>3561100650640EF</v>
      </c>
      <c r="R47" s="333" t="s">
        <v>22</v>
      </c>
      <c r="S47" s="333" t="s">
        <v>14</v>
      </c>
      <c r="T47" s="333" t="s">
        <v>15</v>
      </c>
      <c r="U47" s="310" t="str">
        <f>VLOOKUP(A47,'MES Costing Report'!B$2:N$77,7,)</f>
        <v>TITANIUM</v>
      </c>
      <c r="V47" s="318" t="str">
        <f t="shared" si="10"/>
        <v>ROCK GREEN</v>
      </c>
      <c r="W47" s="319">
        <f t="shared" si="11"/>
        <v>35</v>
      </c>
      <c r="X47" s="319">
        <f t="shared" si="12"/>
        <v>29</v>
      </c>
      <c r="Y47" s="312">
        <f t="shared" si="5"/>
        <v>0.82857142857142863</v>
      </c>
      <c r="Z47" s="319">
        <f t="shared" si="13"/>
        <v>10</v>
      </c>
    </row>
    <row r="48" spans="1:33" outlineLevel="1" x14ac:dyDescent="0.25">
      <c r="A48" s="308" t="s">
        <v>97</v>
      </c>
      <c r="B48" s="320" t="s">
        <v>361</v>
      </c>
      <c r="C48" s="333" t="s">
        <v>22</v>
      </c>
      <c r="D48" s="333" t="s">
        <v>14</v>
      </c>
      <c r="E48" s="333" t="s">
        <v>15</v>
      </c>
      <c r="F48" s="311">
        <f>IFERROR(VLOOKUP($A48,'[1]MES Costing Report'!$A$2:$K$77,F$2,0),0)</f>
        <v>331</v>
      </c>
      <c r="G48" s="311">
        <f>IFERROR(VLOOKUP($A48,'[1]MES Costing Report'!$A$2:$K$77,G$2,0),0)</f>
        <v>207</v>
      </c>
      <c r="H48" s="334">
        <f t="shared" si="0"/>
        <v>0.62537764350453173</v>
      </c>
      <c r="I48" s="311">
        <f>IFERROR(VLOOKUP($A48,'[1]MES Costing Report'!$A$2:$K$77,I$2,0),0)</f>
        <v>356</v>
      </c>
      <c r="J48" s="311">
        <f>IFERROR(VLOOKUP($A48,'[1]MES Costing Report'!$A$2:$K$77,J$2,0),0)</f>
        <v>101</v>
      </c>
      <c r="L48" s="335"/>
      <c r="M48" s="314"/>
      <c r="N48" s="336"/>
      <c r="O48" s="337"/>
      <c r="P48" s="317"/>
      <c r="Q48" s="2" t="str">
        <f t="shared" si="9"/>
        <v>3561100700640EF</v>
      </c>
      <c r="R48" s="333" t="s">
        <v>22</v>
      </c>
      <c r="S48" s="333" t="s">
        <v>14</v>
      </c>
      <c r="T48" s="333" t="s">
        <v>15</v>
      </c>
      <c r="U48" s="310" t="str">
        <f>VLOOKUP(A48,'MES Costing Report'!B$2:N$77,7,)</f>
        <v>TITANIUM</v>
      </c>
      <c r="V48" s="318" t="str">
        <f t="shared" si="10"/>
        <v>ROCK GREEN</v>
      </c>
      <c r="W48" s="319">
        <f t="shared" si="11"/>
        <v>331</v>
      </c>
      <c r="X48" s="319">
        <f t="shared" si="12"/>
        <v>207</v>
      </c>
      <c r="Y48" s="312">
        <f t="shared" si="5"/>
        <v>0.62537764350453173</v>
      </c>
      <c r="Z48" s="319">
        <f t="shared" si="13"/>
        <v>101</v>
      </c>
    </row>
    <row r="49" spans="1:35" ht="18" customHeight="1" outlineLevel="1" x14ac:dyDescent="0.25">
      <c r="A49" s="308" t="s">
        <v>102</v>
      </c>
      <c r="B49" s="320" t="s">
        <v>361</v>
      </c>
      <c r="C49" s="333" t="s">
        <v>22</v>
      </c>
      <c r="D49" s="333" t="s">
        <v>14</v>
      </c>
      <c r="E49" s="333" t="s">
        <v>15</v>
      </c>
      <c r="F49" s="311">
        <f>IFERROR(VLOOKUP($A49,'[1]MES Costing Report'!$A$2:$K$77,F$2,0),0)</f>
        <v>1436</v>
      </c>
      <c r="G49" s="311">
        <f>IFERROR(VLOOKUP($A49,'[1]MES Costing Report'!$A$2:$K$77,G$2,0),0)</f>
        <v>1171</v>
      </c>
      <c r="H49" s="334">
        <f t="shared" si="0"/>
        <v>0.81545961002785516</v>
      </c>
      <c r="I49" s="311">
        <f>IFERROR(VLOOKUP($A49,'[1]MES Costing Report'!$A$2:$K$77,I$2,0),0)</f>
        <v>2084</v>
      </c>
      <c r="J49" s="311">
        <f>IFERROR(VLOOKUP($A49,'[1]MES Costing Report'!$A$2:$K$77,J$2,0),0)</f>
        <v>663</v>
      </c>
      <c r="L49" s="335"/>
      <c r="M49" s="314"/>
      <c r="N49" s="336"/>
      <c r="O49" s="337"/>
      <c r="P49" s="317"/>
      <c r="Q49" s="2" t="str">
        <f t="shared" si="9"/>
        <v>3561100750640EF</v>
      </c>
      <c r="R49" s="333" t="s">
        <v>22</v>
      </c>
      <c r="S49" s="333" t="s">
        <v>14</v>
      </c>
      <c r="T49" s="333" t="s">
        <v>15</v>
      </c>
      <c r="U49" s="310" t="str">
        <f>VLOOKUP(A49,'MES Costing Report'!B$2:N$77,7,)</f>
        <v>TITANIUM</v>
      </c>
      <c r="V49" s="318" t="str">
        <f t="shared" si="10"/>
        <v>ROCK GREEN</v>
      </c>
      <c r="W49" s="319">
        <f t="shared" si="11"/>
        <v>1436</v>
      </c>
      <c r="X49" s="319">
        <f t="shared" si="12"/>
        <v>1171</v>
      </c>
      <c r="Y49" s="312">
        <f t="shared" si="5"/>
        <v>0.81545961002785516</v>
      </c>
      <c r="Z49" s="319">
        <f t="shared" si="13"/>
        <v>663</v>
      </c>
      <c r="AI49" s="13">
        <f>AI47+AI48</f>
        <v>0</v>
      </c>
    </row>
    <row r="50" spans="1:35" ht="18" customHeight="1" outlineLevel="1" x14ac:dyDescent="0.25">
      <c r="A50" s="269" t="s">
        <v>95</v>
      </c>
      <c r="B50" s="269" t="s">
        <v>31</v>
      </c>
      <c r="C50" s="320" t="s">
        <v>22</v>
      </c>
      <c r="D50" s="320" t="s">
        <v>14</v>
      </c>
      <c r="E50" s="320" t="s">
        <v>15</v>
      </c>
      <c r="F50" s="311">
        <f>IFERROR(VLOOKUP($A50,'[1]MES Costing Report'!$A$2:$K$77,F$2,0),0)</f>
        <v>331</v>
      </c>
      <c r="G50" s="311">
        <f>IFERROR(VLOOKUP($A50,'[1]MES Costing Report'!$A$2:$K$77,G$2,0),0)</f>
        <v>255</v>
      </c>
      <c r="H50" s="334">
        <f t="shared" si="0"/>
        <v>0.77039274924471302</v>
      </c>
      <c r="I50" s="311">
        <f>IFERROR(VLOOKUP($A50,'[1]MES Costing Report'!$A$2:$K$77,I$2,0),0)</f>
        <v>1984</v>
      </c>
      <c r="J50" s="311">
        <f>IFERROR(VLOOKUP($A50,'[1]MES Costing Report'!$A$2:$K$77,J$2,0),0)</f>
        <v>316</v>
      </c>
      <c r="L50" s="335"/>
      <c r="M50" s="314">
        <v>2</v>
      </c>
      <c r="N50" s="336"/>
      <c r="O50" s="337"/>
      <c r="P50" s="317"/>
      <c r="Q50" s="269" t="s">
        <v>95</v>
      </c>
      <c r="R50" s="320" t="s">
        <v>22</v>
      </c>
      <c r="S50" s="320" t="s">
        <v>14</v>
      </c>
      <c r="T50" s="320" t="s">
        <v>15</v>
      </c>
      <c r="U50" s="310" t="str">
        <f>VLOOKUP(A50,'MES Costing Report'!B$2:N$77,7,)</f>
        <v>TITANIUM</v>
      </c>
      <c r="V50" s="269" t="s">
        <v>31</v>
      </c>
      <c r="W50" s="319">
        <f t="shared" si="11"/>
        <v>331</v>
      </c>
      <c r="X50" s="319">
        <f t="shared" si="12"/>
        <v>257</v>
      </c>
      <c r="Y50" s="312">
        <f t="shared" si="5"/>
        <v>0.77643504531722052</v>
      </c>
      <c r="Z50" s="319">
        <f t="shared" si="13"/>
        <v>316</v>
      </c>
    </row>
    <row r="51" spans="1:35" ht="18" customHeight="1" outlineLevel="1" x14ac:dyDescent="0.25">
      <c r="A51" s="269" t="s">
        <v>100</v>
      </c>
      <c r="B51" s="269" t="s">
        <v>377</v>
      </c>
      <c r="C51" s="320" t="s">
        <v>22</v>
      </c>
      <c r="D51" s="320" t="s">
        <v>14</v>
      </c>
      <c r="E51" s="320" t="s">
        <v>15</v>
      </c>
      <c r="F51" s="311">
        <f>IFERROR(VLOOKUP($A51,'[1]MES Costing Report'!$A$2:$K$77,F$2,0),0)</f>
        <v>785</v>
      </c>
      <c r="G51" s="311">
        <f>IFERROR(VLOOKUP($A51,'[1]MES Costing Report'!$A$2:$K$77,G$2,0),0)</f>
        <v>563</v>
      </c>
      <c r="H51" s="334">
        <f t="shared" si="0"/>
        <v>0.71719745222929931</v>
      </c>
      <c r="I51" s="311">
        <f>IFERROR(VLOOKUP($A51,'[1]MES Costing Report'!$A$2:$K$77,I$2,0),0)</f>
        <v>961</v>
      </c>
      <c r="J51" s="311">
        <f>IFERROR(VLOOKUP($A51,'[1]MES Costing Report'!$A$2:$K$77,J$2,0),0)</f>
        <v>68</v>
      </c>
      <c r="L51" s="335"/>
      <c r="M51" s="314">
        <v>5</v>
      </c>
      <c r="N51" s="336"/>
      <c r="O51" s="337"/>
      <c r="P51" s="317"/>
      <c r="Q51" s="269" t="s">
        <v>100</v>
      </c>
      <c r="R51" s="320" t="s">
        <v>22</v>
      </c>
      <c r="S51" s="320" t="s">
        <v>14</v>
      </c>
      <c r="T51" s="320" t="s">
        <v>15</v>
      </c>
      <c r="U51" s="310" t="str">
        <f>VLOOKUP(A51,'MES Costing Report'!B$2:N$77,7,)</f>
        <v>TITANIUM</v>
      </c>
      <c r="V51" s="269" t="s">
        <v>377</v>
      </c>
      <c r="W51" s="319">
        <f t="shared" si="11"/>
        <v>785</v>
      </c>
      <c r="X51" s="319">
        <f t="shared" si="12"/>
        <v>568</v>
      </c>
      <c r="Y51" s="312">
        <f t="shared" si="5"/>
        <v>0.72356687898089167</v>
      </c>
      <c r="Z51" s="319">
        <f t="shared" si="13"/>
        <v>68</v>
      </c>
    </row>
    <row r="52" spans="1:35" ht="18" customHeight="1" outlineLevel="1" x14ac:dyDescent="0.25">
      <c r="A52" s="269" t="s">
        <v>105</v>
      </c>
      <c r="B52" s="269" t="s">
        <v>374</v>
      </c>
      <c r="C52" s="320" t="s">
        <v>22</v>
      </c>
      <c r="D52" s="320" t="s">
        <v>14</v>
      </c>
      <c r="E52" s="320" t="s">
        <v>15</v>
      </c>
      <c r="F52" s="311">
        <f>IFERROR(VLOOKUP($A52,'[1]MES Costing Report'!$A$2:$K$77,F$2,0),0)</f>
        <v>3844</v>
      </c>
      <c r="G52" s="311">
        <f>IFERROR(VLOOKUP($A52,'[1]MES Costing Report'!$A$2:$K$77,G$2,0),0)</f>
        <v>3106</v>
      </c>
      <c r="H52" s="334">
        <f t="shared" si="0"/>
        <v>0.80801248699271588</v>
      </c>
      <c r="I52" s="311">
        <f>IFERROR(VLOOKUP($A52,'[1]MES Costing Report'!$A$2:$K$77,I$2,0),0)</f>
        <v>5051</v>
      </c>
      <c r="J52" s="311">
        <f>IFERROR(VLOOKUP($A52,'[1]MES Costing Report'!$A$2:$K$77,J$2,0),0)</f>
        <v>416</v>
      </c>
      <c r="L52" s="335"/>
      <c r="M52" s="314">
        <v>1</v>
      </c>
      <c r="N52" s="336"/>
      <c r="O52" s="337"/>
      <c r="P52" s="317"/>
      <c r="Q52" s="269" t="s">
        <v>105</v>
      </c>
      <c r="R52" s="320" t="s">
        <v>22</v>
      </c>
      <c r="S52" s="320" t="s">
        <v>14</v>
      </c>
      <c r="T52" s="320" t="s">
        <v>15</v>
      </c>
      <c r="U52" s="310" t="str">
        <f>VLOOKUP(A52,'MES Costing Report'!B$2:N$77,7,)</f>
        <v>TITANIUM</v>
      </c>
      <c r="V52" s="269" t="s">
        <v>374</v>
      </c>
      <c r="W52" s="319">
        <f t="shared" si="11"/>
        <v>3844</v>
      </c>
      <c r="X52" s="319">
        <f t="shared" si="12"/>
        <v>3107</v>
      </c>
      <c r="Y52" s="312">
        <f t="shared" si="5"/>
        <v>0.80827263267429761</v>
      </c>
      <c r="Z52" s="319">
        <f t="shared" si="13"/>
        <v>416</v>
      </c>
    </row>
    <row r="53" spans="1:35" outlineLevel="1" x14ac:dyDescent="0.25">
      <c r="A53" s="308" t="s">
        <v>55</v>
      </c>
      <c r="B53" s="309" t="s">
        <v>378</v>
      </c>
      <c r="C53" s="338" t="s">
        <v>13</v>
      </c>
      <c r="D53" s="338" t="s">
        <v>14</v>
      </c>
      <c r="E53" s="338" t="s">
        <v>15</v>
      </c>
      <c r="F53" s="311">
        <f>IFERROR(VLOOKUP($A53,'[1]MES Costing Report'!$A$2:$K$77,F$2,0),0)</f>
        <v>1670</v>
      </c>
      <c r="G53" s="311">
        <f>IFERROR(VLOOKUP($A53,'[1]MES Costing Report'!$A$2:$K$77,G$2,0),0)</f>
        <v>1436</v>
      </c>
      <c r="H53" s="312">
        <f t="shared" si="0"/>
        <v>0.85988023952095805</v>
      </c>
      <c r="I53" s="311">
        <f>IFERROR(VLOOKUP($A53,'[1]MES Costing Report'!$A$2:$K$77,I$2,0),0)</f>
        <v>2860</v>
      </c>
      <c r="J53" s="311">
        <f>IFERROR(VLOOKUP($A53,'[1]MES Costing Report'!$A$2:$K$77,J$2,0),0)</f>
        <v>793</v>
      </c>
      <c r="L53" s="339"/>
      <c r="M53" s="314">
        <v>4</v>
      </c>
      <c r="N53" s="322"/>
      <c r="O53" s="340"/>
      <c r="P53" s="317"/>
      <c r="Q53" s="2" t="str">
        <f>A53</f>
        <v>3T24100650667EF</v>
      </c>
      <c r="R53" s="338" t="s">
        <v>13</v>
      </c>
      <c r="S53" s="338" t="s">
        <v>14</v>
      </c>
      <c r="T53" s="338" t="s">
        <v>15</v>
      </c>
      <c r="U53" s="310" t="str">
        <f>VLOOKUP(A53,'MES Costing Report'!B$2:N$77,7,)</f>
        <v>BCT NEX GEN</v>
      </c>
      <c r="V53" s="318" t="str">
        <f>B53</f>
        <v>BCT Alizée</v>
      </c>
      <c r="W53" s="319">
        <f t="shared" si="11"/>
        <v>1670</v>
      </c>
      <c r="X53" s="319">
        <f t="shared" si="12"/>
        <v>1440</v>
      </c>
      <c r="Y53" s="312">
        <f t="shared" si="5"/>
        <v>0.86227544910179643</v>
      </c>
      <c r="Z53" s="319">
        <f t="shared" si="13"/>
        <v>793</v>
      </c>
    </row>
    <row r="54" spans="1:35" outlineLevel="1" x14ac:dyDescent="0.25">
      <c r="A54" s="308" t="s">
        <v>58</v>
      </c>
      <c r="B54" s="309" t="s">
        <v>378</v>
      </c>
      <c r="C54" s="338" t="s">
        <v>13</v>
      </c>
      <c r="D54" s="338" t="s">
        <v>14</v>
      </c>
      <c r="E54" s="338" t="s">
        <v>15</v>
      </c>
      <c r="F54" s="311">
        <f>IFERROR(VLOOKUP($A54,'[1]MES Costing Report'!$A$2:$K$77,F$2,0),0)</f>
        <v>2044</v>
      </c>
      <c r="G54" s="311">
        <f>IFERROR(VLOOKUP($A54,'[1]MES Costing Report'!$A$2:$K$77,G$2,0),0)</f>
        <v>1833</v>
      </c>
      <c r="H54" s="312">
        <f t="shared" si="0"/>
        <v>0.89677103718199613</v>
      </c>
      <c r="I54" s="311">
        <f>IFERROR(VLOOKUP($A54,'[1]MES Costing Report'!$A$2:$K$77,I$2,0),0)</f>
        <v>3615</v>
      </c>
      <c r="J54" s="311">
        <f>IFERROR(VLOOKUP($A54,'[1]MES Costing Report'!$A$2:$K$77,J$2,0),0)</f>
        <v>753</v>
      </c>
      <c r="L54" s="339"/>
      <c r="M54" s="314">
        <v>3</v>
      </c>
      <c r="N54" s="322"/>
      <c r="O54" s="340"/>
      <c r="P54" s="317"/>
      <c r="Q54" s="2" t="str">
        <f>A54</f>
        <v>3T24100750667EF</v>
      </c>
      <c r="R54" s="338" t="s">
        <v>13</v>
      </c>
      <c r="S54" s="338" t="s">
        <v>14</v>
      </c>
      <c r="T54" s="338" t="s">
        <v>15</v>
      </c>
      <c r="U54" s="310" t="str">
        <f>VLOOKUP(A54,'MES Costing Report'!B$2:N$77,7,)</f>
        <v>BCT NEX GEN</v>
      </c>
      <c r="V54" s="318" t="str">
        <f>B54</f>
        <v>BCT Alizée</v>
      </c>
      <c r="W54" s="319">
        <f t="shared" si="11"/>
        <v>2044</v>
      </c>
      <c r="X54" s="319">
        <f t="shared" si="12"/>
        <v>1836</v>
      </c>
      <c r="Y54" s="312">
        <f t="shared" si="5"/>
        <v>0.89823874755381605</v>
      </c>
      <c r="Z54" s="319">
        <f t="shared" si="13"/>
        <v>753</v>
      </c>
    </row>
    <row r="55" spans="1:35" outlineLevel="1" x14ac:dyDescent="0.25">
      <c r="A55" s="308" t="s">
        <v>61</v>
      </c>
      <c r="B55" s="309" t="s">
        <v>379</v>
      </c>
      <c r="C55" s="338" t="s">
        <v>13</v>
      </c>
      <c r="D55" s="338" t="s">
        <v>14</v>
      </c>
      <c r="E55" s="338" t="s">
        <v>15</v>
      </c>
      <c r="F55" s="311">
        <f>IFERROR(VLOOKUP($A55,'[1]MES Costing Report'!$A$2:$K$77,F$2,0),0)</f>
        <v>1924</v>
      </c>
      <c r="G55" s="311">
        <f>IFERROR(VLOOKUP($A55,'[1]MES Costing Report'!$A$2:$K$77,G$2,0),0)</f>
        <v>1666</v>
      </c>
      <c r="H55" s="312">
        <f t="shared" si="0"/>
        <v>0.86590436590436592</v>
      </c>
      <c r="I55" s="311">
        <f>IFERROR(VLOOKUP($A55,'[1]MES Costing Report'!$A$2:$K$77,I$2,0),0)</f>
        <v>3226</v>
      </c>
      <c r="J55" s="311">
        <f>IFERROR(VLOOKUP($A55,'[1]MES Costing Report'!$A$2:$K$77,J$2,0),0)</f>
        <v>394</v>
      </c>
      <c r="L55" s="339"/>
      <c r="M55" s="314">
        <v>2</v>
      </c>
      <c r="N55" s="322"/>
      <c r="O55" s="340"/>
      <c r="P55" s="317"/>
      <c r="Q55" s="2" t="str">
        <f>A55</f>
        <v>3T24100650719EF</v>
      </c>
      <c r="R55" s="338" t="s">
        <v>13</v>
      </c>
      <c r="S55" s="338" t="s">
        <v>14</v>
      </c>
      <c r="T55" s="338" t="s">
        <v>15</v>
      </c>
      <c r="U55" s="310" t="str">
        <f>VLOOKUP(A55,'MES Costing Report'!B$2:N$77,7,)</f>
        <v>BCT NEX GEN</v>
      </c>
      <c r="V55" s="318" t="str">
        <f>B55</f>
        <v>BCT Lagoon</v>
      </c>
      <c r="W55" s="319">
        <f t="shared" si="11"/>
        <v>1924</v>
      </c>
      <c r="X55" s="319">
        <f t="shared" si="12"/>
        <v>1668</v>
      </c>
      <c r="Y55" s="312">
        <f t="shared" si="5"/>
        <v>0.86694386694386694</v>
      </c>
      <c r="Z55" s="319">
        <f t="shared" si="13"/>
        <v>394</v>
      </c>
    </row>
    <row r="56" spans="1:35" outlineLevel="1" x14ac:dyDescent="0.25">
      <c r="A56" s="308" t="s">
        <v>64</v>
      </c>
      <c r="B56" s="309" t="s">
        <v>379</v>
      </c>
      <c r="C56" s="338" t="s">
        <v>13</v>
      </c>
      <c r="D56" s="338" t="s">
        <v>14</v>
      </c>
      <c r="E56" s="338" t="s">
        <v>15</v>
      </c>
      <c r="F56" s="311">
        <f>IFERROR(VLOOKUP($A56,'[1]MES Costing Report'!$A$2:$K$77,F$2,0),0)</f>
        <v>2112</v>
      </c>
      <c r="G56" s="311">
        <f>IFERROR(VLOOKUP($A56,'[1]MES Costing Report'!$A$2:$K$77,G$2,0),0)</f>
        <v>1907</v>
      </c>
      <c r="H56" s="312">
        <f t="shared" si="0"/>
        <v>0.90293560606060608</v>
      </c>
      <c r="I56" s="311">
        <f>IFERROR(VLOOKUP($A56,'[1]MES Costing Report'!$A$2:$K$77,I$2,0),0)</f>
        <v>3636</v>
      </c>
      <c r="J56" s="311">
        <f>IFERROR(VLOOKUP($A56,'[1]MES Costing Report'!$A$2:$K$77,J$2,0),0)</f>
        <v>750</v>
      </c>
      <c r="L56" s="339"/>
      <c r="M56" s="314">
        <v>4</v>
      </c>
      <c r="N56" s="341"/>
      <c r="O56" s="340"/>
      <c r="P56" s="317"/>
      <c r="Q56" s="2" t="str">
        <f>A56</f>
        <v>3T24100750719EF</v>
      </c>
      <c r="R56" s="338" t="s">
        <v>13</v>
      </c>
      <c r="S56" s="338" t="s">
        <v>14</v>
      </c>
      <c r="T56" s="338" t="s">
        <v>15</v>
      </c>
      <c r="U56" s="310" t="str">
        <f>VLOOKUP(A56,'MES Costing Report'!B$2:N$77,7,)</f>
        <v>BCT NEX GEN</v>
      </c>
      <c r="V56" s="318" t="str">
        <f>B56</f>
        <v>BCT Lagoon</v>
      </c>
      <c r="W56" s="319">
        <f t="shared" si="11"/>
        <v>2112</v>
      </c>
      <c r="X56" s="319">
        <f t="shared" si="12"/>
        <v>1911</v>
      </c>
      <c r="Y56" s="312">
        <f t="shared" si="5"/>
        <v>0.90482954545454541</v>
      </c>
      <c r="Z56" s="319">
        <f t="shared" si="13"/>
        <v>750</v>
      </c>
    </row>
    <row r="57" spans="1:35" outlineLevel="1" x14ac:dyDescent="0.25">
      <c r="A57" s="342" t="s">
        <v>67</v>
      </c>
      <c r="B57" s="343" t="s">
        <v>380</v>
      </c>
      <c r="C57" s="344" t="s">
        <v>13</v>
      </c>
      <c r="D57" s="344" t="s">
        <v>14</v>
      </c>
      <c r="E57" s="344" t="s">
        <v>15</v>
      </c>
      <c r="F57" s="311">
        <f>IFERROR(VLOOKUP($A57,'[1]MES Costing Report'!$A$2:$K$77,F$2,0),0)</f>
        <v>0</v>
      </c>
      <c r="G57" s="311">
        <f>IFERROR(VLOOKUP($A57,'[1]MES Costing Report'!$A$2:$K$77,G$2,0),0)</f>
        <v>0</v>
      </c>
      <c r="H57" s="312" t="str">
        <f t="shared" si="0"/>
        <v/>
      </c>
      <c r="I57" s="311">
        <f>IFERROR(VLOOKUP($A57,'[1]MES Costing Report'!$A$2:$K$77,I$2,0),0)</f>
        <v>0</v>
      </c>
      <c r="J57" s="311">
        <f>IFERROR(VLOOKUP($A57,'[1]MES Costing Report'!$A$2:$K$77,J$2,0),0)</f>
        <v>15</v>
      </c>
      <c r="K57" s="345"/>
      <c r="L57" s="346"/>
      <c r="M57" s="347"/>
      <c r="N57" s="348">
        <v>-15</v>
      </c>
      <c r="O57" s="349"/>
      <c r="P57" s="317"/>
      <c r="Q57" s="270" t="s">
        <v>67</v>
      </c>
      <c r="R57" s="344" t="s">
        <v>13</v>
      </c>
      <c r="S57" s="344" t="s">
        <v>14</v>
      </c>
      <c r="T57" s="344" t="s">
        <v>15</v>
      </c>
      <c r="U57" s="310" t="str">
        <f>VLOOKUP(A57,'MES Costing Report'!B$2:N$77,7,)</f>
        <v>BCT NEX GEN</v>
      </c>
      <c r="V57" s="350" t="s">
        <v>380</v>
      </c>
      <c r="W57" s="351">
        <f t="shared" si="11"/>
        <v>0</v>
      </c>
      <c r="X57" s="351">
        <f t="shared" si="12"/>
        <v>0</v>
      </c>
      <c r="Y57" s="352" t="str">
        <f t="shared" si="5"/>
        <v/>
      </c>
      <c r="Z57" s="319">
        <f t="shared" si="13"/>
        <v>0</v>
      </c>
    </row>
    <row r="58" spans="1:35" outlineLevel="1" x14ac:dyDescent="0.25">
      <c r="A58" s="353" t="s">
        <v>70</v>
      </c>
      <c r="B58" s="343" t="s">
        <v>380</v>
      </c>
      <c r="C58" s="344" t="s">
        <v>13</v>
      </c>
      <c r="D58" s="344" t="s">
        <v>14</v>
      </c>
      <c r="E58" s="344" t="s">
        <v>15</v>
      </c>
      <c r="F58" s="311">
        <f>IFERROR(VLOOKUP($A58,'[1]MES Costing Report'!$A$2:$K$77,F$2,0),0)</f>
        <v>0</v>
      </c>
      <c r="G58" s="311">
        <f>IFERROR(VLOOKUP($A58,'[1]MES Costing Report'!$A$2:$K$77,G$2,0),0)</f>
        <v>0</v>
      </c>
      <c r="H58" s="312" t="str">
        <f t="shared" si="0"/>
        <v/>
      </c>
      <c r="I58" s="311">
        <f>IFERROR(VLOOKUP($A58,'[1]MES Costing Report'!$A$2:$K$77,I$2,0),0)</f>
        <v>0</v>
      </c>
      <c r="J58" s="311">
        <f>IFERROR(VLOOKUP($A58,'[1]MES Costing Report'!$A$2:$K$77,J$2,0),0)</f>
        <v>5</v>
      </c>
      <c r="K58" s="345"/>
      <c r="L58" s="346"/>
      <c r="M58" s="347"/>
      <c r="N58" s="348">
        <v>-5</v>
      </c>
      <c r="O58" s="349"/>
      <c r="P58" s="317"/>
      <c r="Q58" s="271" t="s">
        <v>70</v>
      </c>
      <c r="R58" s="344" t="s">
        <v>13</v>
      </c>
      <c r="S58" s="344" t="s">
        <v>14</v>
      </c>
      <c r="T58" s="344" t="s">
        <v>15</v>
      </c>
      <c r="U58" s="310" t="str">
        <f>VLOOKUP(A58,'MES Costing Report'!B$2:N$77,7,)</f>
        <v>BCT NEX GEN</v>
      </c>
      <c r="V58" s="350" t="s">
        <v>380</v>
      </c>
      <c r="W58" s="351">
        <f t="shared" si="11"/>
        <v>0</v>
      </c>
      <c r="X58" s="351">
        <f t="shared" si="12"/>
        <v>0</v>
      </c>
      <c r="Y58" s="352" t="str">
        <f t="shared" si="5"/>
        <v/>
      </c>
      <c r="Z58" s="319">
        <f t="shared" si="13"/>
        <v>0</v>
      </c>
    </row>
    <row r="59" spans="1:35" outlineLevel="1" x14ac:dyDescent="0.25">
      <c r="A59" s="342" t="s">
        <v>73</v>
      </c>
      <c r="B59" s="343" t="s">
        <v>381</v>
      </c>
      <c r="C59" s="344" t="s">
        <v>13</v>
      </c>
      <c r="D59" s="344" t="s">
        <v>14</v>
      </c>
      <c r="E59" s="344" t="s">
        <v>15</v>
      </c>
      <c r="F59" s="311">
        <f>IFERROR(VLOOKUP($A59,'[1]MES Costing Report'!$A$2:$K$77,F$2,0),0)</f>
        <v>0</v>
      </c>
      <c r="G59" s="311">
        <f>IFERROR(VLOOKUP($A59,'[1]MES Costing Report'!$A$2:$K$77,G$2,0),0)</f>
        <v>0</v>
      </c>
      <c r="H59" s="312" t="str">
        <f t="shared" si="0"/>
        <v/>
      </c>
      <c r="I59" s="311">
        <f>IFERROR(VLOOKUP($A59,'[1]MES Costing Report'!$A$2:$K$77,I$2,0),0)</f>
        <v>0</v>
      </c>
      <c r="J59" s="311">
        <f>IFERROR(VLOOKUP($A59,'[1]MES Costing Report'!$A$2:$K$77,J$2,0),0)</f>
        <v>0</v>
      </c>
      <c r="K59" s="345"/>
      <c r="L59" s="346"/>
      <c r="M59" s="347"/>
      <c r="N59" s="348"/>
      <c r="O59" s="349"/>
      <c r="P59" s="317"/>
      <c r="Q59" s="270" t="s">
        <v>73</v>
      </c>
      <c r="R59" s="344" t="s">
        <v>13</v>
      </c>
      <c r="S59" s="344" t="s">
        <v>14</v>
      </c>
      <c r="T59" s="344" t="s">
        <v>15</v>
      </c>
      <c r="U59" s="310" t="str">
        <f>VLOOKUP(A59,'MES Costing Report'!B$2:N$77,7,)</f>
        <v>BCT NEX GEN</v>
      </c>
      <c r="V59" s="350" t="s">
        <v>381</v>
      </c>
      <c r="W59" s="351">
        <f t="shared" si="11"/>
        <v>0</v>
      </c>
      <c r="X59" s="351">
        <f t="shared" si="12"/>
        <v>0</v>
      </c>
      <c r="Y59" s="352" t="str">
        <f t="shared" si="5"/>
        <v/>
      </c>
      <c r="Z59" s="319">
        <f t="shared" si="13"/>
        <v>0</v>
      </c>
    </row>
    <row r="60" spans="1:35" outlineLevel="1" x14ac:dyDescent="0.25">
      <c r="A60" s="342" t="s">
        <v>75</v>
      </c>
      <c r="B60" s="343" t="s">
        <v>381</v>
      </c>
      <c r="C60" s="344" t="s">
        <v>13</v>
      </c>
      <c r="D60" s="344" t="s">
        <v>14</v>
      </c>
      <c r="E60" s="344" t="s">
        <v>15</v>
      </c>
      <c r="F60" s="311">
        <f>IFERROR(VLOOKUP($A60,'[1]MES Costing Report'!$A$2:$K$77,F$2,0),0)</f>
        <v>0</v>
      </c>
      <c r="G60" s="311">
        <f>IFERROR(VLOOKUP($A60,'[1]MES Costing Report'!$A$2:$K$77,G$2,0),0)</f>
        <v>0</v>
      </c>
      <c r="H60" s="312" t="str">
        <f t="shared" si="0"/>
        <v/>
      </c>
      <c r="I60" s="311">
        <f>IFERROR(VLOOKUP($A60,'[1]MES Costing Report'!$A$2:$K$77,I$2,0),0)</f>
        <v>0</v>
      </c>
      <c r="J60" s="311">
        <f>IFERROR(VLOOKUP($A60,'[1]MES Costing Report'!$A$2:$K$77,J$2,0),0)</f>
        <v>0</v>
      </c>
      <c r="K60" s="345"/>
      <c r="L60" s="346"/>
      <c r="M60" s="347"/>
      <c r="N60" s="348"/>
      <c r="O60" s="349"/>
      <c r="P60" s="317"/>
      <c r="Q60" s="270" t="s">
        <v>75</v>
      </c>
      <c r="R60" s="344" t="s">
        <v>13</v>
      </c>
      <c r="S60" s="344" t="s">
        <v>14</v>
      </c>
      <c r="T60" s="344" t="s">
        <v>15</v>
      </c>
      <c r="U60" s="310" t="str">
        <f>VLOOKUP(A60,'MES Costing Report'!B$2:N$77,7,)</f>
        <v>BCT NEX GEN</v>
      </c>
      <c r="V60" s="350" t="s">
        <v>381</v>
      </c>
      <c r="W60" s="351">
        <f t="shared" si="11"/>
        <v>0</v>
      </c>
      <c r="X60" s="351">
        <f t="shared" si="12"/>
        <v>0</v>
      </c>
      <c r="Y60" s="352" t="str">
        <f t="shared" si="5"/>
        <v/>
      </c>
      <c r="Z60" s="319">
        <f t="shared" si="13"/>
        <v>0</v>
      </c>
    </row>
    <row r="61" spans="1:35" outlineLevel="1" x14ac:dyDescent="0.25">
      <c r="A61" s="270" t="s">
        <v>78</v>
      </c>
      <c r="B61" s="345" t="s">
        <v>382</v>
      </c>
      <c r="C61" s="344" t="s">
        <v>13</v>
      </c>
      <c r="D61" s="344" t="s">
        <v>14</v>
      </c>
      <c r="E61" s="344" t="s">
        <v>15</v>
      </c>
      <c r="F61" s="311">
        <f>IFERROR(VLOOKUP($A61,'[1]MES Costing Report'!$A$2:$K$77,F$2,0),0)</f>
        <v>1285</v>
      </c>
      <c r="G61" s="311">
        <f>IFERROR(VLOOKUP($A61,'[1]MES Costing Report'!$A$2:$K$77,G$2,0),0)</f>
        <v>1096</v>
      </c>
      <c r="H61" s="312">
        <f t="shared" si="0"/>
        <v>0.85291828793774316</v>
      </c>
      <c r="I61" s="311">
        <f>IFERROR(VLOOKUP($A61,'[1]MES Costing Report'!$A$2:$K$77,I$2,0),0)</f>
        <v>1939</v>
      </c>
      <c r="J61" s="311">
        <f>IFERROR(VLOOKUP($A61,'[1]MES Costing Report'!$A$2:$K$77,J$2,0),0)</f>
        <v>351</v>
      </c>
      <c r="K61" s="345"/>
      <c r="L61" s="346"/>
      <c r="M61" s="347">
        <v>3</v>
      </c>
      <c r="N61" s="348"/>
      <c r="O61" s="349"/>
      <c r="P61" s="317"/>
      <c r="Q61" s="270" t="s">
        <v>78</v>
      </c>
      <c r="R61" s="344" t="s">
        <v>13</v>
      </c>
      <c r="S61" s="344" t="s">
        <v>14</v>
      </c>
      <c r="T61" s="344" t="s">
        <v>15</v>
      </c>
      <c r="U61" s="310" t="str">
        <f>VLOOKUP(A61,'MES Costing Report'!B$2:N$77,7,)</f>
        <v>BCT NEX GEN</v>
      </c>
      <c r="V61" s="345" t="s">
        <v>382</v>
      </c>
      <c r="W61" s="351">
        <f t="shared" si="11"/>
        <v>1285</v>
      </c>
      <c r="X61" s="351">
        <f t="shared" si="12"/>
        <v>1099</v>
      </c>
      <c r="Y61" s="352">
        <f t="shared" si="5"/>
        <v>0.8552529182879377</v>
      </c>
      <c r="Z61" s="319">
        <f t="shared" si="13"/>
        <v>351</v>
      </c>
    </row>
    <row r="62" spans="1:35" outlineLevel="1" x14ac:dyDescent="0.25">
      <c r="A62" s="270" t="s">
        <v>81</v>
      </c>
      <c r="B62" s="345" t="s">
        <v>382</v>
      </c>
      <c r="C62" s="344" t="s">
        <v>13</v>
      </c>
      <c r="D62" s="344" t="s">
        <v>14</v>
      </c>
      <c r="E62" s="344" t="s">
        <v>15</v>
      </c>
      <c r="F62" s="311">
        <f>IFERROR(VLOOKUP($A62,'[1]MES Costing Report'!$A$2:$K$77,F$2,0),0)</f>
        <v>3935</v>
      </c>
      <c r="G62" s="311">
        <f>IFERROR(VLOOKUP($A62,'[1]MES Costing Report'!$A$2:$K$77,G$2,0),0)</f>
        <v>3484</v>
      </c>
      <c r="H62" s="312">
        <f t="shared" si="0"/>
        <v>0.88538754764930117</v>
      </c>
      <c r="I62" s="311">
        <f>IFERROR(VLOOKUP($A62,'[1]MES Costing Report'!$A$2:$K$77,I$2,0),0)</f>
        <v>6671</v>
      </c>
      <c r="J62" s="311">
        <f>IFERROR(VLOOKUP($A62,'[1]MES Costing Report'!$A$2:$K$77,J$2,0),0)</f>
        <v>825</v>
      </c>
      <c r="K62" s="345"/>
      <c r="L62" s="346"/>
      <c r="M62" s="347">
        <v>1</v>
      </c>
      <c r="N62" s="348"/>
      <c r="O62" s="349"/>
      <c r="P62" s="317"/>
      <c r="Q62" s="270" t="s">
        <v>81</v>
      </c>
      <c r="R62" s="344" t="s">
        <v>13</v>
      </c>
      <c r="S62" s="344" t="s">
        <v>14</v>
      </c>
      <c r="T62" s="344" t="s">
        <v>15</v>
      </c>
      <c r="U62" s="310" t="str">
        <f>VLOOKUP(A62,'MES Costing Report'!B$2:N$77,7,)</f>
        <v>BCT NEX GEN</v>
      </c>
      <c r="V62" s="345" t="s">
        <v>382</v>
      </c>
      <c r="W62" s="351">
        <f t="shared" si="11"/>
        <v>3935</v>
      </c>
      <c r="X62" s="351">
        <f t="shared" si="12"/>
        <v>3485</v>
      </c>
      <c r="Y62" s="352">
        <f t="shared" si="5"/>
        <v>0.88564167725540022</v>
      </c>
      <c r="Z62" s="319">
        <f t="shared" si="13"/>
        <v>825</v>
      </c>
    </row>
    <row r="63" spans="1:35" outlineLevel="1" x14ac:dyDescent="0.25">
      <c r="A63" s="310" t="s">
        <v>366</v>
      </c>
      <c r="B63" s="318" t="s">
        <v>38</v>
      </c>
      <c r="C63" s="310" t="s">
        <v>13</v>
      </c>
      <c r="D63" s="310" t="s">
        <v>32</v>
      </c>
      <c r="E63" s="310" t="s">
        <v>124</v>
      </c>
      <c r="F63" s="311">
        <f>IFERROR(VLOOKUP($A63,'[1]MES Costing Report'!$A$2:$K$77,F$2,0),0)</f>
        <v>0</v>
      </c>
      <c r="G63" s="311">
        <f>IFERROR(VLOOKUP($A63,'[1]MES Costing Report'!$A$2:$K$77,G$2,0),0)</f>
        <v>0</v>
      </c>
      <c r="H63" s="312" t="str">
        <f t="shared" si="0"/>
        <v/>
      </c>
      <c r="I63" s="311">
        <f>IFERROR(VLOOKUP($A63,'[1]MES Costing Report'!$A$2:$K$77,I$2,0),0)</f>
        <v>0</v>
      </c>
      <c r="J63" s="311">
        <f>IFERROR(VLOOKUP($A63,'[1]MES Costing Report'!$A$2:$K$77,J$2,0),0)</f>
        <v>0</v>
      </c>
      <c r="L63" s="339"/>
      <c r="M63" s="314"/>
      <c r="N63" s="341"/>
      <c r="O63" s="340"/>
      <c r="P63" s="317"/>
      <c r="Q63" s="2" t="s">
        <v>366</v>
      </c>
      <c r="R63" s="310" t="s">
        <v>13</v>
      </c>
      <c r="S63" s="310" t="s">
        <v>32</v>
      </c>
      <c r="T63" s="310" t="s">
        <v>124</v>
      </c>
      <c r="U63" s="310" t="e">
        <f>VLOOKUP(A63,'MES Costing Report'!B$2:N$77,7,)</f>
        <v>#N/A</v>
      </c>
      <c r="V63" s="318" t="str">
        <f t="shared" ref="V63:V68" si="14">B63</f>
        <v>Magic Leap</v>
      </c>
      <c r="W63" s="319">
        <f t="shared" si="11"/>
        <v>0</v>
      </c>
      <c r="X63" s="319">
        <f t="shared" si="12"/>
        <v>0</v>
      </c>
      <c r="Y63" s="312" t="str">
        <f>IF(W63&gt;0,X63/W63,"")</f>
        <v/>
      </c>
      <c r="Z63" s="319">
        <f t="shared" si="13"/>
        <v>0</v>
      </c>
    </row>
    <row r="64" spans="1:35" ht="18" customHeight="1" outlineLevel="1" x14ac:dyDescent="0.25">
      <c r="A64" s="325" t="s">
        <v>49</v>
      </c>
      <c r="B64" s="34" t="s">
        <v>50</v>
      </c>
      <c r="C64" s="325" t="s">
        <v>47</v>
      </c>
      <c r="D64" s="325" t="s">
        <v>14</v>
      </c>
      <c r="E64" s="325" t="s">
        <v>15</v>
      </c>
      <c r="F64" s="311">
        <f>IFERROR(VLOOKUP($A64,'[1]MES Costing Report'!$A$2:$K$77,F$2,0),0)</f>
        <v>616</v>
      </c>
      <c r="G64" s="311">
        <f>IFERROR(VLOOKUP($A64,'[1]MES Costing Report'!$A$2:$K$77,G$2,0),0)</f>
        <v>530</v>
      </c>
      <c r="H64" s="312">
        <f t="shared" si="0"/>
        <v>0.86038961038961037</v>
      </c>
      <c r="I64" s="311">
        <f>IFERROR(VLOOKUP($A64,'[1]MES Costing Report'!$A$2:$K$77,I$2,0),0)</f>
        <v>779</v>
      </c>
      <c r="J64" s="311">
        <f>IFERROR(VLOOKUP($A64,'[1]MES Costing Report'!$A$2:$K$77,J$2,0),0)</f>
        <v>224</v>
      </c>
      <c r="L64" s="354"/>
      <c r="M64" s="314">
        <v>6</v>
      </c>
      <c r="N64" s="341"/>
      <c r="O64" s="316"/>
      <c r="P64" s="317"/>
      <c r="Q64" s="355" t="str">
        <f>A64</f>
        <v>3547100550676EF</v>
      </c>
      <c r="R64" s="325" t="s">
        <v>47</v>
      </c>
      <c r="S64" s="325" t="s">
        <v>14</v>
      </c>
      <c r="T64" s="325" t="s">
        <v>15</v>
      </c>
      <c r="U64" s="310">
        <f>VLOOKUP(A64,'MES Costing Report'!B$2:N$77,7,)</f>
        <v>0</v>
      </c>
      <c r="V64" s="355" t="str">
        <f t="shared" si="14"/>
        <v>FSV KIDS 55 OFG</v>
      </c>
      <c r="W64" s="319">
        <f t="shared" si="11"/>
        <v>616</v>
      </c>
      <c r="X64" s="319">
        <f t="shared" si="12"/>
        <v>536</v>
      </c>
      <c r="Y64" s="312">
        <f t="shared" si="5"/>
        <v>0.87012987012987009</v>
      </c>
      <c r="Z64" s="319">
        <f t="shared" si="13"/>
        <v>224</v>
      </c>
    </row>
    <row r="65" spans="1:26" ht="27" customHeight="1" outlineLevel="1" x14ac:dyDescent="0.25">
      <c r="A65" s="325" t="s">
        <v>53</v>
      </c>
      <c r="B65" s="34" t="s">
        <v>54</v>
      </c>
      <c r="C65" s="325" t="s">
        <v>47</v>
      </c>
      <c r="D65" s="325" t="s">
        <v>14</v>
      </c>
      <c r="E65" s="325" t="s">
        <v>15</v>
      </c>
      <c r="F65" s="311">
        <f>IFERROR(VLOOKUP($A65,'[1]MES Costing Report'!$A$2:$K$77,F$2,0),0)</f>
        <v>4539</v>
      </c>
      <c r="G65" s="311">
        <f>IFERROR(VLOOKUP($A65,'[1]MES Costing Report'!$A$2:$K$77,G$2,0),0)</f>
        <v>3708</v>
      </c>
      <c r="H65" s="312">
        <f t="shared" si="0"/>
        <v>0.81692002643754136</v>
      </c>
      <c r="I65" s="311">
        <f>IFERROR(VLOOKUP($A65,'[1]MES Costing Report'!$A$2:$K$77,I$2,0),0)</f>
        <v>6916</v>
      </c>
      <c r="J65" s="311">
        <f>IFERROR(VLOOKUP($A65,'[1]MES Costing Report'!$A$2:$K$77,J$2,0),0)</f>
        <v>975</v>
      </c>
      <c r="L65" s="314"/>
      <c r="M65" s="314">
        <v>30</v>
      </c>
      <c r="N65" s="322"/>
      <c r="O65" s="316"/>
      <c r="P65" s="317"/>
      <c r="Q65" s="355" t="str">
        <f>A65</f>
        <v>3547100600676EF</v>
      </c>
      <c r="R65" s="325" t="s">
        <v>47</v>
      </c>
      <c r="S65" s="325" t="s">
        <v>14</v>
      </c>
      <c r="T65" s="325" t="s">
        <v>15</v>
      </c>
      <c r="U65" s="310">
        <f>VLOOKUP(A65,'MES Costing Report'!B$2:N$77,7,)</f>
        <v>0</v>
      </c>
      <c r="V65" s="355" t="str">
        <f t="shared" si="14"/>
        <v>FSV KIDS 60 OFG</v>
      </c>
      <c r="W65" s="319">
        <f t="shared" si="11"/>
        <v>4539</v>
      </c>
      <c r="X65" s="319">
        <f t="shared" si="12"/>
        <v>3738</v>
      </c>
      <c r="Y65" s="312">
        <f t="shared" si="5"/>
        <v>0.82352941176470584</v>
      </c>
      <c r="Z65" s="319">
        <f t="shared" si="13"/>
        <v>975</v>
      </c>
    </row>
    <row r="66" spans="1:26" ht="22.5" outlineLevel="1" x14ac:dyDescent="0.25">
      <c r="A66" s="325" t="s">
        <v>45</v>
      </c>
      <c r="B66" s="34" t="s">
        <v>46</v>
      </c>
      <c r="C66" s="325" t="s">
        <v>47</v>
      </c>
      <c r="D66" s="325" t="s">
        <v>48</v>
      </c>
      <c r="E66" s="325" t="s">
        <v>15</v>
      </c>
      <c r="F66" s="311">
        <f>IFERROR(VLOOKUP($A66,'[1]MES Costing Report'!$A$2:$K$77,F$2,0),0)</f>
        <v>0</v>
      </c>
      <c r="G66" s="311">
        <f>IFERROR(VLOOKUP($A66,'[1]MES Costing Report'!$A$2:$K$77,G$2,0),0)</f>
        <v>0</v>
      </c>
      <c r="H66" s="312" t="str">
        <f t="shared" si="0"/>
        <v/>
      </c>
      <c r="I66" s="311">
        <f>IFERROR(VLOOKUP($A66,'[1]MES Costing Report'!$A$2:$K$77,I$2,0),0)</f>
        <v>0</v>
      </c>
      <c r="J66" s="311">
        <f>IFERROR(VLOOKUP($A66,'[1]MES Costing Report'!$A$2:$K$77,J$2,0),0)</f>
        <v>40</v>
      </c>
      <c r="L66" s="326">
        <f>-F66</f>
        <v>0</v>
      </c>
      <c r="M66" s="327">
        <f>(-G66)+0</f>
        <v>0</v>
      </c>
      <c r="N66" s="356">
        <v>-40</v>
      </c>
      <c r="O66" s="316" t="s">
        <v>373</v>
      </c>
      <c r="P66" s="317"/>
      <c r="Q66" s="355" t="str">
        <f>A66</f>
        <v>3547100550314J1</v>
      </c>
      <c r="R66" s="325" t="s">
        <v>47</v>
      </c>
      <c r="S66" s="325" t="s">
        <v>48</v>
      </c>
      <c r="T66" s="325" t="s">
        <v>15</v>
      </c>
      <c r="U66" s="310">
        <f>VLOOKUP(A66,'MES Costing Report'!B$2:N$77,7,)</f>
        <v>0</v>
      </c>
      <c r="V66" s="355" t="str">
        <f t="shared" si="14"/>
        <v>FSV PC 55 NTPC</v>
      </c>
      <c r="W66" s="319">
        <f t="shared" si="11"/>
        <v>0</v>
      </c>
      <c r="X66" s="319">
        <f t="shared" si="12"/>
        <v>0</v>
      </c>
      <c r="Y66" s="312" t="str">
        <f t="shared" si="5"/>
        <v/>
      </c>
      <c r="Z66" s="319">
        <f t="shared" si="13"/>
        <v>0</v>
      </c>
    </row>
    <row r="67" spans="1:26" ht="22.5" outlineLevel="1" x14ac:dyDescent="0.25">
      <c r="A67" s="325" t="s">
        <v>51</v>
      </c>
      <c r="B67" s="34" t="s">
        <v>52</v>
      </c>
      <c r="C67" s="325" t="s">
        <v>47</v>
      </c>
      <c r="D67" s="325" t="s">
        <v>48</v>
      </c>
      <c r="E67" s="325" t="s">
        <v>15</v>
      </c>
      <c r="F67" s="311">
        <f>IFERROR(VLOOKUP($A67,'[1]MES Costing Report'!$A$2:$K$77,F$2,0),0)</f>
        <v>0</v>
      </c>
      <c r="G67" s="311">
        <f>IFERROR(VLOOKUP($A67,'[1]MES Costing Report'!$A$2:$K$77,G$2,0),0)</f>
        <v>0</v>
      </c>
      <c r="H67" s="312" t="str">
        <f t="shared" si="0"/>
        <v/>
      </c>
      <c r="I67" s="311">
        <f>IFERROR(VLOOKUP($A67,'[1]MES Costing Report'!$A$2:$K$77,I$2,0),0)</f>
        <v>0</v>
      </c>
      <c r="J67" s="311">
        <f>IFERROR(VLOOKUP($A67,'[1]MES Costing Report'!$A$2:$K$77,J$2,0),0)</f>
        <v>39</v>
      </c>
      <c r="L67" s="326">
        <f>-F67</f>
        <v>0</v>
      </c>
      <c r="M67" s="327">
        <f>(-G67)+0</f>
        <v>0</v>
      </c>
      <c r="N67" s="356">
        <v>-39</v>
      </c>
      <c r="O67" s="316" t="s">
        <v>373</v>
      </c>
      <c r="P67" s="317"/>
      <c r="Q67" s="355" t="str">
        <f>A67</f>
        <v>3547100600314J1</v>
      </c>
      <c r="R67" s="325" t="s">
        <v>47</v>
      </c>
      <c r="S67" s="325" t="s">
        <v>48</v>
      </c>
      <c r="T67" s="325" t="s">
        <v>15</v>
      </c>
      <c r="U67" s="310">
        <f>VLOOKUP(A67,'MES Costing Report'!B$2:N$77,7,)</f>
        <v>0</v>
      </c>
      <c r="V67" s="355" t="str">
        <f t="shared" si="14"/>
        <v>FSV PC 60 NTPC</v>
      </c>
      <c r="W67" s="319">
        <f t="shared" si="11"/>
        <v>0</v>
      </c>
      <c r="X67" s="319">
        <f t="shared" si="12"/>
        <v>0</v>
      </c>
      <c r="Y67" s="312" t="str">
        <f t="shared" si="5"/>
        <v/>
      </c>
      <c r="Z67" s="319">
        <f t="shared" si="13"/>
        <v>0</v>
      </c>
    </row>
    <row r="68" spans="1:26" outlineLevel="1" x14ac:dyDescent="0.25">
      <c r="A68" s="325" t="s">
        <v>285</v>
      </c>
      <c r="B68" s="34" t="s">
        <v>286</v>
      </c>
      <c r="C68" s="325" t="s">
        <v>47</v>
      </c>
      <c r="D68" s="325" t="s">
        <v>48</v>
      </c>
      <c r="E68" s="325" t="s">
        <v>15</v>
      </c>
      <c r="F68" s="311">
        <f>IFERROR(VLOOKUP($A68,'[1]MES Costing Report'!$A$2:$K$77,F$2,0),0)</f>
        <v>0</v>
      </c>
      <c r="G68" s="311">
        <f>IFERROR(VLOOKUP($A68,'[1]MES Costing Report'!$A$2:$K$77,G$2,0),0)</f>
        <v>0</v>
      </c>
      <c r="H68" s="312" t="str">
        <f t="shared" ref="H68:H92" si="15">IF(F68&gt;0,G68/F68,"")</f>
        <v/>
      </c>
      <c r="I68" s="311">
        <f>IFERROR(VLOOKUP($A68,'[1]MES Costing Report'!$A$2:$K$77,I$2,0),0)</f>
        <v>0</v>
      </c>
      <c r="J68" s="311">
        <f>IFERROR(VLOOKUP($A68,'[1]MES Costing Report'!$A$2:$K$77,J$2,0),0)</f>
        <v>0</v>
      </c>
      <c r="L68" s="326">
        <f>-F68</f>
        <v>0</v>
      </c>
      <c r="M68" s="327">
        <f>(-G68)+0</f>
        <v>0</v>
      </c>
      <c r="N68" s="356">
        <v>0</v>
      </c>
      <c r="O68" s="357"/>
      <c r="P68" s="317"/>
      <c r="Q68" s="355" t="str">
        <f>A68</f>
        <v>3547100650314J1</v>
      </c>
      <c r="R68" s="325" t="s">
        <v>47</v>
      </c>
      <c r="S68" s="325" t="s">
        <v>48</v>
      </c>
      <c r="T68" s="325" t="s">
        <v>15</v>
      </c>
      <c r="U68" s="310" t="e">
        <f>VLOOKUP(A68,'MES Costing Report'!B$2:N$77,7,)</f>
        <v>#N/A</v>
      </c>
      <c r="V68" s="355" t="str">
        <f t="shared" si="14"/>
        <v>FSV PC 65 NTPC</v>
      </c>
      <c r="W68" s="319">
        <f t="shared" ref="W68:W80" si="16">F68+L68</f>
        <v>0</v>
      </c>
      <c r="X68" s="319">
        <f t="shared" ref="X68:X80" si="17">G68+M68</f>
        <v>0</v>
      </c>
      <c r="Y68" s="312" t="str">
        <f t="shared" ref="Y68:Y92" si="18">IF(W68&gt;0,X68/W68,"")</f>
        <v/>
      </c>
      <c r="Z68" s="319">
        <f t="shared" ref="Z68:Z92" si="19">J68+N68</f>
        <v>0</v>
      </c>
    </row>
    <row r="69" spans="1:26" outlineLevel="1" x14ac:dyDescent="0.25">
      <c r="A69" s="325" t="s">
        <v>62</v>
      </c>
      <c r="B69" s="2" t="s">
        <v>63</v>
      </c>
      <c r="C69" s="325" t="s">
        <v>47</v>
      </c>
      <c r="D69" s="325" t="s">
        <v>48</v>
      </c>
      <c r="E69" s="325" t="s">
        <v>15</v>
      </c>
      <c r="F69" s="311">
        <f>IFERROR(VLOOKUP($A69,'[1]MES Costing Report'!$A$2:$K$77,F$2,0),0)</f>
        <v>57</v>
      </c>
      <c r="G69" s="311">
        <f>IFERROR(VLOOKUP($A69,'[1]MES Costing Report'!$A$2:$K$77,G$2,0),0)</f>
        <v>50</v>
      </c>
      <c r="H69" s="312">
        <f t="shared" si="15"/>
        <v>0.8771929824561403</v>
      </c>
      <c r="I69" s="311">
        <f>IFERROR(VLOOKUP($A69,'[1]MES Costing Report'!$A$2:$K$77,I$2,0),0)</f>
        <v>100</v>
      </c>
      <c r="J69" s="311">
        <f>IFERROR(VLOOKUP($A69,'[1]MES Costing Report'!$A$2:$K$77,J$2,0),0)</f>
        <v>8</v>
      </c>
      <c r="L69" s="326"/>
      <c r="M69" s="327"/>
      <c r="N69" s="356"/>
      <c r="O69" s="357"/>
      <c r="P69" s="317"/>
      <c r="Q69" s="355" t="s">
        <v>62</v>
      </c>
      <c r="R69" s="325" t="s">
        <v>47</v>
      </c>
      <c r="S69" s="325" t="s">
        <v>48</v>
      </c>
      <c r="T69" s="325" t="s">
        <v>15</v>
      </c>
      <c r="U69" s="310">
        <f>VLOOKUP(A69,'MES Costing Report'!B$2:N$77,7,)</f>
        <v>0</v>
      </c>
      <c r="V69" s="2" t="s">
        <v>63</v>
      </c>
      <c r="W69" s="319">
        <f t="shared" si="16"/>
        <v>57</v>
      </c>
      <c r="X69" s="319">
        <f t="shared" si="17"/>
        <v>50</v>
      </c>
      <c r="Y69" s="312">
        <f t="shared" si="18"/>
        <v>0.8771929824561403</v>
      </c>
      <c r="Z69" s="319">
        <f t="shared" si="19"/>
        <v>8</v>
      </c>
    </row>
    <row r="70" spans="1:26" outlineLevel="1" x14ac:dyDescent="0.25">
      <c r="A70" s="310" t="s">
        <v>56</v>
      </c>
      <c r="B70" s="318" t="s">
        <v>57</v>
      </c>
      <c r="C70" s="310" t="s">
        <v>47</v>
      </c>
      <c r="D70" s="310" t="s">
        <v>14</v>
      </c>
      <c r="E70" s="310" t="s">
        <v>15</v>
      </c>
      <c r="F70" s="311">
        <f>IFERROR(VLOOKUP($A70,'[1]MES Costing Report'!$A$2:$K$77,F$2,0),0)</f>
        <v>90</v>
      </c>
      <c r="G70" s="311">
        <f>IFERROR(VLOOKUP($A70,'[1]MES Costing Report'!$A$2:$K$77,G$2,0),0)</f>
        <v>75</v>
      </c>
      <c r="H70" s="312">
        <f t="shared" si="15"/>
        <v>0.83333333333333337</v>
      </c>
      <c r="I70" s="311">
        <f>IFERROR(VLOOKUP($A70,'[1]MES Costing Report'!$A$2:$K$77,I$2,0),0)</f>
        <v>149</v>
      </c>
      <c r="J70" s="311">
        <f>IFERROR(VLOOKUP($A70,'[1]MES Costing Report'!$A$2:$K$77,J$2,0),0)</f>
        <v>0</v>
      </c>
      <c r="L70" s="313"/>
      <c r="M70" s="314"/>
      <c r="N70" s="322"/>
      <c r="O70" s="358"/>
      <c r="P70" s="317"/>
      <c r="Q70" s="318" t="str">
        <f>A70</f>
        <v>3547100650237EF</v>
      </c>
      <c r="R70" s="310" t="s">
        <v>47</v>
      </c>
      <c r="S70" s="310" t="s">
        <v>14</v>
      </c>
      <c r="T70" s="310" t="s">
        <v>15</v>
      </c>
      <c r="U70" s="310">
        <f>VLOOKUP(A70,'MES Costing Report'!B$2:N$77,7,)</f>
        <v>0</v>
      </c>
      <c r="V70" s="318" t="str">
        <f>B70</f>
        <v>FSV SPHPC CZ AL+UV EU 65 OFG</v>
      </c>
      <c r="W70" s="319">
        <f t="shared" si="16"/>
        <v>90</v>
      </c>
      <c r="X70" s="319">
        <f t="shared" si="17"/>
        <v>75</v>
      </c>
      <c r="Y70" s="312">
        <f t="shared" si="18"/>
        <v>0.83333333333333337</v>
      </c>
      <c r="Z70" s="319">
        <f t="shared" si="19"/>
        <v>0</v>
      </c>
    </row>
    <row r="71" spans="1:26" ht="17.25" customHeight="1" outlineLevel="1" x14ac:dyDescent="0.25">
      <c r="A71" s="359" t="s">
        <v>59</v>
      </c>
      <c r="B71" s="360" t="s">
        <v>60</v>
      </c>
      <c r="C71" s="359" t="s">
        <v>47</v>
      </c>
      <c r="D71" s="359" t="s">
        <v>48</v>
      </c>
      <c r="E71" s="359" t="s">
        <v>15</v>
      </c>
      <c r="F71" s="311">
        <f>IFERROR(VLOOKUP($A71,'[1]MES Costing Report'!$A$2:$K$77,F$2,0),0)</f>
        <v>40</v>
      </c>
      <c r="G71" s="311">
        <f>IFERROR(VLOOKUP($A71,'[1]MES Costing Report'!$A$2:$K$77,G$2,0),0)</f>
        <v>35</v>
      </c>
      <c r="H71" s="312">
        <f t="shared" si="15"/>
        <v>0.875</v>
      </c>
      <c r="I71" s="311">
        <f>IFERROR(VLOOKUP($A71,'[1]MES Costing Report'!$A$2:$K$77,I$2,0),0)</f>
        <v>0</v>
      </c>
      <c r="J71" s="311">
        <f>IFERROR(VLOOKUP($A71,'[1]MES Costing Report'!$A$2:$K$77,J$2,0),0)</f>
        <v>57</v>
      </c>
      <c r="L71" s="326"/>
      <c r="M71" s="327">
        <f>(-G71)+0</f>
        <v>-35</v>
      </c>
      <c r="N71" s="328">
        <f>J71+2049</f>
        <v>2106</v>
      </c>
      <c r="O71" s="357"/>
      <c r="P71" s="317"/>
      <c r="Q71" s="318" t="str">
        <f>A71</f>
        <v>354710065031400</v>
      </c>
      <c r="R71" s="359" t="s">
        <v>47</v>
      </c>
      <c r="S71" s="359" t="s">
        <v>48</v>
      </c>
      <c r="T71" s="359" t="s">
        <v>15</v>
      </c>
      <c r="U71" s="310">
        <f>VLOOKUP(A71,'MES Costing Report'!B$2:N$77,7,)</f>
        <v>0</v>
      </c>
      <c r="V71" s="318" t="str">
        <f>B71</f>
        <v>FSV SPH POLY NTPC D65</v>
      </c>
      <c r="W71" s="319">
        <f t="shared" si="16"/>
        <v>40</v>
      </c>
      <c r="X71" s="319">
        <f t="shared" si="17"/>
        <v>0</v>
      </c>
      <c r="Y71" s="312">
        <f t="shared" si="18"/>
        <v>0</v>
      </c>
      <c r="Z71" s="319">
        <f t="shared" si="19"/>
        <v>2163</v>
      </c>
    </row>
    <row r="72" spans="1:26" outlineLevel="1" x14ac:dyDescent="0.25">
      <c r="A72" s="310" t="s">
        <v>65</v>
      </c>
      <c r="B72" s="318" t="s">
        <v>66</v>
      </c>
      <c r="C72" s="310" t="s">
        <v>47</v>
      </c>
      <c r="D72" s="310" t="s">
        <v>14</v>
      </c>
      <c r="E72" s="310" t="s">
        <v>15</v>
      </c>
      <c r="F72" s="311">
        <f>IFERROR(VLOOKUP($A72,'[1]MES Costing Report'!$A$2:$K$77,F$2,0),0)</f>
        <v>0</v>
      </c>
      <c r="G72" s="311">
        <f>IFERROR(VLOOKUP($A72,'[1]MES Costing Report'!$A$2:$K$77,G$2,0),0)</f>
        <v>0</v>
      </c>
      <c r="H72" s="312" t="str">
        <f t="shared" si="15"/>
        <v/>
      </c>
      <c r="I72" s="311">
        <f>IFERROR(VLOOKUP($A72,'[1]MES Costing Report'!$A$2:$K$77,I$2,0),0)</f>
        <v>0</v>
      </c>
      <c r="J72" s="311">
        <f>IFERROR(VLOOKUP($A72,'[1]MES Costing Report'!$A$2:$K$77,J$2,0),0)</f>
        <v>0</v>
      </c>
      <c r="L72" s="313"/>
      <c r="M72" s="314"/>
      <c r="N72" s="322"/>
      <c r="O72" s="358"/>
      <c r="P72" s="317"/>
      <c r="Q72" s="318" t="str">
        <f>A72</f>
        <v>3547100650675EF</v>
      </c>
      <c r="R72" s="310" t="s">
        <v>47</v>
      </c>
      <c r="S72" s="310" t="s">
        <v>14</v>
      </c>
      <c r="T72" s="310" t="s">
        <v>15</v>
      </c>
      <c r="U72" s="310">
        <f>VLOOKUP(A72,'MES Costing Report'!B$2:N$77,7,)</f>
        <v>0</v>
      </c>
      <c r="V72" s="318" t="str">
        <f>B72</f>
        <v>FSV SPH PC CZ D65 FORTE UV35</v>
      </c>
      <c r="W72" s="319">
        <f t="shared" si="16"/>
        <v>0</v>
      </c>
      <c r="X72" s="319">
        <f t="shared" si="17"/>
        <v>0</v>
      </c>
      <c r="Y72" s="312" t="str">
        <f t="shared" si="18"/>
        <v/>
      </c>
      <c r="Z72" s="319">
        <f t="shared" si="19"/>
        <v>0</v>
      </c>
    </row>
    <row r="73" spans="1:26" outlineLevel="1" x14ac:dyDescent="0.25">
      <c r="A73" s="325" t="s">
        <v>68</v>
      </c>
      <c r="B73" s="34" t="s">
        <v>69</v>
      </c>
      <c r="C73" s="325" t="s">
        <v>47</v>
      </c>
      <c r="D73" s="325" t="s">
        <v>14</v>
      </c>
      <c r="E73" s="325" t="s">
        <v>15</v>
      </c>
      <c r="F73" s="311">
        <f>IFERROR(VLOOKUP($A73,'[1]MES Costing Report'!$A$2:$K$77,F$2,0),0)</f>
        <v>1534</v>
      </c>
      <c r="G73" s="311">
        <f>IFERROR(VLOOKUP($A73,'[1]MES Costing Report'!$A$2:$K$77,G$2,0),0)</f>
        <v>1296</v>
      </c>
      <c r="H73" s="312">
        <f t="shared" si="15"/>
        <v>0.84485006518904826</v>
      </c>
      <c r="I73" s="311">
        <f>IFERROR(VLOOKUP($A73,'[1]MES Costing Report'!$A$2:$K$77,I$2,0),0)</f>
        <v>2090</v>
      </c>
      <c r="J73" s="311">
        <f>IFERROR(VLOOKUP($A73,'[1]MES Costing Report'!$A$2:$K$77,J$2,0),0)</f>
        <v>312</v>
      </c>
      <c r="L73" s="313"/>
      <c r="M73" s="314">
        <v>2</v>
      </c>
      <c r="N73" s="322"/>
      <c r="O73" s="316"/>
      <c r="P73" s="317"/>
      <c r="Q73" s="355" t="str">
        <f>A73</f>
        <v>3547100650676EF</v>
      </c>
      <c r="R73" s="325" t="s">
        <v>47</v>
      </c>
      <c r="S73" s="325" t="s">
        <v>14</v>
      </c>
      <c r="T73" s="325" t="s">
        <v>15</v>
      </c>
      <c r="U73" s="310">
        <f>VLOOKUP(A73,'MES Costing Report'!B$2:N$77,7,)</f>
        <v>0</v>
      </c>
      <c r="V73" s="355" t="str">
        <f>B73</f>
        <v>FSV KIDS 65 OFG</v>
      </c>
      <c r="W73" s="319">
        <f t="shared" si="16"/>
        <v>1534</v>
      </c>
      <c r="X73" s="319">
        <f t="shared" si="17"/>
        <v>1298</v>
      </c>
      <c r="Y73" s="312">
        <f t="shared" si="18"/>
        <v>0.84615384615384615</v>
      </c>
      <c r="Z73" s="319">
        <f t="shared" si="19"/>
        <v>312</v>
      </c>
    </row>
    <row r="74" spans="1:26" outlineLevel="1" x14ac:dyDescent="0.25">
      <c r="A74" s="310" t="s">
        <v>71</v>
      </c>
      <c r="B74" s="318" t="s">
        <v>17</v>
      </c>
      <c r="C74" s="310" t="s">
        <v>47</v>
      </c>
      <c r="D74" s="310" t="s">
        <v>14</v>
      </c>
      <c r="E74" s="310" t="s">
        <v>15</v>
      </c>
      <c r="F74" s="311">
        <f>IFERROR(VLOOKUP($A74,'[1]MES Costing Report'!$A$2:$K$77,F$2,0),0)</f>
        <v>55</v>
      </c>
      <c r="G74" s="311">
        <f>IFERROR(VLOOKUP($A74,'[1]MES Costing Report'!$A$2:$K$77,G$2,0),0)</f>
        <v>19</v>
      </c>
      <c r="H74" s="312">
        <f t="shared" si="15"/>
        <v>0.34545454545454546</v>
      </c>
      <c r="I74" s="311">
        <f>IFERROR(VLOOKUP($A74,'[1]MES Costing Report'!$A$2:$K$77,I$2,0),0)</f>
        <v>56</v>
      </c>
      <c r="J74" s="311">
        <f>IFERROR(VLOOKUP($A74,'[1]MES Costing Report'!$A$2:$K$77,J$2,0),0)</f>
        <v>2</v>
      </c>
      <c r="L74" s="313"/>
      <c r="M74" s="314">
        <v>18</v>
      </c>
      <c r="N74" s="322"/>
      <c r="O74" s="358"/>
      <c r="P74" s="317"/>
      <c r="Q74" s="318" t="str">
        <f>A74</f>
        <v>3547100650770EF</v>
      </c>
      <c r="R74" s="310" t="s">
        <v>47</v>
      </c>
      <c r="S74" s="310" t="s">
        <v>14</v>
      </c>
      <c r="T74" s="310" t="s">
        <v>15</v>
      </c>
      <c r="U74" s="310">
        <f>VLOOKUP(A74,'MES Costing Report'!B$2:N$77,7,)</f>
        <v>0</v>
      </c>
      <c r="V74" s="318" t="str">
        <f>B74</f>
        <v>SAPPHIR LAGOON</v>
      </c>
      <c r="W74" s="319">
        <f t="shared" si="16"/>
        <v>55</v>
      </c>
      <c r="X74" s="319">
        <f t="shared" si="17"/>
        <v>37</v>
      </c>
      <c r="Y74" s="312">
        <f t="shared" si="18"/>
        <v>0.67272727272727273</v>
      </c>
      <c r="Z74" s="319">
        <f t="shared" si="19"/>
        <v>2</v>
      </c>
    </row>
    <row r="75" spans="1:26" outlineLevel="1" x14ac:dyDescent="0.25">
      <c r="A75" s="310" t="s">
        <v>82</v>
      </c>
      <c r="B75" s="5" t="s">
        <v>83</v>
      </c>
      <c r="C75" s="310" t="s">
        <v>47</v>
      </c>
      <c r="D75" s="310" t="s">
        <v>14</v>
      </c>
      <c r="E75" s="310" t="s">
        <v>15</v>
      </c>
      <c r="F75" s="311">
        <f>IFERROR(VLOOKUP($A75,'[1]MES Costing Report'!$A$2:$K$77,F$2,0),0)</f>
        <v>432</v>
      </c>
      <c r="G75" s="311">
        <f>IFERROR(VLOOKUP($A75,'[1]MES Costing Report'!$A$2:$K$77,G$2,0),0)</f>
        <v>352</v>
      </c>
      <c r="H75" s="312">
        <f t="shared" si="15"/>
        <v>0.81481481481481477</v>
      </c>
      <c r="I75" s="311">
        <f>IFERROR(VLOOKUP($A75,'[1]MES Costing Report'!$A$2:$K$77,I$2,0),0)</f>
        <v>828</v>
      </c>
      <c r="J75" s="311">
        <f>IFERROR(VLOOKUP($A75,'[1]MES Costing Report'!$A$2:$K$77,J$2,0),0)</f>
        <v>2</v>
      </c>
      <c r="L75" s="313"/>
      <c r="M75" s="314"/>
      <c r="N75" s="322"/>
      <c r="O75" s="358"/>
      <c r="P75" s="317"/>
      <c r="Q75" s="361" t="s">
        <v>82</v>
      </c>
      <c r="R75" s="310" t="s">
        <v>47</v>
      </c>
      <c r="S75" s="310" t="s">
        <v>14</v>
      </c>
      <c r="T75" s="310" t="s">
        <v>15</v>
      </c>
      <c r="U75" s="310">
        <f>VLOOKUP(A75,'MES Costing Report'!B$2:N$77,7,)</f>
        <v>0</v>
      </c>
      <c r="V75" s="5" t="s">
        <v>63</v>
      </c>
      <c r="W75" s="319">
        <f t="shared" si="16"/>
        <v>432</v>
      </c>
      <c r="X75" s="319">
        <f t="shared" si="17"/>
        <v>352</v>
      </c>
      <c r="Y75" s="312">
        <f t="shared" si="18"/>
        <v>0.81481481481481477</v>
      </c>
      <c r="Z75" s="319">
        <f t="shared" si="19"/>
        <v>2</v>
      </c>
    </row>
    <row r="76" spans="1:26" outlineLevel="1" x14ac:dyDescent="0.25">
      <c r="A76" s="310" t="s">
        <v>76</v>
      </c>
      <c r="B76" s="318" t="s">
        <v>383</v>
      </c>
      <c r="C76" s="310" t="s">
        <v>47</v>
      </c>
      <c r="D76" s="310" t="s">
        <v>14</v>
      </c>
      <c r="E76" s="310" t="s">
        <v>15</v>
      </c>
      <c r="F76" s="311">
        <f>IFERROR(VLOOKUP($A76,'[1]MES Costing Report'!$A$2:$K$77,F$2,0),0)</f>
        <v>252</v>
      </c>
      <c r="G76" s="311">
        <f>IFERROR(VLOOKUP($A76,'[1]MES Costing Report'!$A$2:$K$77,G$2,0),0)</f>
        <v>218</v>
      </c>
      <c r="H76" s="312">
        <f t="shared" si="15"/>
        <v>0.86507936507936511</v>
      </c>
      <c r="I76" s="311">
        <f>IFERROR(VLOOKUP($A76,'[1]MES Costing Report'!$A$2:$K$77,I$2,0),0)</f>
        <v>436</v>
      </c>
      <c r="J76" s="311">
        <f>IFERROR(VLOOKUP($A76,'[1]MES Costing Report'!$A$2:$K$77,J$2,0),0)</f>
        <v>0</v>
      </c>
      <c r="L76" s="313"/>
      <c r="M76" s="314"/>
      <c r="N76" s="322"/>
      <c r="O76" s="358"/>
      <c r="P76" s="317"/>
      <c r="Q76" s="318" t="str">
        <f t="shared" ref="Q76:Q92" si="20">A76</f>
        <v>3547100700237EF</v>
      </c>
      <c r="R76" s="310" t="s">
        <v>47</v>
      </c>
      <c r="S76" s="310" t="s">
        <v>14</v>
      </c>
      <c r="T76" s="310" t="s">
        <v>15</v>
      </c>
      <c r="U76" s="310">
        <f>VLOOKUP(A76,'MES Costing Report'!B$2:N$77,7,)</f>
        <v>0</v>
      </c>
      <c r="V76" s="318" t="str">
        <f t="shared" ref="V76:V92" si="21">B76</f>
        <v>FSV SPHPC CZ AL+UV EU 70 OFG</v>
      </c>
      <c r="W76" s="319">
        <f t="shared" si="16"/>
        <v>252</v>
      </c>
      <c r="X76" s="319">
        <f t="shared" si="17"/>
        <v>218</v>
      </c>
      <c r="Y76" s="312">
        <f t="shared" si="18"/>
        <v>0.86507936507936511</v>
      </c>
      <c r="Z76" s="319">
        <f t="shared" si="19"/>
        <v>0</v>
      </c>
    </row>
    <row r="77" spans="1:26" outlineLevel="1" x14ac:dyDescent="0.25">
      <c r="A77" s="359" t="s">
        <v>79</v>
      </c>
      <c r="B77" s="360" t="s">
        <v>80</v>
      </c>
      <c r="C77" s="359" t="s">
        <v>47</v>
      </c>
      <c r="D77" s="359" t="s">
        <v>48</v>
      </c>
      <c r="E77" s="359" t="s">
        <v>15</v>
      </c>
      <c r="F77" s="311">
        <f>IFERROR(VLOOKUP($A77,'[1]MES Costing Report'!$A$2:$K$77,F$2,0),0)</f>
        <v>260</v>
      </c>
      <c r="G77" s="311">
        <f>IFERROR(VLOOKUP($A77,'[1]MES Costing Report'!$A$2:$K$77,G$2,0),0)</f>
        <v>247</v>
      </c>
      <c r="H77" s="312">
        <f t="shared" si="15"/>
        <v>0.95</v>
      </c>
      <c r="I77" s="311">
        <f>IFERROR(VLOOKUP($A77,'[1]MES Costing Report'!$A$2:$K$77,I$2,0),0)</f>
        <v>0</v>
      </c>
      <c r="J77" s="311">
        <f>IFERROR(VLOOKUP($A77,'[1]MES Costing Report'!$A$2:$K$77,J$2,0),0)</f>
        <v>350</v>
      </c>
      <c r="L77" s="326">
        <f>-F77</f>
        <v>-260</v>
      </c>
      <c r="M77" s="327">
        <f>-G77</f>
        <v>-247</v>
      </c>
      <c r="N77" s="356">
        <f>J77+3168</f>
        <v>3518</v>
      </c>
      <c r="O77" s="357"/>
      <c r="P77" s="317"/>
      <c r="Q77" s="318" t="str">
        <f t="shared" si="20"/>
        <v>354710070031401</v>
      </c>
      <c r="R77" s="359" t="s">
        <v>47</v>
      </c>
      <c r="S77" s="359" t="s">
        <v>48</v>
      </c>
      <c r="T77" s="359" t="s">
        <v>15</v>
      </c>
      <c r="U77" s="310">
        <f>VLOOKUP(A77,'MES Costing Report'!B$2:N$77,7,)</f>
        <v>0</v>
      </c>
      <c r="V77" s="318" t="str">
        <f t="shared" si="21"/>
        <v>FSV SPH PC 70 HC NTPC EP</v>
      </c>
      <c r="W77" s="319">
        <f t="shared" si="16"/>
        <v>0</v>
      </c>
      <c r="X77" s="319">
        <f t="shared" si="17"/>
        <v>0</v>
      </c>
      <c r="Y77" s="312" t="str">
        <f t="shared" si="18"/>
        <v/>
      </c>
      <c r="Z77" s="319">
        <f t="shared" si="19"/>
        <v>3868</v>
      </c>
    </row>
    <row r="78" spans="1:26" ht="22.5" outlineLevel="1" x14ac:dyDescent="0.25">
      <c r="A78" s="310" t="s">
        <v>84</v>
      </c>
      <c r="B78" s="318" t="s">
        <v>85</v>
      </c>
      <c r="C78" s="310" t="s">
        <v>47</v>
      </c>
      <c r="D78" s="310" t="s">
        <v>14</v>
      </c>
      <c r="E78" s="310" t="s">
        <v>15</v>
      </c>
      <c r="F78" s="311">
        <f>IFERROR(VLOOKUP($A78,'[1]MES Costing Report'!$A$2:$K$77,F$2,0),0)</f>
        <v>2</v>
      </c>
      <c r="G78" s="311">
        <f>IFERROR(VLOOKUP($A78,'[1]MES Costing Report'!$A$2:$K$77,G$2,0),0)</f>
        <v>0</v>
      </c>
      <c r="H78" s="312">
        <f t="shared" si="15"/>
        <v>0</v>
      </c>
      <c r="I78" s="311">
        <f>IFERROR(VLOOKUP($A78,'[1]MES Costing Report'!$A$2:$K$77,I$2,0),0)</f>
        <v>0</v>
      </c>
      <c r="J78" s="311">
        <f>IFERROR(VLOOKUP($A78,'[1]MES Costing Report'!$A$2:$K$77,J$2,0),0)</f>
        <v>0</v>
      </c>
      <c r="L78" s="313">
        <v>-2</v>
      </c>
      <c r="M78" s="314"/>
      <c r="N78" s="322"/>
      <c r="O78" s="316" t="s">
        <v>373</v>
      </c>
      <c r="P78" s="317"/>
      <c r="Q78" s="318" t="str">
        <f t="shared" si="20"/>
        <v>3547100700675EF</v>
      </c>
      <c r="R78" s="310" t="s">
        <v>47</v>
      </c>
      <c r="S78" s="310" t="s">
        <v>14</v>
      </c>
      <c r="T78" s="310" t="s">
        <v>15</v>
      </c>
      <c r="U78" s="310">
        <f>VLOOKUP(A78,'MES Costing Report'!B$2:N$77,7,)</f>
        <v>0</v>
      </c>
      <c r="V78" s="318" t="str">
        <f t="shared" si="21"/>
        <v>FSV SPH PC CZ D70 FORTE UV35</v>
      </c>
      <c r="W78" s="319">
        <f t="shared" si="16"/>
        <v>0</v>
      </c>
      <c r="X78" s="319">
        <f t="shared" si="17"/>
        <v>0</v>
      </c>
      <c r="Y78" s="312" t="str">
        <f t="shared" si="18"/>
        <v/>
      </c>
      <c r="Z78" s="319">
        <f t="shared" si="19"/>
        <v>0</v>
      </c>
    </row>
    <row r="79" spans="1:26" outlineLevel="1" x14ac:dyDescent="0.25">
      <c r="A79" s="310" t="s">
        <v>86</v>
      </c>
      <c r="B79" s="318" t="s">
        <v>17</v>
      </c>
      <c r="C79" s="310" t="s">
        <v>47</v>
      </c>
      <c r="D79" s="310" t="s">
        <v>14</v>
      </c>
      <c r="E79" s="310" t="s">
        <v>15</v>
      </c>
      <c r="F79" s="311">
        <f>IFERROR(VLOOKUP($A79,'[1]MES Costing Report'!$A$2:$K$77,F$2,0),0)</f>
        <v>111</v>
      </c>
      <c r="G79" s="311">
        <f>IFERROR(VLOOKUP($A79,'[1]MES Costing Report'!$A$2:$K$77,G$2,0),0)</f>
        <v>81</v>
      </c>
      <c r="H79" s="312">
        <f t="shared" si="15"/>
        <v>0.72972972972972971</v>
      </c>
      <c r="I79" s="311">
        <f>IFERROR(VLOOKUP($A79,'[1]MES Costing Report'!$A$2:$K$77,I$2,0),0)</f>
        <v>168</v>
      </c>
      <c r="J79" s="311">
        <f>IFERROR(VLOOKUP($A79,'[1]MES Costing Report'!$A$2:$K$77,J$2,0),0)</f>
        <v>4</v>
      </c>
      <c r="L79" s="313"/>
      <c r="M79" s="314">
        <v>1</v>
      </c>
      <c r="N79" s="322"/>
      <c r="O79" s="316"/>
      <c r="P79" s="317"/>
      <c r="Q79" s="318" t="str">
        <f t="shared" si="20"/>
        <v>3547100700770EF</v>
      </c>
      <c r="R79" s="310" t="s">
        <v>47</v>
      </c>
      <c r="S79" s="310" t="s">
        <v>14</v>
      </c>
      <c r="T79" s="310" t="s">
        <v>15</v>
      </c>
      <c r="U79" s="310">
        <f>VLOOKUP(A79,'MES Costing Report'!B$2:N$77,7,)</f>
        <v>0</v>
      </c>
      <c r="V79" s="318" t="str">
        <f t="shared" si="21"/>
        <v>SAPPHIR LAGOON</v>
      </c>
      <c r="W79" s="319">
        <f t="shared" si="16"/>
        <v>111</v>
      </c>
      <c r="X79" s="319">
        <f t="shared" si="17"/>
        <v>82</v>
      </c>
      <c r="Y79" s="312">
        <f t="shared" si="18"/>
        <v>0.73873873873873874</v>
      </c>
      <c r="Z79" s="319">
        <f t="shared" si="19"/>
        <v>4</v>
      </c>
    </row>
    <row r="80" spans="1:26" ht="15" customHeight="1" outlineLevel="1" x14ac:dyDescent="0.25">
      <c r="A80" s="310" t="s">
        <v>111</v>
      </c>
      <c r="B80" s="318" t="s">
        <v>112</v>
      </c>
      <c r="C80" s="310" t="s">
        <v>47</v>
      </c>
      <c r="D80" s="310" t="s">
        <v>48</v>
      </c>
      <c r="E80" s="310" t="s">
        <v>113</v>
      </c>
      <c r="F80" s="311">
        <f>IFERROR(VLOOKUP($A80,'[1]MES Costing Report'!$A$2:$K$77,F$2,0),0)</f>
        <v>0</v>
      </c>
      <c r="G80" s="311">
        <f>IFERROR(VLOOKUP($A80,'[1]MES Costing Report'!$A$2:$K$77,G$2,0),0)</f>
        <v>0</v>
      </c>
      <c r="H80" s="312" t="str">
        <f t="shared" si="15"/>
        <v/>
      </c>
      <c r="I80" s="311">
        <f>IFERROR(VLOOKUP($A80,'[1]MES Costing Report'!$A$2:$K$77,I$2,0),0)</f>
        <v>0</v>
      </c>
      <c r="J80" s="311">
        <f>IFERROR(VLOOKUP($A80,'[1]MES Costing Report'!$A$2:$K$77,J$2,0),0)</f>
        <v>0</v>
      </c>
      <c r="L80" s="313"/>
      <c r="M80" s="314"/>
      <c r="N80" s="314"/>
      <c r="O80" s="316"/>
      <c r="P80" s="317"/>
      <c r="Q80" s="2" t="str">
        <f t="shared" si="20"/>
        <v>531510080231400</v>
      </c>
      <c r="R80" s="310" t="s">
        <v>47</v>
      </c>
      <c r="S80" s="310" t="s">
        <v>48</v>
      </c>
      <c r="T80" s="310" t="s">
        <v>113</v>
      </c>
      <c r="U80" s="310">
        <f>VLOOKUP(A80,'MES Costing Report'!B$2:N$77,7,)</f>
        <v>0</v>
      </c>
      <c r="V80" s="318" t="str">
        <f t="shared" si="21"/>
        <v>SF EVOLIS PC 80 NTPC</v>
      </c>
      <c r="W80" s="319">
        <f t="shared" si="16"/>
        <v>0</v>
      </c>
      <c r="X80" s="319">
        <f t="shared" si="17"/>
        <v>0</v>
      </c>
      <c r="Y80" s="312" t="str">
        <f t="shared" si="18"/>
        <v/>
      </c>
      <c r="Z80" s="319">
        <f t="shared" si="19"/>
        <v>0</v>
      </c>
    </row>
    <row r="81" spans="1:38" outlineLevel="1" x14ac:dyDescent="0.25">
      <c r="A81" s="310" t="s">
        <v>114</v>
      </c>
      <c r="B81" s="318" t="s">
        <v>115</v>
      </c>
      <c r="C81" s="310" t="s">
        <v>47</v>
      </c>
      <c r="D81" s="310" t="s">
        <v>32</v>
      </c>
      <c r="E81" s="310" t="s">
        <v>113</v>
      </c>
      <c r="F81" s="311">
        <f>IFERROR(VLOOKUP($A81,'[1]MES Costing Report'!$A$2:$K$77,F$2,0),0)</f>
        <v>106592</v>
      </c>
      <c r="G81" s="311">
        <f>IFERROR(VLOOKUP($A81,'[1]MES Costing Report'!$A$2:$K$77,G$2,0),0)</f>
        <v>102830</v>
      </c>
      <c r="H81" s="312">
        <f t="shared" si="15"/>
        <v>0.96470654458120686</v>
      </c>
      <c r="I81" s="311">
        <f>IFERROR(VLOOKUP($A81,'[1]MES Costing Report'!$A$2:$K$77,I$2,0),0)</f>
        <v>0</v>
      </c>
      <c r="J81" s="311">
        <f>IFERROR(VLOOKUP($A81,'[1]MES Costing Report'!$A$2:$K$77,J$2,0),0)</f>
        <v>1275</v>
      </c>
      <c r="K81" s="362"/>
      <c r="L81" s="313"/>
      <c r="M81" s="314"/>
      <c r="N81" s="322"/>
      <c r="O81" s="316"/>
      <c r="P81" s="317"/>
      <c r="Q81" s="2" t="str">
        <f t="shared" si="20"/>
        <v>547410081200000</v>
      </c>
      <c r="R81" s="310" t="s">
        <v>47</v>
      </c>
      <c r="S81" s="310" t="s">
        <v>32</v>
      </c>
      <c r="T81" s="310" t="s">
        <v>113</v>
      </c>
      <c r="U81" s="310" t="str">
        <f>VLOOKUP(A81,'MES Costing Report'!B$2:N$77,7,)</f>
        <v>UNCOAT TS DESTINATAIRE</v>
      </c>
      <c r="V81" s="318" t="str">
        <f t="shared" si="21"/>
        <v>SF GX PC 80 UNCOAT</v>
      </c>
      <c r="W81" s="319">
        <f t="shared" ref="W81:W92" si="22">F81+L81</f>
        <v>106592</v>
      </c>
      <c r="X81" s="319">
        <f>G81+M83</f>
        <v>102830</v>
      </c>
      <c r="Y81" s="312">
        <f t="shared" si="18"/>
        <v>0.96470654458120686</v>
      </c>
      <c r="Z81" s="319">
        <f t="shared" si="19"/>
        <v>1275</v>
      </c>
    </row>
    <row r="82" spans="1:38" outlineLevel="1" x14ac:dyDescent="0.25">
      <c r="A82" s="310" t="s">
        <v>116</v>
      </c>
      <c r="B82" s="318" t="s">
        <v>117</v>
      </c>
      <c r="C82" s="310" t="s">
        <v>47</v>
      </c>
      <c r="D82" s="310" t="s">
        <v>48</v>
      </c>
      <c r="E82" s="310" t="s">
        <v>113</v>
      </c>
      <c r="F82" s="311">
        <f>IFERROR(VLOOKUP($A82,'[1]MES Costing Report'!$A$2:$K$77,F$2,0),0)</f>
        <v>17200</v>
      </c>
      <c r="G82" s="311">
        <f>IFERROR(VLOOKUP($A82,'[1]MES Costing Report'!$A$2:$K$77,G$2,0),0)</f>
        <v>16085</v>
      </c>
      <c r="H82" s="312">
        <f t="shared" si="15"/>
        <v>0.93517441860465111</v>
      </c>
      <c r="I82" s="311">
        <f>IFERROR(VLOOKUP($A82,'[1]MES Costing Report'!$A$2:$K$77,I$2,0),0)</f>
        <v>0</v>
      </c>
      <c r="J82" s="311">
        <f>IFERROR(VLOOKUP($A82,'[1]MES Costing Report'!$A$2:$K$77,J$2,0),0)</f>
        <v>2489</v>
      </c>
      <c r="L82" s="363"/>
      <c r="M82" s="314"/>
      <c r="N82" s="364"/>
      <c r="O82" s="365"/>
      <c r="P82" s="317"/>
      <c r="Q82" s="2" t="str">
        <f t="shared" si="20"/>
        <v>547410081231401</v>
      </c>
      <c r="R82" s="310" t="s">
        <v>47</v>
      </c>
      <c r="S82" s="310" t="s">
        <v>48</v>
      </c>
      <c r="T82" s="310" t="s">
        <v>113</v>
      </c>
      <c r="U82" s="310">
        <f>VLOOKUP(A82,'MES Costing Report'!B$2:N$77,7,)</f>
        <v>0</v>
      </c>
      <c r="V82" s="318" t="str">
        <f t="shared" si="21"/>
        <v>SF GX PC 80 NTPC</v>
      </c>
      <c r="W82" s="319">
        <f t="shared" si="22"/>
        <v>17200</v>
      </c>
      <c r="X82" s="319">
        <f t="shared" ref="X82:X92" si="23">G82+M82</f>
        <v>16085</v>
      </c>
      <c r="Y82" s="312">
        <f t="shared" si="18"/>
        <v>0.93517441860465111</v>
      </c>
      <c r="Z82" s="319">
        <f t="shared" si="19"/>
        <v>2489</v>
      </c>
    </row>
    <row r="83" spans="1:38" outlineLevel="1" x14ac:dyDescent="0.25">
      <c r="A83" s="310" t="s">
        <v>118</v>
      </c>
      <c r="B83" s="318" t="s">
        <v>119</v>
      </c>
      <c r="C83" s="310" t="s">
        <v>47</v>
      </c>
      <c r="D83" s="310" t="s">
        <v>32</v>
      </c>
      <c r="E83" s="310" t="s">
        <v>113</v>
      </c>
      <c r="F83" s="311">
        <f>IFERROR(VLOOKUP($A83,'[1]MES Costing Report'!$A$2:$K$77,F$2,0),0)</f>
        <v>31360</v>
      </c>
      <c r="G83" s="311">
        <f>IFERROR(VLOOKUP($A83,'[1]MES Costing Report'!$A$2:$K$77,G$2,0),0)</f>
        <v>30395</v>
      </c>
      <c r="H83" s="312">
        <f t="shared" si="15"/>
        <v>0.96922831632653061</v>
      </c>
      <c r="I83" s="311">
        <f>IFERROR(VLOOKUP($A83,'[1]MES Costing Report'!$A$2:$K$77,I$2,0),0)</f>
        <v>26790</v>
      </c>
      <c r="J83" s="311">
        <f>IFERROR(VLOOKUP($A83,'[1]MES Costing Report'!$A$2:$K$77,J$2,0),0)</f>
        <v>0</v>
      </c>
      <c r="L83" s="313"/>
      <c r="M83" s="314"/>
      <c r="N83" s="322"/>
      <c r="O83" s="316"/>
      <c r="P83" s="317"/>
      <c r="Q83" s="2" t="str">
        <f t="shared" si="20"/>
        <v>548410081200000</v>
      </c>
      <c r="R83" s="310" t="s">
        <v>47</v>
      </c>
      <c r="S83" s="310" t="s">
        <v>32</v>
      </c>
      <c r="T83" s="310" t="s">
        <v>113</v>
      </c>
      <c r="U83" s="310" t="str">
        <f>VLOOKUP(A83,'MES Costing Report'!B$2:N$77,7,)</f>
        <v>UNCOAT TS DESTINATAIRE</v>
      </c>
      <c r="V83" s="318" t="str">
        <f t="shared" si="21"/>
        <v>SF ROCKY PC 80 UNCOAT</v>
      </c>
      <c r="W83" s="319">
        <f t="shared" si="22"/>
        <v>31360</v>
      </c>
      <c r="X83" s="319">
        <f t="shared" si="23"/>
        <v>30395</v>
      </c>
      <c r="Y83" s="312">
        <f t="shared" si="18"/>
        <v>0.96922831632653061</v>
      </c>
      <c r="Z83" s="319">
        <f t="shared" si="19"/>
        <v>0</v>
      </c>
    </row>
    <row r="84" spans="1:38" outlineLevel="1" x14ac:dyDescent="0.25">
      <c r="A84" s="310" t="s">
        <v>120</v>
      </c>
      <c r="B84" s="318" t="s">
        <v>121</v>
      </c>
      <c r="C84" s="310" t="s">
        <v>47</v>
      </c>
      <c r="D84" s="310" t="s">
        <v>48</v>
      </c>
      <c r="E84" s="310" t="s">
        <v>113</v>
      </c>
      <c r="F84" s="311">
        <f>IFERROR(VLOOKUP($A84,'[1]MES Costing Report'!$A$2:$K$77,F$2,0),0)</f>
        <v>21360</v>
      </c>
      <c r="G84" s="311">
        <f>IFERROR(VLOOKUP($A84,'[1]MES Costing Report'!$A$2:$K$77,G$2,0),0)</f>
        <v>19878</v>
      </c>
      <c r="H84" s="312">
        <f t="shared" si="15"/>
        <v>0.93061797752808983</v>
      </c>
      <c r="I84" s="311">
        <f>IFERROR(VLOOKUP($A84,'[1]MES Costing Report'!$A$2:$K$77,I$2,0),0)</f>
        <v>0</v>
      </c>
      <c r="J84" s="311">
        <f>IFERROR(VLOOKUP($A84,'[1]MES Costing Report'!$A$2:$K$77,J$2,0),0)</f>
        <v>6535</v>
      </c>
      <c r="K84" s="362"/>
      <c r="L84" s="313"/>
      <c r="M84" s="314"/>
      <c r="N84" s="322"/>
      <c r="O84" s="316"/>
      <c r="P84" s="317"/>
      <c r="Q84" s="2" t="str">
        <f t="shared" si="20"/>
        <v>548410081231400</v>
      </c>
      <c r="R84" s="310" t="s">
        <v>47</v>
      </c>
      <c r="S84" s="310" t="s">
        <v>48</v>
      </c>
      <c r="T84" s="310" t="s">
        <v>113</v>
      </c>
      <c r="U84" s="310">
        <f>VLOOKUP(A84,'MES Costing Report'!B$2:N$77,7,)</f>
        <v>0</v>
      </c>
      <c r="V84" s="318" t="str">
        <f t="shared" si="21"/>
        <v>SF ROCKY PC 80 NTPC</v>
      </c>
      <c r="W84" s="319">
        <f t="shared" si="22"/>
        <v>21360</v>
      </c>
      <c r="X84" s="319">
        <f t="shared" si="23"/>
        <v>19878</v>
      </c>
      <c r="Y84" s="312">
        <f t="shared" si="18"/>
        <v>0.93061797752808983</v>
      </c>
      <c r="Z84" s="319">
        <f t="shared" si="19"/>
        <v>6535</v>
      </c>
    </row>
    <row r="85" spans="1:38" ht="25.5" customHeight="1" outlineLevel="1" x14ac:dyDescent="0.25">
      <c r="A85" s="310" t="s">
        <v>125</v>
      </c>
      <c r="B85" s="318" t="s">
        <v>126</v>
      </c>
      <c r="C85" s="310" t="s">
        <v>47</v>
      </c>
      <c r="D85" s="310" t="s">
        <v>48</v>
      </c>
      <c r="E85" s="310" t="s">
        <v>124</v>
      </c>
      <c r="F85" s="311">
        <f>IFERROR(VLOOKUP($A85,'[1]MES Costing Report'!$A$2:$K$77,F$2,0),0)</f>
        <v>0</v>
      </c>
      <c r="G85" s="311">
        <f>IFERROR(VLOOKUP($A85,'[1]MES Costing Report'!$A$2:$K$77,G$2,0),0)</f>
        <v>0</v>
      </c>
      <c r="H85" s="312" t="str">
        <f t="shared" si="15"/>
        <v/>
      </c>
      <c r="I85" s="311">
        <f>IFERROR(VLOOKUP($A85,'[1]MES Costing Report'!$A$2:$K$77,I$2,0),0)</f>
        <v>0</v>
      </c>
      <c r="J85" s="311">
        <f>IFERROR(VLOOKUP($A85,'[1]MES Costing Report'!$A$2:$K$77,J$2,0),0)</f>
        <v>20</v>
      </c>
      <c r="L85" s="313"/>
      <c r="M85" s="314"/>
      <c r="N85" s="322">
        <v>-20</v>
      </c>
      <c r="O85" s="316" t="s">
        <v>373</v>
      </c>
      <c r="P85" s="317"/>
      <c r="Q85" s="318" t="str">
        <f t="shared" si="20"/>
        <v>554410076031400</v>
      </c>
      <c r="R85" s="310" t="s">
        <v>47</v>
      </c>
      <c r="S85" s="310" t="s">
        <v>48</v>
      </c>
      <c r="T85" s="310" t="s">
        <v>124</v>
      </c>
      <c r="U85" s="310">
        <f>VLOOKUP(A85,'MES Costing Report'!B$2:N$77,7,)</f>
        <v>0</v>
      </c>
      <c r="V85" s="318" t="str">
        <f t="shared" si="21"/>
        <v>SFSV ASPH PC 76 NTPC AIRWEAR</v>
      </c>
      <c r="W85" s="319">
        <f t="shared" si="22"/>
        <v>0</v>
      </c>
      <c r="X85" s="319">
        <f t="shared" si="23"/>
        <v>0</v>
      </c>
      <c r="Y85" s="312" t="str">
        <f t="shared" si="18"/>
        <v/>
      </c>
      <c r="Z85" s="319">
        <f t="shared" si="19"/>
        <v>0</v>
      </c>
    </row>
    <row r="86" spans="1:38" outlineLevel="1" x14ac:dyDescent="0.25">
      <c r="A86" s="310" t="s">
        <v>122</v>
      </c>
      <c r="B86" s="318" t="s">
        <v>126</v>
      </c>
      <c r="C86" s="310" t="s">
        <v>47</v>
      </c>
      <c r="D86" s="310" t="s">
        <v>48</v>
      </c>
      <c r="E86" s="310" t="s">
        <v>124</v>
      </c>
      <c r="F86" s="311">
        <f>IFERROR(VLOOKUP($A86,'[1]MES Costing Report'!$A$2:$K$77,F$2,0),0)</f>
        <v>0</v>
      </c>
      <c r="G86" s="311">
        <f>IFERROR(VLOOKUP($A86,'[1]MES Costing Report'!$A$2:$K$77,G$2,0),0)</f>
        <v>0</v>
      </c>
      <c r="H86" s="312" t="str">
        <f t="shared" si="15"/>
        <v/>
      </c>
      <c r="I86" s="311">
        <f>IFERROR(VLOOKUP($A86,'[1]MES Costing Report'!$A$2:$K$77,I$2,0),0)</f>
        <v>1650</v>
      </c>
      <c r="J86" s="311">
        <f>IFERROR(VLOOKUP($A86,'[1]MES Costing Report'!$A$2:$K$77,J$2,0),0)</f>
        <v>0</v>
      </c>
      <c r="L86" s="313"/>
      <c r="M86" s="314"/>
      <c r="N86" s="322"/>
      <c r="O86" s="316"/>
      <c r="P86" s="317"/>
      <c r="Q86" s="318" t="str">
        <f t="shared" si="20"/>
        <v>554410076000000</v>
      </c>
      <c r="R86" s="310" t="s">
        <v>47</v>
      </c>
      <c r="S86" s="310" t="s">
        <v>48</v>
      </c>
      <c r="T86" s="310" t="s">
        <v>124</v>
      </c>
      <c r="U86" s="310" t="str">
        <f>VLOOKUP(A86,'MES Costing Report'!B$2:N$77,7,)</f>
        <v>UNCOAT TS DESTINATAIRE</v>
      </c>
      <c r="V86" s="318" t="str">
        <f t="shared" si="21"/>
        <v>SFSV ASPH PC 76 NTPC AIRWEAR</v>
      </c>
      <c r="W86" s="319">
        <f t="shared" si="22"/>
        <v>0</v>
      </c>
      <c r="X86" s="319">
        <f t="shared" si="23"/>
        <v>0</v>
      </c>
      <c r="Y86" s="312" t="str">
        <f t="shared" si="18"/>
        <v/>
      </c>
      <c r="Z86" s="319">
        <f t="shared" si="19"/>
        <v>0</v>
      </c>
    </row>
    <row r="87" spans="1:38" s="12" customFormat="1" ht="22.5" outlineLevel="1" x14ac:dyDescent="0.25">
      <c r="A87" s="333" t="s">
        <v>129</v>
      </c>
      <c r="B87" s="366" t="s">
        <v>130</v>
      </c>
      <c r="C87" s="333" t="s">
        <v>47</v>
      </c>
      <c r="D87" s="333" t="s">
        <v>48</v>
      </c>
      <c r="E87" s="333" t="s">
        <v>124</v>
      </c>
      <c r="F87" s="311">
        <f>IFERROR(VLOOKUP($A87,'[1]MES Costing Report'!$A$2:$K$77,F$2,0),0)</f>
        <v>95440</v>
      </c>
      <c r="G87" s="311">
        <f>IFERROR(VLOOKUP($A87,'[1]MES Costing Report'!$A$2:$K$77,G$2,0),0)</f>
        <v>91795</v>
      </c>
      <c r="H87" s="312">
        <f t="shared" si="15"/>
        <v>0.96180846605196979</v>
      </c>
      <c r="I87" s="311">
        <f>IFERROR(VLOOKUP($A87,'[1]MES Costing Report'!$A$2:$K$77,I$2,0),0)</f>
        <v>93180</v>
      </c>
      <c r="J87" s="311">
        <f>IFERROR(VLOOKUP($A87,'[1]MES Costing Report'!$A$2:$K$77,J$2,0),0)</f>
        <v>8063</v>
      </c>
      <c r="K87" s="13"/>
      <c r="L87" s="314"/>
      <c r="M87" s="314"/>
      <c r="N87" s="367"/>
      <c r="O87" s="358" t="s">
        <v>384</v>
      </c>
      <c r="P87" s="317"/>
      <c r="Q87" s="368" t="str">
        <f t="shared" si="20"/>
        <v>554710076031400</v>
      </c>
      <c r="R87" s="333" t="s">
        <v>47</v>
      </c>
      <c r="S87" s="333" t="s">
        <v>48</v>
      </c>
      <c r="T87" s="333" t="s">
        <v>124</v>
      </c>
      <c r="U87" s="310">
        <f>VLOOKUP(A87,'MES Costing Report'!B$2:N$77,7,)</f>
        <v>0</v>
      </c>
      <c r="V87" s="368" t="str">
        <f t="shared" si="21"/>
        <v>SFSV SPH PC 76 NTPC AIRWEAR</v>
      </c>
      <c r="W87" s="369">
        <f t="shared" si="22"/>
        <v>95440</v>
      </c>
      <c r="X87" s="319">
        <f t="shared" si="23"/>
        <v>91795</v>
      </c>
      <c r="Y87" s="334">
        <f t="shared" si="18"/>
        <v>0.96180846605196979</v>
      </c>
      <c r="Z87" s="319">
        <f t="shared" si="19"/>
        <v>8063</v>
      </c>
      <c r="AA87" s="370"/>
      <c r="AB87" s="371"/>
      <c r="AC87" s="372"/>
      <c r="AF87" s="13"/>
    </row>
    <row r="88" spans="1:38" outlineLevel="1" x14ac:dyDescent="0.25">
      <c r="A88" s="310" t="s">
        <v>385</v>
      </c>
      <c r="B88" s="318" t="s">
        <v>386</v>
      </c>
      <c r="C88" s="310" t="s">
        <v>47</v>
      </c>
      <c r="D88" s="310" t="s">
        <v>48</v>
      </c>
      <c r="E88" s="310" t="s">
        <v>113</v>
      </c>
      <c r="F88" s="311">
        <f>IFERROR(VLOOKUP($A88,'[1]MES Costing Report'!$A$2:$K$77,F$2,0),0)</f>
        <v>0</v>
      </c>
      <c r="G88" s="311">
        <f>IFERROR(VLOOKUP($A88,'[1]MES Costing Report'!$A$2:$K$77,G$2,0),0)</f>
        <v>0</v>
      </c>
      <c r="H88" s="312" t="str">
        <f t="shared" si="15"/>
        <v/>
      </c>
      <c r="I88" s="311">
        <f>IFERROR(VLOOKUP($A88,'[1]MES Costing Report'!$A$2:$K$77,I$2,0),0)</f>
        <v>0</v>
      </c>
      <c r="J88" s="311">
        <f>IFERROR(VLOOKUP($A88,'[1]MES Costing Report'!$A$2:$K$77,J$2,0),0)</f>
        <v>0</v>
      </c>
      <c r="L88" s="313"/>
      <c r="M88" s="314"/>
      <c r="N88" s="322"/>
      <c r="O88" s="316"/>
      <c r="P88" s="317"/>
      <c r="Q88" s="2" t="str">
        <f t="shared" si="20"/>
        <v>556670080249300</v>
      </c>
      <c r="R88" s="310" t="s">
        <v>47</v>
      </c>
      <c r="S88" s="310" t="s">
        <v>48</v>
      </c>
      <c r="T88" s="310" t="s">
        <v>113</v>
      </c>
      <c r="U88" s="310" t="e">
        <f>VLOOKUP(A88,'MES Costing Report'!B$2:N$77,7,)</f>
        <v>#N/A</v>
      </c>
      <c r="V88" s="318" t="str">
        <f t="shared" si="21"/>
        <v>SF SELECTIVE PC 80 NTPC</v>
      </c>
      <c r="W88" s="319">
        <f t="shared" si="22"/>
        <v>0</v>
      </c>
      <c r="X88" s="319">
        <f t="shared" si="23"/>
        <v>0</v>
      </c>
      <c r="Y88" s="312" t="str">
        <f t="shared" si="18"/>
        <v/>
      </c>
      <c r="Z88" s="319">
        <f t="shared" si="19"/>
        <v>0</v>
      </c>
    </row>
    <row r="89" spans="1:38" outlineLevel="1" x14ac:dyDescent="0.25">
      <c r="A89" s="310" t="s">
        <v>131</v>
      </c>
      <c r="B89" s="318" t="s">
        <v>132</v>
      </c>
      <c r="C89" s="310" t="s">
        <v>47</v>
      </c>
      <c r="D89" s="310" t="s">
        <v>48</v>
      </c>
      <c r="E89" s="310" t="s">
        <v>113</v>
      </c>
      <c r="F89" s="311">
        <f>IFERROR(VLOOKUP($A89,'[1]MES Costing Report'!$A$2:$K$77,F$2,0),0)</f>
        <v>160</v>
      </c>
      <c r="G89" s="311">
        <f>IFERROR(VLOOKUP($A89,'[1]MES Costing Report'!$A$2:$K$77,G$2,0),0)</f>
        <v>152</v>
      </c>
      <c r="H89" s="312">
        <f t="shared" si="15"/>
        <v>0.95</v>
      </c>
      <c r="I89" s="311">
        <f>IFERROR(VLOOKUP($A89,'[1]MES Costing Report'!$A$2:$K$77,I$2,0),0)</f>
        <v>0</v>
      </c>
      <c r="J89" s="311">
        <f>IFERROR(VLOOKUP($A89,'[1]MES Costing Report'!$A$2:$K$77,J$2,0),0)</f>
        <v>0</v>
      </c>
      <c r="L89" s="313"/>
      <c r="M89" s="314"/>
      <c r="N89" s="322"/>
      <c r="O89" s="316"/>
      <c r="P89" s="317"/>
      <c r="Q89" s="2" t="str">
        <f t="shared" si="20"/>
        <v>5673100802314B1</v>
      </c>
      <c r="R89" s="310" t="s">
        <v>47</v>
      </c>
      <c r="S89" s="310" t="s">
        <v>48</v>
      </c>
      <c r="T89" s="310" t="s">
        <v>113</v>
      </c>
      <c r="U89" s="310">
        <f>VLOOKUP(A89,'MES Costing Report'!B$2:N$77,7,)</f>
        <v>0</v>
      </c>
      <c r="V89" s="318" t="str">
        <f t="shared" si="21"/>
        <v>SF SNL6 PC 80 NTPC</v>
      </c>
      <c r="W89" s="319">
        <f t="shared" si="22"/>
        <v>160</v>
      </c>
      <c r="X89" s="319">
        <f t="shared" si="23"/>
        <v>152</v>
      </c>
      <c r="Y89" s="312">
        <f t="shared" si="18"/>
        <v>0.95</v>
      </c>
      <c r="Z89" s="319">
        <f t="shared" si="19"/>
        <v>0</v>
      </c>
    </row>
    <row r="90" spans="1:38" outlineLevel="1" x14ac:dyDescent="0.25">
      <c r="A90" s="310" t="s">
        <v>133</v>
      </c>
      <c r="B90" s="318" t="s">
        <v>134</v>
      </c>
      <c r="C90" s="310" t="s">
        <v>47</v>
      </c>
      <c r="D90" s="310" t="s">
        <v>48</v>
      </c>
      <c r="E90" s="310" t="s">
        <v>113</v>
      </c>
      <c r="F90" s="311">
        <f>IFERROR(VLOOKUP($A90,'[1]MES Costing Report'!$A$2:$K$77,F$2,0),0)</f>
        <v>1664</v>
      </c>
      <c r="G90" s="311">
        <f>IFERROR(VLOOKUP($A90,'[1]MES Costing Report'!$A$2:$K$77,G$2,0),0)</f>
        <v>1441</v>
      </c>
      <c r="H90" s="312">
        <f t="shared" si="15"/>
        <v>0.86598557692307687</v>
      </c>
      <c r="I90" s="311">
        <f>IFERROR(VLOOKUP($A90,'[1]MES Costing Report'!$A$2:$K$77,I$2,0),0)</f>
        <v>0</v>
      </c>
      <c r="J90" s="311">
        <f>IFERROR(VLOOKUP($A90,'[1]MES Costing Report'!$A$2:$K$77,J$2,0),0)</f>
        <v>0</v>
      </c>
      <c r="L90" s="313"/>
      <c r="M90" s="314"/>
      <c r="N90" s="322"/>
      <c r="O90" s="316"/>
      <c r="P90" s="317"/>
      <c r="Q90" s="2" t="str">
        <f t="shared" si="20"/>
        <v>580410080231400</v>
      </c>
      <c r="R90" s="310" t="s">
        <v>47</v>
      </c>
      <c r="S90" s="310" t="s">
        <v>48</v>
      </c>
      <c r="T90" s="310" t="s">
        <v>113</v>
      </c>
      <c r="U90" s="310">
        <f>VLOOKUP(A90,'MES Costing Report'!B$2:N$77,7,)</f>
        <v>0</v>
      </c>
      <c r="V90" s="318" t="str">
        <f t="shared" si="21"/>
        <v>SF CONDE PC 80 NTPC</v>
      </c>
      <c r="W90" s="319">
        <f t="shared" si="22"/>
        <v>1664</v>
      </c>
      <c r="X90" s="319">
        <f t="shared" si="23"/>
        <v>1441</v>
      </c>
      <c r="Y90" s="312">
        <f t="shared" si="18"/>
        <v>0.86598557692307687</v>
      </c>
      <c r="Z90" s="319">
        <f t="shared" si="19"/>
        <v>0</v>
      </c>
    </row>
    <row r="91" spans="1:38" ht="101.25" outlineLevel="1" x14ac:dyDescent="0.25">
      <c r="A91" s="310" t="s">
        <v>135</v>
      </c>
      <c r="B91" s="318" t="s">
        <v>136</v>
      </c>
      <c r="C91" s="310" t="s">
        <v>47</v>
      </c>
      <c r="D91" s="310" t="s">
        <v>48</v>
      </c>
      <c r="E91" s="310" t="s">
        <v>113</v>
      </c>
      <c r="F91" s="311">
        <f>IFERROR(VLOOKUP($A91,'[1]MES Costing Report'!$A$2:$K$77,F$2,0),0)</f>
        <v>6228</v>
      </c>
      <c r="G91" s="311">
        <f>IFERROR(VLOOKUP($A91,'[1]MES Costing Report'!$A$2:$K$77,G$2,0),0)</f>
        <v>5664</v>
      </c>
      <c r="H91" s="312">
        <f t="shared" si="15"/>
        <v>0.90944123314065506</v>
      </c>
      <c r="I91" s="311">
        <f>IFERROR(VLOOKUP($A91,'[1]MES Costing Report'!$A$2:$K$77,I$2,0),0)</f>
        <v>6990</v>
      </c>
      <c r="J91" s="311">
        <f>IFERROR(VLOOKUP($A91,'[1]MES Costing Report'!$A$2:$K$77,J$2,0),0)</f>
        <v>648</v>
      </c>
      <c r="L91" s="339"/>
      <c r="M91" s="373"/>
      <c r="N91" s="341"/>
      <c r="O91" s="340" t="s">
        <v>387</v>
      </c>
      <c r="P91" s="317"/>
      <c r="Q91" s="2" t="str">
        <f t="shared" si="20"/>
        <v>580910080231400</v>
      </c>
      <c r="R91" s="310" t="s">
        <v>47</v>
      </c>
      <c r="S91" s="310" t="s">
        <v>48</v>
      </c>
      <c r="T91" s="310" t="s">
        <v>113</v>
      </c>
      <c r="U91" s="310">
        <f>VLOOKUP(A91,'MES Costing Report'!B$2:N$77,7,)</f>
        <v>0</v>
      </c>
      <c r="V91" s="318" t="str">
        <f t="shared" si="21"/>
        <v>SF OVATION PC 80 NTPC</v>
      </c>
      <c r="W91" s="319">
        <f t="shared" si="22"/>
        <v>6228</v>
      </c>
      <c r="X91" s="319">
        <f t="shared" si="23"/>
        <v>5664</v>
      </c>
      <c r="Y91" s="312">
        <f t="shared" si="18"/>
        <v>0.90944123314065506</v>
      </c>
      <c r="Z91" s="319">
        <f t="shared" si="19"/>
        <v>648</v>
      </c>
    </row>
    <row r="92" spans="1:38" ht="15.75" outlineLevel="1" thickBot="1" x14ac:dyDescent="0.3">
      <c r="A92" s="310" t="s">
        <v>127</v>
      </c>
      <c r="B92" s="318" t="s">
        <v>128</v>
      </c>
      <c r="C92" s="310" t="s">
        <v>47</v>
      </c>
      <c r="D92" s="310" t="s">
        <v>48</v>
      </c>
      <c r="E92" s="310" t="s">
        <v>113</v>
      </c>
      <c r="F92" s="311">
        <f>IFERROR(VLOOKUP($A92,'[1]MES Costing Report'!$A$2:$K$77,F$2,0),0)</f>
        <v>116551</v>
      </c>
      <c r="G92" s="311">
        <f>IFERROR(VLOOKUP($A92,'[1]MES Costing Report'!$A$2:$K$77,G$2,0),0)</f>
        <v>112330</v>
      </c>
      <c r="H92" s="312">
        <f t="shared" si="15"/>
        <v>0.96378409451656355</v>
      </c>
      <c r="I92" s="311">
        <f>IFERROR(VLOOKUP($A92,'[1]MES Costing Report'!$A$2:$K$77,I$2,0),0)</f>
        <v>104670</v>
      </c>
      <c r="J92" s="311">
        <f>IFERROR(VLOOKUP($A92,'[1]MES Costing Report'!$A$2:$K$77,J$2,0),0)</f>
        <v>8551</v>
      </c>
      <c r="L92" s="374"/>
      <c r="M92" s="375"/>
      <c r="N92" s="376"/>
      <c r="O92" s="377"/>
      <c r="P92" s="317"/>
      <c r="Q92" s="2" t="str">
        <f t="shared" si="20"/>
        <v>554710076000000</v>
      </c>
      <c r="R92" s="310" t="s">
        <v>47</v>
      </c>
      <c r="S92" s="310" t="s">
        <v>48</v>
      </c>
      <c r="T92" s="310" t="s">
        <v>113</v>
      </c>
      <c r="U92" s="310" t="str">
        <f>VLOOKUP(A92,'MES Costing Report'!B$2:N$77,7,)</f>
        <v>UNCOAT TS DESTINATAIRE</v>
      </c>
      <c r="V92" s="318" t="str">
        <f t="shared" si="21"/>
        <v>SFSV SPH PC 76 UNCOAT</v>
      </c>
      <c r="W92" s="319">
        <f t="shared" si="22"/>
        <v>116551</v>
      </c>
      <c r="X92" s="319">
        <f t="shared" si="23"/>
        <v>112330</v>
      </c>
      <c r="Y92" s="312">
        <f t="shared" si="18"/>
        <v>0.96378409451656355</v>
      </c>
      <c r="Z92" s="319">
        <f t="shared" si="19"/>
        <v>8551</v>
      </c>
    </row>
    <row r="93" spans="1:38" ht="23.25" customHeight="1" x14ac:dyDescent="0.25">
      <c r="M93" s="383" t="s">
        <v>388</v>
      </c>
      <c r="N93" s="13" t="s">
        <v>389</v>
      </c>
      <c r="P93" s="317"/>
    </row>
    <row r="94" spans="1:38" s="385" customFormat="1" x14ac:dyDescent="0.25">
      <c r="B94" s="379"/>
      <c r="C94" s="380"/>
      <c r="D94" s="380"/>
      <c r="E94" s="380"/>
      <c r="F94" s="381"/>
      <c r="G94" s="381"/>
      <c r="H94" s="382"/>
      <c r="I94" s="381"/>
      <c r="J94" s="381"/>
      <c r="K94" s="13"/>
      <c r="L94" s="387"/>
      <c r="M94" s="387" t="s">
        <v>390</v>
      </c>
      <c r="N94" s="387"/>
      <c r="O94" s="388"/>
      <c r="P94" s="317"/>
      <c r="R94" s="380"/>
      <c r="S94" s="380"/>
      <c r="T94" s="380"/>
      <c r="U94" s="380"/>
      <c r="V94" s="384"/>
      <c r="W94" s="381"/>
      <c r="Y94" s="386"/>
      <c r="Z94" s="13"/>
      <c r="AA94" s="305"/>
      <c r="AB94" s="306"/>
      <c r="AC94" s="307"/>
    </row>
    <row r="95" spans="1:38" s="385" customFormat="1" ht="22.5" x14ac:dyDescent="0.25">
      <c r="A95" s="389" t="s">
        <v>391</v>
      </c>
      <c r="B95" s="379"/>
      <c r="C95" s="380"/>
      <c r="D95" s="380"/>
      <c r="E95" s="380"/>
      <c r="F95" s="381"/>
      <c r="G95" s="381"/>
      <c r="H95" s="382"/>
      <c r="I95" s="381"/>
      <c r="J95" s="381"/>
      <c r="K95" s="13"/>
      <c r="L95" s="390"/>
      <c r="M95" s="387" t="s">
        <v>392</v>
      </c>
      <c r="N95" s="387"/>
      <c r="O95" s="388"/>
      <c r="P95" s="317"/>
      <c r="Q95" s="389" t="s">
        <v>393</v>
      </c>
      <c r="R95" s="380"/>
      <c r="S95" s="380"/>
      <c r="T95" s="380"/>
      <c r="U95" s="380"/>
      <c r="V95" s="384"/>
      <c r="W95" s="298" t="s">
        <v>5</v>
      </c>
      <c r="X95" s="298" t="s">
        <v>6</v>
      </c>
      <c r="Y95" s="304" t="s">
        <v>7</v>
      </c>
      <c r="Z95" s="298" t="s">
        <v>9</v>
      </c>
      <c r="AA95" s="294" t="s">
        <v>394</v>
      </c>
      <c r="AB95" s="294" t="s">
        <v>394</v>
      </c>
      <c r="AC95" s="307" t="s">
        <v>395</v>
      </c>
      <c r="AD95" s="385" t="s">
        <v>396</v>
      </c>
      <c r="AE95" s="385" t="s">
        <v>397</v>
      </c>
      <c r="AH95" s="391" t="s">
        <v>398</v>
      </c>
      <c r="AI95" s="392" t="s">
        <v>399</v>
      </c>
      <c r="AJ95" s="391" t="s">
        <v>400</v>
      </c>
    </row>
    <row r="96" spans="1:38" s="396" customFormat="1" outlineLevel="1" x14ac:dyDescent="0.25">
      <c r="A96" s="393" t="s">
        <v>401</v>
      </c>
      <c r="B96" s="394"/>
      <c r="C96" s="394"/>
      <c r="D96" s="394"/>
      <c r="E96" s="394"/>
      <c r="F96" s="394">
        <f>SUM(F4:F62)</f>
        <v>60951</v>
      </c>
      <c r="G96" s="394">
        <f>SUM(G4:G62)</f>
        <v>51298</v>
      </c>
      <c r="H96" s="395">
        <f t="shared" ref="H96:H101" si="24">IF(F96&gt;0,G96/F96,"")</f>
        <v>0.84162688060901381</v>
      </c>
      <c r="I96" s="394">
        <f>SUM(I4:I62)</f>
        <v>110363</v>
      </c>
      <c r="J96" s="394">
        <f>SUM(J4:J62)</f>
        <v>15740</v>
      </c>
      <c r="L96" s="397">
        <f>SUM(L4:L62)</f>
        <v>-2033</v>
      </c>
      <c r="M96" s="397">
        <f>SUM(M4:M62)</f>
        <v>-1955</v>
      </c>
      <c r="N96" s="397">
        <f>SUM(N4:N62)</f>
        <v>-114</v>
      </c>
      <c r="O96" s="397">
        <f>SUM(O4:O62)</f>
        <v>0</v>
      </c>
      <c r="P96" s="317"/>
      <c r="Q96" s="398" t="str">
        <f>A96</f>
        <v>TOTAL HI FSV</v>
      </c>
      <c r="R96" s="394"/>
      <c r="S96" s="394"/>
      <c r="T96" s="394"/>
      <c r="U96" s="394"/>
      <c r="V96" s="399"/>
      <c r="W96" s="394">
        <f>SUM(W4:W62)</f>
        <v>58918</v>
      </c>
      <c r="X96" s="394">
        <f>SUM(X4:X62)</f>
        <v>49343</v>
      </c>
      <c r="Y96" s="400">
        <f>X96/W96</f>
        <v>0.83748599748803421</v>
      </c>
      <c r="Z96" s="394">
        <f>SUM(Z4:Z62)</f>
        <v>15626</v>
      </c>
      <c r="AA96" s="401">
        <f>'[2]MES Adj'!U72</f>
        <v>0.81223366693452159</v>
      </c>
      <c r="AB96" s="295">
        <f>'[2]MES Adj'!V72</f>
        <v>14521</v>
      </c>
      <c r="AC96" s="305"/>
      <c r="AG96" s="396" t="s">
        <v>402</v>
      </c>
      <c r="AH96" s="402"/>
      <c r="AI96" s="403"/>
      <c r="AJ96" s="402" t="s">
        <v>403</v>
      </c>
      <c r="AK96" s="404" t="s">
        <v>404</v>
      </c>
      <c r="AL96" s="396" t="s">
        <v>403</v>
      </c>
    </row>
    <row r="97" spans="1:38" outlineLevel="1" x14ac:dyDescent="0.25">
      <c r="A97" s="405"/>
      <c r="B97" s="406" t="s">
        <v>405</v>
      </c>
      <c r="C97" s="405"/>
      <c r="D97" s="405"/>
      <c r="E97" s="405"/>
      <c r="F97" s="407">
        <f>SUM(F4:F27)</f>
        <v>37846</v>
      </c>
      <c r="G97" s="407">
        <f>SUM(G4:G27)</f>
        <v>31906</v>
      </c>
      <c r="H97" s="408">
        <f t="shared" si="24"/>
        <v>0.8430481424721239</v>
      </c>
      <c r="I97" s="407">
        <f>SUM(I4:I27)</f>
        <v>73831</v>
      </c>
      <c r="J97" s="407">
        <f>SUM(J4:J27)</f>
        <v>9157</v>
      </c>
      <c r="L97" s="409">
        <f>SUM(L4:L27)</f>
        <v>-1555</v>
      </c>
      <c r="M97" s="409">
        <f>SUM(M4:M27)</f>
        <v>-1503</v>
      </c>
      <c r="N97" s="409">
        <f>SUM(N4:N27)</f>
        <v>-51</v>
      </c>
      <c r="O97" s="409">
        <f>SUM(O4:O27)</f>
        <v>0</v>
      </c>
      <c r="P97" s="317"/>
      <c r="Q97" s="25"/>
      <c r="R97" s="405"/>
      <c r="S97" s="405"/>
      <c r="T97" s="405"/>
      <c r="U97" s="405"/>
      <c r="V97" s="410" t="str">
        <f>B97</f>
        <v>1,6 FSV</v>
      </c>
      <c r="W97" s="407">
        <f>SUM(W4:W27)</f>
        <v>36291</v>
      </c>
      <c r="X97" s="407">
        <f>SUM(X4:X27)</f>
        <v>30403</v>
      </c>
      <c r="Y97" s="411">
        <f>X97/W97</f>
        <v>0.83775591744509659</v>
      </c>
      <c r="Z97" s="407">
        <f>SUM(Z4:Z27)</f>
        <v>9106</v>
      </c>
      <c r="AA97" s="412">
        <f>'[2]MES Adj'!U73</f>
        <v>0.82304761904761903</v>
      </c>
      <c r="AB97" s="413">
        <f>'[2]MES Adj'!V73</f>
        <v>11503</v>
      </c>
      <c r="AC97" s="307">
        <v>39059</v>
      </c>
      <c r="AD97" s="414">
        <v>40205</v>
      </c>
      <c r="AE97" s="414">
        <f>+AD97-X97</f>
        <v>9802</v>
      </c>
      <c r="AF97" s="414"/>
      <c r="AG97" s="414">
        <f>+AH97-AI97</f>
        <v>29</v>
      </c>
      <c r="AH97" s="13">
        <v>50911</v>
      </c>
      <c r="AI97" s="414">
        <v>50882</v>
      </c>
      <c r="AJ97" s="414"/>
      <c r="AK97" s="414">
        <v>33193</v>
      </c>
      <c r="AL97" s="414">
        <f>AI97-AK97</f>
        <v>17689</v>
      </c>
    </row>
    <row r="98" spans="1:38" outlineLevel="1" x14ac:dyDescent="0.25">
      <c r="A98" s="405"/>
      <c r="B98" s="406" t="s">
        <v>406</v>
      </c>
      <c r="C98" s="405"/>
      <c r="D98" s="405"/>
      <c r="E98" s="405"/>
      <c r="F98" s="407">
        <f>SUM(F28:F46)</f>
        <v>3373</v>
      </c>
      <c r="G98" s="407">
        <f>SUM(G28:G46)</f>
        <v>2639</v>
      </c>
      <c r="H98" s="408">
        <f t="shared" si="24"/>
        <v>0.78238956418618444</v>
      </c>
      <c r="I98" s="407">
        <f>SUM(I28:I46)</f>
        <v>4111</v>
      </c>
      <c r="J98" s="407">
        <f>SUM(J28:J46)</f>
        <v>1123</v>
      </c>
      <c r="L98" s="409">
        <f>SUM(L28:L46)</f>
        <v>-478</v>
      </c>
      <c r="M98" s="409">
        <f>SUM(M28:M46)</f>
        <v>-477</v>
      </c>
      <c r="N98" s="409">
        <f>SUM(N28:N46)</f>
        <v>-43</v>
      </c>
      <c r="O98" s="409">
        <f>SUM(O28:O46)</f>
        <v>0</v>
      </c>
      <c r="P98" s="317"/>
      <c r="Q98" s="25"/>
      <c r="R98" s="405"/>
      <c r="S98" s="405"/>
      <c r="T98" s="405"/>
      <c r="U98" s="405"/>
      <c r="V98" s="410" t="str">
        <f>B98</f>
        <v>1,67 FSV</v>
      </c>
      <c r="W98" s="407">
        <f>SUM(W28:W52)</f>
        <v>9657</v>
      </c>
      <c r="X98" s="407">
        <f>SUM(X28:X52)</f>
        <v>7501</v>
      </c>
      <c r="Y98" s="411">
        <f>X98/W98</f>
        <v>0.77674225950088016</v>
      </c>
      <c r="Z98" s="407">
        <f>SUM(Z28:AE52)</f>
        <v>2654</v>
      </c>
      <c r="AA98" s="412">
        <f>'[2]MES Adj'!U74</f>
        <v>0.77662799205602595</v>
      </c>
      <c r="AB98" s="413">
        <f>'[2]MES Adj'!V74</f>
        <v>3018</v>
      </c>
      <c r="AC98" s="307">
        <v>6554</v>
      </c>
      <c r="AD98" s="414">
        <v>6052</v>
      </c>
      <c r="AE98" s="414">
        <f>+AD98-X98</f>
        <v>-1449</v>
      </c>
      <c r="AF98" s="414"/>
      <c r="AG98" s="414">
        <f>+AH98-AI98</f>
        <v>13</v>
      </c>
      <c r="AH98" s="414">
        <v>8421</v>
      </c>
      <c r="AI98" s="414">
        <v>8408</v>
      </c>
      <c r="AJ98" s="13">
        <f>AH98/W98</f>
        <v>0.87200994097545825</v>
      </c>
    </row>
    <row r="99" spans="1:38" outlineLevel="1" x14ac:dyDescent="0.25">
      <c r="A99" s="415"/>
      <c r="B99" s="416" t="s">
        <v>139</v>
      </c>
      <c r="C99" s="415"/>
      <c r="D99" s="415"/>
      <c r="E99" s="415"/>
      <c r="F99" s="417">
        <f>SUM(F53:F62)</f>
        <v>12970</v>
      </c>
      <c r="G99" s="417">
        <f>SUM(G53:G62)</f>
        <v>11422</v>
      </c>
      <c r="H99" s="408">
        <f t="shared" si="24"/>
        <v>0.88064764841942944</v>
      </c>
      <c r="I99" s="417">
        <f>SUM(I53:I62)</f>
        <v>21947</v>
      </c>
      <c r="J99" s="417">
        <f>SUM(J53:J62)</f>
        <v>3886</v>
      </c>
      <c r="L99" s="409">
        <f>SUM(L53:L62)</f>
        <v>0</v>
      </c>
      <c r="M99" s="409">
        <f>SUM(M53:M62)</f>
        <v>17</v>
      </c>
      <c r="N99" s="409">
        <f>SUM(N53:N62)</f>
        <v>-20</v>
      </c>
      <c r="O99" s="418">
        <f>SUM(O53:O62)</f>
        <v>0</v>
      </c>
      <c r="P99" s="317"/>
      <c r="Q99" s="419"/>
      <c r="R99" s="415"/>
      <c r="S99" s="415"/>
      <c r="T99" s="415"/>
      <c r="U99" s="415"/>
      <c r="V99" s="420" t="s">
        <v>139</v>
      </c>
      <c r="W99" s="417">
        <f>SUM(W53:W62)</f>
        <v>12970</v>
      </c>
      <c r="X99" s="417">
        <f>SUM(X53:X62)</f>
        <v>11439</v>
      </c>
      <c r="Y99" s="411">
        <f>X99/W99</f>
        <v>0.88195836545875095</v>
      </c>
      <c r="Z99" s="417">
        <f>SUM(Z53:Z62)</f>
        <v>3866</v>
      </c>
      <c r="AA99" s="412"/>
      <c r="AB99" s="413"/>
      <c r="AD99" s="414"/>
      <c r="AE99" s="414"/>
      <c r="AF99" s="414"/>
      <c r="AG99" s="414">
        <f>+AH99-AI99</f>
        <v>0</v>
      </c>
      <c r="AH99" s="421"/>
      <c r="AI99" s="414"/>
    </row>
    <row r="100" spans="1:38" x14ac:dyDescent="0.25">
      <c r="A100" s="422" t="s">
        <v>407</v>
      </c>
      <c r="B100" s="423" t="s">
        <v>408</v>
      </c>
      <c r="C100" s="422"/>
      <c r="D100" s="422"/>
      <c r="E100" s="422"/>
      <c r="F100" s="424">
        <f>F63</f>
        <v>0</v>
      </c>
      <c r="G100" s="424">
        <f>G63</f>
        <v>0</v>
      </c>
      <c r="H100" s="425" t="str">
        <f>IF(F100&gt;0,G100/F100,"")</f>
        <v/>
      </c>
      <c r="I100" s="424">
        <f>I63</f>
        <v>0</v>
      </c>
      <c r="J100" s="424">
        <f>J63</f>
        <v>0</v>
      </c>
      <c r="L100" s="397">
        <f>L63</f>
        <v>0</v>
      </c>
      <c r="M100" s="397">
        <f>M63</f>
        <v>0</v>
      </c>
      <c r="N100" s="397">
        <f>+N63</f>
        <v>0</v>
      </c>
      <c r="O100" s="426">
        <f>O63</f>
        <v>0</v>
      </c>
      <c r="P100" s="317"/>
      <c r="Q100" s="427" t="str">
        <f>A100</f>
        <v>HI SF MAGIC LEAP</v>
      </c>
      <c r="R100" s="422"/>
      <c r="S100" s="422"/>
      <c r="T100" s="422"/>
      <c r="U100" s="422"/>
      <c r="V100" s="427" t="str">
        <f>B100</f>
        <v>1,6 SFSV</v>
      </c>
      <c r="W100" s="428">
        <f>F100+L100</f>
        <v>0</v>
      </c>
      <c r="X100" s="428">
        <f>G100+M100</f>
        <v>0</v>
      </c>
      <c r="Y100" s="429" t="str">
        <f>IF(W100&gt;0,X100/W100,"")</f>
        <v/>
      </c>
      <c r="Z100" s="428">
        <f>J100+N100</f>
        <v>0</v>
      </c>
      <c r="AA100" s="412">
        <f>'[2]MES Adj'!U75</f>
        <v>0.55058499655884374</v>
      </c>
      <c r="AB100" s="413">
        <f>'[2]MES Adj'!V75</f>
        <v>620</v>
      </c>
      <c r="AD100" s="414"/>
      <c r="AF100" s="414"/>
      <c r="AG100" s="414">
        <v>57181</v>
      </c>
      <c r="AH100" s="430">
        <f>AH97/AG100</f>
        <v>0.89034819258145192</v>
      </c>
      <c r="AI100" s="414">
        <f>AH100/AG100</f>
        <v>1.5570699927973485E-5</v>
      </c>
    </row>
    <row r="101" spans="1:38" s="396" customFormat="1" outlineLevel="1" x14ac:dyDescent="0.25">
      <c r="A101" s="393" t="s">
        <v>409</v>
      </c>
      <c r="B101" s="431"/>
      <c r="C101" s="393"/>
      <c r="D101" s="393"/>
      <c r="E101" s="393"/>
      <c r="F101" s="394">
        <f>SUM(F64:F92)</f>
        <v>404543</v>
      </c>
      <c r="G101" s="394">
        <f>SUM(G64:G92)</f>
        <v>387181</v>
      </c>
      <c r="H101" s="395">
        <f t="shared" si="24"/>
        <v>0.95708243623051192</v>
      </c>
      <c r="I101" s="394">
        <f>SUM(I64:I92)</f>
        <v>244802</v>
      </c>
      <c r="J101" s="394">
        <f>SUM(J64:J92)</f>
        <v>29594</v>
      </c>
      <c r="L101" s="397">
        <f>SUM(L64:L93)</f>
        <v>-262</v>
      </c>
      <c r="M101" s="397">
        <f>SUM(M64:M93)</f>
        <v>-225</v>
      </c>
      <c r="N101" s="397">
        <f>SUM(N64:N93)</f>
        <v>5525</v>
      </c>
      <c r="O101" s="426">
        <f>SUM(O64:O93)</f>
        <v>0</v>
      </c>
      <c r="P101" s="317"/>
      <c r="Q101" s="398" t="str">
        <f>A101</f>
        <v>TOTAL PC</v>
      </c>
      <c r="R101" s="393"/>
      <c r="S101" s="393"/>
      <c r="T101" s="393"/>
      <c r="U101" s="393"/>
      <c r="V101" s="399"/>
      <c r="W101" s="394">
        <f>SUM(W64:W92)</f>
        <v>404281</v>
      </c>
      <c r="X101" s="394">
        <f>SUM(X64:X92)</f>
        <v>386956</v>
      </c>
      <c r="Y101" s="400">
        <f>X101/W101</f>
        <v>0.95714614340025872</v>
      </c>
      <c r="Z101" s="394">
        <f>SUM(Z64:Z92)</f>
        <v>35119</v>
      </c>
      <c r="AA101" s="401">
        <f>'[2]MES Adj'!U76</f>
        <v>0.94698852141789081</v>
      </c>
      <c r="AB101" s="295">
        <f>'[2]MES Adj'!V76</f>
        <v>41802</v>
      </c>
      <c r="AC101" s="294"/>
      <c r="AF101" s="414"/>
      <c r="AG101" s="414">
        <f>+AH101-AI101</f>
        <v>-1.5570699927973485E-5</v>
      </c>
      <c r="AI101" s="404">
        <f>AI100-AI99</f>
        <v>1.5570699927973485E-5</v>
      </c>
      <c r="AJ101" s="396">
        <v>151</v>
      </c>
    </row>
    <row r="102" spans="1:38" s="396" customFormat="1" outlineLevel="1" x14ac:dyDescent="0.25">
      <c r="A102" s="25"/>
      <c r="B102" s="410" t="s">
        <v>410</v>
      </c>
      <c r="C102" s="432"/>
      <c r="D102" s="432"/>
      <c r="E102" s="432"/>
      <c r="F102" s="407">
        <f>SUM(F64:F79)</f>
        <v>7988</v>
      </c>
      <c r="G102" s="407">
        <f>SUM(G64:G79)</f>
        <v>6611</v>
      </c>
      <c r="H102" s="408">
        <f>G102/F102</f>
        <v>0.82761642463695539</v>
      </c>
      <c r="I102" s="407">
        <f>SUM(I64:I79)</f>
        <v>11522</v>
      </c>
      <c r="J102" s="407">
        <f>SUM(J64:J79)</f>
        <v>2013</v>
      </c>
      <c r="L102" s="409">
        <f>SUM(L64:L79)</f>
        <v>-262</v>
      </c>
      <c r="M102" s="409">
        <f>SUM(M64:M79)</f>
        <v>-225</v>
      </c>
      <c r="N102" s="409">
        <f>SUM(N64:N79)</f>
        <v>5545</v>
      </c>
      <c r="O102" s="418">
        <f>SUM(O64:O79)</f>
        <v>0</v>
      </c>
      <c r="P102" s="317"/>
      <c r="Q102" s="25"/>
      <c r="R102" s="432"/>
      <c r="S102" s="432"/>
      <c r="T102" s="432"/>
      <c r="U102" s="432"/>
      <c r="V102" s="410" t="s">
        <v>410</v>
      </c>
      <c r="W102" s="407">
        <f>SUM(W64:W79)</f>
        <v>7726</v>
      </c>
      <c r="X102" s="407">
        <f>SUM(X64:X79)</f>
        <v>6386</v>
      </c>
      <c r="Y102" s="411">
        <f>X102/W102</f>
        <v>0.82655966865130726</v>
      </c>
      <c r="Z102" s="407">
        <f>SUM(Z64:Z79)</f>
        <v>7558</v>
      </c>
      <c r="AA102" s="412">
        <f>'[2]MES Adj'!U77</f>
        <v>0.72592169191197486</v>
      </c>
      <c r="AB102" s="413">
        <f>'[2]MES Adj'!V77</f>
        <v>13495</v>
      </c>
      <c r="AC102" s="292">
        <v>17921</v>
      </c>
      <c r="AD102" s="414">
        <v>18392</v>
      </c>
      <c r="AE102" s="404">
        <f>+AD102-AC102</f>
        <v>471</v>
      </c>
      <c r="AF102" s="414"/>
      <c r="AG102" s="414">
        <f>+AH102-AI102</f>
        <v>-41</v>
      </c>
      <c r="AH102" s="396">
        <f>10528</f>
        <v>10528</v>
      </c>
      <c r="AI102" s="396">
        <v>10569</v>
      </c>
      <c r="AJ102" s="396">
        <f>AI102-AH102</f>
        <v>41</v>
      </c>
    </row>
    <row r="103" spans="1:38" x14ac:dyDescent="0.25">
      <c r="A103" s="25"/>
      <c r="B103" s="410" t="s">
        <v>411</v>
      </c>
      <c r="C103" s="433"/>
      <c r="D103" s="433"/>
      <c r="E103" s="433"/>
      <c r="F103" s="407">
        <f>F101-F102</f>
        <v>396555</v>
      </c>
      <c r="G103" s="407">
        <f>G101-G102</f>
        <v>380570</v>
      </c>
      <c r="H103" s="408">
        <f>G103/F103</f>
        <v>0.95969033299290141</v>
      </c>
      <c r="I103" s="407">
        <f>I101-I102</f>
        <v>233280</v>
      </c>
      <c r="J103" s="407">
        <f>J101-J102</f>
        <v>27581</v>
      </c>
      <c r="L103" s="409">
        <f>L101-L102</f>
        <v>0</v>
      </c>
      <c r="M103" s="409">
        <f>M101-M102</f>
        <v>0</v>
      </c>
      <c r="N103" s="409">
        <f>N101-N102</f>
        <v>-20</v>
      </c>
      <c r="O103" s="418">
        <f>O101-O102</f>
        <v>0</v>
      </c>
      <c r="P103" s="317"/>
      <c r="Q103" s="25"/>
      <c r="R103" s="433"/>
      <c r="S103" s="433"/>
      <c r="T103" s="433"/>
      <c r="U103" s="433"/>
      <c r="V103" s="410" t="s">
        <v>411</v>
      </c>
      <c r="W103" s="407">
        <f>W101-W102</f>
        <v>396555</v>
      </c>
      <c r="X103" s="407">
        <f>X101-X102</f>
        <v>380570</v>
      </c>
      <c r="Y103" s="411">
        <f>X103/W103</f>
        <v>0.95969033299290141</v>
      </c>
      <c r="Z103" s="407">
        <f>Z101-Z102</f>
        <v>27561</v>
      </c>
      <c r="AA103" s="412">
        <f>'[2]MES Adj'!U78</f>
        <v>0.95583341909368458</v>
      </c>
      <c r="AB103" s="413">
        <f>'[2]MES Adj'!V78</f>
        <v>28307</v>
      </c>
      <c r="AC103" s="292">
        <v>268739</v>
      </c>
      <c r="AD103" s="414">
        <f>+X103-AC103</f>
        <v>111831</v>
      </c>
      <c r="AE103" s="414"/>
      <c r="AF103" s="414"/>
      <c r="AG103" s="414">
        <f>+AH103-AI103</f>
        <v>13600</v>
      </c>
      <c r="AH103" s="13">
        <v>392540</v>
      </c>
      <c r="AI103" s="13">
        <v>378940</v>
      </c>
    </row>
    <row r="104" spans="1:38" x14ac:dyDescent="0.25">
      <c r="A104" s="434" t="s">
        <v>412</v>
      </c>
      <c r="B104" s="435"/>
      <c r="C104" s="434"/>
      <c r="D104" s="434"/>
      <c r="E104" s="434"/>
      <c r="F104" s="436">
        <f>F96+F101+F100</f>
        <v>465494</v>
      </c>
      <c r="G104" s="436">
        <f>G96+G101+G100</f>
        <v>438479</v>
      </c>
      <c r="H104" s="437">
        <f>IF(F104&gt;0,G104/F104,"")</f>
        <v>0.94196488032069159</v>
      </c>
      <c r="I104" s="436">
        <f>I96+I101+I100</f>
        <v>355165</v>
      </c>
      <c r="J104" s="436">
        <f>J96+J101+J100</f>
        <v>45334</v>
      </c>
      <c r="L104" s="397">
        <f>L96+L101</f>
        <v>-2295</v>
      </c>
      <c r="M104" s="397">
        <f>M96+M101</f>
        <v>-2180</v>
      </c>
      <c r="N104" s="397">
        <f>N96+N101</f>
        <v>5411</v>
      </c>
      <c r="O104" s="426">
        <f>O96+O101</f>
        <v>0</v>
      </c>
      <c r="P104" s="317"/>
      <c r="Q104" s="438" t="str">
        <f>A104</f>
        <v>HI +PC</v>
      </c>
      <c r="R104" s="434"/>
      <c r="S104" s="434"/>
      <c r="T104" s="434"/>
      <c r="U104" s="434"/>
      <c r="V104" s="439"/>
      <c r="W104" s="440">
        <f>W96+W101+W100</f>
        <v>463199</v>
      </c>
      <c r="X104" s="440">
        <f>X96+X101+X100</f>
        <v>436299</v>
      </c>
      <c r="Y104" s="441">
        <f>X104/W104</f>
        <v>0.94192560864768704</v>
      </c>
      <c r="Z104" s="440">
        <f>Z96+Z101+Z100</f>
        <v>50745</v>
      </c>
      <c r="AA104" s="412">
        <f>'[2]MES Adj'!U79</f>
        <v>0.91976348340640934</v>
      </c>
      <c r="AB104" s="413">
        <f>'[2]MES Adj'!V79</f>
        <v>56943</v>
      </c>
      <c r="AD104" s="414"/>
      <c r="AF104" s="414"/>
    </row>
    <row r="105" spans="1:38" x14ac:dyDescent="0.25">
      <c r="F105" s="442"/>
      <c r="G105" s="442"/>
      <c r="H105" s="442"/>
      <c r="I105" s="442"/>
      <c r="J105" s="442"/>
      <c r="W105" s="443"/>
      <c r="X105" s="443"/>
      <c r="Y105" s="443"/>
      <c r="Z105" s="414"/>
    </row>
    <row r="106" spans="1:38" x14ac:dyDescent="0.25">
      <c r="L106" s="444"/>
      <c r="M106" s="444"/>
      <c r="N106" s="444"/>
      <c r="X106" s="443"/>
      <c r="Y106" s="445"/>
      <c r="Z106" s="414"/>
    </row>
    <row r="107" spans="1:38" x14ac:dyDescent="0.25">
      <c r="L107" s="13" t="s">
        <v>413</v>
      </c>
      <c r="Q107" s="414"/>
      <c r="X107" s="443"/>
      <c r="Z107" s="414"/>
    </row>
    <row r="108" spans="1:38" ht="15.75" x14ac:dyDescent="0.25">
      <c r="V108" s="446"/>
      <c r="X108" s="443"/>
    </row>
  </sheetData>
  <mergeCells count="2">
    <mergeCell ref="L2:O2"/>
    <mergeCell ref="Q2:Z2"/>
  </mergeCells>
  <printOptions horizontalCentered="1"/>
  <pageMargins left="0.51181102362204722" right="0.51181102362204722" top="0.35433070866141736" bottom="0.39370078740157483" header="0.31496062992125984" footer="0.31496062992125984"/>
  <pageSetup paperSize="9" scale="40" orientation="landscape" r:id="rId1"/>
  <headerFooter>
    <oddFooter>&amp;R&amp;Z&amp;F&amp;A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C00000"/>
    <pageSetUpPr fitToPage="1"/>
  </sheetPr>
  <dimension ref="A1:Q92"/>
  <sheetViews>
    <sheetView workbookViewId="0">
      <pane ySplit="1" topLeftCell="A53" activePane="bottomLeft" state="frozen"/>
      <selection pane="bottomLeft" activeCell="B2" sqref="B2:B77"/>
    </sheetView>
  </sheetViews>
  <sheetFormatPr baseColWidth="10" defaultRowHeight="15" outlineLevelRow="1" x14ac:dyDescent="0.25"/>
  <cols>
    <col min="1" max="1" width="11.42578125" style="15"/>
    <col min="2" max="2" width="16.42578125" style="13" customWidth="1"/>
    <col min="3" max="3" width="37.85546875" style="13" customWidth="1"/>
    <col min="4" max="4" width="9.85546875" style="13" bestFit="1" customWidth="1"/>
    <col min="5" max="5" width="11" style="13" bestFit="1" customWidth="1"/>
    <col min="6" max="6" width="6.28515625" style="13" customWidth="1"/>
    <col min="7" max="9" width="13.7109375" style="13" customWidth="1"/>
    <col min="10" max="10" width="12" style="13" customWidth="1"/>
    <col min="11" max="14" width="13.7109375" style="13" customWidth="1"/>
    <col min="15" max="16384" width="11.42578125" style="15"/>
  </cols>
  <sheetData>
    <row r="1" spans="1:17" customFormat="1" ht="22.5" x14ac:dyDescent="0.2">
      <c r="A1" s="38" t="s">
        <v>357</v>
      </c>
      <c r="B1" s="1" t="s">
        <v>0</v>
      </c>
      <c r="C1" s="1" t="s">
        <v>1</v>
      </c>
      <c r="D1" s="1" t="s">
        <v>2</v>
      </c>
      <c r="E1" s="1" t="s">
        <v>148</v>
      </c>
      <c r="F1" s="1" t="s">
        <v>3</v>
      </c>
      <c r="G1" s="1" t="s">
        <v>4</v>
      </c>
      <c r="H1" s="1" t="s">
        <v>414</v>
      </c>
      <c r="I1" s="1" t="s">
        <v>5</v>
      </c>
      <c r="J1" s="1" t="s">
        <v>6</v>
      </c>
      <c r="K1" s="1" t="s">
        <v>7</v>
      </c>
      <c r="L1" s="1" t="s">
        <v>8</v>
      </c>
      <c r="M1" s="1" t="s">
        <v>9</v>
      </c>
      <c r="N1" s="1" t="s">
        <v>10</v>
      </c>
      <c r="O1" s="1"/>
      <c r="P1" s="1"/>
    </row>
    <row r="2" spans="1:17" ht="12.75" customHeight="1" x14ac:dyDescent="0.25">
      <c r="A2" s="38" t="s">
        <v>358</v>
      </c>
      <c r="B2" s="20" t="s">
        <v>25</v>
      </c>
      <c r="C2" s="20" t="s">
        <v>145</v>
      </c>
      <c r="D2" s="20" t="s">
        <v>13</v>
      </c>
      <c r="E2" s="20" t="s">
        <v>149</v>
      </c>
      <c r="F2" s="20" t="s">
        <v>14</v>
      </c>
      <c r="G2" s="20" t="s">
        <v>15</v>
      </c>
      <c r="H2" s="451" t="s">
        <v>140</v>
      </c>
      <c r="I2" s="21">
        <v>1703</v>
      </c>
      <c r="J2" s="21">
        <v>1221</v>
      </c>
      <c r="K2" s="22">
        <v>0.71697005284791504</v>
      </c>
      <c r="L2" s="21">
        <v>1926</v>
      </c>
      <c r="M2" s="21">
        <v>424</v>
      </c>
      <c r="N2" s="21">
        <v>155</v>
      </c>
      <c r="O2" s="21"/>
      <c r="P2" s="21"/>
      <c r="Q2" s="15" t="str">
        <f>VLOOKUP(B2,'MES Adj'!Q$4:Z$92,2,0)</f>
        <v>1.6</v>
      </c>
    </row>
    <row r="3" spans="1:17" ht="10.5" customHeight="1" x14ac:dyDescent="0.25">
      <c r="A3" s="15" t="s">
        <v>358</v>
      </c>
      <c r="B3" s="20" t="s">
        <v>30</v>
      </c>
      <c r="C3" s="20" t="s">
        <v>142</v>
      </c>
      <c r="D3" s="20" t="s">
        <v>13</v>
      </c>
      <c r="E3" s="20" t="s">
        <v>149</v>
      </c>
      <c r="F3" s="20" t="s">
        <v>14</v>
      </c>
      <c r="G3" s="20" t="s">
        <v>15</v>
      </c>
      <c r="H3" s="451" t="s">
        <v>140</v>
      </c>
      <c r="I3" s="21">
        <v>5128</v>
      </c>
      <c r="J3" s="21">
        <v>4002</v>
      </c>
      <c r="K3" s="22">
        <v>0.78042121684867405</v>
      </c>
      <c r="L3" s="21">
        <v>13320</v>
      </c>
      <c r="M3" s="21">
        <v>113</v>
      </c>
      <c r="N3" s="21">
        <v>417</v>
      </c>
      <c r="O3" s="21"/>
      <c r="P3" s="21"/>
      <c r="Q3" s="15" t="str">
        <f>VLOOKUP(B3,'MES Adj'!Q$4:Z$92,1,0)</f>
        <v>3524100650876EF</v>
      </c>
    </row>
    <row r="4" spans="1:17" ht="10.5" customHeight="1" x14ac:dyDescent="0.25">
      <c r="A4" s="15" t="s">
        <v>358</v>
      </c>
      <c r="B4" s="20" t="s">
        <v>35</v>
      </c>
      <c r="C4" s="20" t="s">
        <v>145</v>
      </c>
      <c r="D4" s="20" t="s">
        <v>13</v>
      </c>
      <c r="E4" s="20" t="s">
        <v>149</v>
      </c>
      <c r="F4" s="20" t="s">
        <v>14</v>
      </c>
      <c r="G4" s="20" t="s">
        <v>15</v>
      </c>
      <c r="H4" s="451" t="s">
        <v>140</v>
      </c>
      <c r="I4" s="21">
        <v>1153</v>
      </c>
      <c r="J4" s="21">
        <v>966</v>
      </c>
      <c r="K4" s="22">
        <v>0.83781439722463102</v>
      </c>
      <c r="L4" s="21">
        <v>1851</v>
      </c>
      <c r="M4" s="21">
        <v>680</v>
      </c>
      <c r="N4" s="21">
        <v>0</v>
      </c>
      <c r="O4" s="21"/>
      <c r="P4" s="21"/>
      <c r="Q4" s="15" t="str">
        <f>VLOOKUP(B4,'MES Adj'!Q$4:Z$92,1,0)</f>
        <v>3524100750640EF</v>
      </c>
    </row>
    <row r="5" spans="1:17" ht="12.75" customHeight="1" x14ac:dyDescent="0.25">
      <c r="A5" s="15" t="s">
        <v>358</v>
      </c>
      <c r="B5" s="20" t="s">
        <v>40</v>
      </c>
      <c r="C5" s="20" t="s">
        <v>143</v>
      </c>
      <c r="D5" s="20" t="s">
        <v>13</v>
      </c>
      <c r="E5" s="20" t="s">
        <v>149</v>
      </c>
      <c r="F5" s="20" t="s">
        <v>14</v>
      </c>
      <c r="G5" s="20" t="s">
        <v>15</v>
      </c>
      <c r="H5" s="451" t="s">
        <v>140</v>
      </c>
      <c r="I5" s="21">
        <v>4677</v>
      </c>
      <c r="J5" s="21">
        <v>4065</v>
      </c>
      <c r="K5" s="22">
        <v>0.86914688903143</v>
      </c>
      <c r="L5" s="21">
        <v>18176</v>
      </c>
      <c r="M5" s="21">
        <v>19</v>
      </c>
      <c r="N5" s="21">
        <v>384</v>
      </c>
      <c r="O5" s="21"/>
      <c r="P5" s="21"/>
      <c r="Q5" s="15" t="str">
        <f>VLOOKUP(B5,'MES Adj'!Q$4:Z$92,1,0)</f>
        <v>3524100750876EF</v>
      </c>
    </row>
    <row r="6" spans="1:17" s="23" customFormat="1" ht="15" customHeight="1" x14ac:dyDescent="0.2">
      <c r="A6" s="15" t="s">
        <v>358</v>
      </c>
      <c r="B6" s="9" t="s">
        <v>18</v>
      </c>
      <c r="C6" s="9" t="s">
        <v>19</v>
      </c>
      <c r="D6" s="9" t="s">
        <v>13</v>
      </c>
      <c r="E6" s="9" t="s">
        <v>149</v>
      </c>
      <c r="F6" s="9" t="s">
        <v>32</v>
      </c>
      <c r="G6" s="9" t="s">
        <v>15</v>
      </c>
      <c r="H6" s="452"/>
      <c r="I6" s="10">
        <v>1553</v>
      </c>
      <c r="J6" s="10">
        <v>1553</v>
      </c>
      <c r="K6" s="11">
        <v>1</v>
      </c>
      <c r="L6" s="10">
        <v>0</v>
      </c>
      <c r="M6" s="10">
        <v>48</v>
      </c>
      <c r="N6" s="10">
        <v>0</v>
      </c>
      <c r="O6" s="10"/>
      <c r="P6" s="10"/>
      <c r="Q6" s="15" t="str">
        <f>VLOOKUP(B6,'MES Adj'!Q$4:Z$92,1,0)</f>
        <v>352410075000000</v>
      </c>
    </row>
    <row r="7" spans="1:17" ht="12.75" customHeight="1" x14ac:dyDescent="0.2">
      <c r="A7" s="15" t="s">
        <v>358</v>
      </c>
      <c r="B7" s="2" t="s">
        <v>11</v>
      </c>
      <c r="C7" s="2" t="s">
        <v>12</v>
      </c>
      <c r="D7" s="2" t="s">
        <v>13</v>
      </c>
      <c r="E7" s="2" t="s">
        <v>149</v>
      </c>
      <c r="F7" s="2" t="s">
        <v>14</v>
      </c>
      <c r="G7" s="2" t="s">
        <v>15</v>
      </c>
      <c r="H7" s="2"/>
      <c r="I7" s="3">
        <v>0</v>
      </c>
      <c r="J7" s="3">
        <v>0</v>
      </c>
      <c r="K7" s="4">
        <v>0</v>
      </c>
      <c r="L7" s="3">
        <v>0</v>
      </c>
      <c r="M7" s="3">
        <v>0</v>
      </c>
      <c r="N7" s="3">
        <v>0</v>
      </c>
      <c r="O7" s="3"/>
      <c r="P7" s="3"/>
      <c r="Q7" s="15" t="str">
        <f>VLOOKUP(B7,'MES Adj'!Q$4:Z$92,1,0)</f>
        <v>3518100650675EF</v>
      </c>
    </row>
    <row r="8" spans="1:17" ht="12.75" customHeight="1" x14ac:dyDescent="0.2">
      <c r="A8" s="15" t="s">
        <v>358</v>
      </c>
      <c r="B8" s="2" t="s">
        <v>16</v>
      </c>
      <c r="C8" s="2" t="s">
        <v>17</v>
      </c>
      <c r="D8" s="2" t="s">
        <v>13</v>
      </c>
      <c r="E8" s="2" t="s">
        <v>149</v>
      </c>
      <c r="F8" s="2" t="s">
        <v>14</v>
      </c>
      <c r="G8" s="2" t="s">
        <v>15</v>
      </c>
      <c r="H8" s="2"/>
      <c r="I8" s="3">
        <v>519</v>
      </c>
      <c r="J8" s="3">
        <v>403</v>
      </c>
      <c r="K8" s="4">
        <v>0.77649325626204202</v>
      </c>
      <c r="L8" s="3">
        <v>798</v>
      </c>
      <c r="M8" s="3">
        <v>145</v>
      </c>
      <c r="N8" s="3">
        <v>1</v>
      </c>
      <c r="O8" s="3"/>
      <c r="P8" s="3"/>
      <c r="Q8" s="15" t="str">
        <f>VLOOKUP(B8,'MES Adj'!Q$4:Z$92,1,0)</f>
        <v>3518100650719EF</v>
      </c>
    </row>
    <row r="9" spans="1:17" ht="12.75" customHeight="1" x14ac:dyDescent="0.2">
      <c r="A9" s="15" t="s">
        <v>358</v>
      </c>
      <c r="B9" s="2" t="s">
        <v>20</v>
      </c>
      <c r="C9" s="2" t="s">
        <v>17</v>
      </c>
      <c r="D9" s="2" t="s">
        <v>13</v>
      </c>
      <c r="E9" s="2" t="s">
        <v>149</v>
      </c>
      <c r="F9" s="2" t="s">
        <v>14</v>
      </c>
      <c r="G9" s="2" t="s">
        <v>15</v>
      </c>
      <c r="H9" s="2"/>
      <c r="I9" s="3">
        <v>79</v>
      </c>
      <c r="J9" s="3">
        <v>73</v>
      </c>
      <c r="K9" s="4">
        <v>0.924050632911392</v>
      </c>
      <c r="L9" s="3">
        <v>146</v>
      </c>
      <c r="M9" s="3">
        <v>10</v>
      </c>
      <c r="N9" s="3">
        <v>0</v>
      </c>
      <c r="O9" s="3"/>
      <c r="P9" s="3"/>
      <c r="Q9" s="15" t="str">
        <f>VLOOKUP(B9,'MES Adj'!Q$4:Z$92,1,0)</f>
        <v>3518100750719EF</v>
      </c>
    </row>
    <row r="10" spans="1:17" s="23" customFormat="1" ht="15" customHeight="1" x14ac:dyDescent="0.2">
      <c r="A10" s="15" t="s">
        <v>358</v>
      </c>
      <c r="B10" s="2" t="s">
        <v>23</v>
      </c>
      <c r="C10" s="2" t="s">
        <v>24</v>
      </c>
      <c r="D10" s="2" t="s">
        <v>13</v>
      </c>
      <c r="E10" s="2" t="s">
        <v>149</v>
      </c>
      <c r="F10" s="2" t="s">
        <v>14</v>
      </c>
      <c r="G10" s="2" t="s">
        <v>15</v>
      </c>
      <c r="H10" s="447"/>
      <c r="I10" s="3">
        <v>2714</v>
      </c>
      <c r="J10" s="3">
        <v>2223</v>
      </c>
      <c r="K10" s="4">
        <v>0.81908621960206296</v>
      </c>
      <c r="L10" s="3">
        <v>4332</v>
      </c>
      <c r="M10" s="3">
        <v>636</v>
      </c>
      <c r="N10" s="3">
        <v>249</v>
      </c>
      <c r="O10" s="3"/>
      <c r="P10" s="3"/>
      <c r="Q10" s="15" t="str">
        <f>VLOOKUP(B10,'MES Adj'!Q$4:Z$92,1,0)</f>
        <v>3524100650237EF</v>
      </c>
    </row>
    <row r="11" spans="1:17" s="8" customFormat="1" ht="12.75" customHeight="1" x14ac:dyDescent="0.2">
      <c r="A11" s="15" t="s">
        <v>358</v>
      </c>
      <c r="B11" s="2" t="s">
        <v>26</v>
      </c>
      <c r="C11" s="2" t="s">
        <v>12</v>
      </c>
      <c r="D11" s="2" t="s">
        <v>13</v>
      </c>
      <c r="E11" s="2" t="s">
        <v>149</v>
      </c>
      <c r="F11" s="2" t="s">
        <v>14</v>
      </c>
      <c r="G11" s="2" t="s">
        <v>15</v>
      </c>
      <c r="H11" s="2"/>
      <c r="I11" s="3">
        <v>1</v>
      </c>
      <c r="J11" s="3">
        <v>0</v>
      </c>
      <c r="K11" s="4">
        <v>0</v>
      </c>
      <c r="L11" s="3">
        <v>0</v>
      </c>
      <c r="M11" s="3">
        <v>3</v>
      </c>
      <c r="N11" s="3">
        <v>0</v>
      </c>
      <c r="O11" s="3"/>
      <c r="P11" s="3"/>
      <c r="Q11" s="15" t="str">
        <f>VLOOKUP(B11,'MES Adj'!Q$4:Z$92,1,0)</f>
        <v>3524100650675EF</v>
      </c>
    </row>
    <row r="12" spans="1:17" ht="12.75" customHeight="1" x14ac:dyDescent="0.2">
      <c r="A12" s="15" t="s">
        <v>358</v>
      </c>
      <c r="B12" s="2" t="s">
        <v>27</v>
      </c>
      <c r="C12" s="2" t="s">
        <v>28</v>
      </c>
      <c r="D12" s="2" t="s">
        <v>13</v>
      </c>
      <c r="E12" s="2" t="s">
        <v>149</v>
      </c>
      <c r="F12" s="2" t="s">
        <v>14</v>
      </c>
      <c r="G12" s="2" t="s">
        <v>15</v>
      </c>
      <c r="H12" s="2"/>
      <c r="I12" s="3">
        <v>4563</v>
      </c>
      <c r="J12" s="3">
        <v>3817</v>
      </c>
      <c r="K12" s="4">
        <v>0.836511067280298</v>
      </c>
      <c r="L12" s="3">
        <v>7511</v>
      </c>
      <c r="M12" s="3">
        <v>2127</v>
      </c>
      <c r="N12" s="3">
        <v>374</v>
      </c>
      <c r="O12" s="3"/>
      <c r="P12" s="3"/>
      <c r="Q12" s="15" t="str">
        <f>VLOOKUP(B12,'MES Adj'!Q$4:Z$92,1,0)</f>
        <v>3524100650676EF</v>
      </c>
    </row>
    <row r="13" spans="1:17" s="23" customFormat="1" ht="15" customHeight="1" x14ac:dyDescent="0.2">
      <c r="A13" s="15" t="s">
        <v>358</v>
      </c>
      <c r="B13" s="2" t="s">
        <v>29</v>
      </c>
      <c r="C13" s="2" t="s">
        <v>17</v>
      </c>
      <c r="D13" s="2" t="s">
        <v>13</v>
      </c>
      <c r="E13" s="2" t="s">
        <v>149</v>
      </c>
      <c r="F13" s="2" t="s">
        <v>14</v>
      </c>
      <c r="G13" s="2" t="s">
        <v>15</v>
      </c>
      <c r="H13" s="447"/>
      <c r="I13" s="3">
        <v>1375</v>
      </c>
      <c r="J13" s="3">
        <v>1165</v>
      </c>
      <c r="K13" s="4">
        <v>0.84727272727272696</v>
      </c>
      <c r="L13" s="3">
        <v>2500</v>
      </c>
      <c r="M13" s="3">
        <v>295</v>
      </c>
      <c r="N13" s="3">
        <v>0</v>
      </c>
      <c r="O13" s="3"/>
      <c r="P13" s="3"/>
      <c r="Q13" s="15" t="str">
        <f>VLOOKUP(B13,'MES Adj'!Q$4:Z$92,1,0)</f>
        <v>3524100650719EF</v>
      </c>
    </row>
    <row r="14" spans="1:17" ht="12.75" customHeight="1" x14ac:dyDescent="0.2">
      <c r="A14" s="15" t="s">
        <v>358</v>
      </c>
      <c r="B14" s="2" t="s">
        <v>34</v>
      </c>
      <c r="C14" s="2" t="s">
        <v>24</v>
      </c>
      <c r="D14" s="2" t="s">
        <v>13</v>
      </c>
      <c r="E14" s="2" t="s">
        <v>149</v>
      </c>
      <c r="F14" s="2" t="s">
        <v>14</v>
      </c>
      <c r="G14" s="2" t="s">
        <v>15</v>
      </c>
      <c r="H14" s="2"/>
      <c r="I14" s="3">
        <v>2689</v>
      </c>
      <c r="J14" s="3">
        <v>2332</v>
      </c>
      <c r="K14" s="4">
        <v>0.86723689103755996</v>
      </c>
      <c r="L14" s="3">
        <v>4377</v>
      </c>
      <c r="M14" s="3">
        <v>989</v>
      </c>
      <c r="N14" s="3">
        <v>224</v>
      </c>
      <c r="O14" s="3"/>
      <c r="P14" s="3"/>
      <c r="Q14" s="15" t="str">
        <f>VLOOKUP(B14,'MES Adj'!Q$4:Z$92,1,0)</f>
        <v>3524100750237EF</v>
      </c>
    </row>
    <row r="15" spans="1:17" ht="12.75" customHeight="1" x14ac:dyDescent="0.2">
      <c r="A15" s="15" t="s">
        <v>358</v>
      </c>
      <c r="B15" s="2" t="s">
        <v>36</v>
      </c>
      <c r="C15" s="2" t="s">
        <v>12</v>
      </c>
      <c r="D15" s="2" t="s">
        <v>13</v>
      </c>
      <c r="E15" s="2" t="s">
        <v>149</v>
      </c>
      <c r="F15" s="2" t="s">
        <v>14</v>
      </c>
      <c r="G15" s="2" t="s">
        <v>15</v>
      </c>
      <c r="H15" s="2"/>
      <c r="I15" s="3">
        <v>1</v>
      </c>
      <c r="J15" s="3">
        <v>0</v>
      </c>
      <c r="K15" s="4">
        <v>0</v>
      </c>
      <c r="L15" s="3">
        <v>0</v>
      </c>
      <c r="M15" s="3">
        <v>0</v>
      </c>
      <c r="N15" s="3">
        <v>0</v>
      </c>
      <c r="O15" s="3"/>
      <c r="P15" s="3"/>
      <c r="Q15" s="15" t="str">
        <f>VLOOKUP(B15,'MES Adj'!Q$4:Z$92,1,0)</f>
        <v>3524100750675EF</v>
      </c>
    </row>
    <row r="16" spans="1:17" ht="12.75" customHeight="1" x14ac:dyDescent="0.2">
      <c r="A16" s="15" t="s">
        <v>358</v>
      </c>
      <c r="B16" s="2" t="s">
        <v>37</v>
      </c>
      <c r="C16" s="2" t="s">
        <v>28</v>
      </c>
      <c r="D16" s="2" t="s">
        <v>13</v>
      </c>
      <c r="E16" s="2" t="s">
        <v>149</v>
      </c>
      <c r="F16" s="2" t="s">
        <v>14</v>
      </c>
      <c r="G16" s="2" t="s">
        <v>15</v>
      </c>
      <c r="H16" s="2"/>
      <c r="I16" s="3">
        <v>10001</v>
      </c>
      <c r="J16" s="3">
        <v>8580</v>
      </c>
      <c r="K16" s="4">
        <v>0.85791420857914202</v>
      </c>
      <c r="L16" s="3">
        <v>15573</v>
      </c>
      <c r="M16" s="3">
        <v>2718</v>
      </c>
      <c r="N16" s="3">
        <v>1310</v>
      </c>
      <c r="O16" s="3"/>
      <c r="P16" s="3"/>
      <c r="Q16" s="15" t="str">
        <f>VLOOKUP(B16,'MES Adj'!Q$4:Z$92,1,0)</f>
        <v>3524100750676EF</v>
      </c>
    </row>
    <row r="17" spans="1:17" s="23" customFormat="1" ht="15" customHeight="1" outlineLevel="1" x14ac:dyDescent="0.2">
      <c r="A17" s="15" t="s">
        <v>358</v>
      </c>
      <c r="B17" s="2" t="s">
        <v>39</v>
      </c>
      <c r="C17" s="2" t="s">
        <v>17</v>
      </c>
      <c r="D17" s="2" t="s">
        <v>13</v>
      </c>
      <c r="E17" s="2" t="s">
        <v>149</v>
      </c>
      <c r="F17" s="2" t="s">
        <v>14</v>
      </c>
      <c r="G17" s="2" t="s">
        <v>15</v>
      </c>
      <c r="H17" s="447"/>
      <c r="I17" s="3">
        <v>1689</v>
      </c>
      <c r="J17" s="3">
        <v>1506</v>
      </c>
      <c r="K17" s="4">
        <v>0.89165186500888105</v>
      </c>
      <c r="L17" s="3">
        <v>3321</v>
      </c>
      <c r="M17" s="3">
        <v>950</v>
      </c>
      <c r="N17" s="3">
        <v>0</v>
      </c>
      <c r="O17" s="3"/>
      <c r="P17" s="3"/>
      <c r="Q17" s="15" t="str">
        <f>VLOOKUP(B17,'MES Adj'!Q$4:Z$92,1,0)</f>
        <v>3524100750719EF</v>
      </c>
    </row>
    <row r="18" spans="1:17" s="37" customFormat="1" ht="12.75" outlineLevel="1" x14ac:dyDescent="0.2">
      <c r="A18" s="37" t="s">
        <v>358</v>
      </c>
      <c r="B18" s="34" t="s">
        <v>41</v>
      </c>
      <c r="C18" s="34" t="s">
        <v>42</v>
      </c>
      <c r="D18" s="34" t="s">
        <v>13</v>
      </c>
      <c r="E18" s="34" t="s">
        <v>150</v>
      </c>
      <c r="F18" s="34" t="s">
        <v>14</v>
      </c>
      <c r="G18" s="34" t="s">
        <v>15</v>
      </c>
      <c r="H18" s="34"/>
      <c r="I18" s="35">
        <v>1</v>
      </c>
      <c r="J18" s="35">
        <v>0</v>
      </c>
      <c r="K18" s="36">
        <v>0</v>
      </c>
      <c r="L18" s="35">
        <v>0</v>
      </c>
      <c r="M18" s="35">
        <v>0</v>
      </c>
      <c r="N18" s="35">
        <v>0</v>
      </c>
      <c r="O18" s="35"/>
      <c r="P18" s="35"/>
      <c r="Q18" s="15" t="str">
        <f>VLOOKUP(B18,'MES Adj'!Q$4:Z$92,1,0)</f>
        <v>3524100750A2EB1</v>
      </c>
    </row>
    <row r="19" spans="1:17" s="272" customFormat="1" ht="22.5" customHeight="1" outlineLevel="1" x14ac:dyDescent="0.25">
      <c r="A19" s="272" t="s">
        <v>358</v>
      </c>
      <c r="B19" s="16" t="s">
        <v>55</v>
      </c>
      <c r="C19" s="16" t="s">
        <v>106</v>
      </c>
      <c r="D19" s="16" t="s">
        <v>147</v>
      </c>
      <c r="E19" s="16" t="s">
        <v>149</v>
      </c>
      <c r="F19" s="16" t="s">
        <v>14</v>
      </c>
      <c r="G19" s="16" t="s">
        <v>15</v>
      </c>
      <c r="H19" s="454" t="s">
        <v>141</v>
      </c>
      <c r="I19" s="17">
        <v>1670</v>
      </c>
      <c r="J19" s="17">
        <v>1436</v>
      </c>
      <c r="K19" s="18">
        <v>0.85988023952095805</v>
      </c>
      <c r="L19" s="17">
        <v>2860</v>
      </c>
      <c r="M19" s="17">
        <v>793</v>
      </c>
      <c r="N19" s="17">
        <v>0</v>
      </c>
      <c r="O19" s="17"/>
      <c r="P19" s="17"/>
      <c r="Q19" s="15" t="str">
        <f>VLOOKUP(B19,'MES Adj'!Q$4:Z$92,1,0)</f>
        <v>3T24100650667EF</v>
      </c>
    </row>
    <row r="20" spans="1:17" s="28" customFormat="1" ht="12" customHeight="1" outlineLevel="1" x14ac:dyDescent="0.25">
      <c r="A20" s="15" t="s">
        <v>358</v>
      </c>
      <c r="B20" s="16" t="s">
        <v>78</v>
      </c>
      <c r="C20" s="16" t="s">
        <v>107</v>
      </c>
      <c r="D20" s="16" t="s">
        <v>147</v>
      </c>
      <c r="E20" s="16" t="s">
        <v>149</v>
      </c>
      <c r="F20" s="16" t="s">
        <v>14</v>
      </c>
      <c r="G20" s="16" t="s">
        <v>15</v>
      </c>
      <c r="H20" s="267" t="s">
        <v>141</v>
      </c>
      <c r="I20" s="17">
        <v>1285</v>
      </c>
      <c r="J20" s="17">
        <v>1096</v>
      </c>
      <c r="K20" s="18">
        <v>0.85291828793774305</v>
      </c>
      <c r="L20" s="17">
        <v>1939</v>
      </c>
      <c r="M20" s="17">
        <v>351</v>
      </c>
      <c r="N20" s="17">
        <v>240</v>
      </c>
      <c r="O20" s="17"/>
      <c r="P20" s="17"/>
      <c r="Q20" s="15" t="str">
        <f>VLOOKUP(B20,'MES Adj'!Q$4:Z$92,1,0)</f>
        <v>3T2410065071900</v>
      </c>
    </row>
    <row r="21" spans="1:17" s="19" customFormat="1" ht="15" customHeight="1" outlineLevel="1" x14ac:dyDescent="0.25">
      <c r="A21" s="15" t="s">
        <v>358</v>
      </c>
      <c r="B21" s="16" t="s">
        <v>61</v>
      </c>
      <c r="C21" s="16" t="s">
        <v>108</v>
      </c>
      <c r="D21" s="16" t="s">
        <v>147</v>
      </c>
      <c r="E21" s="16" t="s">
        <v>149</v>
      </c>
      <c r="F21" s="16" t="s">
        <v>14</v>
      </c>
      <c r="G21" s="16" t="s">
        <v>15</v>
      </c>
      <c r="H21" s="267" t="s">
        <v>141</v>
      </c>
      <c r="I21" s="17">
        <v>1924</v>
      </c>
      <c r="J21" s="17">
        <v>1666</v>
      </c>
      <c r="K21" s="18">
        <v>0.86590436590436604</v>
      </c>
      <c r="L21" s="17">
        <v>3226</v>
      </c>
      <c r="M21" s="17">
        <v>394</v>
      </c>
      <c r="N21" s="17">
        <v>0</v>
      </c>
      <c r="O21" s="17"/>
      <c r="P21" s="17"/>
      <c r="Q21" s="15" t="str">
        <f>VLOOKUP(B21,'MES Adj'!Q$4:Z$92,1,0)</f>
        <v>3T24100650719EF</v>
      </c>
    </row>
    <row r="22" spans="1:17" s="19" customFormat="1" ht="15" customHeight="1" outlineLevel="1" x14ac:dyDescent="0.25">
      <c r="A22" s="15" t="s">
        <v>358</v>
      </c>
      <c r="B22" s="260" t="s">
        <v>67</v>
      </c>
      <c r="C22" s="260" t="s">
        <v>109</v>
      </c>
      <c r="D22" s="260" t="s">
        <v>147</v>
      </c>
      <c r="E22" s="260" t="s">
        <v>150</v>
      </c>
      <c r="F22" s="260" t="s">
        <v>14</v>
      </c>
      <c r="G22" s="260" t="s">
        <v>15</v>
      </c>
      <c r="H22" s="267" t="s">
        <v>141</v>
      </c>
      <c r="I22" s="261">
        <v>0</v>
      </c>
      <c r="J22" s="261">
        <v>0</v>
      </c>
      <c r="K22" s="262">
        <v>0</v>
      </c>
      <c r="L22" s="261">
        <v>0</v>
      </c>
      <c r="M22" s="261">
        <v>15</v>
      </c>
      <c r="N22" s="261">
        <v>0</v>
      </c>
      <c r="O22" s="261"/>
      <c r="P22" s="261"/>
      <c r="Q22" s="15" t="str">
        <f>VLOOKUP(B22,'MES Adj'!Q$4:Z$92,1,0)</f>
        <v>3T24100650A2EB1</v>
      </c>
    </row>
    <row r="23" spans="1:17" s="19" customFormat="1" ht="15" customHeight="1" outlineLevel="1" x14ac:dyDescent="0.25">
      <c r="A23" s="15" t="s">
        <v>358</v>
      </c>
      <c r="B23" s="260" t="s">
        <v>73</v>
      </c>
      <c r="C23" s="260" t="s">
        <v>110</v>
      </c>
      <c r="D23" s="260" t="s">
        <v>147</v>
      </c>
      <c r="E23" s="260" t="s">
        <v>150</v>
      </c>
      <c r="F23" s="260" t="s">
        <v>14</v>
      </c>
      <c r="G23" s="260" t="s">
        <v>15</v>
      </c>
      <c r="H23" s="267" t="s">
        <v>141</v>
      </c>
      <c r="I23" s="261">
        <v>0</v>
      </c>
      <c r="J23" s="261">
        <v>0</v>
      </c>
      <c r="K23" s="262">
        <v>0</v>
      </c>
      <c r="L23" s="261">
        <v>0</v>
      </c>
      <c r="M23" s="261">
        <v>0</v>
      </c>
      <c r="N23" s="261">
        <v>0</v>
      </c>
      <c r="O23" s="261"/>
      <c r="P23" s="261"/>
      <c r="Q23" s="15" t="str">
        <f>VLOOKUP(B23,'MES Adj'!Q$4:Z$92,1,0)</f>
        <v>3T24100650A2EK1</v>
      </c>
    </row>
    <row r="24" spans="1:17" s="259" customFormat="1" ht="15" customHeight="1" outlineLevel="1" x14ac:dyDescent="0.25">
      <c r="A24" s="37" t="s">
        <v>358</v>
      </c>
      <c r="B24" s="16" t="s">
        <v>58</v>
      </c>
      <c r="C24" s="16" t="s">
        <v>106</v>
      </c>
      <c r="D24" s="16" t="s">
        <v>147</v>
      </c>
      <c r="E24" s="16" t="s">
        <v>149</v>
      </c>
      <c r="F24" s="16" t="s">
        <v>14</v>
      </c>
      <c r="G24" s="16" t="s">
        <v>15</v>
      </c>
      <c r="H24" s="267" t="s">
        <v>141</v>
      </c>
      <c r="I24" s="17">
        <v>2044</v>
      </c>
      <c r="J24" s="17">
        <v>1833</v>
      </c>
      <c r="K24" s="18">
        <v>0.89677103718199602</v>
      </c>
      <c r="L24" s="17">
        <v>3615</v>
      </c>
      <c r="M24" s="17">
        <v>753</v>
      </c>
      <c r="N24" s="17">
        <v>0</v>
      </c>
      <c r="O24" s="17"/>
      <c r="P24" s="17"/>
      <c r="Q24" s="15" t="str">
        <f>VLOOKUP(B24,'MES Adj'!Q$4:Z$92,1,0)</f>
        <v>3T24100750667EF</v>
      </c>
    </row>
    <row r="25" spans="1:17" s="259" customFormat="1" ht="15" customHeight="1" outlineLevel="1" x14ac:dyDescent="0.25">
      <c r="A25" s="37" t="s">
        <v>358</v>
      </c>
      <c r="B25" s="264" t="s">
        <v>81</v>
      </c>
      <c r="C25" s="264" t="s">
        <v>107</v>
      </c>
      <c r="D25" s="264" t="s">
        <v>147</v>
      </c>
      <c r="E25" s="264" t="s">
        <v>151</v>
      </c>
      <c r="F25" s="264" t="s">
        <v>14</v>
      </c>
      <c r="G25" s="264" t="s">
        <v>15</v>
      </c>
      <c r="H25" s="267" t="s">
        <v>141</v>
      </c>
      <c r="I25" s="265">
        <v>3935</v>
      </c>
      <c r="J25" s="265">
        <v>3484</v>
      </c>
      <c r="K25" s="266">
        <v>0.88538754764930105</v>
      </c>
      <c r="L25" s="265">
        <v>6671</v>
      </c>
      <c r="M25" s="265">
        <v>825</v>
      </c>
      <c r="N25" s="265">
        <v>500</v>
      </c>
      <c r="O25" s="265"/>
      <c r="P25" s="265"/>
      <c r="Q25" s="15" t="str">
        <f>VLOOKUP(B25,'MES Adj'!Q$4:Z$92,1,0)</f>
        <v>3T2410075071900</v>
      </c>
    </row>
    <row r="26" spans="1:17" s="19" customFormat="1" ht="15" customHeight="1" outlineLevel="1" x14ac:dyDescent="0.25">
      <c r="A26" s="15" t="s">
        <v>358</v>
      </c>
      <c r="B26" s="16" t="s">
        <v>64</v>
      </c>
      <c r="C26" s="16" t="s">
        <v>108</v>
      </c>
      <c r="D26" s="16" t="s">
        <v>147</v>
      </c>
      <c r="E26" s="16" t="s">
        <v>149</v>
      </c>
      <c r="F26" s="16" t="s">
        <v>14</v>
      </c>
      <c r="G26" s="16" t="s">
        <v>15</v>
      </c>
      <c r="H26" s="267" t="s">
        <v>141</v>
      </c>
      <c r="I26" s="17">
        <v>2112</v>
      </c>
      <c r="J26" s="17">
        <v>1907</v>
      </c>
      <c r="K26" s="18">
        <v>0.90293560606060597</v>
      </c>
      <c r="L26" s="17">
        <v>3636</v>
      </c>
      <c r="M26" s="17">
        <v>750</v>
      </c>
      <c r="N26" s="17">
        <v>2</v>
      </c>
      <c r="O26" s="17"/>
      <c r="P26" s="17"/>
      <c r="Q26" s="15" t="str">
        <f>VLOOKUP(B26,'MES Adj'!Q$4:Z$92,1,0)</f>
        <v>3T24100750719EF</v>
      </c>
    </row>
    <row r="27" spans="1:17" s="263" customFormat="1" ht="15" customHeight="1" outlineLevel="1" x14ac:dyDescent="0.25">
      <c r="A27" s="38" t="s">
        <v>358</v>
      </c>
      <c r="B27" s="260" t="s">
        <v>70</v>
      </c>
      <c r="C27" s="260" t="s">
        <v>109</v>
      </c>
      <c r="D27" s="260" t="s">
        <v>147</v>
      </c>
      <c r="E27" s="260" t="s">
        <v>150</v>
      </c>
      <c r="F27" s="260" t="s">
        <v>14</v>
      </c>
      <c r="G27" s="260" t="s">
        <v>15</v>
      </c>
      <c r="H27" s="267" t="s">
        <v>141</v>
      </c>
      <c r="I27" s="261">
        <v>0</v>
      </c>
      <c r="J27" s="261">
        <v>0</v>
      </c>
      <c r="K27" s="262">
        <v>0</v>
      </c>
      <c r="L27" s="261">
        <v>0</v>
      </c>
      <c r="M27" s="261">
        <v>5</v>
      </c>
      <c r="N27" s="261">
        <v>1</v>
      </c>
      <c r="O27" s="261"/>
      <c r="P27" s="261"/>
      <c r="Q27" s="15" t="str">
        <f>VLOOKUP(B27,'MES Adj'!Q$4:Z$92,1,0)</f>
        <v>3T24100750A2EB1</v>
      </c>
    </row>
    <row r="28" spans="1:17" s="19" customFormat="1" ht="15" customHeight="1" outlineLevel="1" x14ac:dyDescent="0.25">
      <c r="A28" s="15" t="s">
        <v>358</v>
      </c>
      <c r="B28" s="260" t="s">
        <v>75</v>
      </c>
      <c r="C28" s="260" t="s">
        <v>110</v>
      </c>
      <c r="D28" s="260" t="s">
        <v>147</v>
      </c>
      <c r="E28" s="260" t="s">
        <v>150</v>
      </c>
      <c r="F28" s="260" t="s">
        <v>14</v>
      </c>
      <c r="G28" s="260" t="s">
        <v>15</v>
      </c>
      <c r="H28" s="267" t="s">
        <v>141</v>
      </c>
      <c r="I28" s="261">
        <v>0</v>
      </c>
      <c r="J28" s="261">
        <v>0</v>
      </c>
      <c r="K28" s="262">
        <v>0</v>
      </c>
      <c r="L28" s="261">
        <v>0</v>
      </c>
      <c r="M28" s="261">
        <v>0</v>
      </c>
      <c r="N28" s="261">
        <v>0</v>
      </c>
      <c r="O28" s="261"/>
      <c r="P28" s="261"/>
      <c r="Q28" s="15" t="str">
        <f>VLOOKUP(B28,'MES Adj'!Q$4:Z$92,1,0)</f>
        <v>3T24100750A2EK1</v>
      </c>
    </row>
    <row r="29" spans="1:17" s="259" customFormat="1" ht="15" customHeight="1" outlineLevel="1" x14ac:dyDescent="0.25">
      <c r="A29" s="37" t="s">
        <v>358</v>
      </c>
      <c r="B29" s="25" t="s">
        <v>44</v>
      </c>
      <c r="C29" s="25" t="s">
        <v>360</v>
      </c>
      <c r="D29" s="25" t="s">
        <v>153</v>
      </c>
      <c r="E29" s="25" t="s">
        <v>149</v>
      </c>
      <c r="F29" s="25" t="s">
        <v>14</v>
      </c>
      <c r="G29" s="25" t="s">
        <v>15</v>
      </c>
      <c r="H29" s="29" t="s">
        <v>144</v>
      </c>
      <c r="I29" s="26">
        <v>1</v>
      </c>
      <c r="J29" s="26">
        <v>0</v>
      </c>
      <c r="K29" s="27">
        <v>0</v>
      </c>
      <c r="L29" s="26">
        <v>0</v>
      </c>
      <c r="M29" s="26">
        <v>0</v>
      </c>
      <c r="N29" s="26">
        <v>0</v>
      </c>
      <c r="O29" s="26"/>
      <c r="P29" s="26"/>
      <c r="Q29" s="15" t="e">
        <f>VLOOKUP(B29,'MES Adj'!Q$4:Z$92,1,0)</f>
        <v>#N/A</v>
      </c>
    </row>
    <row r="30" spans="1:17" s="259" customFormat="1" ht="15" customHeight="1" outlineLevel="1" x14ac:dyDescent="0.2">
      <c r="A30" s="37" t="s">
        <v>358</v>
      </c>
      <c r="B30" s="273" t="s">
        <v>43</v>
      </c>
      <c r="C30" s="273" t="s">
        <v>369</v>
      </c>
      <c r="D30" s="273" t="s">
        <v>153</v>
      </c>
      <c r="E30" s="273" t="s">
        <v>149</v>
      </c>
      <c r="F30" s="273" t="s">
        <v>14</v>
      </c>
      <c r="G30" s="273" t="s">
        <v>15</v>
      </c>
      <c r="H30" s="455"/>
      <c r="I30" s="274">
        <v>1</v>
      </c>
      <c r="J30" s="274">
        <v>0</v>
      </c>
      <c r="K30" s="275">
        <v>0</v>
      </c>
      <c r="L30" s="274">
        <v>0</v>
      </c>
      <c r="M30" s="274">
        <v>0</v>
      </c>
      <c r="N30" s="274">
        <v>0</v>
      </c>
      <c r="O30" s="274"/>
      <c r="P30" s="274"/>
      <c r="Q30" s="15" t="e">
        <f>VLOOKUP(B30,'MES Adj'!Q$4:Z$92,1,0)</f>
        <v>#N/A</v>
      </c>
    </row>
    <row r="31" spans="1:17" ht="12.75" customHeight="1" outlineLevel="1" x14ac:dyDescent="0.2">
      <c r="A31" s="268" t="s">
        <v>359</v>
      </c>
      <c r="B31" s="9" t="s">
        <v>21</v>
      </c>
      <c r="C31" s="9" t="s">
        <v>19</v>
      </c>
      <c r="D31" s="9" t="s">
        <v>22</v>
      </c>
      <c r="E31" s="9"/>
      <c r="F31" s="9" t="s">
        <v>32</v>
      </c>
      <c r="G31" s="9" t="s">
        <v>15</v>
      </c>
      <c r="H31" s="9"/>
      <c r="I31" s="10">
        <v>478</v>
      </c>
      <c r="J31" s="10">
        <v>478</v>
      </c>
      <c r="K31" s="11">
        <v>1</v>
      </c>
      <c r="L31" s="10">
        <v>0</v>
      </c>
      <c r="M31" s="10">
        <v>43</v>
      </c>
      <c r="N31" s="10">
        <v>0</v>
      </c>
      <c r="O31" s="10"/>
      <c r="P31" s="10"/>
      <c r="Q31" s="15" t="str">
        <f>VLOOKUP(B31,'MES Adj'!Q$4:Z$92,1,0)</f>
        <v>356110075000000</v>
      </c>
    </row>
    <row r="32" spans="1:17" ht="12.75" customHeight="1" outlineLevel="1" x14ac:dyDescent="0.2">
      <c r="A32" s="268" t="s">
        <v>359</v>
      </c>
      <c r="B32" s="2" t="s">
        <v>88</v>
      </c>
      <c r="C32" s="2" t="s">
        <v>17</v>
      </c>
      <c r="D32" s="2" t="s">
        <v>22</v>
      </c>
      <c r="E32" s="2"/>
      <c r="F32" s="2" t="s">
        <v>14</v>
      </c>
      <c r="G32" s="2" t="s">
        <v>15</v>
      </c>
      <c r="H32" s="2"/>
      <c r="I32" s="3">
        <v>309</v>
      </c>
      <c r="J32" s="3">
        <v>237</v>
      </c>
      <c r="K32" s="4">
        <v>0.76699029126213603</v>
      </c>
      <c r="L32" s="3">
        <v>383</v>
      </c>
      <c r="M32" s="3">
        <v>76</v>
      </c>
      <c r="N32" s="3">
        <v>5</v>
      </c>
      <c r="O32" s="3"/>
      <c r="P32" s="3"/>
      <c r="Q32" s="15" t="str">
        <f>VLOOKUP(B32,'MES Adj'!Q$4:Z$92,1,0)</f>
        <v>3555100650719EF</v>
      </c>
    </row>
    <row r="33" spans="1:17" ht="12.75" customHeight="1" outlineLevel="1" x14ac:dyDescent="0.2">
      <c r="A33" s="268" t="s">
        <v>359</v>
      </c>
      <c r="B33" s="2" t="s">
        <v>89</v>
      </c>
      <c r="C33" s="2" t="s">
        <v>17</v>
      </c>
      <c r="D33" s="2" t="s">
        <v>22</v>
      </c>
      <c r="E33" s="2"/>
      <c r="F33" s="2" t="s">
        <v>14</v>
      </c>
      <c r="G33" s="2" t="s">
        <v>15</v>
      </c>
      <c r="H33" s="2"/>
      <c r="I33" s="3">
        <v>117</v>
      </c>
      <c r="J33" s="3">
        <v>84</v>
      </c>
      <c r="K33" s="4">
        <v>0.71794871794871795</v>
      </c>
      <c r="L33" s="3">
        <v>164</v>
      </c>
      <c r="M33" s="3">
        <v>20</v>
      </c>
      <c r="N33" s="3">
        <v>0</v>
      </c>
      <c r="O33" s="3"/>
      <c r="P33" s="3"/>
      <c r="Q33" s="15" t="str">
        <f>VLOOKUP(B33,'MES Adj'!Q$4:Z$92,1,0)</f>
        <v>3555100750719EF</v>
      </c>
    </row>
    <row r="34" spans="1:17" ht="12.75" customHeight="1" outlineLevel="1" x14ac:dyDescent="0.2">
      <c r="A34" s="268" t="s">
        <v>359</v>
      </c>
      <c r="B34" s="2" t="s">
        <v>90</v>
      </c>
      <c r="C34" s="2" t="s">
        <v>17</v>
      </c>
      <c r="D34" s="2" t="s">
        <v>22</v>
      </c>
      <c r="E34" s="2"/>
      <c r="F34" s="2" t="s">
        <v>14</v>
      </c>
      <c r="G34" s="2" t="s">
        <v>15</v>
      </c>
      <c r="H34" s="2"/>
      <c r="I34" s="3">
        <v>754</v>
      </c>
      <c r="J34" s="3">
        <v>554</v>
      </c>
      <c r="K34" s="4">
        <v>0.73474801061007999</v>
      </c>
      <c r="L34" s="3">
        <v>973</v>
      </c>
      <c r="M34" s="3">
        <v>180</v>
      </c>
      <c r="N34" s="3">
        <v>0</v>
      </c>
      <c r="O34" s="3"/>
      <c r="P34" s="3"/>
      <c r="Q34" s="15" t="str">
        <f>VLOOKUP(B34,'MES Adj'!Q$4:Z$92,1,0)</f>
        <v>3555100800719EF</v>
      </c>
    </row>
    <row r="35" spans="1:17" s="33" customFormat="1" ht="15" customHeight="1" outlineLevel="1" x14ac:dyDescent="0.2">
      <c r="A35" s="268" t="s">
        <v>359</v>
      </c>
      <c r="B35" s="2" t="s">
        <v>91</v>
      </c>
      <c r="C35" s="2" t="s">
        <v>24</v>
      </c>
      <c r="D35" s="2" t="s">
        <v>22</v>
      </c>
      <c r="E35" s="2"/>
      <c r="F35" s="2" t="s">
        <v>14</v>
      </c>
      <c r="G35" s="2" t="s">
        <v>15</v>
      </c>
      <c r="H35" s="447"/>
      <c r="I35" s="3">
        <v>79</v>
      </c>
      <c r="J35" s="3">
        <v>54</v>
      </c>
      <c r="K35" s="4">
        <v>0.683544303797468</v>
      </c>
      <c r="L35" s="3">
        <v>157</v>
      </c>
      <c r="M35" s="3">
        <v>70</v>
      </c>
      <c r="N35" s="3">
        <v>1</v>
      </c>
      <c r="O35" s="3"/>
      <c r="P35" s="3"/>
      <c r="Q35" s="15" t="str">
        <f>VLOOKUP(B35,'MES Adj'!Q$4:Z$92,1,0)</f>
        <v>3561100650237EF</v>
      </c>
    </row>
    <row r="36" spans="1:17" ht="12.75" customHeight="1" outlineLevel="1" x14ac:dyDescent="0.25">
      <c r="A36" s="268" t="s">
        <v>359</v>
      </c>
      <c r="B36" s="30" t="s">
        <v>92</v>
      </c>
      <c r="C36" s="30" t="s">
        <v>145</v>
      </c>
      <c r="D36" s="30" t="s">
        <v>22</v>
      </c>
      <c r="E36" s="30"/>
      <c r="F36" s="30" t="s">
        <v>14</v>
      </c>
      <c r="G36" s="30" t="s">
        <v>15</v>
      </c>
      <c r="H36" s="451" t="s">
        <v>140</v>
      </c>
      <c r="I36" s="31">
        <v>35</v>
      </c>
      <c r="J36" s="31">
        <v>29</v>
      </c>
      <c r="K36" s="32">
        <v>0.82857142857142896</v>
      </c>
      <c r="L36" s="31">
        <v>38</v>
      </c>
      <c r="M36" s="31">
        <v>10</v>
      </c>
      <c r="N36" s="31">
        <v>0</v>
      </c>
      <c r="O36" s="31"/>
      <c r="P36" s="31"/>
      <c r="Q36" s="15" t="str">
        <f>VLOOKUP(B36,'MES Adj'!Q$4:Z$92,1,0)</f>
        <v>3561100650640EF</v>
      </c>
    </row>
    <row r="37" spans="1:17" ht="12.75" outlineLevel="1" x14ac:dyDescent="0.2">
      <c r="A37" s="268" t="s">
        <v>359</v>
      </c>
      <c r="B37" s="2" t="s">
        <v>93</v>
      </c>
      <c r="C37" s="2" t="s">
        <v>12</v>
      </c>
      <c r="D37" s="2" t="s">
        <v>22</v>
      </c>
      <c r="E37" s="2"/>
      <c r="F37" s="2" t="s">
        <v>14</v>
      </c>
      <c r="G37" s="2" t="s">
        <v>15</v>
      </c>
      <c r="H37" s="2"/>
      <c r="I37" s="3">
        <v>0</v>
      </c>
      <c r="J37" s="3">
        <v>0</v>
      </c>
      <c r="K37" s="4">
        <v>0</v>
      </c>
      <c r="L37" s="3">
        <v>0</v>
      </c>
      <c r="M37" s="3">
        <v>0</v>
      </c>
      <c r="N37" s="3">
        <v>0</v>
      </c>
      <c r="O37" s="3"/>
      <c r="P37" s="3"/>
      <c r="Q37" s="15" t="str">
        <f>VLOOKUP(B37,'MES Adj'!Q$4:Z$92,1,0)</f>
        <v>3561100650675EF</v>
      </c>
    </row>
    <row r="38" spans="1:17" s="33" customFormat="1" ht="15" customHeight="1" outlineLevel="1" x14ac:dyDescent="0.2">
      <c r="A38" s="268" t="s">
        <v>359</v>
      </c>
      <c r="B38" s="2" t="s">
        <v>94</v>
      </c>
      <c r="C38" s="2" t="s">
        <v>17</v>
      </c>
      <c r="D38" s="2" t="s">
        <v>22</v>
      </c>
      <c r="E38" s="2"/>
      <c r="F38" s="2" t="s">
        <v>14</v>
      </c>
      <c r="G38" s="2" t="s">
        <v>15</v>
      </c>
      <c r="H38" s="447"/>
      <c r="I38" s="3">
        <v>141</v>
      </c>
      <c r="J38" s="3">
        <v>108</v>
      </c>
      <c r="K38" s="4">
        <v>0.76595744680851097</v>
      </c>
      <c r="L38" s="3">
        <v>270</v>
      </c>
      <c r="M38" s="3">
        <v>52</v>
      </c>
      <c r="N38" s="3">
        <v>9</v>
      </c>
      <c r="O38" s="3"/>
      <c r="P38" s="3"/>
      <c r="Q38" s="15" t="str">
        <f>VLOOKUP(B38,'MES Adj'!Q$4:Z$92,1,0)</f>
        <v>3561100650719EF</v>
      </c>
    </row>
    <row r="39" spans="1:17" ht="12.75" customHeight="1" outlineLevel="1" x14ac:dyDescent="0.25">
      <c r="A39" s="268" t="s">
        <v>359</v>
      </c>
      <c r="B39" s="30" t="s">
        <v>95</v>
      </c>
      <c r="C39" s="30" t="s">
        <v>142</v>
      </c>
      <c r="D39" s="30" t="s">
        <v>22</v>
      </c>
      <c r="E39" s="30"/>
      <c r="F39" s="30" t="s">
        <v>14</v>
      </c>
      <c r="G39" s="30" t="s">
        <v>15</v>
      </c>
      <c r="H39" s="451" t="s">
        <v>140</v>
      </c>
      <c r="I39" s="31">
        <v>331</v>
      </c>
      <c r="J39" s="31">
        <v>255</v>
      </c>
      <c r="K39" s="32">
        <v>0.77039274924471302</v>
      </c>
      <c r="L39" s="31">
        <v>1984</v>
      </c>
      <c r="M39" s="31">
        <v>316</v>
      </c>
      <c r="N39" s="31">
        <v>242</v>
      </c>
      <c r="O39" s="31"/>
      <c r="P39" s="31"/>
      <c r="Q39" s="15" t="str">
        <f>VLOOKUP(B39,'MES Adj'!Q$4:Z$92,1,0)</f>
        <v>3561100650876EF</v>
      </c>
    </row>
    <row r="40" spans="1:17" s="33" customFormat="1" ht="15" customHeight="1" outlineLevel="1" x14ac:dyDescent="0.2">
      <c r="A40" s="268" t="s">
        <v>359</v>
      </c>
      <c r="B40" s="2" t="s">
        <v>96</v>
      </c>
      <c r="C40" s="2" t="s">
        <v>24</v>
      </c>
      <c r="D40" s="2" t="s">
        <v>22</v>
      </c>
      <c r="E40" s="2"/>
      <c r="F40" s="2" t="s">
        <v>14</v>
      </c>
      <c r="G40" s="2" t="s">
        <v>15</v>
      </c>
      <c r="H40" s="447"/>
      <c r="I40" s="3">
        <v>36</v>
      </c>
      <c r="J40" s="3">
        <v>15</v>
      </c>
      <c r="K40" s="4">
        <v>0.41666666666666702</v>
      </c>
      <c r="L40" s="3">
        <v>36</v>
      </c>
      <c r="M40" s="3">
        <v>14</v>
      </c>
      <c r="N40" s="3">
        <v>0</v>
      </c>
      <c r="O40" s="3"/>
      <c r="P40" s="3"/>
      <c r="Q40" s="15" t="str">
        <f>VLOOKUP(B40,'MES Adj'!Q$4:Z$92,1,0)</f>
        <v>3561100700237EF</v>
      </c>
    </row>
    <row r="41" spans="1:17" ht="12.75" customHeight="1" outlineLevel="1" x14ac:dyDescent="0.25">
      <c r="A41" s="268" t="s">
        <v>359</v>
      </c>
      <c r="B41" s="30" t="s">
        <v>97</v>
      </c>
      <c r="C41" s="30" t="s">
        <v>145</v>
      </c>
      <c r="D41" s="30" t="s">
        <v>22</v>
      </c>
      <c r="E41" s="30"/>
      <c r="F41" s="30" t="s">
        <v>14</v>
      </c>
      <c r="G41" s="30" t="s">
        <v>15</v>
      </c>
      <c r="H41" s="451" t="s">
        <v>140</v>
      </c>
      <c r="I41" s="31">
        <v>331</v>
      </c>
      <c r="J41" s="31">
        <v>207</v>
      </c>
      <c r="K41" s="32">
        <v>0.62537764350453195</v>
      </c>
      <c r="L41" s="31">
        <v>356</v>
      </c>
      <c r="M41" s="31">
        <v>101</v>
      </c>
      <c r="N41" s="31">
        <v>0</v>
      </c>
      <c r="O41" s="31"/>
      <c r="P41" s="31"/>
      <c r="Q41" s="15" t="str">
        <f>VLOOKUP(B41,'MES Adj'!Q$4:Z$92,1,0)</f>
        <v>3561100700640EF</v>
      </c>
    </row>
    <row r="42" spans="1:17" ht="12.75" outlineLevel="1" x14ac:dyDescent="0.2">
      <c r="A42" s="268" t="s">
        <v>359</v>
      </c>
      <c r="B42" s="2" t="s">
        <v>98</v>
      </c>
      <c r="C42" s="2" t="s">
        <v>12</v>
      </c>
      <c r="D42" s="2" t="s">
        <v>22</v>
      </c>
      <c r="E42" s="2"/>
      <c r="F42" s="2" t="s">
        <v>14</v>
      </c>
      <c r="G42" s="2" t="s">
        <v>15</v>
      </c>
      <c r="H42" s="2"/>
      <c r="I42" s="3">
        <v>0</v>
      </c>
      <c r="J42" s="3">
        <v>0</v>
      </c>
      <c r="K42" s="4">
        <v>0</v>
      </c>
      <c r="L42" s="3">
        <v>0</v>
      </c>
      <c r="M42" s="3">
        <v>0</v>
      </c>
      <c r="N42" s="3">
        <v>0</v>
      </c>
      <c r="O42" s="3"/>
      <c r="P42" s="3"/>
      <c r="Q42" s="15" t="str">
        <f>VLOOKUP(B42,'MES Adj'!Q$4:Z$92,1,0)</f>
        <v>3561100700675EF</v>
      </c>
    </row>
    <row r="43" spans="1:17" s="33" customFormat="1" ht="15" customHeight="1" outlineLevel="1" x14ac:dyDescent="0.2">
      <c r="A43" s="268" t="s">
        <v>359</v>
      </c>
      <c r="B43" s="2" t="s">
        <v>99</v>
      </c>
      <c r="C43" s="2" t="s">
        <v>17</v>
      </c>
      <c r="D43" s="2" t="s">
        <v>22</v>
      </c>
      <c r="E43" s="2"/>
      <c r="F43" s="2" t="s">
        <v>14</v>
      </c>
      <c r="G43" s="2" t="s">
        <v>15</v>
      </c>
      <c r="H43" s="447"/>
      <c r="I43" s="3">
        <v>219</v>
      </c>
      <c r="J43" s="3">
        <v>152</v>
      </c>
      <c r="K43" s="4">
        <v>0.69406392694063901</v>
      </c>
      <c r="L43" s="3">
        <v>231</v>
      </c>
      <c r="M43" s="3">
        <v>15</v>
      </c>
      <c r="N43" s="3">
        <v>0</v>
      </c>
      <c r="O43" s="3"/>
      <c r="P43" s="3"/>
      <c r="Q43" s="15" t="str">
        <f>VLOOKUP(B43,'MES Adj'!Q$4:Z$92,1,0)</f>
        <v>3561100700719EF</v>
      </c>
    </row>
    <row r="44" spans="1:17" s="8" customFormat="1" ht="12.75" customHeight="1" outlineLevel="1" x14ac:dyDescent="0.25">
      <c r="A44" s="268" t="s">
        <v>359</v>
      </c>
      <c r="B44" s="30" t="s">
        <v>100</v>
      </c>
      <c r="C44" s="30" t="s">
        <v>146</v>
      </c>
      <c r="D44" s="30" t="s">
        <v>22</v>
      </c>
      <c r="E44" s="30"/>
      <c r="F44" s="30" t="s">
        <v>14</v>
      </c>
      <c r="G44" s="30" t="s">
        <v>15</v>
      </c>
      <c r="H44" s="451" t="s">
        <v>140</v>
      </c>
      <c r="I44" s="31">
        <v>785</v>
      </c>
      <c r="J44" s="31">
        <v>563</v>
      </c>
      <c r="K44" s="32">
        <v>0.71719745222929898</v>
      </c>
      <c r="L44" s="31">
        <v>961</v>
      </c>
      <c r="M44" s="31">
        <v>68</v>
      </c>
      <c r="N44" s="31">
        <v>493</v>
      </c>
      <c r="O44" s="31"/>
      <c r="P44" s="31"/>
      <c r="Q44" s="15" t="str">
        <f>VLOOKUP(B44,'MES Adj'!Q$4:Z$92,1,0)</f>
        <v>3561100700876EF</v>
      </c>
    </row>
    <row r="45" spans="1:17" ht="12.75" outlineLevel="1" x14ac:dyDescent="0.2">
      <c r="A45" s="268" t="s">
        <v>359</v>
      </c>
      <c r="B45" s="2" t="s">
        <v>101</v>
      </c>
      <c r="C45" s="2" t="s">
        <v>24</v>
      </c>
      <c r="D45" s="2" t="s">
        <v>22</v>
      </c>
      <c r="E45" s="2"/>
      <c r="F45" s="2" t="s">
        <v>14</v>
      </c>
      <c r="G45" s="2" t="s">
        <v>15</v>
      </c>
      <c r="H45" s="2"/>
      <c r="I45" s="3">
        <v>534</v>
      </c>
      <c r="J45" s="3">
        <v>424</v>
      </c>
      <c r="K45" s="4">
        <v>0.79400749063670395</v>
      </c>
      <c r="L45" s="3">
        <v>822</v>
      </c>
      <c r="M45" s="3">
        <v>272</v>
      </c>
      <c r="N45" s="3">
        <v>2</v>
      </c>
      <c r="O45" s="3"/>
      <c r="P45" s="3"/>
      <c r="Q45" s="15" t="str">
        <f>VLOOKUP(B45,'MES Adj'!Q$4:Z$92,1,0)</f>
        <v>3561100750237EF</v>
      </c>
    </row>
    <row r="46" spans="1:17" s="33" customFormat="1" outlineLevel="1" x14ac:dyDescent="0.25">
      <c r="A46" s="268" t="s">
        <v>359</v>
      </c>
      <c r="B46" s="30" t="s">
        <v>102</v>
      </c>
      <c r="C46" s="30" t="s">
        <v>145</v>
      </c>
      <c r="D46" s="30" t="s">
        <v>22</v>
      </c>
      <c r="E46" s="30"/>
      <c r="F46" s="30" t="s">
        <v>14</v>
      </c>
      <c r="G46" s="30" t="s">
        <v>15</v>
      </c>
      <c r="H46" s="24" t="s">
        <v>140</v>
      </c>
      <c r="I46" s="31">
        <v>1436</v>
      </c>
      <c r="J46" s="31">
        <v>1171</v>
      </c>
      <c r="K46" s="32">
        <v>0.81545961002785505</v>
      </c>
      <c r="L46" s="31">
        <v>2084</v>
      </c>
      <c r="M46" s="31">
        <v>663</v>
      </c>
      <c r="N46" s="31">
        <v>0</v>
      </c>
      <c r="O46" s="31"/>
      <c r="P46" s="31"/>
      <c r="Q46" s="15" t="str">
        <f>VLOOKUP(B46,'MES Adj'!Q$4:Z$92,1,0)</f>
        <v>3561100750640EF</v>
      </c>
    </row>
    <row r="47" spans="1:17" ht="12.75" outlineLevel="1" x14ac:dyDescent="0.2">
      <c r="A47" s="268" t="s">
        <v>359</v>
      </c>
      <c r="B47" s="2" t="s">
        <v>103</v>
      </c>
      <c r="C47" s="2" t="s">
        <v>12</v>
      </c>
      <c r="D47" s="2" t="s">
        <v>22</v>
      </c>
      <c r="E47" s="2"/>
      <c r="F47" s="2" t="s">
        <v>14</v>
      </c>
      <c r="G47" s="2" t="s">
        <v>15</v>
      </c>
      <c r="H47" s="2"/>
      <c r="I47" s="3">
        <v>15</v>
      </c>
      <c r="J47" s="3">
        <v>0</v>
      </c>
      <c r="K47" s="4">
        <v>0</v>
      </c>
      <c r="L47" s="3">
        <v>0</v>
      </c>
      <c r="M47" s="3">
        <v>0</v>
      </c>
      <c r="N47" s="3">
        <v>0</v>
      </c>
      <c r="O47" s="3"/>
      <c r="P47" s="3"/>
      <c r="Q47" s="15" t="str">
        <f>VLOOKUP(B47,'MES Adj'!Q$4:Z$92,1,0)</f>
        <v>3561100750675EF</v>
      </c>
    </row>
    <row r="48" spans="1:17" ht="12.75" outlineLevel="1" x14ac:dyDescent="0.2">
      <c r="A48" s="268" t="s">
        <v>359</v>
      </c>
      <c r="B48" s="2" t="s">
        <v>104</v>
      </c>
      <c r="C48" s="2" t="s">
        <v>17</v>
      </c>
      <c r="D48" s="2" t="s">
        <v>22</v>
      </c>
      <c r="E48" s="2"/>
      <c r="F48" s="2" t="s">
        <v>14</v>
      </c>
      <c r="G48" s="2" t="s">
        <v>15</v>
      </c>
      <c r="H48" s="2"/>
      <c r="I48" s="3">
        <v>691</v>
      </c>
      <c r="J48" s="3">
        <v>533</v>
      </c>
      <c r="K48" s="4">
        <v>0.77134587554269196</v>
      </c>
      <c r="L48" s="3">
        <v>1075</v>
      </c>
      <c r="M48" s="3">
        <v>381</v>
      </c>
      <c r="N48" s="3">
        <v>0</v>
      </c>
      <c r="O48" s="3"/>
      <c r="P48" s="3"/>
      <c r="Q48" s="15" t="str">
        <f>VLOOKUP(B48,'MES Adj'!Q$4:Z$92,1,0)</f>
        <v>3561100750719EF</v>
      </c>
    </row>
    <row r="49" spans="1:17" s="33" customFormat="1" outlineLevel="1" x14ac:dyDescent="0.25">
      <c r="A49" s="268" t="s">
        <v>359</v>
      </c>
      <c r="B49" s="30" t="s">
        <v>105</v>
      </c>
      <c r="C49" s="30" t="s">
        <v>143</v>
      </c>
      <c r="D49" s="30" t="s">
        <v>22</v>
      </c>
      <c r="E49" s="30"/>
      <c r="F49" s="30" t="s">
        <v>14</v>
      </c>
      <c r="G49" s="30" t="s">
        <v>15</v>
      </c>
      <c r="H49" s="24" t="s">
        <v>140</v>
      </c>
      <c r="I49" s="31">
        <v>3844</v>
      </c>
      <c r="J49" s="31">
        <v>3106</v>
      </c>
      <c r="K49" s="32">
        <v>0.80801248699271599</v>
      </c>
      <c r="L49" s="31">
        <v>5051</v>
      </c>
      <c r="M49" s="31">
        <v>416</v>
      </c>
      <c r="N49" s="31">
        <v>2266</v>
      </c>
      <c r="O49" s="31"/>
      <c r="P49" s="31"/>
      <c r="Q49" s="15" t="str">
        <f>VLOOKUP(B49,'MES Adj'!Q$4:Z$92,1,0)</f>
        <v>3561100750876EF</v>
      </c>
    </row>
    <row r="50" spans="1:17" s="8" customFormat="1" ht="12.75" outlineLevel="1" x14ac:dyDescent="0.2">
      <c r="A50" s="15" t="s">
        <v>162</v>
      </c>
      <c r="B50" s="9" t="s">
        <v>45</v>
      </c>
      <c r="C50" s="9" t="s">
        <v>46</v>
      </c>
      <c r="D50" s="9" t="s">
        <v>47</v>
      </c>
      <c r="E50" s="9"/>
      <c r="F50" s="9" t="s">
        <v>48</v>
      </c>
      <c r="G50" s="9" t="s">
        <v>15</v>
      </c>
      <c r="H50" s="9"/>
      <c r="I50" s="10">
        <v>0</v>
      </c>
      <c r="J50" s="10">
        <v>0</v>
      </c>
      <c r="K50" s="11">
        <v>0</v>
      </c>
      <c r="L50" s="10">
        <v>0</v>
      </c>
      <c r="M50" s="10">
        <v>40</v>
      </c>
      <c r="N50" s="10">
        <v>0</v>
      </c>
      <c r="O50" s="10"/>
      <c r="P50" s="10"/>
      <c r="Q50" s="15" t="str">
        <f>VLOOKUP(B50,'MES Adj'!Q$4:Z$92,1,0)</f>
        <v>3547100550314J1</v>
      </c>
    </row>
    <row r="51" spans="1:17" ht="12.75" customHeight="1" outlineLevel="1" x14ac:dyDescent="0.2">
      <c r="A51" s="15" t="s">
        <v>162</v>
      </c>
      <c r="B51" s="9" t="s">
        <v>51</v>
      </c>
      <c r="C51" s="9" t="s">
        <v>52</v>
      </c>
      <c r="D51" s="9" t="s">
        <v>47</v>
      </c>
      <c r="E51" s="9"/>
      <c r="F51" s="9" t="s">
        <v>48</v>
      </c>
      <c r="G51" s="9" t="s">
        <v>15</v>
      </c>
      <c r="H51" s="9"/>
      <c r="I51" s="10">
        <v>0</v>
      </c>
      <c r="J51" s="10">
        <v>0</v>
      </c>
      <c r="K51" s="11">
        <v>0</v>
      </c>
      <c r="L51" s="10">
        <v>0</v>
      </c>
      <c r="M51" s="10">
        <v>39</v>
      </c>
      <c r="N51" s="10">
        <v>0</v>
      </c>
      <c r="O51" s="10"/>
      <c r="P51" s="10"/>
      <c r="Q51" s="15" t="str">
        <f>VLOOKUP(B51,'MES Adj'!Q$4:Z$92,1,0)</f>
        <v>3547100600314J1</v>
      </c>
    </row>
    <row r="52" spans="1:17" s="8" customFormat="1" ht="12.75" customHeight="1" outlineLevel="1" x14ac:dyDescent="0.2">
      <c r="A52" s="15" t="s">
        <v>162</v>
      </c>
      <c r="B52" s="9" t="s">
        <v>59</v>
      </c>
      <c r="C52" s="9" t="s">
        <v>60</v>
      </c>
      <c r="D52" s="9" t="s">
        <v>47</v>
      </c>
      <c r="E52" s="9"/>
      <c r="F52" s="9" t="s">
        <v>48</v>
      </c>
      <c r="G52" s="9" t="s">
        <v>15</v>
      </c>
      <c r="H52" s="9"/>
      <c r="I52" s="10">
        <v>40</v>
      </c>
      <c r="J52" s="10">
        <v>35</v>
      </c>
      <c r="K52" s="11">
        <v>0.875</v>
      </c>
      <c r="L52" s="10">
        <v>0</v>
      </c>
      <c r="M52" s="10">
        <v>57</v>
      </c>
      <c r="N52" s="10">
        <v>2140</v>
      </c>
      <c r="O52" s="10"/>
      <c r="P52" s="10"/>
      <c r="Q52" s="15" t="str">
        <f>VLOOKUP(B52,'MES Adj'!Q$4:Z$92,1,0)</f>
        <v>354710065031400</v>
      </c>
    </row>
    <row r="53" spans="1:17" ht="12.75" outlineLevel="1" x14ac:dyDescent="0.2">
      <c r="A53" s="15" t="s">
        <v>162</v>
      </c>
      <c r="B53" s="9" t="s">
        <v>79</v>
      </c>
      <c r="C53" s="9" t="s">
        <v>80</v>
      </c>
      <c r="D53" s="9" t="s">
        <v>47</v>
      </c>
      <c r="E53" s="9"/>
      <c r="F53" s="9" t="s">
        <v>48</v>
      </c>
      <c r="G53" s="9" t="s">
        <v>15</v>
      </c>
      <c r="H53" s="9"/>
      <c r="I53" s="10">
        <v>260</v>
      </c>
      <c r="J53" s="10">
        <v>247</v>
      </c>
      <c r="K53" s="11">
        <v>0.95</v>
      </c>
      <c r="L53" s="10">
        <v>0</v>
      </c>
      <c r="M53" s="10">
        <v>350</v>
      </c>
      <c r="N53" s="10">
        <v>3302</v>
      </c>
      <c r="O53" s="10"/>
      <c r="P53" s="10"/>
      <c r="Q53" s="15" t="str">
        <f>VLOOKUP(B53,'MES Adj'!Q$4:Z$92,1,0)</f>
        <v>354710070031401</v>
      </c>
    </row>
    <row r="54" spans="1:17" ht="12.75" customHeight="1" outlineLevel="1" x14ac:dyDescent="0.2">
      <c r="A54" s="15" t="s">
        <v>162</v>
      </c>
      <c r="B54" s="2" t="s">
        <v>49</v>
      </c>
      <c r="C54" s="2" t="s">
        <v>50</v>
      </c>
      <c r="D54" s="2" t="s">
        <v>47</v>
      </c>
      <c r="E54" s="2" t="s">
        <v>149</v>
      </c>
      <c r="F54" s="2" t="s">
        <v>14</v>
      </c>
      <c r="G54" s="2" t="s">
        <v>15</v>
      </c>
      <c r="H54" s="2"/>
      <c r="I54" s="3">
        <v>616</v>
      </c>
      <c r="J54" s="3">
        <v>530</v>
      </c>
      <c r="K54" s="4">
        <v>0.86038961038961004</v>
      </c>
      <c r="L54" s="3">
        <v>779</v>
      </c>
      <c r="M54" s="3">
        <v>224</v>
      </c>
      <c r="N54" s="3">
        <v>0</v>
      </c>
      <c r="O54" s="3"/>
      <c r="P54" s="3"/>
      <c r="Q54" s="15" t="str">
        <f>VLOOKUP(B54,'MES Adj'!Q$4:Z$92,1,0)</f>
        <v>3547100550676EF</v>
      </c>
    </row>
    <row r="55" spans="1:17" s="8" customFormat="1" ht="12.75" customHeight="1" x14ac:dyDescent="0.2">
      <c r="A55" s="15" t="s">
        <v>162</v>
      </c>
      <c r="B55" s="2" t="s">
        <v>53</v>
      </c>
      <c r="C55" s="2" t="s">
        <v>54</v>
      </c>
      <c r="D55" s="2" t="s">
        <v>47</v>
      </c>
      <c r="E55" s="2" t="s">
        <v>149</v>
      </c>
      <c r="F55" s="2" t="s">
        <v>14</v>
      </c>
      <c r="G55" s="2" t="s">
        <v>15</v>
      </c>
      <c r="H55" s="2"/>
      <c r="I55" s="3">
        <v>4539</v>
      </c>
      <c r="J55" s="3">
        <v>3708</v>
      </c>
      <c r="K55" s="4">
        <v>0.81692002643754102</v>
      </c>
      <c r="L55" s="3">
        <v>6916</v>
      </c>
      <c r="M55" s="3">
        <v>975</v>
      </c>
      <c r="N55" s="3">
        <v>0</v>
      </c>
      <c r="O55" s="3"/>
      <c r="P55" s="3"/>
      <c r="Q55" s="15" t="str">
        <f>VLOOKUP(B55,'MES Adj'!Q$4:Z$92,1,0)</f>
        <v>3547100600676EF</v>
      </c>
    </row>
    <row r="56" spans="1:17" ht="12.75" customHeight="1" x14ac:dyDescent="0.2">
      <c r="A56" s="15" t="s">
        <v>162</v>
      </c>
      <c r="B56" s="2" t="s">
        <v>56</v>
      </c>
      <c r="C56" s="2" t="s">
        <v>57</v>
      </c>
      <c r="D56" s="2" t="s">
        <v>47</v>
      </c>
      <c r="E56" s="2" t="s">
        <v>149</v>
      </c>
      <c r="F56" s="2" t="s">
        <v>14</v>
      </c>
      <c r="G56" s="2" t="s">
        <v>15</v>
      </c>
      <c r="H56" s="2"/>
      <c r="I56" s="3">
        <v>90</v>
      </c>
      <c r="J56" s="3">
        <v>75</v>
      </c>
      <c r="K56" s="4">
        <v>0.83333333333333304</v>
      </c>
      <c r="L56" s="3">
        <v>149</v>
      </c>
      <c r="M56" s="3">
        <v>0</v>
      </c>
      <c r="N56" s="3">
        <v>0</v>
      </c>
      <c r="O56" s="3"/>
      <c r="P56" s="3"/>
      <c r="Q56" s="15" t="str">
        <f>VLOOKUP(B56,'MES Adj'!Q$4:Z$92,1,0)</f>
        <v>3547100650237EF</v>
      </c>
    </row>
    <row r="57" spans="1:17" s="37" customFormat="1" ht="12.75" customHeight="1" x14ac:dyDescent="0.2">
      <c r="A57" s="37" t="s">
        <v>162</v>
      </c>
      <c r="B57" s="2" t="s">
        <v>62</v>
      </c>
      <c r="C57" s="2" t="s">
        <v>63</v>
      </c>
      <c r="D57" s="2" t="s">
        <v>47</v>
      </c>
      <c r="E57" s="2" t="s">
        <v>149</v>
      </c>
      <c r="F57" s="2" t="s">
        <v>14</v>
      </c>
      <c r="G57" s="2" t="s">
        <v>15</v>
      </c>
      <c r="H57" s="2"/>
      <c r="I57" s="3">
        <v>57</v>
      </c>
      <c r="J57" s="3">
        <v>50</v>
      </c>
      <c r="K57" s="4">
        <v>0.87719298245613997</v>
      </c>
      <c r="L57" s="3">
        <v>100</v>
      </c>
      <c r="M57" s="3">
        <v>8</v>
      </c>
      <c r="N57" s="3">
        <v>37</v>
      </c>
      <c r="O57" s="3"/>
      <c r="P57" s="3"/>
      <c r="Q57" s="15" t="str">
        <f>VLOOKUP(B57,'MES Adj'!Q$4:Z$92,1,0)</f>
        <v>354710065060NEF</v>
      </c>
    </row>
    <row r="58" spans="1:17" ht="12.75" customHeight="1" x14ac:dyDescent="0.2">
      <c r="A58" s="15" t="s">
        <v>162</v>
      </c>
      <c r="B58" s="34" t="s">
        <v>65</v>
      </c>
      <c r="C58" s="34" t="s">
        <v>66</v>
      </c>
      <c r="D58" s="34" t="s">
        <v>47</v>
      </c>
      <c r="E58" s="34" t="s">
        <v>150</v>
      </c>
      <c r="F58" s="34" t="s">
        <v>14</v>
      </c>
      <c r="G58" s="34" t="s">
        <v>15</v>
      </c>
      <c r="H58" s="34"/>
      <c r="I58" s="35">
        <v>0</v>
      </c>
      <c r="J58" s="35">
        <v>0</v>
      </c>
      <c r="K58" s="36">
        <v>0</v>
      </c>
      <c r="L58" s="35">
        <v>0</v>
      </c>
      <c r="M58" s="35">
        <v>0</v>
      </c>
      <c r="N58" s="35">
        <v>0</v>
      </c>
      <c r="O58" s="35"/>
      <c r="P58" s="458"/>
      <c r="Q58" s="15" t="str">
        <f>VLOOKUP(B58,'MES Adj'!Q$4:Z$92,1,0)</f>
        <v>3547100650675EF</v>
      </c>
    </row>
    <row r="59" spans="1:17" ht="12.75" customHeight="1" x14ac:dyDescent="0.2">
      <c r="A59" s="15" t="s">
        <v>162</v>
      </c>
      <c r="B59" s="2" t="s">
        <v>68</v>
      </c>
      <c r="C59" s="2" t="s">
        <v>69</v>
      </c>
      <c r="D59" s="2" t="s">
        <v>47</v>
      </c>
      <c r="E59" s="2" t="s">
        <v>149</v>
      </c>
      <c r="F59" s="2" t="s">
        <v>14</v>
      </c>
      <c r="G59" s="2" t="s">
        <v>15</v>
      </c>
      <c r="H59" s="2"/>
      <c r="I59" s="3">
        <v>1534</v>
      </c>
      <c r="J59" s="3">
        <v>1296</v>
      </c>
      <c r="K59" s="4">
        <v>0.84485006518904804</v>
      </c>
      <c r="L59" s="3">
        <v>2090</v>
      </c>
      <c r="M59" s="3">
        <v>312</v>
      </c>
      <c r="N59" s="3">
        <v>0</v>
      </c>
      <c r="O59" s="3"/>
      <c r="P59" s="456"/>
      <c r="Q59" s="15" t="str">
        <f>VLOOKUP(B59,'MES Adj'!Q$4:Z$92,1,0)</f>
        <v>3547100650676EF</v>
      </c>
    </row>
    <row r="60" spans="1:17" ht="12.75" customHeight="1" x14ac:dyDescent="0.2">
      <c r="A60" s="15" t="s">
        <v>162</v>
      </c>
      <c r="B60" s="2" t="s">
        <v>71</v>
      </c>
      <c r="C60" s="2" t="s">
        <v>72</v>
      </c>
      <c r="D60" s="2" t="s">
        <v>47</v>
      </c>
      <c r="E60" s="2" t="s">
        <v>149</v>
      </c>
      <c r="F60" s="2" t="s">
        <v>14</v>
      </c>
      <c r="G60" s="2" t="s">
        <v>15</v>
      </c>
      <c r="H60" s="2"/>
      <c r="I60" s="3">
        <v>55</v>
      </c>
      <c r="J60" s="3">
        <v>19</v>
      </c>
      <c r="K60" s="4">
        <v>0.34545454545454501</v>
      </c>
      <c r="L60" s="3">
        <v>56</v>
      </c>
      <c r="M60" s="3">
        <v>2</v>
      </c>
      <c r="N60" s="3">
        <v>0</v>
      </c>
      <c r="O60" s="3"/>
      <c r="P60" s="3"/>
      <c r="Q60" s="15" t="str">
        <f>VLOOKUP(B60,'MES Adj'!Q$4:Z$92,1,0)</f>
        <v>3547100650770EF</v>
      </c>
    </row>
    <row r="61" spans="1:17" ht="12.75" customHeight="1" x14ac:dyDescent="0.2">
      <c r="A61" s="15" t="s">
        <v>162</v>
      </c>
      <c r="B61" s="2" t="s">
        <v>74</v>
      </c>
      <c r="C61" s="2" t="s">
        <v>31</v>
      </c>
      <c r="D61" s="2" t="s">
        <v>47</v>
      </c>
      <c r="E61" s="2" t="s">
        <v>149</v>
      </c>
      <c r="F61" s="2" t="s">
        <v>14</v>
      </c>
      <c r="G61" s="2" t="s">
        <v>15</v>
      </c>
      <c r="H61" s="2"/>
      <c r="I61" s="3">
        <v>0</v>
      </c>
      <c r="J61" s="3">
        <v>0</v>
      </c>
      <c r="K61" s="4">
        <v>0</v>
      </c>
      <c r="L61" s="3">
        <v>0</v>
      </c>
      <c r="M61" s="3">
        <v>1</v>
      </c>
      <c r="N61" s="3">
        <v>0</v>
      </c>
      <c r="O61" s="3"/>
      <c r="P61" s="3"/>
      <c r="Q61" s="15" t="e">
        <f>VLOOKUP(B61,'MES Adj'!Q$4:Z$92,1,0)</f>
        <v>#N/A</v>
      </c>
    </row>
    <row r="62" spans="1:17" s="8" customFormat="1" ht="12.75" customHeight="1" x14ac:dyDescent="0.2">
      <c r="A62" s="15" t="s">
        <v>162</v>
      </c>
      <c r="B62" s="2" t="s">
        <v>76</v>
      </c>
      <c r="C62" s="2" t="s">
        <v>77</v>
      </c>
      <c r="D62" s="2" t="s">
        <v>47</v>
      </c>
      <c r="E62" s="2" t="s">
        <v>149</v>
      </c>
      <c r="F62" s="2" t="s">
        <v>14</v>
      </c>
      <c r="G62" s="2" t="s">
        <v>15</v>
      </c>
      <c r="H62" s="2"/>
      <c r="I62" s="3">
        <v>252</v>
      </c>
      <c r="J62" s="3">
        <v>218</v>
      </c>
      <c r="K62" s="4">
        <v>0.865079365079365</v>
      </c>
      <c r="L62" s="3">
        <v>436</v>
      </c>
      <c r="M62" s="3">
        <v>0</v>
      </c>
      <c r="N62" s="3">
        <v>0</v>
      </c>
      <c r="O62" s="3"/>
      <c r="P62" s="3"/>
      <c r="Q62" s="15" t="str">
        <f>VLOOKUP(B62,'MES Adj'!Q$4:Z$92,1,0)</f>
        <v>3547100700237EF</v>
      </c>
    </row>
    <row r="63" spans="1:17" ht="12.75" customHeight="1" x14ac:dyDescent="0.2">
      <c r="A63" s="15" t="s">
        <v>162</v>
      </c>
      <c r="B63" s="2" t="s">
        <v>82</v>
      </c>
      <c r="C63" s="2" t="s">
        <v>83</v>
      </c>
      <c r="D63" s="2" t="s">
        <v>47</v>
      </c>
      <c r="E63" s="2" t="s">
        <v>149</v>
      </c>
      <c r="F63" s="2" t="s">
        <v>14</v>
      </c>
      <c r="G63" s="2" t="s">
        <v>15</v>
      </c>
      <c r="H63" s="2"/>
      <c r="I63" s="3">
        <v>432</v>
      </c>
      <c r="J63" s="3">
        <v>352</v>
      </c>
      <c r="K63" s="4">
        <v>0.81481481481481499</v>
      </c>
      <c r="L63" s="3">
        <v>828</v>
      </c>
      <c r="M63" s="3">
        <v>2</v>
      </c>
      <c r="N63" s="3">
        <v>91</v>
      </c>
      <c r="O63" s="3"/>
      <c r="P63" s="3"/>
      <c r="Q63" s="15" t="str">
        <f>VLOOKUP(B63,'MES Adj'!Q$4:Z$92,1,0)</f>
        <v>354710070060NEF</v>
      </c>
    </row>
    <row r="64" spans="1:17" s="37" customFormat="1" ht="12.75" customHeight="1" x14ac:dyDescent="0.2">
      <c r="A64" s="37" t="s">
        <v>162</v>
      </c>
      <c r="B64" s="34" t="s">
        <v>84</v>
      </c>
      <c r="C64" s="34" t="s">
        <v>85</v>
      </c>
      <c r="D64" s="34" t="s">
        <v>47</v>
      </c>
      <c r="E64" s="34" t="s">
        <v>150</v>
      </c>
      <c r="F64" s="34" t="s">
        <v>14</v>
      </c>
      <c r="G64" s="34" t="s">
        <v>15</v>
      </c>
      <c r="H64" s="34"/>
      <c r="I64" s="35">
        <v>2</v>
      </c>
      <c r="J64" s="35">
        <v>0</v>
      </c>
      <c r="K64" s="36">
        <v>0</v>
      </c>
      <c r="L64" s="35">
        <v>0</v>
      </c>
      <c r="M64" s="35">
        <v>0</v>
      </c>
      <c r="N64" s="35">
        <v>0</v>
      </c>
      <c r="Q64" s="15" t="str">
        <f>VLOOKUP(B64,'MES Adj'!Q$4:Z$92,1,0)</f>
        <v>3547100700675EF</v>
      </c>
    </row>
    <row r="65" spans="1:17" ht="12.75" customHeight="1" x14ac:dyDescent="0.2">
      <c r="A65" s="38" t="s">
        <v>162</v>
      </c>
      <c r="B65" s="2" t="s">
        <v>86</v>
      </c>
      <c r="C65" s="2" t="s">
        <v>87</v>
      </c>
      <c r="D65" s="2" t="s">
        <v>47</v>
      </c>
      <c r="E65" s="2" t="s">
        <v>149</v>
      </c>
      <c r="F65" s="2" t="s">
        <v>14</v>
      </c>
      <c r="G65" s="2" t="s">
        <v>15</v>
      </c>
      <c r="H65" s="2"/>
      <c r="I65" s="3">
        <v>111</v>
      </c>
      <c r="J65" s="3">
        <v>81</v>
      </c>
      <c r="K65" s="4">
        <v>0.72972972972973005</v>
      </c>
      <c r="L65" s="3">
        <v>168</v>
      </c>
      <c r="M65" s="3">
        <v>4</v>
      </c>
      <c r="N65" s="3">
        <v>0</v>
      </c>
      <c r="Q65" s="15" t="str">
        <f>VLOOKUP(B65,'MES Adj'!Q$4:Z$92,1,0)</f>
        <v>3547100700770EF</v>
      </c>
    </row>
    <row r="66" spans="1:17" ht="12.75" x14ac:dyDescent="0.2">
      <c r="A66" s="38" t="s">
        <v>161</v>
      </c>
      <c r="B66" s="2" t="s">
        <v>111</v>
      </c>
      <c r="C66" s="2" t="s">
        <v>112</v>
      </c>
      <c r="D66" s="2" t="s">
        <v>47</v>
      </c>
      <c r="E66" s="34" t="s">
        <v>150</v>
      </c>
      <c r="F66" s="2" t="s">
        <v>48</v>
      </c>
      <c r="G66" s="2" t="s">
        <v>113</v>
      </c>
      <c r="H66" s="2"/>
      <c r="I66" s="3">
        <v>0</v>
      </c>
      <c r="J66" s="3">
        <v>0</v>
      </c>
      <c r="K66" s="4">
        <v>0</v>
      </c>
      <c r="L66" s="3">
        <v>0</v>
      </c>
      <c r="M66" s="3">
        <v>0</v>
      </c>
      <c r="N66" s="3">
        <v>0</v>
      </c>
      <c r="Q66" s="15" t="str">
        <f>VLOOKUP(B66,'MES Adj'!Q$4:Z$92,1,0)</f>
        <v>531510080231400</v>
      </c>
    </row>
    <row r="67" spans="1:17" s="14" customFormat="1" ht="22.5" customHeight="1" x14ac:dyDescent="0.25">
      <c r="A67" s="38" t="s">
        <v>161</v>
      </c>
      <c r="B67" s="5" t="s">
        <v>114</v>
      </c>
      <c r="C67" s="5" t="s">
        <v>115</v>
      </c>
      <c r="D67" s="5" t="s">
        <v>47</v>
      </c>
      <c r="E67" s="5" t="s">
        <v>154</v>
      </c>
      <c r="F67" s="5" t="s">
        <v>32</v>
      </c>
      <c r="G67" s="5" t="s">
        <v>113</v>
      </c>
      <c r="H67" s="39" t="s">
        <v>160</v>
      </c>
      <c r="I67" s="6">
        <v>106592</v>
      </c>
      <c r="J67" s="6">
        <v>102830</v>
      </c>
      <c r="K67" s="7">
        <v>0.96470654458120697</v>
      </c>
      <c r="L67" s="6">
        <v>0</v>
      </c>
      <c r="M67" s="6">
        <v>1275</v>
      </c>
      <c r="N67" s="6">
        <v>0</v>
      </c>
      <c r="Q67" s="15" t="str">
        <f>VLOOKUP(B67,'MES Adj'!Q$4:Z$92,1,0)</f>
        <v>547410081200000</v>
      </c>
    </row>
    <row r="68" spans="1:17" ht="22.5" customHeight="1" x14ac:dyDescent="0.2">
      <c r="A68" s="38" t="s">
        <v>161</v>
      </c>
      <c r="B68" s="2" t="s">
        <v>116</v>
      </c>
      <c r="C68" s="2" t="s">
        <v>117</v>
      </c>
      <c r="D68" s="2" t="s">
        <v>47</v>
      </c>
      <c r="E68" s="2" t="s">
        <v>154</v>
      </c>
      <c r="F68" s="2" t="s">
        <v>48</v>
      </c>
      <c r="G68" s="2" t="s">
        <v>113</v>
      </c>
      <c r="H68" s="2"/>
      <c r="I68" s="3">
        <v>17200</v>
      </c>
      <c r="J68" s="3">
        <v>16085</v>
      </c>
      <c r="K68" s="4">
        <v>0.935174418604651</v>
      </c>
      <c r="L68" s="3">
        <v>0</v>
      </c>
      <c r="M68" s="3">
        <v>2489</v>
      </c>
      <c r="N68" s="3">
        <v>0</v>
      </c>
      <c r="Q68" s="15" t="str">
        <f>VLOOKUP(B68,'MES Adj'!Q$4:Z$92,1,0)</f>
        <v>547410081231401</v>
      </c>
    </row>
    <row r="69" spans="1:17" s="14" customFormat="1" ht="15" customHeight="1" x14ac:dyDescent="0.25">
      <c r="A69" s="38" t="s">
        <v>161</v>
      </c>
      <c r="B69" s="5" t="s">
        <v>118</v>
      </c>
      <c r="C69" s="5" t="s">
        <v>119</v>
      </c>
      <c r="D69" s="5" t="s">
        <v>47</v>
      </c>
      <c r="E69" s="5" t="s">
        <v>157</v>
      </c>
      <c r="F69" s="5" t="s">
        <v>32</v>
      </c>
      <c r="G69" s="5" t="s">
        <v>113</v>
      </c>
      <c r="H69" s="39" t="s">
        <v>160</v>
      </c>
      <c r="I69" s="6">
        <v>31360</v>
      </c>
      <c r="J69" s="6">
        <v>30395</v>
      </c>
      <c r="K69" s="7">
        <v>0.96922831632653095</v>
      </c>
      <c r="L69" s="6">
        <v>26790</v>
      </c>
      <c r="M69" s="6">
        <v>0</v>
      </c>
      <c r="N69" s="6">
        <v>7770</v>
      </c>
      <c r="Q69" s="15" t="str">
        <f>VLOOKUP(B69,'MES Adj'!Q$4:Z$92,1,0)</f>
        <v>548410081200000</v>
      </c>
    </row>
    <row r="70" spans="1:17" ht="22.5" customHeight="1" x14ac:dyDescent="0.2">
      <c r="A70" s="38" t="s">
        <v>161</v>
      </c>
      <c r="B70" s="2" t="s">
        <v>120</v>
      </c>
      <c r="C70" s="2" t="s">
        <v>121</v>
      </c>
      <c r="D70" s="2" t="s">
        <v>47</v>
      </c>
      <c r="E70" s="2" t="s">
        <v>154</v>
      </c>
      <c r="F70" s="2" t="s">
        <v>48</v>
      </c>
      <c r="G70" s="2" t="s">
        <v>113</v>
      </c>
      <c r="H70" s="2"/>
      <c r="I70" s="3">
        <v>21360</v>
      </c>
      <c r="J70" s="3">
        <v>19878</v>
      </c>
      <c r="K70" s="4">
        <v>0.93061797752808995</v>
      </c>
      <c r="L70" s="3">
        <v>0</v>
      </c>
      <c r="M70" s="3">
        <v>6535</v>
      </c>
      <c r="N70" s="3">
        <v>0</v>
      </c>
      <c r="Q70" s="15" t="str">
        <f>VLOOKUP(B70,'MES Adj'!Q$4:Z$92,1,0)</f>
        <v>548410081231400</v>
      </c>
    </row>
    <row r="71" spans="1:17" s="14" customFormat="1" ht="22.5" customHeight="1" x14ac:dyDescent="0.25">
      <c r="A71" s="38" t="s">
        <v>161</v>
      </c>
      <c r="B71" s="5" t="s">
        <v>122</v>
      </c>
      <c r="C71" s="5" t="s">
        <v>123</v>
      </c>
      <c r="D71" s="5" t="s">
        <v>47</v>
      </c>
      <c r="E71" s="5" t="s">
        <v>157</v>
      </c>
      <c r="F71" s="5" t="s">
        <v>159</v>
      </c>
      <c r="G71" s="5" t="s">
        <v>124</v>
      </c>
      <c r="H71" s="39" t="s">
        <v>160</v>
      </c>
      <c r="I71" s="6">
        <v>0</v>
      </c>
      <c r="J71" s="6">
        <v>0</v>
      </c>
      <c r="K71" s="7">
        <v>0</v>
      </c>
      <c r="L71" s="6">
        <v>1650</v>
      </c>
      <c r="M71" s="6">
        <v>0</v>
      </c>
      <c r="N71" s="6">
        <v>291</v>
      </c>
      <c r="Q71" s="15" t="str">
        <f>VLOOKUP(B71,'MES Adj'!Q$4:Z$92,1,0)</f>
        <v>554410076000000</v>
      </c>
    </row>
    <row r="72" spans="1:17" ht="22.5" customHeight="1" x14ac:dyDescent="0.2">
      <c r="A72" s="38" t="s">
        <v>161</v>
      </c>
      <c r="B72" s="2" t="s">
        <v>125</v>
      </c>
      <c r="C72" s="2" t="s">
        <v>126</v>
      </c>
      <c r="D72" s="2" t="s">
        <v>47</v>
      </c>
      <c r="E72" s="2" t="s">
        <v>154</v>
      </c>
      <c r="F72" s="2" t="s">
        <v>48</v>
      </c>
      <c r="G72" s="2" t="s">
        <v>124</v>
      </c>
      <c r="H72" s="2"/>
      <c r="I72" s="3">
        <v>0</v>
      </c>
      <c r="J72" s="3">
        <v>0</v>
      </c>
      <c r="K72" s="4">
        <v>0</v>
      </c>
      <c r="L72" s="3">
        <v>0</v>
      </c>
      <c r="M72" s="3">
        <v>20</v>
      </c>
      <c r="N72" s="3">
        <v>0</v>
      </c>
      <c r="Q72" s="15" t="str">
        <f>VLOOKUP(B72,'MES Adj'!Q$4:Z$92,1,0)</f>
        <v>554410076031400</v>
      </c>
    </row>
    <row r="73" spans="1:17" s="14" customFormat="1" ht="22.5" customHeight="1" x14ac:dyDescent="0.25">
      <c r="A73" s="38" t="s">
        <v>161</v>
      </c>
      <c r="B73" s="5" t="s">
        <v>127</v>
      </c>
      <c r="C73" s="5" t="s">
        <v>128</v>
      </c>
      <c r="D73" s="5" t="s">
        <v>47</v>
      </c>
      <c r="E73" s="5" t="s">
        <v>157</v>
      </c>
      <c r="F73" s="5" t="s">
        <v>159</v>
      </c>
      <c r="G73" s="5" t="s">
        <v>124</v>
      </c>
      <c r="H73" s="39" t="s">
        <v>160</v>
      </c>
      <c r="I73" s="6">
        <v>116551</v>
      </c>
      <c r="J73" s="6">
        <v>112330</v>
      </c>
      <c r="K73" s="7">
        <v>0.96378409451656399</v>
      </c>
      <c r="L73" s="6">
        <v>104670</v>
      </c>
      <c r="M73" s="6">
        <v>8551</v>
      </c>
      <c r="N73" s="6">
        <v>10795</v>
      </c>
      <c r="Q73" s="15" t="str">
        <f>VLOOKUP(B73,'MES Adj'!Q$4:Z$92,1,0)</f>
        <v>554710076000000</v>
      </c>
    </row>
    <row r="74" spans="1:17" ht="22.5" customHeight="1" x14ac:dyDescent="0.2">
      <c r="A74" s="38" t="s">
        <v>161</v>
      </c>
      <c r="B74" s="2" t="s">
        <v>129</v>
      </c>
      <c r="C74" s="2" t="s">
        <v>130</v>
      </c>
      <c r="D74" s="2" t="s">
        <v>47</v>
      </c>
      <c r="E74" s="2" t="s">
        <v>158</v>
      </c>
      <c r="F74" s="2" t="s">
        <v>48</v>
      </c>
      <c r="G74" s="2" t="s">
        <v>124</v>
      </c>
      <c r="H74" s="2"/>
      <c r="I74" s="3">
        <v>95440</v>
      </c>
      <c r="J74" s="3">
        <v>91795</v>
      </c>
      <c r="K74" s="4">
        <v>0.96180846605197001</v>
      </c>
      <c r="L74" s="3">
        <v>93180</v>
      </c>
      <c r="M74" s="3">
        <v>8063</v>
      </c>
      <c r="N74" s="3">
        <v>12279</v>
      </c>
      <c r="Q74" s="15" t="str">
        <f>VLOOKUP(B74,'MES Adj'!Q$4:Z$92,1,0)</f>
        <v>554710076031400</v>
      </c>
    </row>
    <row r="75" spans="1:17" s="13" customFormat="1" x14ac:dyDescent="0.25">
      <c r="A75" s="38" t="s">
        <v>161</v>
      </c>
      <c r="B75" s="2" t="s">
        <v>131</v>
      </c>
      <c r="C75" s="2" t="s">
        <v>132</v>
      </c>
      <c r="D75" s="2" t="s">
        <v>47</v>
      </c>
      <c r="E75" s="2" t="s">
        <v>156</v>
      </c>
      <c r="F75" s="2" t="s">
        <v>48</v>
      </c>
      <c r="G75" s="2" t="s">
        <v>113</v>
      </c>
      <c r="H75" s="2"/>
      <c r="I75" s="3">
        <v>160</v>
      </c>
      <c r="J75" s="3">
        <v>152</v>
      </c>
      <c r="K75" s="4">
        <v>0.95</v>
      </c>
      <c r="L75" s="3">
        <v>0</v>
      </c>
      <c r="M75" s="3">
        <v>0</v>
      </c>
      <c r="N75" s="3">
        <v>0</v>
      </c>
      <c r="Q75" s="15" t="str">
        <f>VLOOKUP(B75,'MES Adj'!Q$4:Z$92,1,0)</f>
        <v>5673100802314B1</v>
      </c>
    </row>
    <row r="76" spans="1:17" ht="22.5" customHeight="1" x14ac:dyDescent="0.2">
      <c r="A76" s="38" t="s">
        <v>161</v>
      </c>
      <c r="B76" s="2" t="s">
        <v>133</v>
      </c>
      <c r="C76" s="2" t="s">
        <v>134</v>
      </c>
      <c r="D76" s="2" t="s">
        <v>47</v>
      </c>
      <c r="E76" s="2" t="s">
        <v>154</v>
      </c>
      <c r="F76" s="2" t="s">
        <v>48</v>
      </c>
      <c r="G76" s="2" t="s">
        <v>113</v>
      </c>
      <c r="H76" s="2"/>
      <c r="I76" s="3">
        <v>1664</v>
      </c>
      <c r="J76" s="3">
        <v>1441</v>
      </c>
      <c r="K76" s="4">
        <v>0.86598557692307698</v>
      </c>
      <c r="L76" s="3">
        <v>0</v>
      </c>
      <c r="M76" s="3">
        <v>0</v>
      </c>
      <c r="N76" s="3">
        <v>0</v>
      </c>
      <c r="Q76" s="15" t="str">
        <f>VLOOKUP(B76,'MES Adj'!Q$4:Z$92,1,0)</f>
        <v>580410080231400</v>
      </c>
    </row>
    <row r="77" spans="1:17" ht="12.75" x14ac:dyDescent="0.2">
      <c r="A77" s="38" t="s">
        <v>161</v>
      </c>
      <c r="B77" s="2" t="s">
        <v>135</v>
      </c>
      <c r="C77" s="2" t="s">
        <v>136</v>
      </c>
      <c r="D77" s="2" t="s">
        <v>47</v>
      </c>
      <c r="E77" s="2" t="s">
        <v>157</v>
      </c>
      <c r="F77" s="2" t="s">
        <v>48</v>
      </c>
      <c r="G77" s="2" t="s">
        <v>113</v>
      </c>
      <c r="H77" s="2"/>
      <c r="I77" s="3">
        <v>6228</v>
      </c>
      <c r="J77" s="3">
        <v>5664</v>
      </c>
      <c r="K77" s="4">
        <v>0.90944123314065495</v>
      </c>
      <c r="L77" s="3">
        <v>6990</v>
      </c>
      <c r="M77" s="3">
        <v>648</v>
      </c>
      <c r="N77" s="3">
        <v>5449</v>
      </c>
      <c r="Q77" s="15" t="str">
        <f>VLOOKUP(B77,'MES Adj'!Q$4:Z$92,1,0)</f>
        <v>580910080231400</v>
      </c>
    </row>
    <row r="78" spans="1:17" ht="15" customHeight="1" x14ac:dyDescent="0.25">
      <c r="B78" s="12"/>
      <c r="C78" s="13" t="s">
        <v>137</v>
      </c>
      <c r="G78" s="453"/>
      <c r="O78" s="457"/>
      <c r="P78" s="457"/>
    </row>
    <row r="79" spans="1:17" x14ac:dyDescent="0.25">
      <c r="G79" s="447"/>
      <c r="H79" s="447"/>
    </row>
    <row r="81" spans="2:4" x14ac:dyDescent="0.25">
      <c r="B81" s="13" t="s">
        <v>13</v>
      </c>
      <c r="C81" s="13" t="s">
        <v>138</v>
      </c>
    </row>
    <row r="82" spans="2:4" x14ac:dyDescent="0.25">
      <c r="C82" s="24" t="s">
        <v>140</v>
      </c>
    </row>
    <row r="83" spans="2:4" x14ac:dyDescent="0.25">
      <c r="C83" s="15"/>
    </row>
    <row r="84" spans="2:4" x14ac:dyDescent="0.25">
      <c r="B84" s="13" t="s">
        <v>356</v>
      </c>
      <c r="C84" s="267" t="s">
        <v>141</v>
      </c>
      <c r="D84" s="13" t="s">
        <v>367</v>
      </c>
    </row>
    <row r="85" spans="2:4" x14ac:dyDescent="0.25">
      <c r="C85" s="15"/>
    </row>
    <row r="87" spans="2:4" x14ac:dyDescent="0.25">
      <c r="B87" s="13" t="s">
        <v>13</v>
      </c>
    </row>
    <row r="88" spans="2:4" x14ac:dyDescent="0.25">
      <c r="C88" s="29" t="s">
        <v>144</v>
      </c>
      <c r="D88" s="13" t="s">
        <v>368</v>
      </c>
    </row>
    <row r="90" spans="2:4" x14ac:dyDescent="0.25">
      <c r="B90" s="13" t="s">
        <v>33</v>
      </c>
      <c r="C90" s="39" t="s">
        <v>160</v>
      </c>
    </row>
    <row r="92" spans="2:4" x14ac:dyDescent="0.25">
      <c r="C92" s="13" t="s">
        <v>155</v>
      </c>
    </row>
  </sheetData>
  <autoFilter ref="B1:B92"/>
  <sortState ref="B2:L77">
    <sortCondition ref="D2:D77"/>
  </sortState>
  <printOptions horizontalCentered="1"/>
  <pageMargins left="0" right="0.11811023622047245" top="0.55118110236220474" bottom="0.55118110236220474" header="0.31496062992125984" footer="0.31496062992125984"/>
  <pageSetup paperSize="9" scale="64" orientation="portrait" r:id="rId1"/>
  <headerFooter>
    <oddFooter>&amp;R&amp;Z&amp;F&amp;A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O261"/>
  <sheetViews>
    <sheetView showGridLines="0" zoomScale="70" zoomScaleNormal="70" workbookViewId="0">
      <pane ySplit="3" topLeftCell="A4" activePane="bottomLeft" state="frozen"/>
      <selection pane="bottomLeft" activeCell="A191" sqref="A191"/>
    </sheetView>
  </sheetViews>
  <sheetFormatPr baseColWidth="10" defaultRowHeight="12.75" x14ac:dyDescent="0.2"/>
  <cols>
    <col min="1" max="1" width="46" style="43" customWidth="1"/>
    <col min="2" max="2" width="47.42578125" style="43" bestFit="1" customWidth="1"/>
    <col min="3" max="3" width="14.85546875" style="43" bestFit="1" customWidth="1"/>
    <col min="4" max="4" width="9.7109375" style="43" bestFit="1" customWidth="1"/>
    <col min="5" max="5" width="11.42578125" style="43"/>
    <col min="6" max="6" width="10.28515625" style="43" bestFit="1" customWidth="1"/>
    <col min="7" max="7" width="44.28515625" style="43" bestFit="1" customWidth="1"/>
    <col min="8" max="8" width="15.140625" style="43" customWidth="1"/>
    <col min="9" max="9" width="34.85546875" style="43" bestFit="1" customWidth="1"/>
    <col min="10" max="10" width="22.7109375" style="43" customWidth="1"/>
    <col min="11" max="12" width="11.42578125" style="43"/>
    <col min="13" max="13" width="12.140625" style="43" bestFit="1" customWidth="1"/>
    <col min="14" max="16384" width="11.42578125" style="43"/>
  </cols>
  <sheetData>
    <row r="1" spans="1:7" x14ac:dyDescent="0.2">
      <c r="A1" s="40">
        <f>'[1]RPL Ref'!A1</f>
        <v>44470</v>
      </c>
      <c r="B1" s="41" t="s">
        <v>163</v>
      </c>
      <c r="C1" s="42">
        <f>'[1]RPL Ref'!A1</f>
        <v>44470</v>
      </c>
    </row>
    <row r="2" spans="1:7" x14ac:dyDescent="0.2">
      <c r="A2" s="44" t="s">
        <v>164</v>
      </c>
      <c r="B2" s="44"/>
      <c r="C2" s="45" t="s">
        <v>165</v>
      </c>
      <c r="D2" s="45" t="s">
        <v>166</v>
      </c>
      <c r="E2" s="44" t="s">
        <v>7</v>
      </c>
      <c r="F2" s="46" t="s">
        <v>167</v>
      </c>
    </row>
    <row r="3" spans="1:7" x14ac:dyDescent="0.2">
      <c r="A3" s="47"/>
      <c r="B3" s="47"/>
      <c r="C3" s="48" t="s">
        <v>168</v>
      </c>
      <c r="D3" s="48" t="s">
        <v>168</v>
      </c>
      <c r="E3" s="47"/>
      <c r="F3" s="47"/>
    </row>
    <row r="4" spans="1:7" x14ac:dyDescent="0.2">
      <c r="A4" s="49"/>
      <c r="B4" s="49"/>
      <c r="C4" s="50"/>
      <c r="D4" s="51"/>
      <c r="E4" s="52"/>
      <c r="F4" s="53"/>
    </row>
    <row r="5" spans="1:7" s="55" customFormat="1" x14ac:dyDescent="0.2">
      <c r="A5" s="54" t="s">
        <v>169</v>
      </c>
      <c r="B5" s="54" t="s">
        <v>170</v>
      </c>
      <c r="C5" s="53">
        <f>'[1]RPL Ref'!C5</f>
        <v>0</v>
      </c>
      <c r="D5" s="53">
        <f>'[1]RPL Ref'!D5</f>
        <v>0</v>
      </c>
      <c r="E5" s="52">
        <f>IF(C5&gt;0,D5/C5,0)</f>
        <v>0</v>
      </c>
      <c r="F5" s="53">
        <f>'[1]RPL Ref'!F5</f>
        <v>0</v>
      </c>
    </row>
    <row r="6" spans="1:7" x14ac:dyDescent="0.2">
      <c r="A6" s="54" t="s">
        <v>171</v>
      </c>
      <c r="B6" s="56" t="s">
        <v>172</v>
      </c>
      <c r="C6" s="53">
        <f>'[1]RPL Ref'!C6</f>
        <v>0</v>
      </c>
      <c r="D6" s="53">
        <f>'[1]RPL Ref'!D6</f>
        <v>0</v>
      </c>
      <c r="E6" s="52">
        <f t="shared" ref="E6:E13" si="0">IF(C6&gt;0,D6/C6,0)</f>
        <v>0</v>
      </c>
      <c r="F6" s="53">
        <f>'[1]RPL Ref'!F6</f>
        <v>0</v>
      </c>
    </row>
    <row r="7" spans="1:7" x14ac:dyDescent="0.2">
      <c r="A7" s="54" t="s">
        <v>173</v>
      </c>
      <c r="B7" s="56" t="s">
        <v>174</v>
      </c>
      <c r="C7" s="53">
        <f>'[1]RPL Ref'!C7</f>
        <v>0</v>
      </c>
      <c r="D7" s="53">
        <f>'[1]RPL Ref'!D7</f>
        <v>0</v>
      </c>
      <c r="E7" s="52">
        <f t="shared" si="0"/>
        <v>0</v>
      </c>
      <c r="F7" s="53">
        <f>'[1]RPL Ref'!F7</f>
        <v>0</v>
      </c>
    </row>
    <row r="8" spans="1:7" x14ac:dyDescent="0.2">
      <c r="A8" s="57" t="s">
        <v>175</v>
      </c>
      <c r="B8" s="58" t="s">
        <v>176</v>
      </c>
      <c r="C8" s="53">
        <f>'[1]RPL Ref'!C8</f>
        <v>0</v>
      </c>
      <c r="D8" s="53">
        <f>'[1]RPL Ref'!D8</f>
        <v>0</v>
      </c>
      <c r="E8" s="52">
        <f t="shared" si="0"/>
        <v>0</v>
      </c>
      <c r="F8" s="53">
        <f>'[1]RPL Ref'!F8</f>
        <v>0</v>
      </c>
    </row>
    <row r="9" spans="1:7" x14ac:dyDescent="0.2">
      <c r="A9" s="54" t="s">
        <v>177</v>
      </c>
      <c r="B9" s="58" t="s">
        <v>178</v>
      </c>
      <c r="C9" s="53">
        <f>'[1]RPL Ref'!C9</f>
        <v>0</v>
      </c>
      <c r="D9" s="53">
        <f>'[1]RPL Ref'!D9</f>
        <v>0</v>
      </c>
      <c r="E9" s="52">
        <f t="shared" si="0"/>
        <v>0</v>
      </c>
      <c r="F9" s="53">
        <f>'[1]RPL Ref'!F9</f>
        <v>0</v>
      </c>
    </row>
    <row r="10" spans="1:7" x14ac:dyDescent="0.2">
      <c r="A10" s="57" t="s">
        <v>179</v>
      </c>
      <c r="B10" s="58" t="s">
        <v>180</v>
      </c>
      <c r="C10" s="53">
        <f>'[1]RPL Ref'!C10</f>
        <v>0</v>
      </c>
      <c r="D10" s="53">
        <f>'[1]RPL Ref'!D10</f>
        <v>0</v>
      </c>
      <c r="E10" s="52">
        <f t="shared" si="0"/>
        <v>0</v>
      </c>
      <c r="F10" s="53">
        <f>'[1]RPL Ref'!F10</f>
        <v>0</v>
      </c>
    </row>
    <row r="11" spans="1:7" x14ac:dyDescent="0.2">
      <c r="A11" s="59" t="s">
        <v>181</v>
      </c>
      <c r="B11" s="60" t="s">
        <v>182</v>
      </c>
      <c r="C11" s="53">
        <f>'[1]RPL Ref'!C11</f>
        <v>0</v>
      </c>
      <c r="D11" s="53">
        <f>'[1]RPL Ref'!D11</f>
        <v>0</v>
      </c>
      <c r="E11" s="52">
        <f t="shared" si="0"/>
        <v>0</v>
      </c>
      <c r="F11" s="53">
        <f>'[1]RPL Ref'!F11</f>
        <v>0</v>
      </c>
    </row>
    <row r="12" spans="1:7" x14ac:dyDescent="0.2">
      <c r="A12" s="57" t="s">
        <v>183</v>
      </c>
      <c r="B12" s="61" t="s">
        <v>184</v>
      </c>
      <c r="C12" s="53">
        <f>'[1]RPL Ref'!C12</f>
        <v>0</v>
      </c>
      <c r="D12" s="53">
        <f>'[1]RPL Ref'!D12</f>
        <v>0</v>
      </c>
      <c r="E12" s="52">
        <f t="shared" si="0"/>
        <v>0</v>
      </c>
      <c r="F12" s="53">
        <f>'[1]RPL Ref'!F12</f>
        <v>0</v>
      </c>
    </row>
    <row r="13" spans="1:7" x14ac:dyDescent="0.2">
      <c r="A13" s="62" t="s">
        <v>185</v>
      </c>
      <c r="B13" s="62"/>
      <c r="C13" s="63">
        <f>SUM(C5:C12)</f>
        <v>0</v>
      </c>
      <c r="D13" s="63">
        <f>SUM(D5:D12)</f>
        <v>0</v>
      </c>
      <c r="E13" s="64">
        <f t="shared" si="0"/>
        <v>0</v>
      </c>
      <c r="F13" s="63">
        <f>SUM(F5:F12)</f>
        <v>0</v>
      </c>
    </row>
    <row r="14" spans="1:7" x14ac:dyDescent="0.2">
      <c r="A14" s="56" t="s">
        <v>186</v>
      </c>
      <c r="B14" s="58"/>
      <c r="C14" s="53">
        <f>'[1]RPL Ref'!C14</f>
        <v>0</v>
      </c>
      <c r="D14" s="53">
        <f>'[1]RPL Ref'!D14</f>
        <v>0</v>
      </c>
      <c r="E14" s="52">
        <f>IF(C14&gt;0,D14/C14,0)</f>
        <v>0</v>
      </c>
      <c r="F14" s="53">
        <f>'[1]RPL Ref'!F14</f>
        <v>0</v>
      </c>
    </row>
    <row r="15" spans="1:7" x14ac:dyDescent="0.2">
      <c r="A15" s="54" t="s">
        <v>187</v>
      </c>
      <c r="B15" s="58" t="s">
        <v>188</v>
      </c>
      <c r="C15" s="53">
        <f>'[1]RPL Ref'!C15</f>
        <v>0</v>
      </c>
      <c r="D15" s="53">
        <f>'[1]RPL Ref'!D15</f>
        <v>0</v>
      </c>
      <c r="E15" s="52">
        <f>IF(C15&gt;0,D15/C15,0)</f>
        <v>0</v>
      </c>
      <c r="F15" s="53">
        <f>'[1]RPL Ref'!F15</f>
        <v>0</v>
      </c>
      <c r="G15" s="65"/>
    </row>
    <row r="16" spans="1:7" x14ac:dyDescent="0.2">
      <c r="A16" s="62" t="s">
        <v>189</v>
      </c>
      <c r="B16" s="66"/>
      <c r="C16" s="63">
        <f>SUM(C14:C15)</f>
        <v>0</v>
      </c>
      <c r="D16" s="63">
        <f>SUM(D14:D15)</f>
        <v>0</v>
      </c>
      <c r="E16" s="64">
        <f>IF(C16&gt;0,D16/C16,0)</f>
        <v>0</v>
      </c>
      <c r="F16" s="63">
        <f>SUM(F14:F15)</f>
        <v>0</v>
      </c>
      <c r="G16" s="65"/>
    </row>
    <row r="17" spans="1:15" x14ac:dyDescent="0.2">
      <c r="A17" s="67"/>
      <c r="B17" s="67"/>
      <c r="C17" s="68"/>
      <c r="D17" s="68"/>
      <c r="E17" s="67"/>
      <c r="F17" s="68"/>
    </row>
    <row r="18" spans="1:15" x14ac:dyDescent="0.2">
      <c r="A18" s="69" t="s">
        <v>190</v>
      </c>
      <c r="B18" s="70"/>
      <c r="C18" s="71">
        <f>C13+C16</f>
        <v>0</v>
      </c>
      <c r="D18" s="71">
        <f>D13+D16</f>
        <v>0</v>
      </c>
      <c r="E18" s="72">
        <f>IF(C18&gt;0,D18/C18,0)</f>
        <v>0</v>
      </c>
      <c r="F18" s="71">
        <f>F13+F16</f>
        <v>0</v>
      </c>
    </row>
    <row r="19" spans="1:15" s="76" customFormat="1" ht="13.5" thickBot="1" x14ac:dyDescent="0.25">
      <c r="A19" s="49" t="s">
        <v>191</v>
      </c>
      <c r="B19" s="73" t="s">
        <v>192</v>
      </c>
      <c r="C19" s="74"/>
      <c r="D19" s="74"/>
      <c r="E19" s="75"/>
      <c r="F19" s="74"/>
    </row>
    <row r="20" spans="1:15" ht="13.5" thickBot="1" x14ac:dyDescent="0.25">
      <c r="A20" s="49" t="s">
        <v>191</v>
      </c>
      <c r="B20" s="73" t="s">
        <v>193</v>
      </c>
      <c r="C20" s="77">
        <f>'[1]RPL Ref'!C20</f>
        <v>95440</v>
      </c>
      <c r="D20" s="77">
        <f>'[1]RPL Ref'!D20</f>
        <v>91795</v>
      </c>
      <c r="E20" s="52">
        <f>IF(C20&gt;0,D20/C20,0)</f>
        <v>0.96180846605196979</v>
      </c>
      <c r="F20" s="53">
        <f>'[1]RPL Ref'!F20</f>
        <v>8063</v>
      </c>
      <c r="G20" s="78"/>
      <c r="I20" s="79"/>
    </row>
    <row r="21" spans="1:15" x14ac:dyDescent="0.2">
      <c r="A21" s="49" t="s">
        <v>194</v>
      </c>
      <c r="B21" s="80" t="s">
        <v>126</v>
      </c>
      <c r="C21" s="53">
        <f>'[1]RPL Ref'!C21</f>
        <v>0</v>
      </c>
      <c r="D21" s="53">
        <f>'[1]RPL Ref'!D21</f>
        <v>0</v>
      </c>
      <c r="E21" s="52">
        <f>IF(C21&gt;0,D21/C21,0)</f>
        <v>0</v>
      </c>
      <c r="F21" s="53">
        <f>'[1]RPL Ref'!F21</f>
        <v>0</v>
      </c>
    </row>
    <row r="22" spans="1:15" x14ac:dyDescent="0.2">
      <c r="A22" s="62" t="s">
        <v>195</v>
      </c>
      <c r="B22" s="66"/>
      <c r="C22" s="63">
        <f>SUM(C20:C21)</f>
        <v>95440</v>
      </c>
      <c r="D22" s="63">
        <f>SUM(D20:D21)</f>
        <v>91795</v>
      </c>
      <c r="E22" s="64">
        <f>D22/C22</f>
        <v>0.96180846605196979</v>
      </c>
      <c r="F22" s="63">
        <f>SUM(F20:F21)</f>
        <v>8063</v>
      </c>
    </row>
    <row r="23" spans="1:15" x14ac:dyDescent="0.2">
      <c r="A23" s="49"/>
      <c r="B23" s="80"/>
      <c r="C23" s="53"/>
      <c r="D23" s="53"/>
      <c r="E23" s="50"/>
      <c r="F23" s="53"/>
      <c r="G23" s="81"/>
      <c r="H23" s="82" t="s">
        <v>196</v>
      </c>
      <c r="I23" s="82"/>
      <c r="K23" s="78" t="s">
        <v>197</v>
      </c>
      <c r="O23" s="83" t="s">
        <v>198</v>
      </c>
    </row>
    <row r="24" spans="1:15" ht="13.5" thickBot="1" x14ac:dyDescent="0.25">
      <c r="A24" s="84" t="s">
        <v>199</v>
      </c>
      <c r="B24" s="85" t="s">
        <v>200</v>
      </c>
      <c r="C24" s="86">
        <f>'[1]RPL Ref'!C24+K25</f>
        <v>116551</v>
      </c>
      <c r="D24" s="86">
        <f>'[1]RPL Ref'!D24+L25</f>
        <v>112330</v>
      </c>
      <c r="E24" s="87">
        <f>IF(C24&gt;0,D24/C24,0)</f>
        <v>0.96378409451656355</v>
      </c>
      <c r="F24" s="86">
        <f>'[1]RPL Ref'!F24+N25</f>
        <v>8551</v>
      </c>
      <c r="G24" s="88" t="s">
        <v>201</v>
      </c>
      <c r="H24" s="89" t="s">
        <v>202</v>
      </c>
      <c r="I24" s="90" t="s">
        <v>203</v>
      </c>
      <c r="J24" s="73" t="s">
        <v>204</v>
      </c>
      <c r="K24" s="53">
        <v>0</v>
      </c>
      <c r="L24" s="53">
        <v>0</v>
      </c>
      <c r="M24" s="91">
        <v>0</v>
      </c>
      <c r="N24" s="53">
        <v>0</v>
      </c>
    </row>
    <row r="25" spans="1:15" ht="13.5" thickBot="1" x14ac:dyDescent="0.25">
      <c r="A25" s="62" t="s">
        <v>205</v>
      </c>
      <c r="B25" s="66"/>
      <c r="C25" s="63">
        <f>SUM(C24:C24)</f>
        <v>116551</v>
      </c>
      <c r="D25" s="63">
        <f>SUM(D24:D24)</f>
        <v>112330</v>
      </c>
      <c r="E25" s="64">
        <f>IF(C25&gt;0,D25/C25,0)</f>
        <v>0.96378409451656355</v>
      </c>
      <c r="F25" s="63">
        <f>SUM(F24:F24)</f>
        <v>8551</v>
      </c>
      <c r="G25" s="88" t="s">
        <v>206</v>
      </c>
      <c r="I25" s="90" t="s">
        <v>207</v>
      </c>
      <c r="J25" s="73" t="s">
        <v>128</v>
      </c>
      <c r="K25" s="53">
        <v>116551</v>
      </c>
      <c r="L25" s="53">
        <v>112330</v>
      </c>
      <c r="M25" s="91">
        <v>0.96378409451656355</v>
      </c>
      <c r="N25" s="53">
        <v>8551</v>
      </c>
      <c r="O25" s="92"/>
    </row>
    <row r="26" spans="1:15" x14ac:dyDescent="0.2">
      <c r="A26" s="49"/>
      <c r="B26" s="49"/>
      <c r="C26" s="93"/>
      <c r="D26" s="93"/>
      <c r="E26" s="49"/>
      <c r="F26" s="93"/>
      <c r="I26" s="62" t="s">
        <v>208</v>
      </c>
      <c r="J26" s="66"/>
      <c r="K26" s="63">
        <f>SUM(K24:K25)</f>
        <v>116551</v>
      </c>
      <c r="L26" s="63">
        <f>SUM(L24:L25)</f>
        <v>112330</v>
      </c>
      <c r="M26" s="94">
        <f>IF(K26&gt;0,L26/K26,0)</f>
        <v>0.96378409451656355</v>
      </c>
      <c r="N26" s="63">
        <f>SUM(N24:N25)</f>
        <v>8551</v>
      </c>
    </row>
    <row r="27" spans="1:15" x14ac:dyDescent="0.2">
      <c r="A27" s="69" t="s">
        <v>209</v>
      </c>
      <c r="B27" s="95"/>
      <c r="C27" s="96">
        <f>C22+C25</f>
        <v>211991</v>
      </c>
      <c r="D27" s="71">
        <f>D22+D25</f>
        <v>204125</v>
      </c>
      <c r="E27" s="97">
        <f>D27/C27</f>
        <v>0.96289465118802209</v>
      </c>
      <c r="F27" s="71">
        <f>F22+F25</f>
        <v>16614</v>
      </c>
      <c r="G27" s="98">
        <f>C27</f>
        <v>211991</v>
      </c>
      <c r="I27" s="99" t="s">
        <v>210</v>
      </c>
    </row>
    <row r="28" spans="1:15" x14ac:dyDescent="0.2">
      <c r="C28" s="98"/>
      <c r="D28" s="98"/>
      <c r="F28" s="98"/>
      <c r="G28" s="98">
        <f>C42</f>
        <v>46612</v>
      </c>
    </row>
    <row r="29" spans="1:15" x14ac:dyDescent="0.2">
      <c r="A29" s="51" t="s">
        <v>211</v>
      </c>
      <c r="B29" s="80" t="s">
        <v>212</v>
      </c>
      <c r="C29" s="53">
        <f>'[1]RPL Ref'!C30</f>
        <v>0</v>
      </c>
      <c r="D29" s="53">
        <f>'[1]RPL Ref'!D30</f>
        <v>0</v>
      </c>
      <c r="E29" s="52">
        <f t="shared" ref="E29:E41" si="1">IF(C29&gt;0,D29/C29,0)</f>
        <v>0</v>
      </c>
      <c r="F29" s="53">
        <f>'[1]RPL Ref'!F30</f>
        <v>0</v>
      </c>
      <c r="G29" s="98">
        <f>+C57</f>
        <v>137952</v>
      </c>
      <c r="M29" s="78" t="s">
        <v>213</v>
      </c>
    </row>
    <row r="30" spans="1:15" x14ac:dyDescent="0.2">
      <c r="A30" s="51" t="s">
        <v>214</v>
      </c>
      <c r="B30" s="80" t="s">
        <v>112</v>
      </c>
      <c r="C30" s="53">
        <f>'[1]RPL Ref'!C31</f>
        <v>0</v>
      </c>
      <c r="D30" s="53">
        <f>'[1]RPL Ref'!D31</f>
        <v>0</v>
      </c>
      <c r="E30" s="52">
        <f t="shared" si="1"/>
        <v>0</v>
      </c>
      <c r="F30" s="53">
        <f>'[1]RPL Ref'!F31</f>
        <v>0</v>
      </c>
      <c r="G30" s="100"/>
    </row>
    <row r="31" spans="1:15" x14ac:dyDescent="0.2">
      <c r="A31" s="43" t="s">
        <v>215</v>
      </c>
      <c r="B31" s="80" t="s">
        <v>121</v>
      </c>
      <c r="C31" s="53">
        <f>'[1]RPL Ref'!C32</f>
        <v>21360</v>
      </c>
      <c r="D31" s="53">
        <f>'[1]RPL Ref'!D32</f>
        <v>19878</v>
      </c>
      <c r="E31" s="52">
        <f t="shared" si="1"/>
        <v>0.93061797752808983</v>
      </c>
      <c r="F31" s="53">
        <f>'[1]RPL Ref'!F32</f>
        <v>6535</v>
      </c>
      <c r="G31" s="100"/>
    </row>
    <row r="32" spans="1:15" x14ac:dyDescent="0.2">
      <c r="A32" s="51" t="s">
        <v>216</v>
      </c>
      <c r="B32" s="80" t="s">
        <v>217</v>
      </c>
      <c r="C32" s="53">
        <f>'[1]RPL Ref'!C33</f>
        <v>0</v>
      </c>
      <c r="D32" s="53">
        <f>'[1]RPL Ref'!D33</f>
        <v>0</v>
      </c>
      <c r="E32" s="52">
        <f t="shared" si="1"/>
        <v>0</v>
      </c>
      <c r="F32" s="53">
        <f>'[1]RPL Ref'!F33</f>
        <v>0</v>
      </c>
      <c r="G32" s="100"/>
    </row>
    <row r="33" spans="1:7" x14ac:dyDescent="0.2">
      <c r="A33" s="101" t="s">
        <v>218</v>
      </c>
      <c r="B33" s="102" t="s">
        <v>136</v>
      </c>
      <c r="C33" s="53">
        <f>'[1]RPL Ref'!C34</f>
        <v>6228</v>
      </c>
      <c r="D33" s="53">
        <f>'[1]RPL Ref'!D34</f>
        <v>5664</v>
      </c>
      <c r="E33" s="52">
        <f t="shared" si="1"/>
        <v>0.90944123314065506</v>
      </c>
      <c r="F33" s="53">
        <f>'[1]RPL Ref'!F34</f>
        <v>648</v>
      </c>
      <c r="G33" s="100"/>
    </row>
    <row r="34" spans="1:7" x14ac:dyDescent="0.2">
      <c r="A34" s="51" t="s">
        <v>219</v>
      </c>
      <c r="B34" s="80" t="s">
        <v>220</v>
      </c>
      <c r="C34" s="53">
        <f>'[1]RPL Ref'!C35</f>
        <v>0</v>
      </c>
      <c r="D34" s="53">
        <f>'[1]RPL Ref'!D35</f>
        <v>0</v>
      </c>
      <c r="E34" s="52">
        <f t="shared" si="1"/>
        <v>0</v>
      </c>
      <c r="F34" s="53">
        <f>'[1]RPL Ref'!F35</f>
        <v>0</v>
      </c>
      <c r="G34" s="100"/>
    </row>
    <row r="35" spans="1:7" x14ac:dyDescent="0.2">
      <c r="A35" s="90" t="s">
        <v>221</v>
      </c>
      <c r="B35" s="80" t="s">
        <v>134</v>
      </c>
      <c r="C35" s="53">
        <f>'[1]RPL Ref'!C36</f>
        <v>1664</v>
      </c>
      <c r="D35" s="53">
        <f>'[1]RPL Ref'!D36</f>
        <v>1441</v>
      </c>
      <c r="E35" s="52">
        <f t="shared" si="1"/>
        <v>0.86598557692307687</v>
      </c>
      <c r="F35" s="53">
        <f>'[1]RPL Ref'!F36</f>
        <v>0</v>
      </c>
      <c r="G35" s="100"/>
    </row>
    <row r="36" spans="1:7" x14ac:dyDescent="0.2">
      <c r="A36" s="49" t="s">
        <v>222</v>
      </c>
      <c r="B36" s="49" t="s">
        <v>223</v>
      </c>
      <c r="C36" s="53">
        <f>'[1]RPL Ref'!C37</f>
        <v>0</v>
      </c>
      <c r="D36" s="53">
        <f>'[1]RPL Ref'!D37</f>
        <v>0</v>
      </c>
      <c r="E36" s="52">
        <f t="shared" si="1"/>
        <v>0</v>
      </c>
      <c r="F36" s="53">
        <f>'[1]RPL Ref'!F37</f>
        <v>0</v>
      </c>
      <c r="G36" s="100"/>
    </row>
    <row r="37" spans="1:7" x14ac:dyDescent="0.2">
      <c r="A37" s="90" t="s">
        <v>224</v>
      </c>
      <c r="B37" s="90" t="s">
        <v>225</v>
      </c>
      <c r="C37" s="53">
        <f>'[1]RPL Ref'!C38</f>
        <v>160</v>
      </c>
      <c r="D37" s="53">
        <f>'[1]RPL Ref'!D38</f>
        <v>152</v>
      </c>
      <c r="E37" s="52">
        <f t="shared" si="1"/>
        <v>0.95</v>
      </c>
      <c r="F37" s="53">
        <f>'[1]RPL Ref'!F38</f>
        <v>0</v>
      </c>
      <c r="G37" s="100"/>
    </row>
    <row r="38" spans="1:7" x14ac:dyDescent="0.2">
      <c r="A38" s="90" t="s">
        <v>226</v>
      </c>
      <c r="B38" s="90" t="s">
        <v>227</v>
      </c>
      <c r="C38" s="53">
        <f>'[1]RPL Ref'!C39</f>
        <v>0</v>
      </c>
      <c r="D38" s="53">
        <f>'[1]RPL Ref'!D39</f>
        <v>0</v>
      </c>
      <c r="E38" s="52">
        <f t="shared" si="1"/>
        <v>0</v>
      </c>
      <c r="F38" s="53">
        <f>'[1]RPL Ref'!F39</f>
        <v>0</v>
      </c>
      <c r="G38" s="100"/>
    </row>
    <row r="39" spans="1:7" x14ac:dyDescent="0.2">
      <c r="A39" s="49" t="s">
        <v>228</v>
      </c>
      <c r="B39" s="90" t="s">
        <v>229</v>
      </c>
      <c r="C39" s="53">
        <f>'[1]RPL Ref'!C40</f>
        <v>0</v>
      </c>
      <c r="D39" s="53">
        <f>'[1]RPL Ref'!D40</f>
        <v>0</v>
      </c>
      <c r="E39" s="52">
        <f t="shared" si="1"/>
        <v>0</v>
      </c>
      <c r="F39" s="53">
        <f>'[1]RPL Ref'!F40</f>
        <v>0</v>
      </c>
      <c r="G39" s="100"/>
    </row>
    <row r="40" spans="1:7" x14ac:dyDescent="0.2">
      <c r="A40" s="90" t="s">
        <v>230</v>
      </c>
      <c r="B40" s="90" t="s">
        <v>231</v>
      </c>
      <c r="C40" s="53">
        <f>'[1]RPL Ref'!C41</f>
        <v>0</v>
      </c>
      <c r="D40" s="53">
        <f>'[1]RPL Ref'!D41</f>
        <v>0</v>
      </c>
      <c r="E40" s="52">
        <f t="shared" si="1"/>
        <v>0</v>
      </c>
      <c r="F40" s="53">
        <f>'[1]RPL Ref'!F41</f>
        <v>0</v>
      </c>
      <c r="G40" s="100"/>
    </row>
    <row r="41" spans="1:7" x14ac:dyDescent="0.2">
      <c r="A41" s="90" t="s">
        <v>232</v>
      </c>
      <c r="B41" s="90" t="s">
        <v>117</v>
      </c>
      <c r="C41" s="53">
        <f>'[1]RPL Ref'!C42</f>
        <v>17200</v>
      </c>
      <c r="D41" s="53">
        <f>'[1]RPL Ref'!D42</f>
        <v>16085</v>
      </c>
      <c r="E41" s="52">
        <f t="shared" si="1"/>
        <v>0.93517441860465111</v>
      </c>
      <c r="F41" s="53">
        <f>'[1]RPL Ref'!F42</f>
        <v>2489</v>
      </c>
      <c r="G41" s="100"/>
    </row>
    <row r="42" spans="1:7" x14ac:dyDescent="0.2">
      <c r="A42" s="62" t="s">
        <v>233</v>
      </c>
      <c r="B42" s="62"/>
      <c r="C42" s="103">
        <f>SUM(C29:C41)</f>
        <v>46612</v>
      </c>
      <c r="D42" s="63">
        <f>SUM(D29:D41)</f>
        <v>43220</v>
      </c>
      <c r="E42" s="64">
        <f>+D42/C42</f>
        <v>0.92722903973225779</v>
      </c>
      <c r="F42" s="63">
        <f>SUM(F29:F41)</f>
        <v>9672</v>
      </c>
    </row>
    <row r="43" spans="1:7" x14ac:dyDescent="0.2">
      <c r="A43" s="49"/>
      <c r="B43" s="49"/>
      <c r="C43" s="93"/>
      <c r="D43" s="93"/>
      <c r="E43" s="49"/>
      <c r="F43" s="93"/>
    </row>
    <row r="44" spans="1:7" x14ac:dyDescent="0.2">
      <c r="A44" s="51" t="s">
        <v>234</v>
      </c>
      <c r="B44" s="80" t="s">
        <v>235</v>
      </c>
      <c r="C44" s="53">
        <f>'[1]RPL Ref'!C45</f>
        <v>0</v>
      </c>
      <c r="D44" s="53">
        <f>'[1]RPL Ref'!D45</f>
        <v>0</v>
      </c>
      <c r="E44" s="52">
        <f t="shared" ref="E44:E52" si="2">IF(C44&gt;0,D44/C44,0)</f>
        <v>0</v>
      </c>
      <c r="F44" s="53">
        <f>'[1]RPL Ref'!F45</f>
        <v>0</v>
      </c>
    </row>
    <row r="45" spans="1:7" x14ac:dyDescent="0.2">
      <c r="A45" s="49" t="s">
        <v>236</v>
      </c>
      <c r="B45" s="80" t="s">
        <v>237</v>
      </c>
      <c r="C45" s="53">
        <f>'[1]RPL Ref'!C46</f>
        <v>0</v>
      </c>
      <c r="D45" s="53">
        <f>'[1]RPL Ref'!D46</f>
        <v>0</v>
      </c>
      <c r="E45" s="52">
        <f t="shared" si="2"/>
        <v>0</v>
      </c>
      <c r="F45" s="53">
        <f>'[1]RPL Ref'!F46</f>
        <v>0</v>
      </c>
    </row>
    <row r="46" spans="1:7" x14ac:dyDescent="0.2">
      <c r="A46" s="49" t="s">
        <v>238</v>
      </c>
      <c r="B46" s="80" t="s">
        <v>239</v>
      </c>
      <c r="C46" s="53">
        <f>'[1]RPL Ref'!C47</f>
        <v>0</v>
      </c>
      <c r="D46" s="53">
        <f>'[1]RPL Ref'!D47</f>
        <v>0</v>
      </c>
      <c r="E46" s="52">
        <f t="shared" si="2"/>
        <v>0</v>
      </c>
      <c r="F46" s="53">
        <f>'[1]RPL Ref'!F47</f>
        <v>0</v>
      </c>
    </row>
    <row r="47" spans="1:7" x14ac:dyDescent="0.2">
      <c r="A47" s="51" t="s">
        <v>240</v>
      </c>
      <c r="B47" s="80" t="s">
        <v>241</v>
      </c>
      <c r="C47" s="53">
        <f>'[1]RPL Ref'!C48</f>
        <v>0</v>
      </c>
      <c r="D47" s="53">
        <f>'[1]RPL Ref'!D48</f>
        <v>0</v>
      </c>
      <c r="E47" s="52">
        <f t="shared" si="2"/>
        <v>0</v>
      </c>
      <c r="F47" s="53">
        <f>'[1]RPL Ref'!F48</f>
        <v>0</v>
      </c>
    </row>
    <row r="48" spans="1:7" x14ac:dyDescent="0.2">
      <c r="A48" s="90" t="s">
        <v>242</v>
      </c>
      <c r="B48" s="80" t="s">
        <v>243</v>
      </c>
      <c r="C48" s="53">
        <f>'[1]RPL Ref'!C49</f>
        <v>0</v>
      </c>
      <c r="D48" s="53">
        <f>'[1]RPL Ref'!D49</f>
        <v>0</v>
      </c>
      <c r="E48" s="52">
        <f t="shared" si="2"/>
        <v>0</v>
      </c>
      <c r="F48" s="53">
        <f>'[1]RPL Ref'!F49</f>
        <v>0</v>
      </c>
    </row>
    <row r="49" spans="1:8" x14ac:dyDescent="0.2">
      <c r="A49" s="90" t="s">
        <v>244</v>
      </c>
      <c r="B49" s="90" t="s">
        <v>245</v>
      </c>
      <c r="C49" s="53">
        <f>'[1]RPL Ref'!C50</f>
        <v>0</v>
      </c>
      <c r="D49" s="53">
        <f>'[1]RPL Ref'!D50</f>
        <v>0</v>
      </c>
      <c r="E49" s="52">
        <f t="shared" si="2"/>
        <v>0</v>
      </c>
      <c r="F49" s="53">
        <f>'[1]RPL Ref'!F50</f>
        <v>0</v>
      </c>
    </row>
    <row r="50" spans="1:8" x14ac:dyDescent="0.2">
      <c r="A50" s="90" t="s">
        <v>246</v>
      </c>
      <c r="B50" s="90" t="s">
        <v>247</v>
      </c>
      <c r="C50" s="53">
        <f>'[1]RPL Ref'!C51</f>
        <v>0</v>
      </c>
      <c r="D50" s="53">
        <f>'[1]RPL Ref'!D51</f>
        <v>0</v>
      </c>
      <c r="E50" s="52">
        <f t="shared" si="2"/>
        <v>0</v>
      </c>
      <c r="F50" s="53">
        <f>'[1]RPL Ref'!F51</f>
        <v>0</v>
      </c>
    </row>
    <row r="51" spans="1:8" x14ac:dyDescent="0.2">
      <c r="A51" s="104" t="s">
        <v>248</v>
      </c>
      <c r="B51" s="80" t="s">
        <v>249</v>
      </c>
      <c r="C51" s="53">
        <f>'[1]RPL Ref'!C52</f>
        <v>0</v>
      </c>
      <c r="D51" s="53">
        <f>'[1]RPL Ref'!D52</f>
        <v>0</v>
      </c>
      <c r="E51" s="52">
        <f t="shared" si="2"/>
        <v>0</v>
      </c>
      <c r="F51" s="53">
        <f>'[1]RPL Ref'!F52</f>
        <v>0</v>
      </c>
    </row>
    <row r="52" spans="1:8" x14ac:dyDescent="0.2">
      <c r="A52" s="62" t="s">
        <v>250</v>
      </c>
      <c r="B52" s="62"/>
      <c r="C52" s="63">
        <f>SUM(C44:C51)</f>
        <v>0</v>
      </c>
      <c r="D52" s="63">
        <f>SUM(D44:D51)</f>
        <v>0</v>
      </c>
      <c r="E52" s="64">
        <f t="shared" si="2"/>
        <v>0</v>
      </c>
      <c r="F52" s="63">
        <f>SUM(F44:F51)</f>
        <v>0</v>
      </c>
    </row>
    <row r="53" spans="1:8" x14ac:dyDescent="0.2">
      <c r="A53" s="105"/>
      <c r="B53" s="105"/>
      <c r="C53" s="106"/>
      <c r="D53" s="106"/>
      <c r="E53" s="107"/>
      <c r="F53" s="106"/>
    </row>
    <row r="54" spans="1:8" x14ac:dyDescent="0.2">
      <c r="A54" s="108" t="s">
        <v>251</v>
      </c>
      <c r="B54" s="102" t="s">
        <v>119</v>
      </c>
      <c r="C54" s="53">
        <f>'[1]RPL Ref'!C55</f>
        <v>31360</v>
      </c>
      <c r="D54" s="53">
        <f>'[1]RPL Ref'!D55</f>
        <v>30395</v>
      </c>
      <c r="E54" s="52">
        <f>IF(C54&gt;0,D54/C54,0)</f>
        <v>0.96922831632653061</v>
      </c>
      <c r="F54" s="53">
        <f>'[1]RPL Ref'!F55</f>
        <v>0</v>
      </c>
      <c r="G54" s="78" t="s">
        <v>252</v>
      </c>
    </row>
    <row r="55" spans="1:8" x14ac:dyDescent="0.2">
      <c r="A55" s="109" t="s">
        <v>253</v>
      </c>
      <c r="B55" s="80" t="s">
        <v>115</v>
      </c>
      <c r="C55" s="53">
        <f>'[1]RPL Ref'!C56</f>
        <v>106592</v>
      </c>
      <c r="D55" s="53">
        <f>'[1]RPL Ref'!D56</f>
        <v>102830</v>
      </c>
      <c r="E55" s="52">
        <f>IF(C55&gt;0,D55/C55,0)</f>
        <v>0.96470654458120686</v>
      </c>
      <c r="F55" s="53">
        <f>'[1]RPL Ref'!F56</f>
        <v>1275</v>
      </c>
    </row>
    <row r="56" spans="1:8" x14ac:dyDescent="0.2">
      <c r="A56" s="110" t="s">
        <v>254</v>
      </c>
      <c r="B56" s="111" t="s">
        <v>255</v>
      </c>
      <c r="C56" s="112"/>
      <c r="D56" s="112"/>
      <c r="E56" s="113"/>
      <c r="F56" s="112"/>
    </row>
    <row r="57" spans="1:8" x14ac:dyDescent="0.2">
      <c r="A57" s="62" t="s">
        <v>256</v>
      </c>
      <c r="B57" s="62"/>
      <c r="C57" s="103">
        <f>SUM(C54:C56)</f>
        <v>137952</v>
      </c>
      <c r="D57" s="63">
        <f>SUM(D54:D56)</f>
        <v>133225</v>
      </c>
      <c r="E57" s="64">
        <f>+D57/C57</f>
        <v>0.96573445836232896</v>
      </c>
      <c r="F57" s="63">
        <f>SUM(F54:F56)</f>
        <v>1275</v>
      </c>
    </row>
    <row r="58" spans="1:8" x14ac:dyDescent="0.2">
      <c r="A58" s="109"/>
      <c r="B58" s="109"/>
      <c r="C58" s="106"/>
      <c r="D58" s="106"/>
      <c r="E58" s="107"/>
      <c r="F58" s="106"/>
    </row>
    <row r="59" spans="1:8" x14ac:dyDescent="0.2">
      <c r="A59" s="49"/>
      <c r="B59" s="49"/>
      <c r="C59" s="93"/>
      <c r="D59" s="93"/>
      <c r="E59" s="49"/>
      <c r="F59" s="93"/>
    </row>
    <row r="60" spans="1:8" x14ac:dyDescent="0.2">
      <c r="A60" s="69" t="s">
        <v>257</v>
      </c>
      <c r="B60" s="95"/>
      <c r="C60" s="71">
        <f>C42+C52+C57</f>
        <v>184564</v>
      </c>
      <c r="D60" s="71">
        <f>D42+D52+D57</f>
        <v>176445</v>
      </c>
      <c r="E60" s="97">
        <f>D60/C60</f>
        <v>0.95600983940530115</v>
      </c>
      <c r="F60" s="71">
        <f>F42+F52+F57</f>
        <v>10947</v>
      </c>
    </row>
    <row r="61" spans="1:8" x14ac:dyDescent="0.2">
      <c r="A61" s="114" t="s">
        <v>258</v>
      </c>
      <c r="B61" s="114" t="s">
        <v>259</v>
      </c>
      <c r="C61" s="115">
        <f>C60+C22+C25</f>
        <v>396555</v>
      </c>
      <c r="D61" s="115">
        <f>D60+D22+D25</f>
        <v>380570</v>
      </c>
      <c r="E61" s="116">
        <f>D61/C61</f>
        <v>0.95969033299290141</v>
      </c>
      <c r="F61" s="115">
        <f>F60+F22+F25</f>
        <v>27561</v>
      </c>
      <c r="G61" s="98"/>
      <c r="H61" s="98"/>
    </row>
    <row r="62" spans="1:8" x14ac:dyDescent="0.2">
      <c r="A62" s="49" t="s">
        <v>260</v>
      </c>
      <c r="B62" s="109" t="s">
        <v>261</v>
      </c>
      <c r="C62" s="50"/>
      <c r="D62" s="50"/>
      <c r="E62" s="52"/>
      <c r="F62" s="117"/>
    </row>
    <row r="63" spans="1:8" x14ac:dyDescent="0.2">
      <c r="A63" s="118" t="s">
        <v>262</v>
      </c>
      <c r="B63" s="118"/>
      <c r="C63" s="119"/>
      <c r="D63" s="119"/>
      <c r="E63" s="120"/>
      <c r="F63" s="119"/>
      <c r="G63" s="78" t="s">
        <v>263</v>
      </c>
    </row>
    <row r="64" spans="1:8" ht="15.75" x14ac:dyDescent="0.25">
      <c r="A64" s="121" t="s">
        <v>62</v>
      </c>
      <c r="B64" s="54" t="s">
        <v>264</v>
      </c>
      <c r="C64" s="53">
        <f>'[1]RPL Ref'!C65</f>
        <v>57</v>
      </c>
      <c r="D64" s="53">
        <f>'[1]RPL Ref'!D65</f>
        <v>50</v>
      </c>
      <c r="E64" s="52">
        <f t="shared" ref="E64:E76" si="3">IF(C64&gt;0,D64/C64,0)</f>
        <v>0.8771929824561403</v>
      </c>
      <c r="F64" s="53">
        <f>'[1]RPL Ref'!F65</f>
        <v>8</v>
      </c>
      <c r="G64" s="121" t="s">
        <v>62</v>
      </c>
    </row>
    <row r="65" spans="1:8" ht="15.75" x14ac:dyDescent="0.25">
      <c r="A65" s="121" t="s">
        <v>82</v>
      </c>
      <c r="B65" s="54" t="s">
        <v>265</v>
      </c>
      <c r="C65" s="53">
        <f>'[1]RPL Ref'!C66</f>
        <v>432</v>
      </c>
      <c r="D65" s="53">
        <f>'[1]RPL Ref'!D66</f>
        <v>352</v>
      </c>
      <c r="E65" s="52">
        <f t="shared" si="3"/>
        <v>0.81481481481481477</v>
      </c>
      <c r="F65" s="53">
        <f>'[1]RPL Ref'!F66</f>
        <v>2</v>
      </c>
      <c r="G65" s="121" t="s">
        <v>82</v>
      </c>
    </row>
    <row r="66" spans="1:8" x14ac:dyDescent="0.2">
      <c r="A66" s="51" t="s">
        <v>266</v>
      </c>
      <c r="B66" s="51" t="s">
        <v>267</v>
      </c>
      <c r="C66" s="53">
        <f>'[1]RPL Ref'!C67</f>
        <v>90</v>
      </c>
      <c r="D66" s="53">
        <f>'[1]RPL Ref'!D67</f>
        <v>75</v>
      </c>
      <c r="E66" s="52">
        <f t="shared" si="3"/>
        <v>0.83333333333333337</v>
      </c>
      <c r="F66" s="53">
        <f>'[1]RPL Ref'!F67</f>
        <v>0</v>
      </c>
    </row>
    <row r="67" spans="1:8" x14ac:dyDescent="0.2">
      <c r="A67" s="51" t="s">
        <v>268</v>
      </c>
      <c r="B67" s="51" t="s">
        <v>269</v>
      </c>
      <c r="C67" s="53">
        <f>'[1]RPL Ref'!C68</f>
        <v>252</v>
      </c>
      <c r="D67" s="53">
        <f>'[1]RPL Ref'!D68</f>
        <v>218</v>
      </c>
      <c r="E67" s="52">
        <f t="shared" si="3"/>
        <v>0.86507936507936511</v>
      </c>
      <c r="F67" s="53">
        <f>'[1]RPL Ref'!F68</f>
        <v>0</v>
      </c>
    </row>
    <row r="68" spans="1:8" x14ac:dyDescent="0.2">
      <c r="A68" s="51" t="s">
        <v>270</v>
      </c>
      <c r="B68" s="51" t="s">
        <v>271</v>
      </c>
      <c r="C68" s="53">
        <f>'[1]RPL Ref'!C69</f>
        <v>0</v>
      </c>
      <c r="D68" s="53">
        <f>'[1]RPL Ref'!D69</f>
        <v>0</v>
      </c>
      <c r="E68" s="52">
        <f t="shared" si="3"/>
        <v>0</v>
      </c>
      <c r="F68" s="53">
        <f>'[1]RPL Ref'!F69</f>
        <v>0</v>
      </c>
    </row>
    <row r="69" spans="1:8" x14ac:dyDescent="0.2">
      <c r="A69" s="51" t="s">
        <v>272</v>
      </c>
      <c r="B69" s="51" t="s">
        <v>273</v>
      </c>
      <c r="C69" s="53">
        <f>'[1]RPL Ref'!C70</f>
        <v>0</v>
      </c>
      <c r="D69" s="53">
        <f>'[1]RPL Ref'!D70</f>
        <v>0</v>
      </c>
      <c r="E69" s="52">
        <f t="shared" si="3"/>
        <v>0</v>
      </c>
      <c r="F69" s="53">
        <f>'[1]RPL Ref'!F70</f>
        <v>0</v>
      </c>
    </row>
    <row r="70" spans="1:8" x14ac:dyDescent="0.2">
      <c r="A70" s="51" t="s">
        <v>274</v>
      </c>
      <c r="B70" s="122" t="s">
        <v>275</v>
      </c>
      <c r="C70" s="53">
        <f>'[1]RPL Ref'!C71</f>
        <v>0</v>
      </c>
      <c r="D70" s="53">
        <f>'[1]RPL Ref'!D71</f>
        <v>0</v>
      </c>
      <c r="E70" s="52">
        <f t="shared" si="3"/>
        <v>0</v>
      </c>
      <c r="F70" s="123">
        <f>'[1]RPL Ref'!F71+'[1]RPL Ref'!F79</f>
        <v>2163</v>
      </c>
      <c r="G70" s="124" t="s">
        <v>276</v>
      </c>
    </row>
    <row r="71" spans="1:8" x14ac:dyDescent="0.2">
      <c r="A71" s="51" t="s">
        <v>277</v>
      </c>
      <c r="B71" s="51" t="s">
        <v>278</v>
      </c>
      <c r="C71" s="53">
        <f>'[1]RPL Ref'!C72</f>
        <v>0</v>
      </c>
      <c r="D71" s="53">
        <f>'[1]RPL Ref'!D72</f>
        <v>0</v>
      </c>
      <c r="E71" s="52">
        <f t="shared" si="3"/>
        <v>0</v>
      </c>
      <c r="F71" s="123">
        <f>'[1]RPL Ref'!F72+'[1]RPL Ref'!F80</f>
        <v>3868</v>
      </c>
      <c r="G71" s="124" t="s">
        <v>276</v>
      </c>
    </row>
    <row r="72" spans="1:8" x14ac:dyDescent="0.2">
      <c r="A72" s="51" t="s">
        <v>71</v>
      </c>
      <c r="B72" s="51" t="s">
        <v>17</v>
      </c>
      <c r="C72" s="53">
        <f>'[1]RPL Ref'!C73</f>
        <v>55</v>
      </c>
      <c r="D72" s="53">
        <f>'[1]RPL Ref'!D73</f>
        <v>37</v>
      </c>
      <c r="E72" s="52">
        <f t="shared" si="3"/>
        <v>0.67272727272727273</v>
      </c>
      <c r="F72" s="53">
        <f>'[1]RPL Ref'!F73</f>
        <v>2</v>
      </c>
      <c r="G72" s="81"/>
    </row>
    <row r="73" spans="1:8" x14ac:dyDescent="0.2">
      <c r="A73" s="51" t="s">
        <v>86</v>
      </c>
      <c r="B73" s="51" t="s">
        <v>17</v>
      </c>
      <c r="C73" s="53">
        <f>'[1]RPL Ref'!C74</f>
        <v>111</v>
      </c>
      <c r="D73" s="53">
        <f>'[1]RPL Ref'!D74</f>
        <v>82</v>
      </c>
      <c r="E73" s="52">
        <f t="shared" si="3"/>
        <v>0.73873873873873874</v>
      </c>
      <c r="F73" s="53">
        <f>'[1]RPL Ref'!F74</f>
        <v>4</v>
      </c>
      <c r="G73" s="81"/>
    </row>
    <row r="74" spans="1:8" x14ac:dyDescent="0.2">
      <c r="A74" s="125" t="s">
        <v>49</v>
      </c>
      <c r="B74" s="126" t="s">
        <v>50</v>
      </c>
      <c r="C74" s="127">
        <f>'[1]RPL Ref'!C75</f>
        <v>616</v>
      </c>
      <c r="D74" s="128">
        <f>'[1]RPL Ref'!D75</f>
        <v>536</v>
      </c>
      <c r="E74" s="129">
        <f t="shared" si="3"/>
        <v>0.87012987012987009</v>
      </c>
      <c r="F74" s="130">
        <f>'[1]RPL Ref'!F75+'[1]RPL Ref'!F81</f>
        <v>224</v>
      </c>
      <c r="G74" s="83" t="s">
        <v>279</v>
      </c>
      <c r="H74" s="124" t="s">
        <v>276</v>
      </c>
    </row>
    <row r="75" spans="1:8" x14ac:dyDescent="0.2">
      <c r="A75" s="125" t="s">
        <v>53</v>
      </c>
      <c r="B75" s="126" t="s">
        <v>54</v>
      </c>
      <c r="C75" s="127">
        <f>'[1]RPL Ref'!C76</f>
        <v>4539</v>
      </c>
      <c r="D75" s="128">
        <f>'[1]RPL Ref'!D76</f>
        <v>3738</v>
      </c>
      <c r="E75" s="129">
        <f t="shared" si="3"/>
        <v>0.82352941176470584</v>
      </c>
      <c r="F75" s="130">
        <f>'[1]RPL Ref'!F76+'[1]RPL Ref'!F82</f>
        <v>975</v>
      </c>
      <c r="G75" s="83" t="s">
        <v>279</v>
      </c>
      <c r="H75" s="124" t="s">
        <v>276</v>
      </c>
    </row>
    <row r="76" spans="1:8" x14ac:dyDescent="0.2">
      <c r="A76" s="125" t="s">
        <v>68</v>
      </c>
      <c r="B76" s="126" t="s">
        <v>69</v>
      </c>
      <c r="C76" s="127">
        <f>'[1]RPL Ref'!C77</f>
        <v>1534</v>
      </c>
      <c r="D76" s="128">
        <f>'[1]RPL Ref'!D77</f>
        <v>1298</v>
      </c>
      <c r="E76" s="129">
        <f t="shared" si="3"/>
        <v>0.84615384615384615</v>
      </c>
      <c r="F76" s="131">
        <f>'[1]RPL Ref'!F77+'[1]RPL Ref'!F83</f>
        <v>312</v>
      </c>
      <c r="G76" s="83" t="s">
        <v>279</v>
      </c>
      <c r="H76" s="124" t="s">
        <v>276</v>
      </c>
    </row>
    <row r="77" spans="1:8" x14ac:dyDescent="0.2">
      <c r="A77" s="132" t="s">
        <v>280</v>
      </c>
      <c r="B77" s="132"/>
      <c r="C77" s="133">
        <f>SUM(C64:C76)</f>
        <v>7686</v>
      </c>
      <c r="D77" s="133">
        <f>SUM(D64:D76)</f>
        <v>6386</v>
      </c>
      <c r="E77" s="134">
        <f>+D77/C77</f>
        <v>0.8308613062711423</v>
      </c>
      <c r="F77" s="135">
        <f>SUM(F64:F76)</f>
        <v>7558</v>
      </c>
    </row>
    <row r="78" spans="1:8" x14ac:dyDescent="0.2">
      <c r="A78" s="49" t="s">
        <v>281</v>
      </c>
      <c r="B78" s="50" t="s">
        <v>282</v>
      </c>
      <c r="C78" s="106"/>
      <c r="D78" s="106"/>
      <c r="E78" s="106"/>
      <c r="F78" s="53"/>
    </row>
    <row r="79" spans="1:8" x14ac:dyDescent="0.2">
      <c r="A79" s="50" t="s">
        <v>283</v>
      </c>
      <c r="B79" s="50" t="s">
        <v>80</v>
      </c>
      <c r="C79" s="106"/>
      <c r="D79" s="106"/>
      <c r="E79" s="106"/>
      <c r="F79" s="53"/>
    </row>
    <row r="80" spans="1:8" x14ac:dyDescent="0.2">
      <c r="A80" s="136" t="s">
        <v>45</v>
      </c>
      <c r="B80" s="136" t="s">
        <v>46</v>
      </c>
      <c r="C80" s="137"/>
      <c r="D80" s="137"/>
      <c r="E80" s="137"/>
      <c r="F80" s="138"/>
      <c r="G80" s="139" t="s">
        <v>284</v>
      </c>
    </row>
    <row r="81" spans="1:7" x14ac:dyDescent="0.2">
      <c r="A81" s="136" t="s">
        <v>51</v>
      </c>
      <c r="B81" s="136" t="s">
        <v>52</v>
      </c>
      <c r="C81" s="137"/>
      <c r="D81" s="137"/>
      <c r="E81" s="137"/>
      <c r="F81" s="138"/>
      <c r="G81" s="139" t="s">
        <v>284</v>
      </c>
    </row>
    <row r="82" spans="1:7" x14ac:dyDescent="0.2">
      <c r="A82" s="140" t="s">
        <v>285</v>
      </c>
      <c r="B82" s="136" t="s">
        <v>286</v>
      </c>
      <c r="C82" s="106"/>
      <c r="D82" s="106"/>
      <c r="E82" s="106"/>
      <c r="F82" s="53"/>
    </row>
    <row r="83" spans="1:7" x14ac:dyDescent="0.2">
      <c r="A83" s="118" t="s">
        <v>287</v>
      </c>
      <c r="B83" s="118"/>
      <c r="C83" s="141">
        <f>SUM(C77:C82)</f>
        <v>7686</v>
      </c>
      <c r="D83" s="141">
        <f>SUM(D77:D82)</f>
        <v>6386</v>
      </c>
      <c r="E83" s="134">
        <f>+D83/C83</f>
        <v>0.8308613062711423</v>
      </c>
      <c r="F83" s="142">
        <f>SUM(F77:F82)</f>
        <v>7558</v>
      </c>
    </row>
    <row r="84" spans="1:7" x14ac:dyDescent="0.2">
      <c r="C84" s="98"/>
      <c r="D84" s="98"/>
      <c r="F84" s="98"/>
    </row>
    <row r="85" spans="1:7" x14ac:dyDescent="0.2">
      <c r="A85" s="114" t="s">
        <v>288</v>
      </c>
      <c r="B85" s="143"/>
      <c r="C85" s="115">
        <f>C27+C60+C18+C63+C83</f>
        <v>404241</v>
      </c>
      <c r="D85" s="115">
        <f>D27+D60+D18+D63+D83</f>
        <v>386956</v>
      </c>
      <c r="E85" s="116">
        <f>D85/C85</f>
        <v>0.95724085384708624</v>
      </c>
      <c r="F85" s="115">
        <f>F27+F60+F18+F63+F83</f>
        <v>35119</v>
      </c>
    </row>
    <row r="86" spans="1:7" x14ac:dyDescent="0.2">
      <c r="F86" s="98"/>
    </row>
    <row r="87" spans="1:7" x14ac:dyDescent="0.2">
      <c r="C87" s="98"/>
      <c r="D87" s="98"/>
      <c r="E87" s="98"/>
      <c r="F87" s="98"/>
    </row>
    <row r="88" spans="1:7" x14ac:dyDescent="0.2">
      <c r="F88" s="98"/>
    </row>
    <row r="89" spans="1:7" x14ac:dyDescent="0.2">
      <c r="C89" s="98"/>
      <c r="D89" s="98"/>
      <c r="E89" s="98"/>
      <c r="F89" s="98"/>
    </row>
    <row r="90" spans="1:7" ht="13.5" thickBot="1" x14ac:dyDescent="0.25">
      <c r="F90" s="98"/>
    </row>
    <row r="91" spans="1:7" ht="17.25" thickTop="1" thickBot="1" x14ac:dyDescent="0.3">
      <c r="A91" s="144"/>
      <c r="F91" s="98"/>
    </row>
    <row r="92" spans="1:7" ht="16.5" thickTop="1" x14ac:dyDescent="0.25">
      <c r="A92" s="144" t="s">
        <v>289</v>
      </c>
      <c r="B92" s="145"/>
      <c r="C92" s="146" t="s">
        <v>165</v>
      </c>
      <c r="D92" s="146" t="s">
        <v>166</v>
      </c>
      <c r="E92" s="146" t="s">
        <v>7</v>
      </c>
      <c r="F92" s="147" t="s">
        <v>167</v>
      </c>
    </row>
    <row r="93" spans="1:7" x14ac:dyDescent="0.2">
      <c r="A93" s="49"/>
      <c r="B93" s="49"/>
      <c r="C93" s="146" t="s">
        <v>168</v>
      </c>
      <c r="D93" s="146" t="s">
        <v>168</v>
      </c>
      <c r="E93" s="146"/>
      <c r="F93" s="146"/>
    </row>
    <row r="94" spans="1:7" x14ac:dyDescent="0.2">
      <c r="A94" s="148" t="s">
        <v>290</v>
      </c>
      <c r="B94" s="49" t="s">
        <v>291</v>
      </c>
      <c r="C94" s="49"/>
      <c r="D94" s="93"/>
      <c r="E94" s="49"/>
      <c r="F94" s="93"/>
    </row>
    <row r="95" spans="1:7" x14ac:dyDescent="0.2">
      <c r="A95" s="51"/>
      <c r="B95" s="43" t="s">
        <v>292</v>
      </c>
      <c r="C95" s="49"/>
      <c r="D95" s="49"/>
      <c r="E95" s="49"/>
      <c r="F95" s="49"/>
    </row>
    <row r="96" spans="1:7" ht="15" x14ac:dyDescent="0.25">
      <c r="A96" s="51"/>
      <c r="B96" s="149" t="s">
        <v>293</v>
      </c>
      <c r="C96" s="150"/>
      <c r="D96" s="150"/>
      <c r="E96" s="151"/>
      <c r="F96" s="93"/>
    </row>
    <row r="97" spans="1:11" ht="15" x14ac:dyDescent="0.25">
      <c r="A97" s="51"/>
      <c r="B97" s="149" t="s">
        <v>294</v>
      </c>
      <c r="C97" s="150"/>
      <c r="D97" s="150"/>
      <c r="E97" s="151"/>
      <c r="F97" s="93"/>
    </row>
    <row r="98" spans="1:11" ht="15" x14ac:dyDescent="0.25">
      <c r="A98" s="51"/>
      <c r="B98" s="149" t="s">
        <v>295</v>
      </c>
      <c r="C98" s="150"/>
      <c r="D98" s="150"/>
      <c r="E98" s="151"/>
      <c r="F98" s="93"/>
      <c r="K98" s="98"/>
    </row>
    <row r="99" spans="1:11" x14ac:dyDescent="0.2">
      <c r="A99" s="51"/>
      <c r="B99" s="152"/>
      <c r="C99" s="49"/>
      <c r="D99" s="49"/>
      <c r="E99" s="49"/>
      <c r="F99" s="93"/>
    </row>
    <row r="100" spans="1:11" x14ac:dyDescent="0.2">
      <c r="A100" s="51"/>
      <c r="B100" s="153" t="s">
        <v>296</v>
      </c>
      <c r="C100" s="154"/>
      <c r="D100" s="155"/>
      <c r="E100" s="49"/>
      <c r="F100" s="93"/>
    </row>
    <row r="101" spans="1:11" x14ac:dyDescent="0.2">
      <c r="A101" s="51"/>
      <c r="B101" s="153"/>
      <c r="C101" s="154"/>
      <c r="D101" s="154"/>
      <c r="E101" s="156"/>
      <c r="F101" s="93"/>
    </row>
    <row r="102" spans="1:11" x14ac:dyDescent="0.2">
      <c r="A102" s="51"/>
      <c r="B102" s="153"/>
      <c r="C102" s="154"/>
      <c r="D102" s="154"/>
      <c r="E102" s="156"/>
      <c r="F102" s="93"/>
    </row>
    <row r="103" spans="1:11" x14ac:dyDescent="0.2">
      <c r="A103" s="51"/>
      <c r="B103" s="152"/>
      <c r="C103" s="154"/>
      <c r="D103" s="154"/>
      <c r="E103" s="49"/>
      <c r="F103" s="93"/>
    </row>
    <row r="104" spans="1:11" ht="16.5" thickBot="1" x14ac:dyDescent="0.3">
      <c r="A104" s="157" t="s">
        <v>297</v>
      </c>
      <c r="B104" s="158"/>
      <c r="C104" s="158"/>
      <c r="D104" s="158"/>
      <c r="E104" s="158"/>
      <c r="F104" s="159"/>
    </row>
    <row r="105" spans="1:11" x14ac:dyDescent="0.2">
      <c r="A105" s="160" t="s">
        <v>298</v>
      </c>
      <c r="B105" s="161" t="s">
        <v>299</v>
      </c>
      <c r="C105" s="161"/>
      <c r="D105" s="161"/>
      <c r="E105" s="162"/>
      <c r="F105" s="163"/>
    </row>
    <row r="106" spans="1:11" x14ac:dyDescent="0.2">
      <c r="A106" s="164" t="s">
        <v>300</v>
      </c>
      <c r="B106" s="90" t="s">
        <v>301</v>
      </c>
      <c r="C106" s="53">
        <f>'[1]RPL Ref'!C107</f>
        <v>0</v>
      </c>
      <c r="D106" s="53">
        <f>'[1]RPL Ref'!D107</f>
        <v>0</v>
      </c>
      <c r="E106" s="52">
        <f t="shared" ref="E106:E119" si="4">IF(C106&gt;0,D106/C106,0)</f>
        <v>0</v>
      </c>
      <c r="F106" s="165">
        <f>'[1]RPL Ref'!F107</f>
        <v>0</v>
      </c>
    </row>
    <row r="107" spans="1:11" x14ac:dyDescent="0.2">
      <c r="A107" s="166"/>
      <c r="B107" s="90" t="s">
        <v>11</v>
      </c>
      <c r="C107" s="53">
        <f>'[1]RPL Ref'!C108</f>
        <v>0</v>
      </c>
      <c r="D107" s="53">
        <f>'[1]RPL Ref'!D108</f>
        <v>0</v>
      </c>
      <c r="E107" s="52">
        <f t="shared" si="4"/>
        <v>0</v>
      </c>
      <c r="F107" s="165">
        <f>'[1]RPL Ref'!F108</f>
        <v>0</v>
      </c>
    </row>
    <row r="108" spans="1:11" x14ac:dyDescent="0.2">
      <c r="A108" s="166"/>
      <c r="B108" s="90" t="s">
        <v>302</v>
      </c>
      <c r="C108" s="53">
        <f>'[1]RPL Ref'!C109</f>
        <v>0</v>
      </c>
      <c r="D108" s="53">
        <f>'[1]RPL Ref'!D109</f>
        <v>3</v>
      </c>
      <c r="E108" s="52">
        <f t="shared" si="4"/>
        <v>0</v>
      </c>
      <c r="F108" s="165">
        <f>'[1]RPL Ref'!F109</f>
        <v>0</v>
      </c>
    </row>
    <row r="109" spans="1:11" x14ac:dyDescent="0.2">
      <c r="A109" s="166"/>
      <c r="B109" s="90" t="s">
        <v>303</v>
      </c>
      <c r="C109" s="53">
        <f>'[1]RPL Ref'!C110</f>
        <v>0</v>
      </c>
      <c r="D109" s="53">
        <f>'[1]RPL Ref'!D110</f>
        <v>0</v>
      </c>
      <c r="E109" s="52">
        <f t="shared" si="4"/>
        <v>0</v>
      </c>
      <c r="F109" s="165">
        <f>'[1]RPL Ref'!F110</f>
        <v>0</v>
      </c>
    </row>
    <row r="110" spans="1:11" x14ac:dyDescent="0.2">
      <c r="A110" s="166"/>
      <c r="B110" s="90" t="s">
        <v>23</v>
      </c>
      <c r="C110" s="53">
        <f>'[1]RPL Ref'!C111</f>
        <v>2714</v>
      </c>
      <c r="D110" s="53">
        <f>'[1]RPL Ref'!D111</f>
        <v>2233</v>
      </c>
      <c r="E110" s="52">
        <f t="shared" si="4"/>
        <v>0.82277081798084006</v>
      </c>
      <c r="F110" s="165">
        <f>'[1]RPL Ref'!F111</f>
        <v>636</v>
      </c>
    </row>
    <row r="111" spans="1:11" x14ac:dyDescent="0.2">
      <c r="A111" s="166"/>
      <c r="B111" s="57" t="s">
        <v>304</v>
      </c>
      <c r="C111" s="53">
        <f>'[1]RPL Ref'!C112</f>
        <v>0</v>
      </c>
      <c r="D111" s="53">
        <f>'[1]RPL Ref'!D112</f>
        <v>0</v>
      </c>
      <c r="E111" s="52">
        <f t="shared" si="4"/>
        <v>0</v>
      </c>
      <c r="F111" s="165">
        <f>'[1]RPL Ref'!F112</f>
        <v>0</v>
      </c>
    </row>
    <row r="112" spans="1:11" x14ac:dyDescent="0.2">
      <c r="A112" s="166"/>
      <c r="B112" s="90" t="s">
        <v>26</v>
      </c>
      <c r="C112" s="53">
        <f>'[1]RPL Ref'!C113</f>
        <v>0</v>
      </c>
      <c r="D112" s="53">
        <f>'[1]RPL Ref'!D113</f>
        <v>0</v>
      </c>
      <c r="E112" s="52">
        <f t="shared" si="4"/>
        <v>0</v>
      </c>
      <c r="F112" s="165">
        <f>'[1]RPL Ref'!F113</f>
        <v>0</v>
      </c>
    </row>
    <row r="113" spans="1:9" x14ac:dyDescent="0.2">
      <c r="A113" s="166"/>
      <c r="B113" s="90" t="s">
        <v>27</v>
      </c>
      <c r="C113" s="53">
        <f>'[1]RPL Ref'!C114</f>
        <v>4563</v>
      </c>
      <c r="D113" s="53">
        <f>'[1]RPL Ref'!D114</f>
        <v>3821</v>
      </c>
      <c r="E113" s="52">
        <f t="shared" si="4"/>
        <v>0.8373876835415297</v>
      </c>
      <c r="F113" s="165">
        <f>'[1]RPL Ref'!F114</f>
        <v>2127</v>
      </c>
    </row>
    <row r="114" spans="1:9" x14ac:dyDescent="0.2">
      <c r="A114" s="166"/>
      <c r="B114" s="57" t="s">
        <v>305</v>
      </c>
      <c r="C114" s="53">
        <f>'[1]RPL Ref'!C115</f>
        <v>0</v>
      </c>
      <c r="D114" s="53">
        <f>'[1]RPL Ref'!D115</f>
        <v>0</v>
      </c>
      <c r="E114" s="52">
        <f t="shared" si="4"/>
        <v>0</v>
      </c>
      <c r="F114" s="165">
        <f>'[1]RPL Ref'!F115</f>
        <v>0</v>
      </c>
    </row>
    <row r="115" spans="1:9" x14ac:dyDescent="0.2">
      <c r="A115" s="166"/>
      <c r="B115" s="57" t="s">
        <v>306</v>
      </c>
      <c r="C115" s="53">
        <f>'[1]RPL Ref'!C116</f>
        <v>0</v>
      </c>
      <c r="D115" s="53">
        <f>'[1]RPL Ref'!D116</f>
        <v>0</v>
      </c>
      <c r="E115" s="52">
        <f t="shared" si="4"/>
        <v>0</v>
      </c>
      <c r="F115" s="165">
        <f>'[1]RPL Ref'!F116</f>
        <v>0</v>
      </c>
    </row>
    <row r="116" spans="1:9" x14ac:dyDescent="0.2">
      <c r="A116" s="166"/>
      <c r="B116" s="90" t="s">
        <v>34</v>
      </c>
      <c r="C116" s="53">
        <f>'[1]RPL Ref'!C117</f>
        <v>2689</v>
      </c>
      <c r="D116" s="53">
        <f>'[1]RPL Ref'!D117</f>
        <v>2336</v>
      </c>
      <c r="E116" s="52">
        <f t="shared" si="4"/>
        <v>0.8687244328746746</v>
      </c>
      <c r="F116" s="165">
        <f>'[1]RPL Ref'!F117</f>
        <v>989</v>
      </c>
    </row>
    <row r="117" spans="1:9" x14ac:dyDescent="0.2">
      <c r="A117" s="166"/>
      <c r="B117" s="57" t="s">
        <v>307</v>
      </c>
      <c r="C117" s="53">
        <f>'[1]RPL Ref'!C118</f>
        <v>0</v>
      </c>
      <c r="D117" s="53">
        <f>'[1]RPL Ref'!D118</f>
        <v>0</v>
      </c>
      <c r="E117" s="52">
        <f t="shared" si="4"/>
        <v>0</v>
      </c>
      <c r="F117" s="165">
        <f>'[1]RPL Ref'!F118</f>
        <v>0</v>
      </c>
    </row>
    <row r="118" spans="1:9" x14ac:dyDescent="0.2">
      <c r="A118" s="166"/>
      <c r="B118" s="90" t="s">
        <v>36</v>
      </c>
      <c r="C118" s="53">
        <f>'[1]RPL Ref'!C119</f>
        <v>0</v>
      </c>
      <c r="D118" s="53">
        <f>'[1]RPL Ref'!D119</f>
        <v>0</v>
      </c>
      <c r="E118" s="52">
        <f t="shared" si="4"/>
        <v>0</v>
      </c>
      <c r="F118" s="165">
        <f>'[1]RPL Ref'!F119</f>
        <v>0</v>
      </c>
    </row>
    <row r="119" spans="1:9" x14ac:dyDescent="0.2">
      <c r="A119" s="166"/>
      <c r="B119" s="90" t="s">
        <v>37</v>
      </c>
      <c r="C119" s="53">
        <f>'[1]RPL Ref'!C120</f>
        <v>10001</v>
      </c>
      <c r="D119" s="53">
        <f>'[1]RPL Ref'!D120</f>
        <v>8588</v>
      </c>
      <c r="E119" s="52">
        <f t="shared" si="4"/>
        <v>0.85871412858714125</v>
      </c>
      <c r="F119" s="165">
        <f>'[1]RPL Ref'!F120</f>
        <v>2718</v>
      </c>
    </row>
    <row r="120" spans="1:9" x14ac:dyDescent="0.2">
      <c r="A120" s="166"/>
      <c r="B120" s="57" t="s">
        <v>308</v>
      </c>
      <c r="C120" s="49"/>
      <c r="D120" s="51"/>
      <c r="E120" s="167"/>
      <c r="F120" s="168"/>
    </row>
    <row r="121" spans="1:9" x14ac:dyDescent="0.2">
      <c r="A121" s="166"/>
      <c r="B121" s="169" t="s">
        <v>309</v>
      </c>
      <c r="C121" s="170"/>
      <c r="D121" s="122"/>
      <c r="E121" s="171"/>
      <c r="F121" s="172"/>
    </row>
    <row r="122" spans="1:9" x14ac:dyDescent="0.2">
      <c r="A122" s="173" t="s">
        <v>310</v>
      </c>
      <c r="B122" s="174" t="s">
        <v>16</v>
      </c>
      <c r="C122" s="174">
        <f>'[1]RPL Ref'!C123</f>
        <v>519</v>
      </c>
      <c r="D122" s="174">
        <f>'[1]RPL Ref'!D123</f>
        <v>403</v>
      </c>
      <c r="E122" s="175">
        <f>IF(C122&gt;0,D122/C122,0)</f>
        <v>0.77649325626204235</v>
      </c>
      <c r="F122" s="176">
        <f>'[1]RPL Ref'!F123</f>
        <v>145</v>
      </c>
      <c r="G122" s="124"/>
    </row>
    <row r="123" spans="1:9" x14ac:dyDescent="0.2">
      <c r="A123" s="177"/>
      <c r="B123" s="174" t="s">
        <v>20</v>
      </c>
      <c r="C123" s="174">
        <f>'[1]RPL Ref'!C124</f>
        <v>79</v>
      </c>
      <c r="D123" s="174">
        <f>'[1]RPL Ref'!D124</f>
        <v>73</v>
      </c>
      <c r="E123" s="175">
        <f>IF(C123&gt;0,D123/C123,0)</f>
        <v>0.92405063291139244</v>
      </c>
      <c r="F123" s="176">
        <f>'[1]RPL Ref'!F124</f>
        <v>10</v>
      </c>
      <c r="G123" s="124"/>
    </row>
    <row r="124" spans="1:9" x14ac:dyDescent="0.2">
      <c r="A124" s="177"/>
      <c r="B124" s="174" t="s">
        <v>29</v>
      </c>
      <c r="C124" s="174">
        <f>'[1]RPL Ref'!C125</f>
        <v>1375</v>
      </c>
      <c r="D124" s="174">
        <f>'[1]RPL Ref'!D125</f>
        <v>1167</v>
      </c>
      <c r="E124" s="175">
        <f>IF(C124&gt;0,D124/C124,0)</f>
        <v>0.84872727272727277</v>
      </c>
      <c r="F124" s="176">
        <f>'[1]RPL Ref'!F125</f>
        <v>295</v>
      </c>
      <c r="G124" s="124"/>
    </row>
    <row r="125" spans="1:9" x14ac:dyDescent="0.2">
      <c r="A125" s="177"/>
      <c r="B125" s="174" t="s">
        <v>39</v>
      </c>
      <c r="C125" s="174">
        <f>'[1]RPL Ref'!C126</f>
        <v>1689</v>
      </c>
      <c r="D125" s="174">
        <f>'[1]RPL Ref'!D126</f>
        <v>1509</v>
      </c>
      <c r="E125" s="175">
        <f>IF(C125&gt;0,D125/C125,0)</f>
        <v>0.89342806394316165</v>
      </c>
      <c r="F125" s="176">
        <f>'[1]RPL Ref'!F126</f>
        <v>950</v>
      </c>
      <c r="G125" s="124"/>
    </row>
    <row r="126" spans="1:9" ht="13.5" thickBot="1" x14ac:dyDescent="0.25">
      <c r="A126" s="178" t="s">
        <v>311</v>
      </c>
      <c r="B126" s="179" t="s">
        <v>312</v>
      </c>
      <c r="C126" s="180">
        <f>SUM(C106:C125)</f>
        <v>23629</v>
      </c>
      <c r="D126" s="180">
        <f>SUM(D106:D125)</f>
        <v>20133</v>
      </c>
      <c r="E126" s="181">
        <f>+D126/C126</f>
        <v>0.85204621439756234</v>
      </c>
      <c r="F126" s="182">
        <f>SUM(F106:F125)</f>
        <v>7870</v>
      </c>
      <c r="G126" s="124"/>
      <c r="H126" s="183"/>
      <c r="I126" s="78" t="s">
        <v>313</v>
      </c>
    </row>
    <row r="127" spans="1:9" x14ac:dyDescent="0.2">
      <c r="A127" s="184" t="s">
        <v>314</v>
      </c>
      <c r="B127" s="185"/>
      <c r="C127" s="186">
        <f>C126+C140+C141+C142+C143</f>
        <v>36290</v>
      </c>
      <c r="D127" s="186">
        <f>D126+D140+D141+D142+D143</f>
        <v>30403</v>
      </c>
      <c r="E127" s="187">
        <f>+D127/C127</f>
        <v>0.83777900248002202</v>
      </c>
      <c r="F127" s="188">
        <f>F126+F140+F141+F142+F143</f>
        <v>9106</v>
      </c>
    </row>
    <row r="128" spans="1:9" x14ac:dyDescent="0.2">
      <c r="A128" s="164" t="s">
        <v>300</v>
      </c>
      <c r="B128" s="90" t="s">
        <v>55</v>
      </c>
      <c r="C128" s="53">
        <f>'[1]RPL Ref'!C129</f>
        <v>1670</v>
      </c>
      <c r="D128" s="53">
        <f>'[1]RPL Ref'!D129</f>
        <v>1440</v>
      </c>
      <c r="E128" s="52">
        <f t="shared" ref="E128:E137" si="5">IF(C128&gt;0,D128/C128,0)</f>
        <v>0.86227544910179643</v>
      </c>
      <c r="F128" s="165">
        <f>'[1]RPL Ref'!F129</f>
        <v>793</v>
      </c>
    </row>
    <row r="129" spans="1:9" x14ac:dyDescent="0.2">
      <c r="A129" s="166"/>
      <c r="B129" s="90" t="s">
        <v>58</v>
      </c>
      <c r="C129" s="53">
        <f>'[1]RPL Ref'!C130</f>
        <v>2044</v>
      </c>
      <c r="D129" s="53">
        <f>'[1]RPL Ref'!D130</f>
        <v>1836</v>
      </c>
      <c r="E129" s="52">
        <f t="shared" si="5"/>
        <v>0.89823874755381605</v>
      </c>
      <c r="F129" s="165">
        <f>'[1]RPL Ref'!F130</f>
        <v>753</v>
      </c>
    </row>
    <row r="130" spans="1:9" x14ac:dyDescent="0.2">
      <c r="A130" s="166"/>
      <c r="B130" s="90" t="s">
        <v>61</v>
      </c>
      <c r="C130" s="53">
        <f>'[1]RPL Ref'!C131</f>
        <v>1924</v>
      </c>
      <c r="D130" s="53">
        <f>'[1]RPL Ref'!D131</f>
        <v>1668</v>
      </c>
      <c r="E130" s="52">
        <f t="shared" si="5"/>
        <v>0.86694386694386694</v>
      </c>
      <c r="F130" s="165">
        <f>'[1]RPL Ref'!F131</f>
        <v>394</v>
      </c>
    </row>
    <row r="131" spans="1:9" x14ac:dyDescent="0.2">
      <c r="A131" s="166"/>
      <c r="B131" s="90" t="s">
        <v>64</v>
      </c>
      <c r="C131" s="53">
        <f>'[1]RPL Ref'!C132</f>
        <v>2112</v>
      </c>
      <c r="D131" s="53">
        <f>'[1]RPL Ref'!D132</f>
        <v>1911</v>
      </c>
      <c r="E131" s="52">
        <f t="shared" si="5"/>
        <v>0.90482954545454541</v>
      </c>
      <c r="F131" s="165">
        <f>'[1]RPL Ref'!F132</f>
        <v>750</v>
      </c>
      <c r="H131" s="189"/>
    </row>
    <row r="132" spans="1:9" ht="15" x14ac:dyDescent="0.25">
      <c r="A132" s="190" t="s">
        <v>151</v>
      </c>
      <c r="B132" s="191" t="s">
        <v>67</v>
      </c>
      <c r="C132" s="53">
        <f>'[1]RPL Ref'!C133</f>
        <v>0</v>
      </c>
      <c r="D132" s="53">
        <f>'[1]RPL Ref'!D133</f>
        <v>0</v>
      </c>
      <c r="E132" s="52">
        <f t="shared" si="5"/>
        <v>0</v>
      </c>
      <c r="F132" s="165">
        <f>'[1]RPL Ref'!F133</f>
        <v>0</v>
      </c>
      <c r="G132" s="192"/>
    </row>
    <row r="133" spans="1:9" ht="15" x14ac:dyDescent="0.25">
      <c r="A133" s="193"/>
      <c r="B133" s="194" t="s">
        <v>70</v>
      </c>
      <c r="C133" s="53">
        <f>'[1]RPL Ref'!C134</f>
        <v>0</v>
      </c>
      <c r="D133" s="53">
        <f>'[1]RPL Ref'!D134</f>
        <v>0</v>
      </c>
      <c r="E133" s="52">
        <f t="shared" si="5"/>
        <v>0</v>
      </c>
      <c r="F133" s="165">
        <f>'[1]RPL Ref'!F134</f>
        <v>0</v>
      </c>
      <c r="G133" s="192"/>
    </row>
    <row r="134" spans="1:9" ht="15" x14ac:dyDescent="0.25">
      <c r="A134" s="193"/>
      <c r="B134" s="191" t="s">
        <v>78</v>
      </c>
      <c r="C134" s="53">
        <f>'[1]RPL Ref'!C135</f>
        <v>1285</v>
      </c>
      <c r="D134" s="53">
        <f>'[1]RPL Ref'!D135</f>
        <v>1099</v>
      </c>
      <c r="E134" s="52">
        <f t="shared" si="5"/>
        <v>0.8552529182879377</v>
      </c>
      <c r="F134" s="165">
        <f>'[1]RPL Ref'!F135</f>
        <v>351</v>
      </c>
      <c r="G134" s="192"/>
    </row>
    <row r="135" spans="1:9" ht="15" x14ac:dyDescent="0.25">
      <c r="A135" s="193"/>
      <c r="B135" s="191" t="s">
        <v>81</v>
      </c>
      <c r="C135" s="53">
        <f>'[1]RPL Ref'!C136</f>
        <v>3935</v>
      </c>
      <c r="D135" s="53">
        <f>'[1]RPL Ref'!D136</f>
        <v>3485</v>
      </c>
      <c r="E135" s="52">
        <f t="shared" si="5"/>
        <v>0.88564167725540022</v>
      </c>
      <c r="F135" s="165">
        <f>'[1]RPL Ref'!F136</f>
        <v>825</v>
      </c>
      <c r="G135" s="192"/>
    </row>
    <row r="136" spans="1:9" ht="15" x14ac:dyDescent="0.25">
      <c r="A136" s="195" t="s">
        <v>152</v>
      </c>
      <c r="B136" s="196" t="s">
        <v>73</v>
      </c>
      <c r="C136" s="197">
        <f>'[1]RPL Ref'!C137</f>
        <v>0</v>
      </c>
      <c r="D136" s="197">
        <f>'[1]RPL Ref'!D137</f>
        <v>0</v>
      </c>
      <c r="E136" s="198">
        <f t="shared" si="5"/>
        <v>0</v>
      </c>
      <c r="F136" s="199">
        <f>'[1]RPL Ref'!F137</f>
        <v>0</v>
      </c>
      <c r="G136" s="200" t="s">
        <v>315</v>
      </c>
    </row>
    <row r="137" spans="1:9" ht="15" x14ac:dyDescent="0.25">
      <c r="A137" s="193"/>
      <c r="B137" s="196" t="s">
        <v>75</v>
      </c>
      <c r="C137" s="197">
        <f>'[1]RPL Ref'!C138</f>
        <v>0</v>
      </c>
      <c r="D137" s="197">
        <f>'[1]RPL Ref'!D138</f>
        <v>0</v>
      </c>
      <c r="E137" s="198">
        <f t="shared" si="5"/>
        <v>0</v>
      </c>
      <c r="F137" s="199">
        <f>'[1]RPL Ref'!F138</f>
        <v>0</v>
      </c>
      <c r="G137" s="200" t="s">
        <v>316</v>
      </c>
      <c r="H137" s="201"/>
      <c r="I137" s="78" t="s">
        <v>317</v>
      </c>
    </row>
    <row r="138" spans="1:9" ht="13.5" thickBot="1" x14ac:dyDescent="0.25">
      <c r="A138" s="202" t="s">
        <v>318</v>
      </c>
      <c r="B138" s="203" t="s">
        <v>319</v>
      </c>
      <c r="C138" s="204">
        <f>SUM(C128:C137)</f>
        <v>12970</v>
      </c>
      <c r="D138" s="204">
        <f>SUM(D128:D137)</f>
        <v>11439</v>
      </c>
      <c r="E138" s="205">
        <f>+D138/C138</f>
        <v>0.88195836545875095</v>
      </c>
      <c r="F138" s="206">
        <f>SUM(F128:F137)</f>
        <v>3866</v>
      </c>
      <c r="G138" s="89" t="s">
        <v>139</v>
      </c>
      <c r="H138" s="207"/>
      <c r="I138" s="78" t="s">
        <v>320</v>
      </c>
    </row>
    <row r="139" spans="1:9" ht="13.5" thickBot="1" x14ac:dyDescent="0.25">
      <c r="A139" s="208" t="s">
        <v>321</v>
      </c>
      <c r="B139" s="209">
        <v>352410075071901</v>
      </c>
      <c r="C139" s="210">
        <f>+'[1]RPL Ref'!C140</f>
        <v>0</v>
      </c>
      <c r="D139" s="211">
        <f>+'[1]RPL Ref'!D140</f>
        <v>0</v>
      </c>
      <c r="E139" s="212" t="str">
        <f>+'[1]RPL Ref'!E140</f>
        <v/>
      </c>
      <c r="F139" s="213">
        <f>+'[1]RPL Ref'!F140</f>
        <v>0</v>
      </c>
      <c r="H139" s="214"/>
      <c r="I139" s="215" t="s">
        <v>322</v>
      </c>
    </row>
    <row r="140" spans="1:9" ht="15.75" x14ac:dyDescent="0.25">
      <c r="A140" s="216" t="s">
        <v>323</v>
      </c>
      <c r="B140" s="217" t="s">
        <v>25</v>
      </c>
      <c r="C140" s="218">
        <f>'[1]RPL Ref'!C141</f>
        <v>1703</v>
      </c>
      <c r="D140" s="218">
        <f>'[1]RPL Ref'!D141</f>
        <v>1221</v>
      </c>
      <c r="E140" s="219">
        <f t="shared" ref="E140:E149" si="6">IF(C140&gt;0,D140/C140,0)</f>
        <v>0.71697005284791548</v>
      </c>
      <c r="F140" s="220">
        <f>'[1]RPL Ref'!F141</f>
        <v>424</v>
      </c>
      <c r="G140" s="221"/>
    </row>
    <row r="141" spans="1:9" ht="15.75" x14ac:dyDescent="0.25">
      <c r="A141" s="222"/>
      <c r="B141" s="217" t="s">
        <v>35</v>
      </c>
      <c r="C141" s="53">
        <f>'[1]RPL Ref'!C142</f>
        <v>1153</v>
      </c>
      <c r="D141" s="53">
        <f>'[1]RPL Ref'!D142</f>
        <v>966</v>
      </c>
      <c r="E141" s="52">
        <f t="shared" si="6"/>
        <v>0.83781439722463136</v>
      </c>
      <c r="F141" s="165">
        <f>'[1]RPL Ref'!F142</f>
        <v>680</v>
      </c>
      <c r="G141" s="223"/>
    </row>
    <row r="142" spans="1:9" x14ac:dyDescent="0.2">
      <c r="A142" s="224" t="s">
        <v>324</v>
      </c>
      <c r="B142" s="225" t="s">
        <v>30</v>
      </c>
      <c r="C142" s="53">
        <f>'[1]RPL Ref'!C143</f>
        <v>5128</v>
      </c>
      <c r="D142" s="53">
        <f>'[1]RPL Ref'!D143</f>
        <v>4013</v>
      </c>
      <c r="E142" s="52">
        <f t="shared" si="6"/>
        <v>0.78256630265210614</v>
      </c>
      <c r="F142" s="165">
        <f>'[1]RPL Ref'!F143</f>
        <v>113</v>
      </c>
      <c r="G142" s="471" t="s">
        <v>325</v>
      </c>
    </row>
    <row r="143" spans="1:9" ht="15.75" customHeight="1" x14ac:dyDescent="0.2">
      <c r="A143" s="166"/>
      <c r="B143" s="225" t="s">
        <v>40</v>
      </c>
      <c r="C143" s="53">
        <f>'[1]RPL Ref'!C144</f>
        <v>4677</v>
      </c>
      <c r="D143" s="53">
        <f>'[1]RPL Ref'!D144</f>
        <v>4070</v>
      </c>
      <c r="E143" s="52">
        <f t="shared" si="6"/>
        <v>0.87021595039555266</v>
      </c>
      <c r="F143" s="165">
        <f>'[1]RPL Ref'!F144</f>
        <v>19</v>
      </c>
      <c r="G143" s="471"/>
    </row>
    <row r="144" spans="1:9" ht="15.75" x14ac:dyDescent="0.25">
      <c r="A144" s="226" t="s">
        <v>326</v>
      </c>
      <c r="B144" s="227" t="s">
        <v>92</v>
      </c>
      <c r="C144" s="53">
        <f>'[1]RPL Ref'!C145</f>
        <v>35</v>
      </c>
      <c r="D144" s="53">
        <f>'[1]RPL Ref'!D145</f>
        <v>29</v>
      </c>
      <c r="E144" s="52">
        <f t="shared" si="6"/>
        <v>0.82857142857142863</v>
      </c>
      <c r="F144" s="165">
        <f>'[1]RPL Ref'!F145</f>
        <v>10</v>
      </c>
      <c r="G144" s="227" t="s">
        <v>92</v>
      </c>
    </row>
    <row r="145" spans="1:8" ht="15.75" x14ac:dyDescent="0.25">
      <c r="B145" s="227" t="s">
        <v>97</v>
      </c>
      <c r="C145" s="53">
        <f>'[1]RPL Ref'!C146</f>
        <v>331</v>
      </c>
      <c r="D145" s="53">
        <f>'[1]RPL Ref'!D146</f>
        <v>207</v>
      </c>
      <c r="E145" s="52">
        <f t="shared" si="6"/>
        <v>0.62537764350453173</v>
      </c>
      <c r="F145" s="165">
        <f>'[1]RPL Ref'!F146</f>
        <v>101</v>
      </c>
      <c r="G145" s="227" t="s">
        <v>97</v>
      </c>
    </row>
    <row r="146" spans="1:8" ht="15.75" x14ac:dyDescent="0.25">
      <c r="B146" s="227" t="s">
        <v>102</v>
      </c>
      <c r="C146" s="53">
        <f>'[1]RPL Ref'!C147</f>
        <v>1436</v>
      </c>
      <c r="D146" s="53">
        <f>'[1]RPL Ref'!D147</f>
        <v>1171</v>
      </c>
      <c r="E146" s="52">
        <f t="shared" si="6"/>
        <v>0.81545961002785516</v>
      </c>
      <c r="F146" s="165">
        <f>'[1]RPL Ref'!F147</f>
        <v>663</v>
      </c>
      <c r="G146" s="227" t="s">
        <v>102</v>
      </c>
    </row>
    <row r="147" spans="1:8" x14ac:dyDescent="0.2">
      <c r="A147" s="224" t="s">
        <v>327</v>
      </c>
      <c r="B147" s="225" t="s">
        <v>95</v>
      </c>
      <c r="C147" s="53">
        <f>'[1]RPL Ref'!C148</f>
        <v>331</v>
      </c>
      <c r="D147" s="53">
        <f>'[1]RPL Ref'!D148</f>
        <v>257</v>
      </c>
      <c r="E147" s="52">
        <f t="shared" si="6"/>
        <v>0.77643504531722052</v>
      </c>
      <c r="F147" s="165">
        <f>'[1]RPL Ref'!F148</f>
        <v>316</v>
      </c>
      <c r="G147" s="472" t="s">
        <v>328</v>
      </c>
    </row>
    <row r="148" spans="1:8" x14ac:dyDescent="0.2">
      <c r="A148" s="166"/>
      <c r="B148" s="225" t="s">
        <v>100</v>
      </c>
      <c r="C148" s="53">
        <f>'[1]RPL Ref'!C149</f>
        <v>785</v>
      </c>
      <c r="D148" s="53">
        <f>'[1]RPL Ref'!D149</f>
        <v>568</v>
      </c>
      <c r="E148" s="52">
        <f t="shared" si="6"/>
        <v>0.72356687898089167</v>
      </c>
      <c r="F148" s="165">
        <f>'[1]RPL Ref'!F149</f>
        <v>68</v>
      </c>
      <c r="G148" s="472"/>
    </row>
    <row r="149" spans="1:8" x14ac:dyDescent="0.2">
      <c r="A149" s="166"/>
      <c r="B149" s="225" t="s">
        <v>105</v>
      </c>
      <c r="C149" s="53">
        <f>'[1]RPL Ref'!C150</f>
        <v>3844</v>
      </c>
      <c r="D149" s="53">
        <f>'[1]RPL Ref'!D150</f>
        <v>3107</v>
      </c>
      <c r="E149" s="52">
        <f t="shared" si="6"/>
        <v>0.80827263267429761</v>
      </c>
      <c r="F149" s="165">
        <f>'[1]RPL Ref'!F150</f>
        <v>416</v>
      </c>
    </row>
    <row r="150" spans="1:8" ht="13.5" thickBot="1" x14ac:dyDescent="0.25">
      <c r="A150" s="178" t="s">
        <v>329</v>
      </c>
      <c r="B150" s="228" t="s">
        <v>330</v>
      </c>
      <c r="C150" s="180">
        <f>SUM(C140:C149)</f>
        <v>19423</v>
      </c>
      <c r="D150" s="180">
        <f>SUM(D140:D149)</f>
        <v>15609</v>
      </c>
      <c r="E150" s="181">
        <f>+D150/C150</f>
        <v>0.80363486588065691</v>
      </c>
      <c r="F150" s="229">
        <f>SUM(F140:F149)</f>
        <v>2810</v>
      </c>
    </row>
    <row r="151" spans="1:8" x14ac:dyDescent="0.2">
      <c r="A151" s="230" t="s">
        <v>331</v>
      </c>
      <c r="B151" s="231"/>
      <c r="C151" s="232">
        <f>C150+C126+C138+C139</f>
        <v>56022</v>
      </c>
      <c r="D151" s="232">
        <f>D150+D126+D138+D139</f>
        <v>47181</v>
      </c>
      <c r="E151" s="233">
        <f>+D151/C151</f>
        <v>0.84218699796508512</v>
      </c>
      <c r="F151" s="232">
        <f>F150+F126+F138+F139</f>
        <v>14546</v>
      </c>
    </row>
    <row r="152" spans="1:8" x14ac:dyDescent="0.2">
      <c r="A152" s="234"/>
      <c r="B152" s="235"/>
      <c r="C152" s="122"/>
      <c r="D152" s="122"/>
      <c r="E152" s="236"/>
      <c r="F152" s="122"/>
      <c r="H152" s="98"/>
    </row>
    <row r="153" spans="1:8" s="55" customFormat="1" x14ac:dyDescent="0.2">
      <c r="A153" s="237" t="s">
        <v>332</v>
      </c>
      <c r="B153" s="238"/>
      <c r="C153" s="238"/>
      <c r="D153" s="238"/>
      <c r="E153" s="238"/>
      <c r="F153" s="238"/>
      <c r="G153" s="43"/>
    </row>
    <row r="154" spans="1:8" x14ac:dyDescent="0.2">
      <c r="A154" s="76"/>
      <c r="B154" s="49" t="s">
        <v>333</v>
      </c>
      <c r="C154" s="53">
        <f>'[1]RPL Ref'!C155</f>
        <v>0</v>
      </c>
      <c r="D154" s="53">
        <f>'[1]RPL Ref'!D155</f>
        <v>0</v>
      </c>
      <c r="E154" s="52">
        <f t="shared" ref="E154:E179" si="7">IF(C154&gt;0,D154/C154,0)</f>
        <v>0</v>
      </c>
      <c r="F154" s="53">
        <f>'[1]RPL Ref'!F155</f>
        <v>0</v>
      </c>
    </row>
    <row r="155" spans="1:8" x14ac:dyDescent="0.2">
      <c r="A155" s="76"/>
      <c r="B155" s="90" t="s">
        <v>334</v>
      </c>
      <c r="C155" s="53">
        <f>'[1]RPL Ref'!C156</f>
        <v>0</v>
      </c>
      <c r="D155" s="53">
        <f>'[1]RPL Ref'!D156</f>
        <v>0</v>
      </c>
      <c r="E155" s="52">
        <f t="shared" si="7"/>
        <v>0</v>
      </c>
      <c r="F155" s="53">
        <f>'[1]RPL Ref'!F156</f>
        <v>0</v>
      </c>
    </row>
    <row r="156" spans="1:8" x14ac:dyDescent="0.2">
      <c r="A156" s="76"/>
      <c r="B156" s="90" t="s">
        <v>335</v>
      </c>
      <c r="C156" s="53">
        <f>'[1]RPL Ref'!C157</f>
        <v>0</v>
      </c>
      <c r="D156" s="53">
        <f>'[1]RPL Ref'!D157</f>
        <v>0</v>
      </c>
      <c r="E156" s="52">
        <f t="shared" si="7"/>
        <v>0</v>
      </c>
      <c r="F156" s="53">
        <f>'[1]RPL Ref'!F157</f>
        <v>0</v>
      </c>
    </row>
    <row r="157" spans="1:8" s="55" customFormat="1" x14ac:dyDescent="0.2">
      <c r="A157" s="76"/>
      <c r="B157" s="90" t="s">
        <v>336</v>
      </c>
      <c r="C157" s="53">
        <f>'[1]RPL Ref'!C158</f>
        <v>0</v>
      </c>
      <c r="D157" s="53">
        <f>'[1]RPL Ref'!D158</f>
        <v>0</v>
      </c>
      <c r="E157" s="52">
        <f t="shared" si="7"/>
        <v>0</v>
      </c>
      <c r="F157" s="53">
        <f>'[1]RPL Ref'!F158</f>
        <v>0</v>
      </c>
      <c r="G157" s="43"/>
    </row>
    <row r="158" spans="1:8" s="55" customFormat="1" x14ac:dyDescent="0.2">
      <c r="A158" s="76"/>
      <c r="B158" s="90" t="s">
        <v>337</v>
      </c>
      <c r="C158" s="53">
        <f>'[1]RPL Ref'!C159</f>
        <v>0</v>
      </c>
      <c r="D158" s="53">
        <f>'[1]RPL Ref'!D159</f>
        <v>0</v>
      </c>
      <c r="E158" s="52">
        <f t="shared" si="7"/>
        <v>0</v>
      </c>
      <c r="F158" s="53">
        <f>'[1]RPL Ref'!F159</f>
        <v>0</v>
      </c>
      <c r="G158" s="43"/>
    </row>
    <row r="159" spans="1:8" s="55" customFormat="1" x14ac:dyDescent="0.2">
      <c r="A159" s="76"/>
      <c r="B159" s="90" t="s">
        <v>338</v>
      </c>
      <c r="C159" s="53">
        <f>'[1]RPL Ref'!C160</f>
        <v>0</v>
      </c>
      <c r="D159" s="53">
        <f>'[1]RPL Ref'!D160</f>
        <v>0</v>
      </c>
      <c r="E159" s="52">
        <f t="shared" si="7"/>
        <v>0</v>
      </c>
      <c r="F159" s="53">
        <f>'[1]RPL Ref'!F160</f>
        <v>0</v>
      </c>
      <c r="G159" s="98"/>
    </row>
    <row r="160" spans="1:8" s="55" customFormat="1" x14ac:dyDescent="0.2">
      <c r="A160" s="76"/>
      <c r="B160" s="90" t="s">
        <v>339</v>
      </c>
      <c r="C160" s="53">
        <f>'[1]RPL Ref'!C161</f>
        <v>0</v>
      </c>
      <c r="D160" s="53">
        <f>'[1]RPL Ref'!D161</f>
        <v>0</v>
      </c>
      <c r="E160" s="52">
        <f t="shared" si="7"/>
        <v>0</v>
      </c>
      <c r="F160" s="53">
        <f>'[1]RPL Ref'!F161</f>
        <v>0</v>
      </c>
      <c r="G160" s="98"/>
    </row>
    <row r="161" spans="1:7" x14ac:dyDescent="0.2">
      <c r="A161" s="76"/>
      <c r="B161" s="57" t="s">
        <v>340</v>
      </c>
      <c r="C161" s="53">
        <f>'[1]RPL Ref'!C162</f>
        <v>0</v>
      </c>
      <c r="D161" s="53">
        <f>'[1]RPL Ref'!D162</f>
        <v>0</v>
      </c>
      <c r="E161" s="52">
        <f t="shared" si="7"/>
        <v>0</v>
      </c>
      <c r="F161" s="53">
        <f>'[1]RPL Ref'!F162</f>
        <v>0</v>
      </c>
    </row>
    <row r="162" spans="1:7" s="55" customFormat="1" x14ac:dyDescent="0.2">
      <c r="A162" s="76"/>
      <c r="B162" s="90" t="s">
        <v>91</v>
      </c>
      <c r="C162" s="53">
        <f>'[1]RPL Ref'!C163</f>
        <v>79</v>
      </c>
      <c r="D162" s="53">
        <f>'[1]RPL Ref'!D163</f>
        <v>54</v>
      </c>
      <c r="E162" s="52">
        <f t="shared" si="7"/>
        <v>0.68354430379746833</v>
      </c>
      <c r="F162" s="53">
        <f>'[1]RPL Ref'!F163</f>
        <v>70</v>
      </c>
      <c r="G162" s="43"/>
    </row>
    <row r="163" spans="1:7" s="55" customFormat="1" x14ac:dyDescent="0.2">
      <c r="A163" s="76"/>
      <c r="B163" s="90" t="s">
        <v>93</v>
      </c>
      <c r="C163" s="53">
        <f>'[1]RPL Ref'!C164</f>
        <v>0</v>
      </c>
      <c r="D163" s="53">
        <f>'[1]RPL Ref'!D164</f>
        <v>0</v>
      </c>
      <c r="E163" s="52">
        <f t="shared" si="7"/>
        <v>0</v>
      </c>
      <c r="F163" s="53">
        <f>'[1]RPL Ref'!F164</f>
        <v>0</v>
      </c>
      <c r="G163" s="43"/>
    </row>
    <row r="164" spans="1:7" s="55" customFormat="1" x14ac:dyDescent="0.2">
      <c r="A164" s="76"/>
      <c r="B164" s="57" t="s">
        <v>341</v>
      </c>
      <c r="C164" s="53">
        <f>'[1]RPL Ref'!C165</f>
        <v>0</v>
      </c>
      <c r="D164" s="53">
        <f>'[1]RPL Ref'!D165</f>
        <v>0</v>
      </c>
      <c r="E164" s="52">
        <f t="shared" si="7"/>
        <v>0</v>
      </c>
      <c r="F164" s="53">
        <f>'[1]RPL Ref'!F165</f>
        <v>0</v>
      </c>
      <c r="G164" s="43"/>
    </row>
    <row r="165" spans="1:7" s="55" customFormat="1" x14ac:dyDescent="0.2">
      <c r="A165" s="76"/>
      <c r="B165" s="57" t="s">
        <v>342</v>
      </c>
      <c r="C165" s="53">
        <f>'[1]RPL Ref'!C166</f>
        <v>0</v>
      </c>
      <c r="D165" s="53">
        <f>'[1]RPL Ref'!D166</f>
        <v>0</v>
      </c>
      <c r="E165" s="52">
        <f t="shared" si="7"/>
        <v>0</v>
      </c>
      <c r="F165" s="53">
        <f>'[1]RPL Ref'!F166</f>
        <v>0</v>
      </c>
      <c r="G165" s="43"/>
    </row>
    <row r="166" spans="1:7" s="55" customFormat="1" x14ac:dyDescent="0.2">
      <c r="A166" s="76"/>
      <c r="B166" s="90" t="s">
        <v>96</v>
      </c>
      <c r="C166" s="53">
        <f>'[1]RPL Ref'!C167</f>
        <v>36</v>
      </c>
      <c r="D166" s="53">
        <f>'[1]RPL Ref'!D167</f>
        <v>15</v>
      </c>
      <c r="E166" s="52">
        <f t="shared" si="7"/>
        <v>0.41666666666666669</v>
      </c>
      <c r="F166" s="53">
        <f>'[1]RPL Ref'!F167</f>
        <v>14</v>
      </c>
      <c r="G166" s="43"/>
    </row>
    <row r="167" spans="1:7" s="55" customFormat="1" x14ac:dyDescent="0.2">
      <c r="A167" s="76"/>
      <c r="B167" s="90" t="s">
        <v>98</v>
      </c>
      <c r="C167" s="53">
        <f>'[1]RPL Ref'!C168</f>
        <v>0</v>
      </c>
      <c r="D167" s="53">
        <f>'[1]RPL Ref'!D168</f>
        <v>0</v>
      </c>
      <c r="E167" s="52">
        <f t="shared" si="7"/>
        <v>0</v>
      </c>
      <c r="F167" s="53">
        <f>'[1]RPL Ref'!F168</f>
        <v>0</v>
      </c>
      <c r="G167" s="43"/>
    </row>
    <row r="168" spans="1:7" s="55" customFormat="1" x14ac:dyDescent="0.2">
      <c r="A168" s="76"/>
      <c r="B168" s="57" t="s">
        <v>343</v>
      </c>
      <c r="C168" s="53">
        <f>'[1]RPL Ref'!C169</f>
        <v>0</v>
      </c>
      <c r="D168" s="53">
        <f>'[1]RPL Ref'!D169</f>
        <v>0</v>
      </c>
      <c r="E168" s="52">
        <f t="shared" si="7"/>
        <v>0</v>
      </c>
      <c r="F168" s="53">
        <f>'[1]RPL Ref'!F169</f>
        <v>0</v>
      </c>
      <c r="G168" s="43"/>
    </row>
    <row r="169" spans="1:7" s="55" customFormat="1" x14ac:dyDescent="0.2">
      <c r="A169" s="76"/>
      <c r="B169" s="57" t="s">
        <v>344</v>
      </c>
      <c r="C169" s="53">
        <f>'[1]RPL Ref'!C170</f>
        <v>0</v>
      </c>
      <c r="D169" s="53">
        <f>'[1]RPL Ref'!D170</f>
        <v>0</v>
      </c>
      <c r="E169" s="52">
        <f t="shared" si="7"/>
        <v>0</v>
      </c>
      <c r="F169" s="53">
        <f>'[1]RPL Ref'!F170</f>
        <v>0</v>
      </c>
      <c r="G169" s="43"/>
    </row>
    <row r="170" spans="1:7" s="55" customFormat="1" x14ac:dyDescent="0.2">
      <c r="A170" s="76"/>
      <c r="B170" s="90" t="s">
        <v>101</v>
      </c>
      <c r="C170" s="53">
        <f>'[1]RPL Ref'!C171</f>
        <v>534</v>
      </c>
      <c r="D170" s="53">
        <f>'[1]RPL Ref'!D171</f>
        <v>424</v>
      </c>
      <c r="E170" s="52">
        <f t="shared" si="7"/>
        <v>0.79400749063670417</v>
      </c>
      <c r="F170" s="53">
        <f>'[1]RPL Ref'!F171</f>
        <v>272</v>
      </c>
      <c r="G170" s="43"/>
    </row>
    <row r="171" spans="1:7" s="55" customFormat="1" x14ac:dyDescent="0.2">
      <c r="A171" s="76"/>
      <c r="B171" s="90" t="s">
        <v>103</v>
      </c>
      <c r="C171" s="53">
        <f>'[1]RPL Ref'!C172</f>
        <v>15</v>
      </c>
      <c r="D171" s="53">
        <f>'[1]RPL Ref'!D172</f>
        <v>0</v>
      </c>
      <c r="E171" s="52">
        <f t="shared" si="7"/>
        <v>0</v>
      </c>
      <c r="F171" s="53">
        <f>'[1]RPL Ref'!F172</f>
        <v>0</v>
      </c>
      <c r="G171" s="43"/>
    </row>
    <row r="172" spans="1:7" s="55" customFormat="1" x14ac:dyDescent="0.2">
      <c r="A172" s="76"/>
      <c r="B172" s="57" t="s">
        <v>345</v>
      </c>
      <c r="C172" s="53">
        <f>'[1]RPL Ref'!C173</f>
        <v>0</v>
      </c>
      <c r="D172" s="53">
        <f>'[1]RPL Ref'!D173</f>
        <v>0</v>
      </c>
      <c r="E172" s="52">
        <f t="shared" si="7"/>
        <v>0</v>
      </c>
      <c r="F172" s="53">
        <f>'[1]RPL Ref'!F173</f>
        <v>0</v>
      </c>
      <c r="G172" s="43"/>
    </row>
    <row r="173" spans="1:7" s="55" customFormat="1" x14ac:dyDescent="0.2">
      <c r="A173" s="76"/>
      <c r="B173" s="54" t="s">
        <v>346</v>
      </c>
      <c r="C173" s="53">
        <f>'[1]RPL Ref'!C174</f>
        <v>0</v>
      </c>
      <c r="D173" s="53">
        <f>'[1]RPL Ref'!D174</f>
        <v>0</v>
      </c>
      <c r="E173" s="52">
        <f t="shared" si="7"/>
        <v>0</v>
      </c>
      <c r="F173" s="53">
        <f>'[1]RPL Ref'!F174</f>
        <v>0</v>
      </c>
      <c r="G173" s="43"/>
    </row>
    <row r="174" spans="1:7" s="55" customFormat="1" x14ac:dyDescent="0.2">
      <c r="A174" s="76"/>
      <c r="B174" s="50" t="s">
        <v>88</v>
      </c>
      <c r="C174" s="53">
        <f>'[1]RPL Ref'!C175</f>
        <v>309</v>
      </c>
      <c r="D174" s="53">
        <f>'[1]RPL Ref'!D175</f>
        <v>238</v>
      </c>
      <c r="E174" s="52">
        <f t="shared" si="7"/>
        <v>0.77022653721682843</v>
      </c>
      <c r="F174" s="53">
        <f>'[1]RPL Ref'!F175</f>
        <v>76</v>
      </c>
      <c r="G174" s="43"/>
    </row>
    <row r="175" spans="1:7" s="55" customFormat="1" x14ac:dyDescent="0.2">
      <c r="A175" s="76"/>
      <c r="B175" s="50" t="s">
        <v>89</v>
      </c>
      <c r="C175" s="53">
        <f>'[1]RPL Ref'!C176</f>
        <v>117</v>
      </c>
      <c r="D175" s="53">
        <f>'[1]RPL Ref'!D176</f>
        <v>84</v>
      </c>
      <c r="E175" s="52">
        <f t="shared" si="7"/>
        <v>0.71794871794871795</v>
      </c>
      <c r="F175" s="53">
        <f>'[1]RPL Ref'!F176</f>
        <v>20</v>
      </c>
      <c r="G175" s="43"/>
    </row>
    <row r="176" spans="1:7" s="55" customFormat="1" x14ac:dyDescent="0.2">
      <c r="A176" s="76"/>
      <c r="B176" s="50" t="s">
        <v>90</v>
      </c>
      <c r="C176" s="53">
        <f>'[1]RPL Ref'!C177</f>
        <v>754</v>
      </c>
      <c r="D176" s="53">
        <f>'[1]RPL Ref'!D177</f>
        <v>554</v>
      </c>
      <c r="E176" s="52">
        <f t="shared" si="7"/>
        <v>0.73474801061007955</v>
      </c>
      <c r="F176" s="53">
        <f>'[1]RPL Ref'!F177</f>
        <v>180</v>
      </c>
      <c r="G176" s="43"/>
    </row>
    <row r="177" spans="1:7" s="55" customFormat="1" x14ac:dyDescent="0.2">
      <c r="A177" s="76"/>
      <c r="B177" s="50" t="s">
        <v>94</v>
      </c>
      <c r="C177" s="53">
        <f>'[1]RPL Ref'!C178</f>
        <v>141</v>
      </c>
      <c r="D177" s="53">
        <f>'[1]RPL Ref'!D178</f>
        <v>108</v>
      </c>
      <c r="E177" s="52">
        <f t="shared" si="7"/>
        <v>0.76595744680851063</v>
      </c>
      <c r="F177" s="53">
        <f>'[1]RPL Ref'!F178</f>
        <v>52</v>
      </c>
      <c r="G177" s="43"/>
    </row>
    <row r="178" spans="1:7" s="55" customFormat="1" x14ac:dyDescent="0.2">
      <c r="A178" s="76"/>
      <c r="B178" s="50" t="s">
        <v>99</v>
      </c>
      <c r="C178" s="53">
        <f>'[1]RPL Ref'!C179</f>
        <v>219</v>
      </c>
      <c r="D178" s="53">
        <f>'[1]RPL Ref'!D179</f>
        <v>152</v>
      </c>
      <c r="E178" s="52">
        <f t="shared" si="7"/>
        <v>0.69406392694063923</v>
      </c>
      <c r="F178" s="53">
        <f>'[1]RPL Ref'!F179</f>
        <v>15</v>
      </c>
      <c r="G178" s="43"/>
    </row>
    <row r="179" spans="1:7" s="55" customFormat="1" x14ac:dyDescent="0.2">
      <c r="A179" s="76"/>
      <c r="B179" s="50" t="s">
        <v>104</v>
      </c>
      <c r="C179" s="53">
        <f>'[1]RPL Ref'!C180</f>
        <v>691</v>
      </c>
      <c r="D179" s="53">
        <f>'[1]RPL Ref'!D180</f>
        <v>533</v>
      </c>
      <c r="E179" s="52">
        <f t="shared" si="7"/>
        <v>0.77134587554269174</v>
      </c>
      <c r="F179" s="53">
        <f>'[1]RPL Ref'!F180</f>
        <v>381</v>
      </c>
      <c r="G179" s="43"/>
    </row>
    <row r="180" spans="1:7" x14ac:dyDescent="0.2">
      <c r="A180" s="118" t="s">
        <v>347</v>
      </c>
      <c r="B180" s="118" t="s">
        <v>348</v>
      </c>
      <c r="C180" s="239">
        <f>SUM(C154:C179)</f>
        <v>2895</v>
      </c>
      <c r="D180" s="239">
        <f>SUM(D154:D179)</f>
        <v>2162</v>
      </c>
      <c r="E180" s="240">
        <f>D180/C180</f>
        <v>0.74680483592400693</v>
      </c>
      <c r="F180" s="241">
        <f>SUM(F154:F179)</f>
        <v>1080</v>
      </c>
    </row>
    <row r="181" spans="1:7" x14ac:dyDescent="0.2">
      <c r="B181" s="242" t="s">
        <v>349</v>
      </c>
      <c r="C181" s="243">
        <f>+C180+C144+C145+C146+C147+C148+C149</f>
        <v>9657</v>
      </c>
      <c r="D181" s="243">
        <f>+D180+D144+D145+D146+D147+D148+D149</f>
        <v>7501</v>
      </c>
      <c r="E181" s="244">
        <f>D181/C181</f>
        <v>0.77674225950088016</v>
      </c>
      <c r="F181" s="243">
        <f>F180+F144+F145+F146+F147+F148+F149</f>
        <v>2654</v>
      </c>
    </row>
    <row r="182" spans="1:7" ht="15" customHeight="1" x14ac:dyDescent="0.2">
      <c r="A182" s="114" t="s">
        <v>350</v>
      </c>
      <c r="B182" s="143" t="s">
        <v>351</v>
      </c>
      <c r="C182" s="115">
        <f>C151+C180</f>
        <v>58917</v>
      </c>
      <c r="D182" s="115">
        <f>D151+D180</f>
        <v>49343</v>
      </c>
      <c r="E182" s="116">
        <f>D182/C182</f>
        <v>0.83750021216287318</v>
      </c>
      <c r="F182" s="115">
        <f>F151+F180</f>
        <v>15626</v>
      </c>
    </row>
    <row r="183" spans="1:7" s="55" customFormat="1" ht="15" customHeight="1" x14ac:dyDescent="0.2">
      <c r="A183" s="245"/>
      <c r="B183" s="246"/>
      <c r="C183" s="247"/>
      <c r="D183" s="247"/>
      <c r="E183" s="248"/>
      <c r="F183" s="247"/>
    </row>
    <row r="184" spans="1:7" ht="18.75" customHeight="1" x14ac:dyDescent="0.2">
      <c r="A184" s="249" t="s">
        <v>352</v>
      </c>
      <c r="B184" s="250" t="s">
        <v>38</v>
      </c>
      <c r="C184" s="125">
        <f>'[1]RPL Ref'!C185</f>
        <v>0</v>
      </c>
      <c r="D184" s="125">
        <f>'[1]RPL Ref'!D185</f>
        <v>0</v>
      </c>
      <c r="E184" s="129">
        <f>IF(C184&gt;0,D184/C184,0)</f>
        <v>0</v>
      </c>
      <c r="F184" s="251">
        <f>'[1]RPL Ref'!F185</f>
        <v>0</v>
      </c>
    </row>
    <row r="185" spans="1:7" ht="18.75" customHeight="1" x14ac:dyDescent="0.2">
      <c r="A185" s="51"/>
      <c r="B185" s="252"/>
      <c r="C185" s="51"/>
      <c r="D185" s="51"/>
      <c r="E185" s="52"/>
      <c r="F185" s="253"/>
    </row>
    <row r="186" spans="1:7" s="55" customFormat="1" ht="15" customHeight="1" x14ac:dyDescent="0.2">
      <c r="A186" s="254"/>
      <c r="B186" s="255"/>
      <c r="C186" s="256"/>
      <c r="D186" s="256"/>
      <c r="E186" s="257"/>
      <c r="F186" s="256"/>
    </row>
    <row r="187" spans="1:7" ht="15" customHeight="1" x14ac:dyDescent="0.2">
      <c r="A187" s="114" t="s">
        <v>353</v>
      </c>
      <c r="B187" s="143"/>
      <c r="C187" s="115">
        <f>SUM(C184:C186)</f>
        <v>0</v>
      </c>
      <c r="D187" s="115">
        <f>SUM(D184:D186)</f>
        <v>0</v>
      </c>
      <c r="E187" s="116">
        <f>IF(C187&gt;0,D187/C187,0)</f>
        <v>0</v>
      </c>
      <c r="F187" s="115">
        <f>SUM(F184:F186)</f>
        <v>0</v>
      </c>
    </row>
    <row r="188" spans="1:7" x14ac:dyDescent="0.2">
      <c r="F188" s="98"/>
    </row>
    <row r="189" spans="1:7" x14ac:dyDescent="0.2">
      <c r="A189" s="258" t="s">
        <v>354</v>
      </c>
      <c r="B189" s="258"/>
      <c r="C189" s="258"/>
      <c r="D189" s="258"/>
      <c r="E189" s="258"/>
      <c r="F189" s="258"/>
    </row>
    <row r="190" spans="1:7" x14ac:dyDescent="0.2">
      <c r="A190" s="78" t="s">
        <v>355</v>
      </c>
      <c r="F190" s="98"/>
    </row>
    <row r="191" spans="1:7" x14ac:dyDescent="0.2">
      <c r="F191" s="98"/>
    </row>
    <row r="192" spans="1:7" x14ac:dyDescent="0.2">
      <c r="F192" s="98"/>
    </row>
    <row r="193" spans="6:6" x14ac:dyDescent="0.2">
      <c r="F193" s="98"/>
    </row>
    <row r="194" spans="6:6" x14ac:dyDescent="0.2">
      <c r="F194" s="98"/>
    </row>
    <row r="195" spans="6:6" x14ac:dyDescent="0.2">
      <c r="F195" s="98"/>
    </row>
    <row r="196" spans="6:6" x14ac:dyDescent="0.2">
      <c r="F196" s="98"/>
    </row>
    <row r="197" spans="6:6" x14ac:dyDescent="0.2">
      <c r="F197" s="98"/>
    </row>
    <row r="198" spans="6:6" x14ac:dyDescent="0.2">
      <c r="F198" s="98"/>
    </row>
    <row r="199" spans="6:6" x14ac:dyDescent="0.2">
      <c r="F199" s="98"/>
    </row>
    <row r="200" spans="6:6" x14ac:dyDescent="0.2">
      <c r="F200" s="98"/>
    </row>
    <row r="201" spans="6:6" x14ac:dyDescent="0.2">
      <c r="F201" s="98"/>
    </row>
    <row r="202" spans="6:6" x14ac:dyDescent="0.2">
      <c r="F202" s="98"/>
    </row>
    <row r="203" spans="6:6" x14ac:dyDescent="0.2">
      <c r="F203" s="98"/>
    </row>
    <row r="204" spans="6:6" x14ac:dyDescent="0.2">
      <c r="F204" s="98"/>
    </row>
    <row r="205" spans="6:6" x14ac:dyDescent="0.2">
      <c r="F205" s="98"/>
    </row>
    <row r="206" spans="6:6" x14ac:dyDescent="0.2">
      <c r="F206" s="98"/>
    </row>
    <row r="207" spans="6:6" x14ac:dyDescent="0.2">
      <c r="F207" s="98"/>
    </row>
    <row r="208" spans="6:6" x14ac:dyDescent="0.2">
      <c r="F208" s="98"/>
    </row>
    <row r="209" spans="6:6" x14ac:dyDescent="0.2">
      <c r="F209" s="98"/>
    </row>
    <row r="210" spans="6:6" x14ac:dyDescent="0.2">
      <c r="F210" s="98"/>
    </row>
    <row r="211" spans="6:6" x14ac:dyDescent="0.2">
      <c r="F211" s="98"/>
    </row>
    <row r="212" spans="6:6" x14ac:dyDescent="0.2">
      <c r="F212" s="98"/>
    </row>
    <row r="213" spans="6:6" x14ac:dyDescent="0.2">
      <c r="F213" s="98"/>
    </row>
    <row r="214" spans="6:6" x14ac:dyDescent="0.2">
      <c r="F214" s="98"/>
    </row>
    <row r="215" spans="6:6" x14ac:dyDescent="0.2">
      <c r="F215" s="98"/>
    </row>
    <row r="216" spans="6:6" x14ac:dyDescent="0.2">
      <c r="F216" s="98"/>
    </row>
    <row r="217" spans="6:6" x14ac:dyDescent="0.2">
      <c r="F217" s="98"/>
    </row>
    <row r="218" spans="6:6" x14ac:dyDescent="0.2">
      <c r="F218" s="98"/>
    </row>
    <row r="219" spans="6:6" x14ac:dyDescent="0.2">
      <c r="F219" s="98"/>
    </row>
    <row r="220" spans="6:6" x14ac:dyDescent="0.2">
      <c r="F220" s="98"/>
    </row>
    <row r="221" spans="6:6" x14ac:dyDescent="0.2">
      <c r="F221" s="98"/>
    </row>
    <row r="222" spans="6:6" x14ac:dyDescent="0.2">
      <c r="F222" s="98"/>
    </row>
    <row r="223" spans="6:6" x14ac:dyDescent="0.2">
      <c r="F223" s="98"/>
    </row>
    <row r="224" spans="6:6" x14ac:dyDescent="0.2">
      <c r="F224" s="98"/>
    </row>
    <row r="225" spans="6:6" x14ac:dyDescent="0.2">
      <c r="F225" s="98"/>
    </row>
    <row r="226" spans="6:6" x14ac:dyDescent="0.2">
      <c r="F226" s="98"/>
    </row>
    <row r="227" spans="6:6" x14ac:dyDescent="0.2">
      <c r="F227" s="98"/>
    </row>
    <row r="228" spans="6:6" x14ac:dyDescent="0.2">
      <c r="F228" s="98"/>
    </row>
    <row r="229" spans="6:6" x14ac:dyDescent="0.2">
      <c r="F229" s="98"/>
    </row>
    <row r="230" spans="6:6" x14ac:dyDescent="0.2">
      <c r="F230" s="98"/>
    </row>
    <row r="231" spans="6:6" x14ac:dyDescent="0.2">
      <c r="F231" s="98"/>
    </row>
    <row r="232" spans="6:6" x14ac:dyDescent="0.2">
      <c r="F232" s="98"/>
    </row>
    <row r="233" spans="6:6" x14ac:dyDescent="0.2">
      <c r="F233" s="98"/>
    </row>
    <row r="234" spans="6:6" x14ac:dyDescent="0.2">
      <c r="F234" s="98"/>
    </row>
    <row r="235" spans="6:6" x14ac:dyDescent="0.2">
      <c r="F235" s="98"/>
    </row>
    <row r="236" spans="6:6" x14ac:dyDescent="0.2">
      <c r="F236" s="98"/>
    </row>
    <row r="237" spans="6:6" x14ac:dyDescent="0.2">
      <c r="F237" s="98"/>
    </row>
    <row r="238" spans="6:6" x14ac:dyDescent="0.2">
      <c r="F238" s="98"/>
    </row>
    <row r="239" spans="6:6" x14ac:dyDescent="0.2">
      <c r="F239" s="98"/>
    </row>
    <row r="240" spans="6:6" x14ac:dyDescent="0.2">
      <c r="F240" s="98"/>
    </row>
    <row r="241" spans="6:6" x14ac:dyDescent="0.2">
      <c r="F241" s="98"/>
    </row>
    <row r="242" spans="6:6" x14ac:dyDescent="0.2">
      <c r="F242" s="98"/>
    </row>
    <row r="243" spans="6:6" x14ac:dyDescent="0.2">
      <c r="F243" s="98"/>
    </row>
    <row r="244" spans="6:6" x14ac:dyDescent="0.2">
      <c r="F244" s="98"/>
    </row>
    <row r="245" spans="6:6" x14ac:dyDescent="0.2">
      <c r="F245" s="98"/>
    </row>
    <row r="246" spans="6:6" x14ac:dyDescent="0.2">
      <c r="F246" s="98"/>
    </row>
    <row r="247" spans="6:6" x14ac:dyDescent="0.2">
      <c r="F247" s="98"/>
    </row>
    <row r="248" spans="6:6" x14ac:dyDescent="0.2">
      <c r="F248" s="98"/>
    </row>
    <row r="249" spans="6:6" x14ac:dyDescent="0.2">
      <c r="F249" s="98"/>
    </row>
    <row r="250" spans="6:6" x14ac:dyDescent="0.2">
      <c r="F250" s="98"/>
    </row>
    <row r="251" spans="6:6" x14ac:dyDescent="0.2">
      <c r="F251" s="98"/>
    </row>
    <row r="252" spans="6:6" x14ac:dyDescent="0.2">
      <c r="F252" s="98"/>
    </row>
    <row r="253" spans="6:6" x14ac:dyDescent="0.2">
      <c r="F253" s="98"/>
    </row>
    <row r="254" spans="6:6" x14ac:dyDescent="0.2">
      <c r="F254" s="98"/>
    </row>
    <row r="255" spans="6:6" x14ac:dyDescent="0.2">
      <c r="F255" s="98"/>
    </row>
    <row r="256" spans="6:6" x14ac:dyDescent="0.2">
      <c r="F256" s="98"/>
    </row>
    <row r="257" spans="6:6" x14ac:dyDescent="0.2">
      <c r="F257" s="98"/>
    </row>
    <row r="258" spans="6:6" x14ac:dyDescent="0.2">
      <c r="F258" s="98"/>
    </row>
    <row r="259" spans="6:6" x14ac:dyDescent="0.2">
      <c r="F259" s="98"/>
    </row>
    <row r="260" spans="6:6" x14ac:dyDescent="0.2">
      <c r="F260" s="98"/>
    </row>
    <row r="261" spans="6:6" x14ac:dyDescent="0.2">
      <c r="F261" s="98"/>
    </row>
  </sheetData>
  <mergeCells count="2">
    <mergeCell ref="G142:G143"/>
    <mergeCell ref="G147:G148"/>
  </mergeCells>
  <conditionalFormatting sqref="B132:B133">
    <cfRule type="expression" dxfId="27" priority="14">
      <formula>$A132="354710065031400"</formula>
    </cfRule>
  </conditionalFormatting>
  <conditionalFormatting sqref="B132:B133">
    <cfRule type="expression" dxfId="26" priority="9">
      <formula>$A132="354710070031401"</formula>
    </cfRule>
    <cfRule type="expression" dxfId="25" priority="10">
      <formula>$E132="SFSV"</formula>
    </cfRule>
    <cfRule type="expression" dxfId="24" priority="11">
      <formula>$E132="SFPAL"</formula>
    </cfRule>
    <cfRule type="expression" dxfId="23" priority="12">
      <formula>$E132="FSV"</formula>
    </cfRule>
    <cfRule type="expression" dxfId="22" priority="13">
      <formula>$C132="Poly"</formula>
    </cfRule>
  </conditionalFormatting>
  <conditionalFormatting sqref="B132:B133">
    <cfRule type="expression" dxfId="21" priority="8">
      <formula>$B132="SPH NU"</formula>
    </cfRule>
  </conditionalFormatting>
  <conditionalFormatting sqref="B136:B137">
    <cfRule type="expression" dxfId="20" priority="7">
      <formula>$A136="354710065031400"</formula>
    </cfRule>
  </conditionalFormatting>
  <conditionalFormatting sqref="B136:B137">
    <cfRule type="expression" dxfId="19" priority="2">
      <formula>$A136="354710070031401"</formula>
    </cfRule>
    <cfRule type="expression" dxfId="18" priority="3">
      <formula>$E136="SFSV"</formula>
    </cfRule>
    <cfRule type="expression" dxfId="17" priority="4">
      <formula>$E136="SFPAL"</formula>
    </cfRule>
    <cfRule type="expression" dxfId="16" priority="5">
      <formula>$E136="FSV"</formula>
    </cfRule>
    <cfRule type="expression" dxfId="15" priority="6">
      <formula>$C136="Poly"</formula>
    </cfRule>
  </conditionalFormatting>
  <conditionalFormatting sqref="B136:B137">
    <cfRule type="expression" dxfId="14" priority="1">
      <formula>$B136="SPH NU"</formula>
    </cfRule>
  </conditionalFormatting>
  <pageMargins left="0.25" right="0.16" top="0.35" bottom="0.42" header="0.51181102362204722" footer="0.21"/>
  <pageSetup paperSize="9" scale="66" fitToHeight="2" orientation="portrait" r:id="rId1"/>
  <headerFooter alignWithMargins="0">
    <oddFooter>&amp;R&amp;Z&amp;F&amp;A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85"/>
  <sheetViews>
    <sheetView workbookViewId="0">
      <selection activeCell="D85" sqref="D85"/>
    </sheetView>
  </sheetViews>
  <sheetFormatPr baseColWidth="10" defaultRowHeight="12.75" x14ac:dyDescent="0.2"/>
  <cols>
    <col min="1" max="1" width="17" customWidth="1"/>
    <col min="2" max="2" width="13.140625" customWidth="1"/>
    <col min="3" max="3" width="9.5703125" customWidth="1"/>
    <col min="4" max="4" width="18.28515625" bestFit="1" customWidth="1"/>
    <col min="5" max="5" width="14.5703125" customWidth="1"/>
  </cols>
  <sheetData>
    <row r="1" spans="1:5" x14ac:dyDescent="0.2">
      <c r="A1" s="448" t="s">
        <v>2</v>
      </c>
      <c r="B1" t="s">
        <v>416</v>
      </c>
    </row>
    <row r="2" spans="1:5" x14ac:dyDescent="0.2">
      <c r="A2" s="448" t="s">
        <v>4</v>
      </c>
      <c r="B2" t="s">
        <v>416</v>
      </c>
    </row>
    <row r="3" spans="1:5" x14ac:dyDescent="0.2">
      <c r="A3" s="448" t="s">
        <v>1</v>
      </c>
      <c r="B3" t="s">
        <v>416</v>
      </c>
    </row>
    <row r="4" spans="1:5" x14ac:dyDescent="0.2">
      <c r="A4" s="448" t="s">
        <v>3</v>
      </c>
      <c r="B4" t="s">
        <v>416</v>
      </c>
    </row>
    <row r="5" spans="1:5" x14ac:dyDescent="0.2">
      <c r="A5" s="448" t="s">
        <v>414</v>
      </c>
      <c r="B5" t="s">
        <v>416</v>
      </c>
    </row>
    <row r="6" spans="1:5" x14ac:dyDescent="0.2">
      <c r="A6" s="448" t="s">
        <v>417</v>
      </c>
      <c r="B6" t="s">
        <v>416</v>
      </c>
    </row>
    <row r="8" spans="1:5" x14ac:dyDescent="0.2">
      <c r="A8" s="461" t="s">
        <v>421</v>
      </c>
      <c r="B8" s="459" t="s">
        <v>418</v>
      </c>
      <c r="C8" s="459" t="s">
        <v>419</v>
      </c>
      <c r="D8" s="459" t="s">
        <v>422</v>
      </c>
      <c r="E8" s="459" t="s">
        <v>420</v>
      </c>
    </row>
    <row r="9" spans="1:5" x14ac:dyDescent="0.2">
      <c r="A9" s="449" t="s">
        <v>11</v>
      </c>
      <c r="B9" s="450">
        <v>0</v>
      </c>
      <c r="C9" s="450">
        <v>0</v>
      </c>
      <c r="D9" s="460">
        <v>0</v>
      </c>
      <c r="E9" s="450">
        <v>0</v>
      </c>
    </row>
    <row r="10" spans="1:5" x14ac:dyDescent="0.2">
      <c r="A10" s="449" t="s">
        <v>16</v>
      </c>
      <c r="B10" s="450">
        <v>519</v>
      </c>
      <c r="C10" s="450">
        <v>403</v>
      </c>
      <c r="D10" s="460">
        <v>0.77649325626204235</v>
      </c>
      <c r="E10" s="450">
        <v>145</v>
      </c>
    </row>
    <row r="11" spans="1:5" x14ac:dyDescent="0.2">
      <c r="A11" s="449" t="s">
        <v>20</v>
      </c>
      <c r="B11" s="450">
        <v>79</v>
      </c>
      <c r="C11" s="450">
        <v>73</v>
      </c>
      <c r="D11" s="460">
        <v>0.92405063291139244</v>
      </c>
      <c r="E11" s="450">
        <v>10</v>
      </c>
    </row>
    <row r="12" spans="1:5" x14ac:dyDescent="0.2">
      <c r="A12" s="449" t="s">
        <v>23</v>
      </c>
      <c r="B12" s="450">
        <v>2714</v>
      </c>
      <c r="C12" s="450">
        <v>2223</v>
      </c>
      <c r="D12" s="460">
        <v>0.8190862196020634</v>
      </c>
      <c r="E12" s="450">
        <v>636</v>
      </c>
    </row>
    <row r="13" spans="1:5" x14ac:dyDescent="0.2">
      <c r="A13" s="449" t="s">
        <v>25</v>
      </c>
      <c r="B13" s="450">
        <v>1703</v>
      </c>
      <c r="C13" s="450">
        <v>1221</v>
      </c>
      <c r="D13" s="460">
        <v>0.71697005284791548</v>
      </c>
      <c r="E13" s="450">
        <v>424</v>
      </c>
    </row>
    <row r="14" spans="1:5" x14ac:dyDescent="0.2">
      <c r="A14" s="449" t="s">
        <v>26</v>
      </c>
      <c r="B14" s="450">
        <v>1</v>
      </c>
      <c r="C14" s="450">
        <v>0</v>
      </c>
      <c r="D14" s="460">
        <v>0</v>
      </c>
      <c r="E14" s="450">
        <v>3</v>
      </c>
    </row>
    <row r="15" spans="1:5" x14ac:dyDescent="0.2">
      <c r="A15" s="449" t="s">
        <v>27</v>
      </c>
      <c r="B15" s="450">
        <v>4563</v>
      </c>
      <c r="C15" s="450">
        <v>3817</v>
      </c>
      <c r="D15" s="460">
        <v>0.836511067280298</v>
      </c>
      <c r="E15" s="450">
        <v>2127</v>
      </c>
    </row>
    <row r="16" spans="1:5" x14ac:dyDescent="0.2">
      <c r="A16" s="449" t="s">
        <v>29</v>
      </c>
      <c r="B16" s="450">
        <v>1375</v>
      </c>
      <c r="C16" s="450">
        <v>1165</v>
      </c>
      <c r="D16" s="460">
        <v>0.84727272727272729</v>
      </c>
      <c r="E16" s="450">
        <v>295</v>
      </c>
    </row>
    <row r="17" spans="1:5" x14ac:dyDescent="0.2">
      <c r="A17" s="449" t="s">
        <v>30</v>
      </c>
      <c r="B17" s="450">
        <v>5128</v>
      </c>
      <c r="C17" s="450">
        <v>4002</v>
      </c>
      <c r="D17" s="460">
        <v>0.78042121684867394</v>
      </c>
      <c r="E17" s="450">
        <v>113</v>
      </c>
    </row>
    <row r="18" spans="1:5" x14ac:dyDescent="0.2">
      <c r="A18" s="449" t="s">
        <v>18</v>
      </c>
      <c r="B18" s="450">
        <v>1553</v>
      </c>
      <c r="C18" s="450">
        <v>1553</v>
      </c>
      <c r="D18" s="460">
        <v>1</v>
      </c>
      <c r="E18" s="450">
        <v>48</v>
      </c>
    </row>
    <row r="19" spans="1:5" x14ac:dyDescent="0.2">
      <c r="A19" s="449" t="s">
        <v>34</v>
      </c>
      <c r="B19" s="450">
        <v>2689</v>
      </c>
      <c r="C19" s="450">
        <v>2332</v>
      </c>
      <c r="D19" s="460">
        <v>0.86723689103756041</v>
      </c>
      <c r="E19" s="450">
        <v>989</v>
      </c>
    </row>
    <row r="20" spans="1:5" x14ac:dyDescent="0.2">
      <c r="A20" s="449" t="s">
        <v>35</v>
      </c>
      <c r="B20" s="450">
        <v>1153</v>
      </c>
      <c r="C20" s="450">
        <v>966</v>
      </c>
      <c r="D20" s="460">
        <v>0.83781439722463136</v>
      </c>
      <c r="E20" s="450">
        <v>680</v>
      </c>
    </row>
    <row r="21" spans="1:5" x14ac:dyDescent="0.2">
      <c r="A21" s="449" t="s">
        <v>36</v>
      </c>
      <c r="B21" s="450">
        <v>1</v>
      </c>
      <c r="C21" s="450">
        <v>0</v>
      </c>
      <c r="D21" s="460">
        <v>0</v>
      </c>
      <c r="E21" s="450">
        <v>0</v>
      </c>
    </row>
    <row r="22" spans="1:5" x14ac:dyDescent="0.2">
      <c r="A22" s="449" t="s">
        <v>37</v>
      </c>
      <c r="B22" s="450">
        <v>10001</v>
      </c>
      <c r="C22" s="450">
        <v>8580</v>
      </c>
      <c r="D22" s="460">
        <v>0.85791420857914213</v>
      </c>
      <c r="E22" s="450">
        <v>2718</v>
      </c>
    </row>
    <row r="23" spans="1:5" x14ac:dyDescent="0.2">
      <c r="A23" s="449" t="s">
        <v>39</v>
      </c>
      <c r="B23" s="450">
        <v>1689</v>
      </c>
      <c r="C23" s="450">
        <v>1506</v>
      </c>
      <c r="D23" s="460">
        <v>0.89165186500888094</v>
      </c>
      <c r="E23" s="450">
        <v>950</v>
      </c>
    </row>
    <row r="24" spans="1:5" x14ac:dyDescent="0.2">
      <c r="A24" s="449" t="s">
        <v>40</v>
      </c>
      <c r="B24" s="450">
        <v>4677</v>
      </c>
      <c r="C24" s="450">
        <v>4065</v>
      </c>
      <c r="D24" s="460">
        <v>0.86914688903143045</v>
      </c>
      <c r="E24" s="450">
        <v>19</v>
      </c>
    </row>
    <row r="25" spans="1:5" x14ac:dyDescent="0.2">
      <c r="A25" s="449" t="s">
        <v>41</v>
      </c>
      <c r="B25" s="450">
        <v>1</v>
      </c>
      <c r="C25" s="450">
        <v>0</v>
      </c>
      <c r="D25" s="460">
        <v>0</v>
      </c>
      <c r="E25" s="450">
        <v>0</v>
      </c>
    </row>
    <row r="26" spans="1:5" x14ac:dyDescent="0.2">
      <c r="A26" s="449" t="s">
        <v>43</v>
      </c>
      <c r="B26" s="450">
        <v>1</v>
      </c>
      <c r="C26" s="450">
        <v>0</v>
      </c>
      <c r="D26" s="460">
        <v>0</v>
      </c>
      <c r="E26" s="450">
        <v>0</v>
      </c>
    </row>
    <row r="27" spans="1:5" x14ac:dyDescent="0.2">
      <c r="A27" s="449" t="s">
        <v>44</v>
      </c>
      <c r="B27" s="450">
        <v>1</v>
      </c>
      <c r="C27" s="450">
        <v>0</v>
      </c>
      <c r="D27" s="460">
        <v>0</v>
      </c>
      <c r="E27" s="450">
        <v>0</v>
      </c>
    </row>
    <row r="28" spans="1:5" x14ac:dyDescent="0.2">
      <c r="A28" s="449" t="s">
        <v>45</v>
      </c>
      <c r="B28" s="450">
        <v>0</v>
      </c>
      <c r="C28" s="450">
        <v>0</v>
      </c>
      <c r="D28" s="460">
        <v>0</v>
      </c>
      <c r="E28" s="450">
        <v>40</v>
      </c>
    </row>
    <row r="29" spans="1:5" x14ac:dyDescent="0.2">
      <c r="A29" s="449" t="s">
        <v>49</v>
      </c>
      <c r="B29" s="450">
        <v>616</v>
      </c>
      <c r="C29" s="450">
        <v>530</v>
      </c>
      <c r="D29" s="460">
        <v>0.86038961038961037</v>
      </c>
      <c r="E29" s="450">
        <v>224</v>
      </c>
    </row>
    <row r="30" spans="1:5" x14ac:dyDescent="0.2">
      <c r="A30" s="449" t="s">
        <v>51</v>
      </c>
      <c r="B30" s="450">
        <v>0</v>
      </c>
      <c r="C30" s="450">
        <v>0</v>
      </c>
      <c r="D30" s="460">
        <v>0</v>
      </c>
      <c r="E30" s="450">
        <v>39</v>
      </c>
    </row>
    <row r="31" spans="1:5" x14ac:dyDescent="0.2">
      <c r="A31" s="449" t="s">
        <v>53</v>
      </c>
      <c r="B31" s="450">
        <v>4539</v>
      </c>
      <c r="C31" s="450">
        <v>3708</v>
      </c>
      <c r="D31" s="460">
        <v>0.81692002643754136</v>
      </c>
      <c r="E31" s="450">
        <v>975</v>
      </c>
    </row>
    <row r="32" spans="1:5" x14ac:dyDescent="0.2">
      <c r="A32" s="449" t="s">
        <v>56</v>
      </c>
      <c r="B32" s="450">
        <v>90</v>
      </c>
      <c r="C32" s="450">
        <v>75</v>
      </c>
      <c r="D32" s="460">
        <v>0.83333333333333337</v>
      </c>
      <c r="E32" s="450">
        <v>0</v>
      </c>
    </row>
    <row r="33" spans="1:5" x14ac:dyDescent="0.2">
      <c r="A33" s="449" t="s">
        <v>59</v>
      </c>
      <c r="B33" s="450">
        <v>40</v>
      </c>
      <c r="C33" s="450">
        <v>35</v>
      </c>
      <c r="D33" s="460">
        <v>0.875</v>
      </c>
      <c r="E33" s="450">
        <v>57</v>
      </c>
    </row>
    <row r="34" spans="1:5" x14ac:dyDescent="0.2">
      <c r="A34" s="449" t="s">
        <v>62</v>
      </c>
      <c r="B34" s="450">
        <v>57</v>
      </c>
      <c r="C34" s="450">
        <v>50</v>
      </c>
      <c r="D34" s="460">
        <v>0.8771929824561403</v>
      </c>
      <c r="E34" s="450">
        <v>8</v>
      </c>
    </row>
    <row r="35" spans="1:5" x14ac:dyDescent="0.2">
      <c r="A35" s="449" t="s">
        <v>65</v>
      </c>
      <c r="B35" s="450">
        <v>0</v>
      </c>
      <c r="C35" s="450">
        <v>0</v>
      </c>
      <c r="D35" s="460">
        <v>0</v>
      </c>
      <c r="E35" s="450">
        <v>0</v>
      </c>
    </row>
    <row r="36" spans="1:5" x14ac:dyDescent="0.2">
      <c r="A36" s="449" t="s">
        <v>68</v>
      </c>
      <c r="B36" s="450">
        <v>1534</v>
      </c>
      <c r="C36" s="450">
        <v>1296</v>
      </c>
      <c r="D36" s="460">
        <v>0.84485006518904826</v>
      </c>
      <c r="E36" s="450">
        <v>312</v>
      </c>
    </row>
    <row r="37" spans="1:5" x14ac:dyDescent="0.2">
      <c r="A37" s="449" t="s">
        <v>71</v>
      </c>
      <c r="B37" s="450">
        <v>55</v>
      </c>
      <c r="C37" s="450">
        <v>19</v>
      </c>
      <c r="D37" s="460">
        <v>0.34545454545454546</v>
      </c>
      <c r="E37" s="450">
        <v>2</v>
      </c>
    </row>
    <row r="38" spans="1:5" x14ac:dyDescent="0.2">
      <c r="A38" s="449" t="s">
        <v>74</v>
      </c>
      <c r="B38" s="450">
        <v>0</v>
      </c>
      <c r="C38" s="450">
        <v>0</v>
      </c>
      <c r="D38" s="460">
        <v>0</v>
      </c>
      <c r="E38" s="450">
        <v>1</v>
      </c>
    </row>
    <row r="39" spans="1:5" x14ac:dyDescent="0.2">
      <c r="A39" s="449" t="s">
        <v>76</v>
      </c>
      <c r="B39" s="450">
        <v>252</v>
      </c>
      <c r="C39" s="450">
        <v>218</v>
      </c>
      <c r="D39" s="460">
        <v>0.86507936507936511</v>
      </c>
      <c r="E39" s="450">
        <v>0</v>
      </c>
    </row>
    <row r="40" spans="1:5" x14ac:dyDescent="0.2">
      <c r="A40" s="449" t="s">
        <v>79</v>
      </c>
      <c r="B40" s="450">
        <v>260</v>
      </c>
      <c r="C40" s="450">
        <v>247</v>
      </c>
      <c r="D40" s="460">
        <v>0.95</v>
      </c>
      <c r="E40" s="450">
        <v>350</v>
      </c>
    </row>
    <row r="41" spans="1:5" x14ac:dyDescent="0.2">
      <c r="A41" s="449" t="s">
        <v>82</v>
      </c>
      <c r="B41" s="450">
        <v>432</v>
      </c>
      <c r="C41" s="450">
        <v>352</v>
      </c>
      <c r="D41" s="460">
        <v>0.81481481481481477</v>
      </c>
      <c r="E41" s="450">
        <v>2</v>
      </c>
    </row>
    <row r="42" spans="1:5" x14ac:dyDescent="0.2">
      <c r="A42" s="449" t="s">
        <v>84</v>
      </c>
      <c r="B42" s="450">
        <v>2</v>
      </c>
      <c r="C42" s="450">
        <v>0</v>
      </c>
      <c r="D42" s="460">
        <v>0</v>
      </c>
      <c r="E42" s="450">
        <v>0</v>
      </c>
    </row>
    <row r="43" spans="1:5" x14ac:dyDescent="0.2">
      <c r="A43" s="449" t="s">
        <v>86</v>
      </c>
      <c r="B43" s="450">
        <v>111</v>
      </c>
      <c r="C43" s="450">
        <v>81</v>
      </c>
      <c r="D43" s="460">
        <v>0.72972972972972971</v>
      </c>
      <c r="E43" s="450">
        <v>4</v>
      </c>
    </row>
    <row r="44" spans="1:5" x14ac:dyDescent="0.2">
      <c r="A44" s="449" t="s">
        <v>88</v>
      </c>
      <c r="B44" s="450">
        <v>309</v>
      </c>
      <c r="C44" s="450">
        <v>237</v>
      </c>
      <c r="D44" s="460">
        <v>0.76699029126213591</v>
      </c>
      <c r="E44" s="450">
        <v>76</v>
      </c>
    </row>
    <row r="45" spans="1:5" x14ac:dyDescent="0.2">
      <c r="A45" s="449" t="s">
        <v>89</v>
      </c>
      <c r="B45" s="450">
        <v>117</v>
      </c>
      <c r="C45" s="450">
        <v>84</v>
      </c>
      <c r="D45" s="460">
        <v>0.71794871794871795</v>
      </c>
      <c r="E45" s="450">
        <v>20</v>
      </c>
    </row>
    <row r="46" spans="1:5" x14ac:dyDescent="0.2">
      <c r="A46" s="449" t="s">
        <v>90</v>
      </c>
      <c r="B46" s="450">
        <v>754</v>
      </c>
      <c r="C46" s="450">
        <v>554</v>
      </c>
      <c r="D46" s="460">
        <v>0.73474801061007955</v>
      </c>
      <c r="E46" s="450">
        <v>180</v>
      </c>
    </row>
    <row r="47" spans="1:5" x14ac:dyDescent="0.2">
      <c r="A47" s="449" t="s">
        <v>91</v>
      </c>
      <c r="B47" s="450">
        <v>79</v>
      </c>
      <c r="C47" s="450">
        <v>54</v>
      </c>
      <c r="D47" s="460">
        <v>0.68354430379746833</v>
      </c>
      <c r="E47" s="450">
        <v>70</v>
      </c>
    </row>
    <row r="48" spans="1:5" x14ac:dyDescent="0.2">
      <c r="A48" s="449" t="s">
        <v>92</v>
      </c>
      <c r="B48" s="450">
        <v>35</v>
      </c>
      <c r="C48" s="450">
        <v>29</v>
      </c>
      <c r="D48" s="460">
        <v>0.82857142857142863</v>
      </c>
      <c r="E48" s="450">
        <v>10</v>
      </c>
    </row>
    <row r="49" spans="1:5" x14ac:dyDescent="0.2">
      <c r="A49" s="449" t="s">
        <v>93</v>
      </c>
      <c r="B49" s="450">
        <v>0</v>
      </c>
      <c r="C49" s="450">
        <v>0</v>
      </c>
      <c r="D49" s="460">
        <v>0</v>
      </c>
      <c r="E49" s="450">
        <v>0</v>
      </c>
    </row>
    <row r="50" spans="1:5" x14ac:dyDescent="0.2">
      <c r="A50" s="449" t="s">
        <v>94</v>
      </c>
      <c r="B50" s="450">
        <v>141</v>
      </c>
      <c r="C50" s="450">
        <v>108</v>
      </c>
      <c r="D50" s="460">
        <v>0.76595744680851063</v>
      </c>
      <c r="E50" s="450">
        <v>52</v>
      </c>
    </row>
    <row r="51" spans="1:5" x14ac:dyDescent="0.2">
      <c r="A51" s="449" t="s">
        <v>95</v>
      </c>
      <c r="B51" s="450">
        <v>331</v>
      </c>
      <c r="C51" s="450">
        <v>255</v>
      </c>
      <c r="D51" s="460">
        <v>0.77039274924471302</v>
      </c>
      <c r="E51" s="450">
        <v>316</v>
      </c>
    </row>
    <row r="52" spans="1:5" x14ac:dyDescent="0.2">
      <c r="A52" s="449" t="s">
        <v>96</v>
      </c>
      <c r="B52" s="450">
        <v>36</v>
      </c>
      <c r="C52" s="450">
        <v>15</v>
      </c>
      <c r="D52" s="460">
        <v>0.41666666666666669</v>
      </c>
      <c r="E52" s="450">
        <v>14</v>
      </c>
    </row>
    <row r="53" spans="1:5" x14ac:dyDescent="0.2">
      <c r="A53" s="449" t="s">
        <v>97</v>
      </c>
      <c r="B53" s="450">
        <v>331</v>
      </c>
      <c r="C53" s="450">
        <v>207</v>
      </c>
      <c r="D53" s="460">
        <v>0.62537764350453173</v>
      </c>
      <c r="E53" s="450">
        <v>101</v>
      </c>
    </row>
    <row r="54" spans="1:5" x14ac:dyDescent="0.2">
      <c r="A54" s="449" t="s">
        <v>98</v>
      </c>
      <c r="B54" s="450">
        <v>0</v>
      </c>
      <c r="C54" s="450">
        <v>0</v>
      </c>
      <c r="D54" s="460">
        <v>0</v>
      </c>
      <c r="E54" s="450">
        <v>0</v>
      </c>
    </row>
    <row r="55" spans="1:5" x14ac:dyDescent="0.2">
      <c r="A55" s="449" t="s">
        <v>99</v>
      </c>
      <c r="B55" s="450">
        <v>219</v>
      </c>
      <c r="C55" s="450">
        <v>152</v>
      </c>
      <c r="D55" s="460">
        <v>0.69406392694063923</v>
      </c>
      <c r="E55" s="450">
        <v>15</v>
      </c>
    </row>
    <row r="56" spans="1:5" x14ac:dyDescent="0.2">
      <c r="A56" s="449" t="s">
        <v>100</v>
      </c>
      <c r="B56" s="450">
        <v>785</v>
      </c>
      <c r="C56" s="450">
        <v>563</v>
      </c>
      <c r="D56" s="460">
        <v>0.71719745222929931</v>
      </c>
      <c r="E56" s="450">
        <v>68</v>
      </c>
    </row>
    <row r="57" spans="1:5" x14ac:dyDescent="0.2">
      <c r="A57" s="449" t="s">
        <v>21</v>
      </c>
      <c r="B57" s="450">
        <v>478</v>
      </c>
      <c r="C57" s="450">
        <v>478</v>
      </c>
      <c r="D57" s="460">
        <v>1</v>
      </c>
      <c r="E57" s="450">
        <v>43</v>
      </c>
    </row>
    <row r="58" spans="1:5" x14ac:dyDescent="0.2">
      <c r="A58" s="449" t="s">
        <v>101</v>
      </c>
      <c r="B58" s="450">
        <v>534</v>
      </c>
      <c r="C58" s="450">
        <v>424</v>
      </c>
      <c r="D58" s="460">
        <v>0.79400749063670417</v>
      </c>
      <c r="E58" s="450">
        <v>272</v>
      </c>
    </row>
    <row r="59" spans="1:5" x14ac:dyDescent="0.2">
      <c r="A59" s="449" t="s">
        <v>102</v>
      </c>
      <c r="B59" s="450">
        <v>1436</v>
      </c>
      <c r="C59" s="450">
        <v>1171</v>
      </c>
      <c r="D59" s="460">
        <v>0.81545961002785516</v>
      </c>
      <c r="E59" s="450">
        <v>663</v>
      </c>
    </row>
    <row r="60" spans="1:5" x14ac:dyDescent="0.2">
      <c r="A60" s="449" t="s">
        <v>103</v>
      </c>
      <c r="B60" s="450">
        <v>15</v>
      </c>
      <c r="C60" s="450">
        <v>0</v>
      </c>
      <c r="D60" s="460">
        <v>0</v>
      </c>
      <c r="E60" s="450">
        <v>0</v>
      </c>
    </row>
    <row r="61" spans="1:5" x14ac:dyDescent="0.2">
      <c r="A61" s="449" t="s">
        <v>104</v>
      </c>
      <c r="B61" s="450">
        <v>691</v>
      </c>
      <c r="C61" s="450">
        <v>533</v>
      </c>
      <c r="D61" s="460">
        <v>0.77134587554269174</v>
      </c>
      <c r="E61" s="450">
        <v>381</v>
      </c>
    </row>
    <row r="62" spans="1:5" x14ac:dyDescent="0.2">
      <c r="A62" s="449" t="s">
        <v>105</v>
      </c>
      <c r="B62" s="450">
        <v>3844</v>
      </c>
      <c r="C62" s="450">
        <v>3106</v>
      </c>
      <c r="D62" s="460">
        <v>0.80801248699271588</v>
      </c>
      <c r="E62" s="450">
        <v>416</v>
      </c>
    </row>
    <row r="63" spans="1:5" x14ac:dyDescent="0.2">
      <c r="A63" s="449" t="s">
        <v>55</v>
      </c>
      <c r="B63" s="450">
        <v>1670</v>
      </c>
      <c r="C63" s="450">
        <v>1436</v>
      </c>
      <c r="D63" s="460">
        <v>0.85988023952095805</v>
      </c>
      <c r="E63" s="450">
        <v>793</v>
      </c>
    </row>
    <row r="64" spans="1:5" x14ac:dyDescent="0.2">
      <c r="A64" s="449" t="s">
        <v>78</v>
      </c>
      <c r="B64" s="450">
        <v>1285</v>
      </c>
      <c r="C64" s="450">
        <v>1096</v>
      </c>
      <c r="D64" s="460">
        <v>0.85291828793774316</v>
      </c>
      <c r="E64" s="450">
        <v>351</v>
      </c>
    </row>
    <row r="65" spans="1:5" x14ac:dyDescent="0.2">
      <c r="A65" s="449" t="s">
        <v>61</v>
      </c>
      <c r="B65" s="450">
        <v>1924</v>
      </c>
      <c r="C65" s="450">
        <v>1666</v>
      </c>
      <c r="D65" s="460">
        <v>0.86590436590436592</v>
      </c>
      <c r="E65" s="450">
        <v>394</v>
      </c>
    </row>
    <row r="66" spans="1:5" x14ac:dyDescent="0.2">
      <c r="A66" s="449" t="s">
        <v>67</v>
      </c>
      <c r="B66" s="450">
        <v>0</v>
      </c>
      <c r="C66" s="450">
        <v>0</v>
      </c>
      <c r="D66" s="460">
        <v>0</v>
      </c>
      <c r="E66" s="450">
        <v>15</v>
      </c>
    </row>
    <row r="67" spans="1:5" x14ac:dyDescent="0.2">
      <c r="A67" s="449" t="s">
        <v>73</v>
      </c>
      <c r="B67" s="450">
        <v>0</v>
      </c>
      <c r="C67" s="450">
        <v>0</v>
      </c>
      <c r="D67" s="460">
        <v>0</v>
      </c>
      <c r="E67" s="450">
        <v>0</v>
      </c>
    </row>
    <row r="68" spans="1:5" x14ac:dyDescent="0.2">
      <c r="A68" s="449" t="s">
        <v>58</v>
      </c>
      <c r="B68" s="450">
        <v>2044</v>
      </c>
      <c r="C68" s="450">
        <v>1833</v>
      </c>
      <c r="D68" s="460">
        <v>0.89677103718199613</v>
      </c>
      <c r="E68" s="450">
        <v>753</v>
      </c>
    </row>
    <row r="69" spans="1:5" x14ac:dyDescent="0.2">
      <c r="A69" s="449" t="s">
        <v>81</v>
      </c>
      <c r="B69" s="450">
        <v>3935</v>
      </c>
      <c r="C69" s="450">
        <v>3484</v>
      </c>
      <c r="D69" s="460">
        <v>0.88538754764930117</v>
      </c>
      <c r="E69" s="450">
        <v>825</v>
      </c>
    </row>
    <row r="70" spans="1:5" x14ac:dyDescent="0.2">
      <c r="A70" s="449" t="s">
        <v>64</v>
      </c>
      <c r="B70" s="450">
        <v>2112</v>
      </c>
      <c r="C70" s="450">
        <v>1907</v>
      </c>
      <c r="D70" s="460">
        <v>0.90293560606060608</v>
      </c>
      <c r="E70" s="450">
        <v>750</v>
      </c>
    </row>
    <row r="71" spans="1:5" x14ac:dyDescent="0.2">
      <c r="A71" s="449" t="s">
        <v>70</v>
      </c>
      <c r="B71" s="450">
        <v>0</v>
      </c>
      <c r="C71" s="450">
        <v>0</v>
      </c>
      <c r="D71" s="460">
        <v>0</v>
      </c>
      <c r="E71" s="450">
        <v>5</v>
      </c>
    </row>
    <row r="72" spans="1:5" x14ac:dyDescent="0.2">
      <c r="A72" s="449" t="s">
        <v>75</v>
      </c>
      <c r="B72" s="450">
        <v>0</v>
      </c>
      <c r="C72" s="450">
        <v>0</v>
      </c>
      <c r="D72" s="460">
        <v>0</v>
      </c>
      <c r="E72" s="450">
        <v>0</v>
      </c>
    </row>
    <row r="73" spans="1:5" x14ac:dyDescent="0.2">
      <c r="A73" s="449" t="s">
        <v>111</v>
      </c>
      <c r="B73" s="450">
        <v>0</v>
      </c>
      <c r="C73" s="450">
        <v>0</v>
      </c>
      <c r="D73" s="460">
        <v>0</v>
      </c>
      <c r="E73" s="450">
        <v>0</v>
      </c>
    </row>
    <row r="74" spans="1:5" x14ac:dyDescent="0.2">
      <c r="A74" s="449" t="s">
        <v>114</v>
      </c>
      <c r="B74" s="450">
        <v>106592</v>
      </c>
      <c r="C74" s="450">
        <v>102830</v>
      </c>
      <c r="D74" s="460">
        <v>0.96470654458120686</v>
      </c>
      <c r="E74" s="450">
        <v>1275</v>
      </c>
    </row>
    <row r="75" spans="1:5" x14ac:dyDescent="0.2">
      <c r="A75" s="449" t="s">
        <v>116</v>
      </c>
      <c r="B75" s="450">
        <v>17200</v>
      </c>
      <c r="C75" s="450">
        <v>16085</v>
      </c>
      <c r="D75" s="460">
        <v>0.93517441860465111</v>
      </c>
      <c r="E75" s="450">
        <v>2489</v>
      </c>
    </row>
    <row r="76" spans="1:5" x14ac:dyDescent="0.2">
      <c r="A76" s="449" t="s">
        <v>118</v>
      </c>
      <c r="B76" s="450">
        <v>31360</v>
      </c>
      <c r="C76" s="450">
        <v>30395</v>
      </c>
      <c r="D76" s="460">
        <v>0.96922831632653061</v>
      </c>
      <c r="E76" s="450">
        <v>0</v>
      </c>
    </row>
    <row r="77" spans="1:5" x14ac:dyDescent="0.2">
      <c r="A77" s="449" t="s">
        <v>120</v>
      </c>
      <c r="B77" s="450">
        <v>21360</v>
      </c>
      <c r="C77" s="450">
        <v>19878</v>
      </c>
      <c r="D77" s="460">
        <v>0.93061797752808983</v>
      </c>
      <c r="E77" s="450">
        <v>6535</v>
      </c>
    </row>
    <row r="78" spans="1:5" x14ac:dyDescent="0.2">
      <c r="A78" s="449" t="s">
        <v>122</v>
      </c>
      <c r="B78" s="450">
        <v>0</v>
      </c>
      <c r="C78" s="450">
        <v>0</v>
      </c>
      <c r="D78" s="460">
        <v>0</v>
      </c>
      <c r="E78" s="450">
        <v>0</v>
      </c>
    </row>
    <row r="79" spans="1:5" x14ac:dyDescent="0.2">
      <c r="A79" s="449" t="s">
        <v>125</v>
      </c>
      <c r="B79" s="450">
        <v>0</v>
      </c>
      <c r="C79" s="450">
        <v>0</v>
      </c>
      <c r="D79" s="460">
        <v>0</v>
      </c>
      <c r="E79" s="450">
        <v>20</v>
      </c>
    </row>
    <row r="80" spans="1:5" x14ac:dyDescent="0.2">
      <c r="A80" s="449" t="s">
        <v>127</v>
      </c>
      <c r="B80" s="450">
        <v>116551</v>
      </c>
      <c r="C80" s="450">
        <v>112330</v>
      </c>
      <c r="D80" s="460">
        <v>0.96378409451656355</v>
      </c>
      <c r="E80" s="450">
        <v>8551</v>
      </c>
    </row>
    <row r="81" spans="1:5" x14ac:dyDescent="0.2">
      <c r="A81" s="449" t="s">
        <v>129</v>
      </c>
      <c r="B81" s="450">
        <v>95440</v>
      </c>
      <c r="C81" s="450">
        <v>91795</v>
      </c>
      <c r="D81" s="460">
        <v>0.96180846605196979</v>
      </c>
      <c r="E81" s="450">
        <v>8063</v>
      </c>
    </row>
    <row r="82" spans="1:5" x14ac:dyDescent="0.2">
      <c r="A82" s="449" t="s">
        <v>131</v>
      </c>
      <c r="B82" s="450">
        <v>160</v>
      </c>
      <c r="C82" s="450">
        <v>152</v>
      </c>
      <c r="D82" s="460">
        <v>0.95</v>
      </c>
      <c r="E82" s="450">
        <v>0</v>
      </c>
    </row>
    <row r="83" spans="1:5" x14ac:dyDescent="0.2">
      <c r="A83" s="449" t="s">
        <v>133</v>
      </c>
      <c r="B83" s="450">
        <v>1664</v>
      </c>
      <c r="C83" s="450">
        <v>1441</v>
      </c>
      <c r="D83" s="460">
        <v>0.86598557692307687</v>
      </c>
      <c r="E83" s="450">
        <v>0</v>
      </c>
    </row>
    <row r="84" spans="1:5" x14ac:dyDescent="0.2">
      <c r="A84" s="449" t="s">
        <v>135</v>
      </c>
      <c r="B84" s="450">
        <v>6228</v>
      </c>
      <c r="C84" s="450">
        <v>5664</v>
      </c>
      <c r="D84" s="460">
        <v>0.90944123314065506</v>
      </c>
      <c r="E84" s="450">
        <v>648</v>
      </c>
    </row>
    <row r="85" spans="1:5" x14ac:dyDescent="0.2">
      <c r="A85" s="449" t="s">
        <v>415</v>
      </c>
      <c r="B85" s="450">
        <v>465496</v>
      </c>
      <c r="C85" s="450">
        <v>438479</v>
      </c>
      <c r="D85" s="460">
        <v>45.462161709502759</v>
      </c>
      <c r="E85" s="450">
        <v>45335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77"/>
  <sheetViews>
    <sheetView workbookViewId="0">
      <selection activeCell="F46" sqref="F46"/>
    </sheetView>
  </sheetViews>
  <sheetFormatPr baseColWidth="10" defaultRowHeight="12.75" x14ac:dyDescent="0.2"/>
  <cols>
    <col min="1" max="1" width="22" customWidth="1"/>
  </cols>
  <sheetData>
    <row r="1" spans="1:3" x14ac:dyDescent="0.2">
      <c r="A1" t="s">
        <v>421</v>
      </c>
      <c r="B1" t="s">
        <v>414</v>
      </c>
      <c r="C1" t="s">
        <v>417</v>
      </c>
    </row>
    <row r="2" spans="1:3" x14ac:dyDescent="0.2">
      <c r="A2" t="s">
        <v>25</v>
      </c>
      <c r="B2" t="s">
        <v>140</v>
      </c>
      <c r="C2" t="s">
        <v>149</v>
      </c>
    </row>
    <row r="3" spans="1:3" x14ac:dyDescent="0.2">
      <c r="A3" t="s">
        <v>30</v>
      </c>
      <c r="B3" t="s">
        <v>140</v>
      </c>
      <c r="C3" t="s">
        <v>149</v>
      </c>
    </row>
    <row r="4" spans="1:3" x14ac:dyDescent="0.2">
      <c r="A4" t="s">
        <v>35</v>
      </c>
      <c r="B4" t="s">
        <v>140</v>
      </c>
      <c r="C4" t="s">
        <v>149</v>
      </c>
    </row>
    <row r="5" spans="1:3" x14ac:dyDescent="0.2">
      <c r="A5" t="s">
        <v>40</v>
      </c>
      <c r="B5" t="s">
        <v>140</v>
      </c>
      <c r="C5" t="s">
        <v>149</v>
      </c>
    </row>
    <row r="6" spans="1:3" x14ac:dyDescent="0.2">
      <c r="A6" t="s">
        <v>18</v>
      </c>
      <c r="B6">
        <v>0</v>
      </c>
      <c r="C6" t="s">
        <v>149</v>
      </c>
    </row>
    <row r="7" spans="1:3" x14ac:dyDescent="0.2">
      <c r="A7" t="s">
        <v>11</v>
      </c>
      <c r="B7">
        <v>0</v>
      </c>
      <c r="C7" t="s">
        <v>149</v>
      </c>
    </row>
    <row r="8" spans="1:3" x14ac:dyDescent="0.2">
      <c r="A8" t="s">
        <v>16</v>
      </c>
      <c r="B8">
        <v>0</v>
      </c>
      <c r="C8" t="s">
        <v>149</v>
      </c>
    </row>
    <row r="9" spans="1:3" x14ac:dyDescent="0.2">
      <c r="A9" t="s">
        <v>20</v>
      </c>
      <c r="B9">
        <v>0</v>
      </c>
      <c r="C9" t="s">
        <v>149</v>
      </c>
    </row>
    <row r="10" spans="1:3" x14ac:dyDescent="0.2">
      <c r="A10" t="s">
        <v>23</v>
      </c>
      <c r="B10">
        <v>0</v>
      </c>
      <c r="C10" t="s">
        <v>149</v>
      </c>
    </row>
    <row r="11" spans="1:3" x14ac:dyDescent="0.2">
      <c r="A11" t="s">
        <v>26</v>
      </c>
      <c r="B11">
        <v>0</v>
      </c>
      <c r="C11" t="s">
        <v>149</v>
      </c>
    </row>
    <row r="12" spans="1:3" x14ac:dyDescent="0.2">
      <c r="A12" t="s">
        <v>27</v>
      </c>
      <c r="B12">
        <v>0</v>
      </c>
      <c r="C12" t="s">
        <v>149</v>
      </c>
    </row>
    <row r="13" spans="1:3" x14ac:dyDescent="0.2">
      <c r="A13" t="s">
        <v>29</v>
      </c>
      <c r="B13">
        <v>0</v>
      </c>
      <c r="C13" t="s">
        <v>149</v>
      </c>
    </row>
    <row r="14" spans="1:3" x14ac:dyDescent="0.2">
      <c r="A14" t="s">
        <v>34</v>
      </c>
      <c r="B14">
        <v>0</v>
      </c>
      <c r="C14" t="s">
        <v>149</v>
      </c>
    </row>
    <row r="15" spans="1:3" x14ac:dyDescent="0.2">
      <c r="A15" t="s">
        <v>36</v>
      </c>
      <c r="B15">
        <v>0</v>
      </c>
      <c r="C15" t="s">
        <v>149</v>
      </c>
    </row>
    <row r="16" spans="1:3" x14ac:dyDescent="0.2">
      <c r="A16" t="s">
        <v>37</v>
      </c>
      <c r="B16">
        <v>0</v>
      </c>
      <c r="C16" t="s">
        <v>149</v>
      </c>
    </row>
    <row r="17" spans="1:3" x14ac:dyDescent="0.2">
      <c r="A17" t="s">
        <v>39</v>
      </c>
      <c r="B17">
        <v>0</v>
      </c>
      <c r="C17" t="s">
        <v>149</v>
      </c>
    </row>
    <row r="18" spans="1:3" x14ac:dyDescent="0.2">
      <c r="A18" t="s">
        <v>41</v>
      </c>
      <c r="B18">
        <v>0</v>
      </c>
      <c r="C18" t="s">
        <v>150</v>
      </c>
    </row>
    <row r="19" spans="1:3" x14ac:dyDescent="0.2">
      <c r="A19" t="s">
        <v>55</v>
      </c>
      <c r="B19" t="s">
        <v>141</v>
      </c>
      <c r="C19" t="s">
        <v>149</v>
      </c>
    </row>
    <row r="20" spans="1:3" x14ac:dyDescent="0.2">
      <c r="A20" t="s">
        <v>78</v>
      </c>
      <c r="B20" t="s">
        <v>141</v>
      </c>
      <c r="C20" t="s">
        <v>149</v>
      </c>
    </row>
    <row r="21" spans="1:3" x14ac:dyDescent="0.2">
      <c r="A21" t="s">
        <v>61</v>
      </c>
      <c r="B21" t="s">
        <v>141</v>
      </c>
      <c r="C21" t="s">
        <v>149</v>
      </c>
    </row>
    <row r="22" spans="1:3" x14ac:dyDescent="0.2">
      <c r="A22" t="s">
        <v>67</v>
      </c>
      <c r="B22" t="s">
        <v>141</v>
      </c>
      <c r="C22" t="s">
        <v>150</v>
      </c>
    </row>
    <row r="23" spans="1:3" x14ac:dyDescent="0.2">
      <c r="A23" t="s">
        <v>73</v>
      </c>
      <c r="B23" t="s">
        <v>141</v>
      </c>
      <c r="C23" t="s">
        <v>150</v>
      </c>
    </row>
    <row r="24" spans="1:3" x14ac:dyDescent="0.2">
      <c r="A24" t="s">
        <v>58</v>
      </c>
      <c r="B24" t="s">
        <v>141</v>
      </c>
      <c r="C24" t="s">
        <v>149</v>
      </c>
    </row>
    <row r="25" spans="1:3" x14ac:dyDescent="0.2">
      <c r="A25" t="s">
        <v>81</v>
      </c>
      <c r="B25" t="s">
        <v>141</v>
      </c>
      <c r="C25" t="s">
        <v>151</v>
      </c>
    </row>
    <row r="26" spans="1:3" x14ac:dyDescent="0.2">
      <c r="A26" t="s">
        <v>64</v>
      </c>
      <c r="B26" t="s">
        <v>141</v>
      </c>
      <c r="C26" t="s">
        <v>149</v>
      </c>
    </row>
    <row r="27" spans="1:3" x14ac:dyDescent="0.2">
      <c r="A27" t="s">
        <v>70</v>
      </c>
      <c r="B27" t="s">
        <v>141</v>
      </c>
      <c r="C27" t="s">
        <v>150</v>
      </c>
    </row>
    <row r="28" spans="1:3" x14ac:dyDescent="0.2">
      <c r="A28" t="s">
        <v>75</v>
      </c>
      <c r="B28" t="s">
        <v>141</v>
      </c>
      <c r="C28" t="s">
        <v>150</v>
      </c>
    </row>
    <row r="29" spans="1:3" x14ac:dyDescent="0.2">
      <c r="A29" t="s">
        <v>44</v>
      </c>
      <c r="B29" t="s">
        <v>144</v>
      </c>
      <c r="C29" t="s">
        <v>149</v>
      </c>
    </row>
    <row r="30" spans="1:3" x14ac:dyDescent="0.2">
      <c r="A30" t="s">
        <v>43</v>
      </c>
      <c r="B30">
        <v>0</v>
      </c>
      <c r="C30" t="s">
        <v>149</v>
      </c>
    </row>
    <row r="31" spans="1:3" x14ac:dyDescent="0.2">
      <c r="A31" t="s">
        <v>21</v>
      </c>
      <c r="B31">
        <v>0</v>
      </c>
      <c r="C31">
        <v>0</v>
      </c>
    </row>
    <row r="32" spans="1:3" x14ac:dyDescent="0.2">
      <c r="A32" t="s">
        <v>88</v>
      </c>
      <c r="B32">
        <v>0</v>
      </c>
      <c r="C32">
        <v>0</v>
      </c>
    </row>
    <row r="33" spans="1:3" x14ac:dyDescent="0.2">
      <c r="A33" t="s">
        <v>89</v>
      </c>
      <c r="B33">
        <v>0</v>
      </c>
      <c r="C33">
        <v>0</v>
      </c>
    </row>
    <row r="34" spans="1:3" x14ac:dyDescent="0.2">
      <c r="A34" t="s">
        <v>90</v>
      </c>
      <c r="B34">
        <v>0</v>
      </c>
      <c r="C34">
        <v>0</v>
      </c>
    </row>
    <row r="35" spans="1:3" x14ac:dyDescent="0.2">
      <c r="A35" t="s">
        <v>91</v>
      </c>
      <c r="B35">
        <v>0</v>
      </c>
      <c r="C35">
        <v>0</v>
      </c>
    </row>
    <row r="36" spans="1:3" x14ac:dyDescent="0.2">
      <c r="A36" t="s">
        <v>92</v>
      </c>
      <c r="B36" t="s">
        <v>140</v>
      </c>
      <c r="C36">
        <v>0</v>
      </c>
    </row>
    <row r="37" spans="1:3" x14ac:dyDescent="0.2">
      <c r="A37" t="s">
        <v>93</v>
      </c>
      <c r="B37">
        <v>0</v>
      </c>
      <c r="C37">
        <v>0</v>
      </c>
    </row>
    <row r="38" spans="1:3" x14ac:dyDescent="0.2">
      <c r="A38" t="s">
        <v>94</v>
      </c>
      <c r="B38">
        <v>0</v>
      </c>
      <c r="C38">
        <v>0</v>
      </c>
    </row>
    <row r="39" spans="1:3" x14ac:dyDescent="0.2">
      <c r="A39" t="s">
        <v>95</v>
      </c>
      <c r="B39" t="s">
        <v>140</v>
      </c>
      <c r="C39">
        <v>0</v>
      </c>
    </row>
    <row r="40" spans="1:3" x14ac:dyDescent="0.2">
      <c r="A40" t="s">
        <v>96</v>
      </c>
      <c r="B40">
        <v>0</v>
      </c>
      <c r="C40">
        <v>0</v>
      </c>
    </row>
    <row r="41" spans="1:3" x14ac:dyDescent="0.2">
      <c r="A41" t="s">
        <v>97</v>
      </c>
      <c r="B41" t="s">
        <v>140</v>
      </c>
      <c r="C41">
        <v>0</v>
      </c>
    </row>
    <row r="42" spans="1:3" x14ac:dyDescent="0.2">
      <c r="A42" t="s">
        <v>98</v>
      </c>
      <c r="B42">
        <v>0</v>
      </c>
      <c r="C42">
        <v>0</v>
      </c>
    </row>
    <row r="43" spans="1:3" x14ac:dyDescent="0.2">
      <c r="A43" t="s">
        <v>99</v>
      </c>
      <c r="B43">
        <v>0</v>
      </c>
      <c r="C43">
        <v>0</v>
      </c>
    </row>
    <row r="44" spans="1:3" x14ac:dyDescent="0.2">
      <c r="A44" t="s">
        <v>100</v>
      </c>
      <c r="B44" t="s">
        <v>140</v>
      </c>
      <c r="C44">
        <v>0</v>
      </c>
    </row>
    <row r="45" spans="1:3" x14ac:dyDescent="0.2">
      <c r="A45" t="s">
        <v>101</v>
      </c>
      <c r="B45">
        <v>0</v>
      </c>
      <c r="C45">
        <v>0</v>
      </c>
    </row>
    <row r="46" spans="1:3" x14ac:dyDescent="0.2">
      <c r="A46" t="s">
        <v>102</v>
      </c>
      <c r="B46" t="s">
        <v>140</v>
      </c>
      <c r="C46">
        <v>0</v>
      </c>
    </row>
    <row r="47" spans="1:3" x14ac:dyDescent="0.2">
      <c r="A47" t="s">
        <v>103</v>
      </c>
      <c r="B47">
        <v>0</v>
      </c>
      <c r="C47">
        <v>0</v>
      </c>
    </row>
    <row r="48" spans="1:3" x14ac:dyDescent="0.2">
      <c r="A48" t="s">
        <v>104</v>
      </c>
      <c r="B48">
        <v>0</v>
      </c>
      <c r="C48">
        <v>0</v>
      </c>
    </row>
    <row r="49" spans="1:3" x14ac:dyDescent="0.2">
      <c r="A49" t="s">
        <v>105</v>
      </c>
      <c r="B49" t="s">
        <v>140</v>
      </c>
      <c r="C49">
        <v>0</v>
      </c>
    </row>
    <row r="50" spans="1:3" x14ac:dyDescent="0.2">
      <c r="A50" t="s">
        <v>45</v>
      </c>
      <c r="B50">
        <v>0</v>
      </c>
      <c r="C50">
        <v>0</v>
      </c>
    </row>
    <row r="51" spans="1:3" x14ac:dyDescent="0.2">
      <c r="A51" t="s">
        <v>51</v>
      </c>
      <c r="B51">
        <v>0</v>
      </c>
      <c r="C51">
        <v>0</v>
      </c>
    </row>
    <row r="52" spans="1:3" x14ac:dyDescent="0.2">
      <c r="A52" t="s">
        <v>59</v>
      </c>
      <c r="B52">
        <v>0</v>
      </c>
      <c r="C52">
        <v>0</v>
      </c>
    </row>
    <row r="53" spans="1:3" x14ac:dyDescent="0.2">
      <c r="A53" t="s">
        <v>79</v>
      </c>
      <c r="B53">
        <v>0</v>
      </c>
      <c r="C53">
        <v>0</v>
      </c>
    </row>
    <row r="54" spans="1:3" x14ac:dyDescent="0.2">
      <c r="A54" t="s">
        <v>49</v>
      </c>
      <c r="B54">
        <v>0</v>
      </c>
      <c r="C54" t="s">
        <v>149</v>
      </c>
    </row>
    <row r="55" spans="1:3" x14ac:dyDescent="0.2">
      <c r="A55" t="s">
        <v>53</v>
      </c>
      <c r="B55">
        <v>0</v>
      </c>
      <c r="C55" t="s">
        <v>149</v>
      </c>
    </row>
    <row r="56" spans="1:3" x14ac:dyDescent="0.2">
      <c r="A56" t="s">
        <v>56</v>
      </c>
      <c r="B56">
        <v>0</v>
      </c>
      <c r="C56" t="s">
        <v>149</v>
      </c>
    </row>
    <row r="57" spans="1:3" x14ac:dyDescent="0.2">
      <c r="A57" t="s">
        <v>62</v>
      </c>
      <c r="B57">
        <v>0</v>
      </c>
      <c r="C57" t="s">
        <v>149</v>
      </c>
    </row>
    <row r="58" spans="1:3" x14ac:dyDescent="0.2">
      <c r="A58" t="s">
        <v>65</v>
      </c>
      <c r="B58">
        <v>0</v>
      </c>
      <c r="C58" t="s">
        <v>150</v>
      </c>
    </row>
    <row r="59" spans="1:3" x14ac:dyDescent="0.2">
      <c r="A59" t="s">
        <v>68</v>
      </c>
      <c r="B59">
        <v>0</v>
      </c>
      <c r="C59" t="s">
        <v>149</v>
      </c>
    </row>
    <row r="60" spans="1:3" x14ac:dyDescent="0.2">
      <c r="A60" t="s">
        <v>71</v>
      </c>
      <c r="B60">
        <v>0</v>
      </c>
      <c r="C60" t="s">
        <v>149</v>
      </c>
    </row>
    <row r="61" spans="1:3" x14ac:dyDescent="0.2">
      <c r="A61" t="s">
        <v>74</v>
      </c>
      <c r="B61">
        <v>0</v>
      </c>
      <c r="C61" t="s">
        <v>149</v>
      </c>
    </row>
    <row r="62" spans="1:3" x14ac:dyDescent="0.2">
      <c r="A62" t="s">
        <v>76</v>
      </c>
      <c r="B62">
        <v>0</v>
      </c>
      <c r="C62" t="s">
        <v>149</v>
      </c>
    </row>
    <row r="63" spans="1:3" x14ac:dyDescent="0.2">
      <c r="A63" t="s">
        <v>82</v>
      </c>
      <c r="B63">
        <v>0</v>
      </c>
      <c r="C63" t="s">
        <v>149</v>
      </c>
    </row>
    <row r="64" spans="1:3" x14ac:dyDescent="0.2">
      <c r="A64" t="s">
        <v>84</v>
      </c>
      <c r="B64">
        <v>0</v>
      </c>
      <c r="C64" t="s">
        <v>150</v>
      </c>
    </row>
    <row r="65" spans="1:3" x14ac:dyDescent="0.2">
      <c r="A65" t="s">
        <v>86</v>
      </c>
      <c r="B65">
        <v>0</v>
      </c>
      <c r="C65" t="s">
        <v>149</v>
      </c>
    </row>
    <row r="66" spans="1:3" x14ac:dyDescent="0.2">
      <c r="A66" t="s">
        <v>111</v>
      </c>
      <c r="B66">
        <v>0</v>
      </c>
      <c r="C66" t="s">
        <v>150</v>
      </c>
    </row>
    <row r="67" spans="1:3" x14ac:dyDescent="0.2">
      <c r="A67" t="s">
        <v>114</v>
      </c>
      <c r="B67" t="s">
        <v>160</v>
      </c>
      <c r="C67" t="s">
        <v>154</v>
      </c>
    </row>
    <row r="68" spans="1:3" x14ac:dyDescent="0.2">
      <c r="A68" t="s">
        <v>116</v>
      </c>
      <c r="B68">
        <v>0</v>
      </c>
      <c r="C68" t="s">
        <v>154</v>
      </c>
    </row>
    <row r="69" spans="1:3" x14ac:dyDescent="0.2">
      <c r="A69" t="s">
        <v>118</v>
      </c>
      <c r="B69" t="s">
        <v>160</v>
      </c>
      <c r="C69" t="s">
        <v>157</v>
      </c>
    </row>
    <row r="70" spans="1:3" x14ac:dyDescent="0.2">
      <c r="A70" t="s">
        <v>120</v>
      </c>
      <c r="B70">
        <v>0</v>
      </c>
      <c r="C70" t="s">
        <v>154</v>
      </c>
    </row>
    <row r="71" spans="1:3" x14ac:dyDescent="0.2">
      <c r="A71" t="s">
        <v>122</v>
      </c>
      <c r="B71" t="s">
        <v>160</v>
      </c>
      <c r="C71" t="s">
        <v>157</v>
      </c>
    </row>
    <row r="72" spans="1:3" x14ac:dyDescent="0.2">
      <c r="A72" t="s">
        <v>125</v>
      </c>
      <c r="B72">
        <v>0</v>
      </c>
      <c r="C72" t="s">
        <v>154</v>
      </c>
    </row>
    <row r="73" spans="1:3" x14ac:dyDescent="0.2">
      <c r="A73" t="s">
        <v>127</v>
      </c>
      <c r="B73" t="s">
        <v>160</v>
      </c>
      <c r="C73" t="s">
        <v>157</v>
      </c>
    </row>
    <row r="74" spans="1:3" x14ac:dyDescent="0.2">
      <c r="A74" t="s">
        <v>129</v>
      </c>
      <c r="B74">
        <v>0</v>
      </c>
      <c r="C74" t="s">
        <v>158</v>
      </c>
    </row>
    <row r="75" spans="1:3" x14ac:dyDescent="0.2">
      <c r="A75" t="s">
        <v>131</v>
      </c>
      <c r="B75">
        <v>0</v>
      </c>
      <c r="C75" t="s">
        <v>156</v>
      </c>
    </row>
    <row r="76" spans="1:3" x14ac:dyDescent="0.2">
      <c r="A76" t="s">
        <v>133</v>
      </c>
      <c r="B76">
        <v>0</v>
      </c>
      <c r="C76" t="s">
        <v>154</v>
      </c>
    </row>
    <row r="77" spans="1:3" x14ac:dyDescent="0.2">
      <c r="A77" t="s">
        <v>135</v>
      </c>
      <c r="B77">
        <v>0</v>
      </c>
      <c r="C77" t="s">
        <v>157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AD81"/>
  <sheetViews>
    <sheetView tabSelected="1" topLeftCell="I1" workbookViewId="0">
      <selection activeCell="Y69" sqref="Y69"/>
    </sheetView>
  </sheetViews>
  <sheetFormatPr baseColWidth="10" defaultRowHeight="20.100000000000001" customHeight="1" outlineLevelCol="1" x14ac:dyDescent="0.2"/>
  <cols>
    <col min="1" max="1" width="13.85546875" customWidth="1"/>
    <col min="2" max="2" width="31.140625" customWidth="1" outlineLevel="1"/>
    <col min="3" max="5" width="11.42578125" customWidth="1" outlineLevel="1"/>
    <col min="16" max="16" width="17" customWidth="1"/>
    <col min="18" max="18" width="16.5703125" style="484" bestFit="1" customWidth="1"/>
    <col min="19" max="19" width="17.5703125" style="484" customWidth="1" outlineLevel="1"/>
    <col min="20" max="24" width="11.42578125" style="484" customWidth="1" outlineLevel="1"/>
    <col min="25" max="25" width="13.85546875" style="484" customWidth="1"/>
    <col min="26" max="26" width="11.42578125" style="484"/>
    <col min="27" max="27" width="11.42578125" style="485"/>
    <col min="28" max="28" width="11.42578125" style="484" hidden="1" customWidth="1"/>
    <col min="29" max="29" width="15" style="484" customWidth="1"/>
    <col min="30" max="30" width="11.42578125" hidden="1" customWidth="1"/>
  </cols>
  <sheetData>
    <row r="1" spans="1:30" ht="20.100000000000001" customHeight="1" x14ac:dyDescent="0.2">
      <c r="C1" s="466"/>
      <c r="M1" s="467" t="s">
        <v>370</v>
      </c>
      <c r="N1" s="468"/>
      <c r="O1" s="468"/>
      <c r="P1" s="469"/>
      <c r="R1" s="473" t="s">
        <v>371</v>
      </c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</row>
    <row r="2" spans="1:30" ht="20.100000000000001" customHeight="1" x14ac:dyDescent="0.2">
      <c r="A2" s="475" t="s">
        <v>0</v>
      </c>
      <c r="B2" s="475" t="s">
        <v>1</v>
      </c>
      <c r="C2" s="475" t="s">
        <v>2</v>
      </c>
      <c r="D2" s="475" t="s">
        <v>3</v>
      </c>
      <c r="E2" s="475" t="s">
        <v>4</v>
      </c>
      <c r="F2" s="475" t="s">
        <v>5</v>
      </c>
      <c r="G2" s="475" t="s">
        <v>6</v>
      </c>
      <c r="H2" s="475" t="s">
        <v>7</v>
      </c>
      <c r="I2" s="475" t="s">
        <v>8</v>
      </c>
      <c r="J2" s="475" t="s">
        <v>9</v>
      </c>
      <c r="K2" s="475" t="s">
        <v>10</v>
      </c>
      <c r="M2" s="300" t="s">
        <v>5</v>
      </c>
      <c r="N2" s="301" t="s">
        <v>6</v>
      </c>
      <c r="O2" s="301" t="s">
        <v>9</v>
      </c>
      <c r="P2" s="302" t="s">
        <v>372</v>
      </c>
      <c r="R2" s="479" t="s">
        <v>0</v>
      </c>
      <c r="S2" s="479" t="s">
        <v>1</v>
      </c>
      <c r="T2" s="479" t="s">
        <v>2</v>
      </c>
      <c r="U2" s="479" t="s">
        <v>3</v>
      </c>
      <c r="V2" s="479" t="s">
        <v>4</v>
      </c>
      <c r="W2" s="479" t="s">
        <v>414</v>
      </c>
      <c r="X2" s="479" t="s">
        <v>417</v>
      </c>
      <c r="Y2" s="479" t="s">
        <v>432</v>
      </c>
      <c r="Z2" s="479" t="s">
        <v>433</v>
      </c>
      <c r="AA2" s="480" t="s">
        <v>7</v>
      </c>
      <c r="AB2" s="479" t="s">
        <v>8</v>
      </c>
      <c r="AC2" s="479" t="s">
        <v>9</v>
      </c>
      <c r="AD2" s="1" t="s">
        <v>10</v>
      </c>
    </row>
    <row r="3" spans="1:30" ht="20.100000000000001" customHeight="1" x14ac:dyDescent="0.2">
      <c r="A3" s="476" t="s">
        <v>16</v>
      </c>
      <c r="B3" s="476" t="s">
        <v>17</v>
      </c>
      <c r="C3" s="476" t="s">
        <v>13</v>
      </c>
      <c r="D3" s="476" t="s">
        <v>14</v>
      </c>
      <c r="E3" s="476" t="s">
        <v>15</v>
      </c>
      <c r="F3" s="477">
        <v>506</v>
      </c>
      <c r="G3" s="477">
        <v>383</v>
      </c>
      <c r="H3" s="478">
        <v>0.75691699604743101</v>
      </c>
      <c r="I3" s="477">
        <v>766</v>
      </c>
      <c r="J3" s="477">
        <v>84</v>
      </c>
      <c r="K3" s="477">
        <v>1</v>
      </c>
      <c r="M3" s="313"/>
      <c r="N3" s="314"/>
      <c r="O3" s="315"/>
      <c r="P3" s="316"/>
      <c r="R3" s="481" t="s">
        <v>16</v>
      </c>
      <c r="S3" s="481" t="s">
        <v>17</v>
      </c>
      <c r="T3" s="481" t="s">
        <v>13</v>
      </c>
      <c r="U3" s="481" t="s">
        <v>14</v>
      </c>
      <c r="V3" s="481" t="s">
        <v>15</v>
      </c>
      <c r="W3" s="481">
        <v>0</v>
      </c>
      <c r="X3" s="481" t="s">
        <v>149</v>
      </c>
      <c r="Y3" s="482">
        <v>506</v>
      </c>
      <c r="Z3" s="481">
        <v>383</v>
      </c>
      <c r="AA3" s="483">
        <v>0.75691699604743079</v>
      </c>
      <c r="AB3" s="481">
        <v>766</v>
      </c>
      <c r="AC3" s="481">
        <v>84</v>
      </c>
    </row>
    <row r="4" spans="1:30" ht="20.100000000000001" customHeight="1" x14ac:dyDescent="0.2">
      <c r="A4" s="476" t="s">
        <v>20</v>
      </c>
      <c r="B4" s="476" t="s">
        <v>17</v>
      </c>
      <c r="C4" s="476" t="s">
        <v>13</v>
      </c>
      <c r="D4" s="476" t="s">
        <v>14</v>
      </c>
      <c r="E4" s="476" t="s">
        <v>15</v>
      </c>
      <c r="F4" s="477">
        <v>109</v>
      </c>
      <c r="G4" s="477">
        <v>87</v>
      </c>
      <c r="H4" s="478">
        <v>0.798165137614679</v>
      </c>
      <c r="I4" s="477">
        <v>124</v>
      </c>
      <c r="J4" s="477">
        <v>4</v>
      </c>
      <c r="K4" s="477">
        <v>0</v>
      </c>
      <c r="M4" s="313"/>
      <c r="N4" s="314"/>
      <c r="O4" s="315"/>
      <c r="P4" s="316"/>
      <c r="R4" s="481" t="s">
        <v>20</v>
      </c>
      <c r="S4" s="481" t="s">
        <v>17</v>
      </c>
      <c r="T4" s="481" t="s">
        <v>13</v>
      </c>
      <c r="U4" s="481" t="s">
        <v>14</v>
      </c>
      <c r="V4" s="481" t="s">
        <v>15</v>
      </c>
      <c r="W4" s="481">
        <v>0</v>
      </c>
      <c r="X4" s="481" t="s">
        <v>149</v>
      </c>
      <c r="Y4" s="482">
        <v>109</v>
      </c>
      <c r="Z4" s="481">
        <v>87</v>
      </c>
      <c r="AA4" s="483">
        <v>0.79816513761467889</v>
      </c>
      <c r="AB4" s="481">
        <v>124</v>
      </c>
      <c r="AC4" s="481">
        <v>4</v>
      </c>
    </row>
    <row r="5" spans="1:30" ht="20.100000000000001" customHeight="1" x14ac:dyDescent="0.2">
      <c r="A5" s="476" t="s">
        <v>23</v>
      </c>
      <c r="B5" s="476" t="s">
        <v>24</v>
      </c>
      <c r="C5" s="476" t="s">
        <v>13</v>
      </c>
      <c r="D5" s="476" t="s">
        <v>14</v>
      </c>
      <c r="E5" s="476" t="s">
        <v>15</v>
      </c>
      <c r="F5" s="477">
        <v>2074</v>
      </c>
      <c r="G5" s="477">
        <v>1592</v>
      </c>
      <c r="H5" s="478">
        <v>0.76759884281581503</v>
      </c>
      <c r="I5" s="477">
        <v>2886</v>
      </c>
      <c r="J5" s="477">
        <v>262</v>
      </c>
      <c r="K5" s="477">
        <v>273</v>
      </c>
      <c r="M5" s="313"/>
      <c r="N5" s="314"/>
      <c r="O5" s="315"/>
      <c r="P5" s="316"/>
      <c r="R5" s="481" t="s">
        <v>23</v>
      </c>
      <c r="S5" s="481" t="s">
        <v>24</v>
      </c>
      <c r="T5" s="481" t="s">
        <v>13</v>
      </c>
      <c r="U5" s="481" t="s">
        <v>14</v>
      </c>
      <c r="V5" s="481" t="s">
        <v>15</v>
      </c>
      <c r="W5" s="481">
        <v>0</v>
      </c>
      <c r="X5" s="481" t="s">
        <v>149</v>
      </c>
      <c r="Y5" s="482">
        <v>2074</v>
      </c>
      <c r="Z5" s="481">
        <v>1592</v>
      </c>
      <c r="AA5" s="483">
        <v>0.76759884281581481</v>
      </c>
      <c r="AB5" s="481">
        <v>2886</v>
      </c>
      <c r="AC5" s="481">
        <v>262</v>
      </c>
    </row>
    <row r="6" spans="1:30" ht="20.100000000000001" customHeight="1" x14ac:dyDescent="0.2">
      <c r="A6" s="476" t="s">
        <v>25</v>
      </c>
      <c r="B6" s="476" t="s">
        <v>361</v>
      </c>
      <c r="C6" s="476" t="s">
        <v>13</v>
      </c>
      <c r="D6" s="476" t="s">
        <v>14</v>
      </c>
      <c r="E6" s="476" t="s">
        <v>15</v>
      </c>
      <c r="F6" s="477">
        <v>2387</v>
      </c>
      <c r="G6" s="477">
        <v>1964</v>
      </c>
      <c r="H6" s="478">
        <v>0.82279011311269401</v>
      </c>
      <c r="I6" s="477">
        <v>3389</v>
      </c>
      <c r="J6" s="477">
        <v>777</v>
      </c>
      <c r="K6" s="477">
        <v>155</v>
      </c>
      <c r="M6" s="313"/>
      <c r="N6" s="314"/>
      <c r="O6" s="315"/>
      <c r="P6" s="316"/>
      <c r="R6" s="481" t="s">
        <v>25</v>
      </c>
      <c r="S6" s="481" t="s">
        <v>361</v>
      </c>
      <c r="T6" s="481" t="s">
        <v>13</v>
      </c>
      <c r="U6" s="481" t="s">
        <v>14</v>
      </c>
      <c r="V6" s="481" t="s">
        <v>15</v>
      </c>
      <c r="W6" s="481" t="s">
        <v>140</v>
      </c>
      <c r="X6" s="481" t="s">
        <v>149</v>
      </c>
      <c r="Y6" s="482">
        <v>2387</v>
      </c>
      <c r="Z6" s="481">
        <v>1964</v>
      </c>
      <c r="AA6" s="483">
        <v>0.82279011311269379</v>
      </c>
      <c r="AB6" s="481">
        <v>3389</v>
      </c>
      <c r="AC6" s="481">
        <v>777</v>
      </c>
    </row>
    <row r="7" spans="1:30" ht="20.100000000000001" customHeight="1" x14ac:dyDescent="0.2">
      <c r="A7" s="476" t="s">
        <v>26</v>
      </c>
      <c r="B7" s="476" t="s">
        <v>12</v>
      </c>
      <c r="C7" s="476" t="s">
        <v>13</v>
      </c>
      <c r="D7" s="476" t="s">
        <v>14</v>
      </c>
      <c r="E7" s="476" t="s">
        <v>15</v>
      </c>
      <c r="F7" s="477">
        <v>3</v>
      </c>
      <c r="G7" s="477">
        <v>0</v>
      </c>
      <c r="H7" s="478">
        <v>0</v>
      </c>
      <c r="I7" s="477">
        <v>0</v>
      </c>
      <c r="J7" s="477">
        <v>0</v>
      </c>
      <c r="K7" s="477">
        <v>0</v>
      </c>
      <c r="M7" s="313"/>
      <c r="N7" s="314"/>
      <c r="O7" s="315"/>
      <c r="P7" s="316"/>
      <c r="R7" s="481" t="s">
        <v>26</v>
      </c>
      <c r="S7" s="481" t="s">
        <v>12</v>
      </c>
      <c r="T7" s="481" t="s">
        <v>13</v>
      </c>
      <c r="U7" s="481" t="s">
        <v>14</v>
      </c>
      <c r="V7" s="481" t="s">
        <v>15</v>
      </c>
      <c r="W7" s="481">
        <v>0</v>
      </c>
      <c r="X7" s="481" t="s">
        <v>149</v>
      </c>
      <c r="Y7" s="482">
        <v>3</v>
      </c>
      <c r="Z7" s="481">
        <v>0</v>
      </c>
      <c r="AA7" s="483">
        <v>0</v>
      </c>
      <c r="AB7" s="481">
        <v>0</v>
      </c>
      <c r="AC7" s="481">
        <v>0</v>
      </c>
    </row>
    <row r="8" spans="1:30" ht="20.100000000000001" customHeight="1" x14ac:dyDescent="0.2">
      <c r="A8" s="476" t="s">
        <v>424</v>
      </c>
      <c r="B8" s="476" t="s">
        <v>425</v>
      </c>
      <c r="C8" s="476" t="s">
        <v>13</v>
      </c>
      <c r="D8" s="476" t="s">
        <v>14</v>
      </c>
      <c r="E8" s="476" t="s">
        <v>15</v>
      </c>
      <c r="F8" s="477">
        <v>1</v>
      </c>
      <c r="G8" s="477">
        <v>0</v>
      </c>
      <c r="H8" s="478">
        <v>0</v>
      </c>
      <c r="I8" s="477">
        <v>0</v>
      </c>
      <c r="J8" s="477">
        <v>2278</v>
      </c>
      <c r="K8" s="477">
        <v>0</v>
      </c>
      <c r="M8" s="313"/>
      <c r="N8" s="314"/>
      <c r="O8" s="315"/>
      <c r="P8" s="316"/>
      <c r="R8" s="481" t="s">
        <v>424</v>
      </c>
      <c r="S8" s="481" t="s">
        <v>425</v>
      </c>
      <c r="T8" s="481" t="s">
        <v>13</v>
      </c>
      <c r="U8" s="481" t="s">
        <v>14</v>
      </c>
      <c r="V8" s="481" t="s">
        <v>15</v>
      </c>
      <c r="W8" s="481">
        <v>0</v>
      </c>
      <c r="X8" s="481" t="s">
        <v>149</v>
      </c>
      <c r="Y8" s="482">
        <v>1</v>
      </c>
      <c r="Z8" s="481">
        <v>0</v>
      </c>
      <c r="AA8" s="483">
        <v>0</v>
      </c>
      <c r="AB8" s="481">
        <v>0</v>
      </c>
      <c r="AC8" s="481">
        <v>2278</v>
      </c>
    </row>
    <row r="9" spans="1:30" ht="20.100000000000001" customHeight="1" x14ac:dyDescent="0.2">
      <c r="A9" s="476" t="s">
        <v>27</v>
      </c>
      <c r="B9" s="476" t="s">
        <v>28</v>
      </c>
      <c r="C9" s="476" t="s">
        <v>13</v>
      </c>
      <c r="D9" s="476" t="s">
        <v>14</v>
      </c>
      <c r="E9" s="476" t="s">
        <v>15</v>
      </c>
      <c r="F9" s="477">
        <v>5776</v>
      </c>
      <c r="G9" s="477">
        <v>4865</v>
      </c>
      <c r="H9" s="478">
        <v>0.84227839335180099</v>
      </c>
      <c r="I9" s="477">
        <v>9239</v>
      </c>
      <c r="J9" s="477">
        <v>553</v>
      </c>
      <c r="K9" s="477">
        <v>200</v>
      </c>
      <c r="M9" s="313"/>
      <c r="N9" s="314"/>
      <c r="O9" s="315"/>
      <c r="P9" s="316"/>
      <c r="R9" s="481" t="s">
        <v>27</v>
      </c>
      <c r="S9" s="481" t="s">
        <v>28</v>
      </c>
      <c r="T9" s="481" t="s">
        <v>13</v>
      </c>
      <c r="U9" s="481" t="s">
        <v>14</v>
      </c>
      <c r="V9" s="481" t="s">
        <v>15</v>
      </c>
      <c r="W9" s="481">
        <v>0</v>
      </c>
      <c r="X9" s="481" t="s">
        <v>149</v>
      </c>
      <c r="Y9" s="482">
        <v>5776</v>
      </c>
      <c r="Z9" s="481">
        <v>4865</v>
      </c>
      <c r="AA9" s="483">
        <v>0.84227839335180055</v>
      </c>
      <c r="AB9" s="481">
        <v>9239</v>
      </c>
      <c r="AC9" s="481">
        <v>553</v>
      </c>
    </row>
    <row r="10" spans="1:30" ht="20.100000000000001" customHeight="1" x14ac:dyDescent="0.2">
      <c r="A10" s="476" t="s">
        <v>29</v>
      </c>
      <c r="B10" s="476" t="s">
        <v>17</v>
      </c>
      <c r="C10" s="476" t="s">
        <v>13</v>
      </c>
      <c r="D10" s="476" t="s">
        <v>14</v>
      </c>
      <c r="E10" s="476" t="s">
        <v>15</v>
      </c>
      <c r="F10" s="477">
        <v>737</v>
      </c>
      <c r="G10" s="477">
        <v>587</v>
      </c>
      <c r="H10" s="478">
        <v>0.79647218453188595</v>
      </c>
      <c r="I10" s="477">
        <v>1174</v>
      </c>
      <c r="J10" s="477">
        <v>114</v>
      </c>
      <c r="K10" s="477">
        <v>0</v>
      </c>
      <c r="M10" s="313"/>
      <c r="N10" s="314"/>
      <c r="O10" s="315"/>
      <c r="P10" s="316"/>
      <c r="R10" s="481" t="s">
        <v>29</v>
      </c>
      <c r="S10" s="481" t="s">
        <v>17</v>
      </c>
      <c r="T10" s="481" t="s">
        <v>13</v>
      </c>
      <c r="U10" s="481" t="s">
        <v>14</v>
      </c>
      <c r="V10" s="481" t="s">
        <v>15</v>
      </c>
      <c r="W10" s="481">
        <v>0</v>
      </c>
      <c r="X10" s="481" t="s">
        <v>149</v>
      </c>
      <c r="Y10" s="482">
        <v>737</v>
      </c>
      <c r="Z10" s="481">
        <v>587</v>
      </c>
      <c r="AA10" s="483">
        <v>0.79647218453188606</v>
      </c>
      <c r="AB10" s="481">
        <v>1174</v>
      </c>
      <c r="AC10" s="481">
        <v>114</v>
      </c>
    </row>
    <row r="11" spans="1:30" ht="20.100000000000001" customHeight="1" x14ac:dyDescent="0.2">
      <c r="A11" s="476" t="s">
        <v>30</v>
      </c>
      <c r="B11" s="476" t="s">
        <v>31</v>
      </c>
      <c r="C11" s="476" t="s">
        <v>13</v>
      </c>
      <c r="D11" s="476" t="s">
        <v>14</v>
      </c>
      <c r="E11" s="476" t="s">
        <v>15</v>
      </c>
      <c r="F11" s="477">
        <v>1159</v>
      </c>
      <c r="G11" s="477">
        <v>847</v>
      </c>
      <c r="H11" s="478">
        <v>0.73080241587575501</v>
      </c>
      <c r="I11" s="477">
        <v>1175</v>
      </c>
      <c r="J11" s="477">
        <v>201</v>
      </c>
      <c r="K11" s="477">
        <v>355</v>
      </c>
      <c r="M11" s="313"/>
      <c r="N11" s="314"/>
      <c r="O11" s="315"/>
      <c r="P11" s="316"/>
      <c r="R11" s="481" t="s">
        <v>30</v>
      </c>
      <c r="S11" s="481" t="s">
        <v>31</v>
      </c>
      <c r="T11" s="481" t="s">
        <v>13</v>
      </c>
      <c r="U11" s="481" t="s">
        <v>14</v>
      </c>
      <c r="V11" s="481" t="s">
        <v>15</v>
      </c>
      <c r="W11" s="481" t="s">
        <v>140</v>
      </c>
      <c r="X11" s="481" t="s">
        <v>149</v>
      </c>
      <c r="Y11" s="482">
        <v>1159</v>
      </c>
      <c r="Z11" s="481">
        <v>847</v>
      </c>
      <c r="AA11" s="483">
        <v>0.73080241587575501</v>
      </c>
      <c r="AB11" s="481">
        <v>1175</v>
      </c>
      <c r="AC11" s="481">
        <v>201</v>
      </c>
    </row>
    <row r="12" spans="1:30" ht="20.100000000000001" customHeight="1" x14ac:dyDescent="0.2">
      <c r="A12" s="476" t="s">
        <v>18</v>
      </c>
      <c r="B12" s="476" t="s">
        <v>19</v>
      </c>
      <c r="C12" s="476" t="s">
        <v>13</v>
      </c>
      <c r="D12" s="476" t="s">
        <v>32</v>
      </c>
      <c r="E12" s="476" t="s">
        <v>15</v>
      </c>
      <c r="F12" s="477">
        <v>1687</v>
      </c>
      <c r="G12" s="477">
        <v>1686</v>
      </c>
      <c r="H12" s="478">
        <v>0.999407231772377</v>
      </c>
      <c r="I12" s="477">
        <v>0</v>
      </c>
      <c r="J12" s="477">
        <v>78</v>
      </c>
      <c r="K12" s="477">
        <v>0</v>
      </c>
      <c r="M12" s="313"/>
      <c r="N12" s="314"/>
      <c r="O12" s="315"/>
      <c r="P12" s="316"/>
      <c r="R12" s="481" t="s">
        <v>18</v>
      </c>
      <c r="S12" s="481" t="s">
        <v>19</v>
      </c>
      <c r="T12" s="481" t="s">
        <v>13</v>
      </c>
      <c r="U12" s="481" t="s">
        <v>32</v>
      </c>
      <c r="V12" s="481" t="s">
        <v>15</v>
      </c>
      <c r="W12" s="481">
        <v>0</v>
      </c>
      <c r="X12" s="481" t="s">
        <v>149</v>
      </c>
      <c r="Y12" s="482">
        <v>1697</v>
      </c>
      <c r="Z12" s="481">
        <v>1686</v>
      </c>
      <c r="AA12" s="483">
        <v>0.99351797289334121</v>
      </c>
      <c r="AB12" s="481">
        <v>0</v>
      </c>
      <c r="AC12" s="481">
        <v>78</v>
      </c>
    </row>
    <row r="13" spans="1:30" ht="20.100000000000001" customHeight="1" x14ac:dyDescent="0.2">
      <c r="A13" s="476" t="s">
        <v>34</v>
      </c>
      <c r="B13" s="476" t="s">
        <v>24</v>
      </c>
      <c r="C13" s="476" t="s">
        <v>13</v>
      </c>
      <c r="D13" s="476" t="s">
        <v>14</v>
      </c>
      <c r="E13" s="476" t="s">
        <v>15</v>
      </c>
      <c r="F13" s="477">
        <v>2690</v>
      </c>
      <c r="G13" s="477">
        <v>2254</v>
      </c>
      <c r="H13" s="478">
        <v>0.83791821561338298</v>
      </c>
      <c r="I13" s="477">
        <v>4197</v>
      </c>
      <c r="J13" s="477">
        <v>228</v>
      </c>
      <c r="K13" s="477">
        <v>226</v>
      </c>
      <c r="M13" s="313"/>
      <c r="N13" s="314"/>
      <c r="O13" s="315"/>
      <c r="P13" s="316"/>
      <c r="R13" s="481" t="s">
        <v>34</v>
      </c>
      <c r="S13" s="481" t="s">
        <v>24</v>
      </c>
      <c r="T13" s="481" t="s">
        <v>13</v>
      </c>
      <c r="U13" s="481" t="s">
        <v>14</v>
      </c>
      <c r="V13" s="481" t="s">
        <v>15</v>
      </c>
      <c r="W13" s="481">
        <v>0</v>
      </c>
      <c r="X13" s="481" t="s">
        <v>149</v>
      </c>
      <c r="Y13" s="482">
        <v>2690</v>
      </c>
      <c r="Z13" s="481">
        <v>2254</v>
      </c>
      <c r="AA13" s="483">
        <v>0.83791821561338287</v>
      </c>
      <c r="AB13" s="481">
        <v>4197</v>
      </c>
      <c r="AC13" s="481">
        <v>228</v>
      </c>
    </row>
    <row r="14" spans="1:30" ht="20.100000000000001" customHeight="1" x14ac:dyDescent="0.2">
      <c r="A14" s="476" t="s">
        <v>35</v>
      </c>
      <c r="B14" s="476" t="s">
        <v>361</v>
      </c>
      <c r="C14" s="476" t="s">
        <v>13</v>
      </c>
      <c r="D14" s="476" t="s">
        <v>14</v>
      </c>
      <c r="E14" s="476" t="s">
        <v>15</v>
      </c>
      <c r="F14" s="477">
        <v>3356</v>
      </c>
      <c r="G14" s="477">
        <v>2869</v>
      </c>
      <c r="H14" s="478">
        <v>0.85488676996424295</v>
      </c>
      <c r="I14" s="477">
        <v>4696</v>
      </c>
      <c r="J14" s="477">
        <v>1362</v>
      </c>
      <c r="K14" s="477">
        <v>0</v>
      </c>
      <c r="M14" s="313"/>
      <c r="N14" s="314"/>
      <c r="O14" s="315"/>
      <c r="P14" s="316"/>
      <c r="R14" s="481" t="s">
        <v>35</v>
      </c>
      <c r="S14" s="481" t="s">
        <v>361</v>
      </c>
      <c r="T14" s="481" t="s">
        <v>13</v>
      </c>
      <c r="U14" s="481" t="s">
        <v>14</v>
      </c>
      <c r="V14" s="481" t="s">
        <v>15</v>
      </c>
      <c r="W14" s="481" t="s">
        <v>140</v>
      </c>
      <c r="X14" s="481" t="s">
        <v>149</v>
      </c>
      <c r="Y14" s="482">
        <v>3356</v>
      </c>
      <c r="Z14" s="481">
        <v>2869</v>
      </c>
      <c r="AA14" s="483">
        <v>0.85488676996424318</v>
      </c>
      <c r="AB14" s="481">
        <v>4696</v>
      </c>
      <c r="AC14" s="481">
        <v>1362</v>
      </c>
    </row>
    <row r="15" spans="1:30" ht="20.100000000000001" customHeight="1" x14ac:dyDescent="0.2">
      <c r="A15" s="476" t="s">
        <v>36</v>
      </c>
      <c r="B15" s="476" t="s">
        <v>12</v>
      </c>
      <c r="C15" s="476" t="s">
        <v>13</v>
      </c>
      <c r="D15" s="476" t="s">
        <v>14</v>
      </c>
      <c r="E15" s="476" t="s">
        <v>15</v>
      </c>
      <c r="F15" s="477">
        <v>0</v>
      </c>
      <c r="G15" s="477">
        <v>0</v>
      </c>
      <c r="H15" s="478">
        <v>0</v>
      </c>
      <c r="I15" s="477">
        <v>0</v>
      </c>
      <c r="J15" s="477">
        <v>0</v>
      </c>
      <c r="K15" s="477">
        <v>0</v>
      </c>
      <c r="M15" s="313"/>
      <c r="N15" s="314"/>
      <c r="O15" s="315"/>
      <c r="P15" s="316"/>
      <c r="R15" s="481" t="s">
        <v>36</v>
      </c>
      <c r="S15" s="481" t="s">
        <v>12</v>
      </c>
      <c r="T15" s="481" t="s">
        <v>13</v>
      </c>
      <c r="U15" s="481" t="s">
        <v>14</v>
      </c>
      <c r="V15" s="481" t="s">
        <v>15</v>
      </c>
      <c r="W15" s="481">
        <v>0</v>
      </c>
      <c r="X15" s="481" t="s">
        <v>149</v>
      </c>
      <c r="Y15" s="482">
        <v>0</v>
      </c>
      <c r="Z15" s="481">
        <v>0</v>
      </c>
      <c r="AA15" s="483">
        <v>0</v>
      </c>
      <c r="AB15" s="481">
        <v>0</v>
      </c>
      <c r="AC15" s="481">
        <v>0</v>
      </c>
    </row>
    <row r="16" spans="1:30" ht="20.100000000000001" customHeight="1" x14ac:dyDescent="0.2">
      <c r="A16" s="476" t="s">
        <v>426</v>
      </c>
      <c r="B16" s="476" t="s">
        <v>425</v>
      </c>
      <c r="C16" s="476" t="s">
        <v>13</v>
      </c>
      <c r="D16" s="476" t="s">
        <v>14</v>
      </c>
      <c r="E16" s="476" t="s">
        <v>15</v>
      </c>
      <c r="F16" s="477">
        <v>1</v>
      </c>
      <c r="G16" s="477">
        <v>0</v>
      </c>
      <c r="H16" s="478">
        <v>0</v>
      </c>
      <c r="I16" s="477">
        <v>0</v>
      </c>
      <c r="J16" s="477">
        <v>3374</v>
      </c>
      <c r="K16" s="477">
        <v>0</v>
      </c>
      <c r="M16" s="313"/>
      <c r="N16" s="314"/>
      <c r="O16" s="315"/>
      <c r="P16" s="316"/>
      <c r="R16" s="481" t="s">
        <v>426</v>
      </c>
      <c r="S16" s="481" t="s">
        <v>425</v>
      </c>
      <c r="T16" s="481" t="s">
        <v>13</v>
      </c>
      <c r="U16" s="481" t="s">
        <v>14</v>
      </c>
      <c r="V16" s="481" t="s">
        <v>15</v>
      </c>
      <c r="W16" s="481">
        <v>0</v>
      </c>
      <c r="X16" s="481" t="s">
        <v>149</v>
      </c>
      <c r="Y16" s="482">
        <v>1</v>
      </c>
      <c r="Z16" s="481">
        <v>0</v>
      </c>
      <c r="AA16" s="483">
        <v>0</v>
      </c>
      <c r="AB16" s="481">
        <v>0</v>
      </c>
      <c r="AC16" s="481">
        <v>3374</v>
      </c>
    </row>
    <row r="17" spans="1:29" ht="20.100000000000001" customHeight="1" x14ac:dyDescent="0.2">
      <c r="A17" s="476" t="s">
        <v>37</v>
      </c>
      <c r="B17" s="476" t="s">
        <v>28</v>
      </c>
      <c r="C17" s="476" t="s">
        <v>13</v>
      </c>
      <c r="D17" s="476" t="s">
        <v>14</v>
      </c>
      <c r="E17" s="476" t="s">
        <v>15</v>
      </c>
      <c r="F17" s="477">
        <v>7958</v>
      </c>
      <c r="G17" s="477">
        <v>6819</v>
      </c>
      <c r="H17" s="478">
        <v>0.85687358632822297</v>
      </c>
      <c r="I17" s="477">
        <v>12950</v>
      </c>
      <c r="J17" s="477">
        <v>465</v>
      </c>
      <c r="K17" s="477">
        <v>392</v>
      </c>
      <c r="M17" s="313"/>
      <c r="N17" s="314"/>
      <c r="O17" s="315"/>
      <c r="P17" s="316"/>
      <c r="R17" s="481" t="s">
        <v>37</v>
      </c>
      <c r="S17" s="481" t="s">
        <v>28</v>
      </c>
      <c r="T17" s="481" t="s">
        <v>13</v>
      </c>
      <c r="U17" s="481" t="s">
        <v>14</v>
      </c>
      <c r="V17" s="481" t="s">
        <v>15</v>
      </c>
      <c r="W17" s="481">
        <v>0</v>
      </c>
      <c r="X17" s="481" t="s">
        <v>149</v>
      </c>
      <c r="Y17" s="482">
        <v>7958</v>
      </c>
      <c r="Z17" s="481">
        <v>6819</v>
      </c>
      <c r="AA17" s="483">
        <v>0.85687358632822319</v>
      </c>
      <c r="AB17" s="481">
        <v>12950</v>
      </c>
      <c r="AC17" s="481">
        <v>465</v>
      </c>
    </row>
    <row r="18" spans="1:29" ht="20.100000000000001" customHeight="1" x14ac:dyDescent="0.2">
      <c r="A18" s="476" t="s">
        <v>39</v>
      </c>
      <c r="B18" s="476" t="s">
        <v>17</v>
      </c>
      <c r="C18" s="476" t="s">
        <v>13</v>
      </c>
      <c r="D18" s="476" t="s">
        <v>14</v>
      </c>
      <c r="E18" s="476" t="s">
        <v>15</v>
      </c>
      <c r="F18" s="477">
        <v>1469</v>
      </c>
      <c r="G18" s="477">
        <v>1279</v>
      </c>
      <c r="H18" s="478">
        <v>0.87066031313818903</v>
      </c>
      <c r="I18" s="477">
        <v>2542</v>
      </c>
      <c r="J18" s="477">
        <v>66</v>
      </c>
      <c r="K18" s="477">
        <v>0</v>
      </c>
      <c r="M18" s="313"/>
      <c r="N18" s="314"/>
      <c r="O18" s="315"/>
      <c r="P18" s="316"/>
      <c r="R18" s="481" t="s">
        <v>39</v>
      </c>
      <c r="S18" s="481" t="s">
        <v>17</v>
      </c>
      <c r="T18" s="481" t="s">
        <v>13</v>
      </c>
      <c r="U18" s="481" t="s">
        <v>14</v>
      </c>
      <c r="V18" s="481" t="s">
        <v>15</v>
      </c>
      <c r="W18" s="481">
        <v>0</v>
      </c>
      <c r="X18" s="481" t="s">
        <v>149</v>
      </c>
      <c r="Y18" s="482">
        <v>1469</v>
      </c>
      <c r="Z18" s="481">
        <v>1279</v>
      </c>
      <c r="AA18" s="483">
        <v>0.87066031313818926</v>
      </c>
      <c r="AB18" s="481">
        <v>2542</v>
      </c>
      <c r="AC18" s="481">
        <v>66</v>
      </c>
    </row>
    <row r="19" spans="1:29" ht="20.100000000000001" customHeight="1" x14ac:dyDescent="0.2">
      <c r="A19" s="476" t="s">
        <v>40</v>
      </c>
      <c r="B19" s="476" t="s">
        <v>374</v>
      </c>
      <c r="C19" s="476" t="s">
        <v>13</v>
      </c>
      <c r="D19" s="476" t="s">
        <v>14</v>
      </c>
      <c r="E19" s="476" t="s">
        <v>15</v>
      </c>
      <c r="F19" s="477">
        <v>2282</v>
      </c>
      <c r="G19" s="477">
        <v>1546</v>
      </c>
      <c r="H19" s="478">
        <v>0.67747589833479405</v>
      </c>
      <c r="I19" s="477">
        <v>3051</v>
      </c>
      <c r="J19" s="477">
        <v>503</v>
      </c>
      <c r="K19" s="477">
        <v>250</v>
      </c>
      <c r="M19" s="313"/>
      <c r="N19" s="314"/>
      <c r="O19" s="315"/>
      <c r="P19" s="316"/>
      <c r="R19" s="481" t="s">
        <v>40</v>
      </c>
      <c r="S19" s="481" t="s">
        <v>374</v>
      </c>
      <c r="T19" s="481" t="s">
        <v>13</v>
      </c>
      <c r="U19" s="481" t="s">
        <v>14</v>
      </c>
      <c r="V19" s="481" t="s">
        <v>15</v>
      </c>
      <c r="W19" s="481" t="s">
        <v>140</v>
      </c>
      <c r="X19" s="481" t="s">
        <v>149</v>
      </c>
      <c r="Y19" s="482">
        <v>2282</v>
      </c>
      <c r="Z19" s="481">
        <v>1546</v>
      </c>
      <c r="AA19" s="483">
        <v>0.67747589833479405</v>
      </c>
      <c r="AB19" s="481">
        <v>3051</v>
      </c>
      <c r="AC19" s="481">
        <v>503</v>
      </c>
    </row>
    <row r="20" spans="1:29" ht="20.100000000000001" customHeight="1" x14ac:dyDescent="0.2">
      <c r="A20" s="476" t="s">
        <v>43</v>
      </c>
      <c r="B20" s="476" t="s">
        <v>427</v>
      </c>
      <c r="C20" s="476" t="s">
        <v>13</v>
      </c>
      <c r="D20" s="476" t="s">
        <v>14</v>
      </c>
      <c r="E20" s="476" t="s">
        <v>15</v>
      </c>
      <c r="F20" s="477">
        <v>0</v>
      </c>
      <c r="G20" s="477">
        <v>0</v>
      </c>
      <c r="H20" s="478">
        <v>0</v>
      </c>
      <c r="I20" s="477">
        <v>0</v>
      </c>
      <c r="J20" s="477">
        <v>366</v>
      </c>
      <c r="K20" s="477">
        <v>0</v>
      </c>
      <c r="M20" s="313"/>
      <c r="N20" s="314"/>
      <c r="O20" s="315"/>
      <c r="P20" s="316"/>
      <c r="R20" s="481" t="s">
        <v>43</v>
      </c>
      <c r="S20" s="481" t="s">
        <v>427</v>
      </c>
      <c r="T20" s="481" t="s">
        <v>13</v>
      </c>
      <c r="U20" s="481" t="s">
        <v>14</v>
      </c>
      <c r="V20" s="481" t="s">
        <v>15</v>
      </c>
      <c r="W20" s="481">
        <v>0</v>
      </c>
      <c r="X20" s="481" t="s">
        <v>149</v>
      </c>
      <c r="Y20" s="482">
        <v>0</v>
      </c>
      <c r="Z20" s="481">
        <v>0</v>
      </c>
      <c r="AA20" s="483">
        <v>0</v>
      </c>
      <c r="AB20" s="481">
        <v>0</v>
      </c>
      <c r="AC20" s="481">
        <v>366</v>
      </c>
    </row>
    <row r="21" spans="1:29" ht="20.100000000000001" customHeight="1" x14ac:dyDescent="0.2">
      <c r="A21" s="476" t="s">
        <v>428</v>
      </c>
      <c r="B21" s="476" t="s">
        <v>429</v>
      </c>
      <c r="C21" s="476" t="s">
        <v>13</v>
      </c>
      <c r="D21" s="476" t="s">
        <v>14</v>
      </c>
      <c r="E21" s="476" t="s">
        <v>15</v>
      </c>
      <c r="F21" s="477">
        <v>1694</v>
      </c>
      <c r="G21" s="477">
        <v>1487</v>
      </c>
      <c r="H21" s="478">
        <v>0.87780401416765097</v>
      </c>
      <c r="I21" s="477">
        <v>0</v>
      </c>
      <c r="J21" s="477">
        <v>1000</v>
      </c>
      <c r="K21" s="477">
        <v>2808</v>
      </c>
      <c r="M21" s="313"/>
      <c r="N21" s="314"/>
      <c r="O21" s="315"/>
      <c r="P21" s="316"/>
      <c r="R21" s="481" t="s">
        <v>428</v>
      </c>
      <c r="S21" s="481" t="s">
        <v>429</v>
      </c>
      <c r="T21" s="481" t="s">
        <v>13</v>
      </c>
      <c r="U21" s="481" t="s">
        <v>14</v>
      </c>
      <c r="V21" s="481" t="s">
        <v>15</v>
      </c>
      <c r="W21" s="481">
        <v>0</v>
      </c>
      <c r="X21" s="481" t="s">
        <v>149</v>
      </c>
      <c r="Y21" s="482">
        <v>1694</v>
      </c>
      <c r="Z21" s="481">
        <v>1487</v>
      </c>
      <c r="AA21" s="483">
        <v>0.87780401416765053</v>
      </c>
      <c r="AB21" s="481">
        <v>0</v>
      </c>
      <c r="AC21" s="481">
        <v>1000</v>
      </c>
    </row>
    <row r="22" spans="1:29" ht="20.100000000000001" customHeight="1" x14ac:dyDescent="0.2">
      <c r="A22" s="476" t="s">
        <v>430</v>
      </c>
      <c r="B22" s="476" t="s">
        <v>427</v>
      </c>
      <c r="C22" s="476" t="s">
        <v>13</v>
      </c>
      <c r="D22" s="476" t="s">
        <v>14</v>
      </c>
      <c r="E22" s="476" t="s">
        <v>15</v>
      </c>
      <c r="F22" s="477">
        <v>0</v>
      </c>
      <c r="G22" s="477">
        <v>0</v>
      </c>
      <c r="H22" s="478">
        <v>0</v>
      </c>
      <c r="I22" s="477">
        <v>0</v>
      </c>
      <c r="J22" s="477">
        <v>448</v>
      </c>
      <c r="K22" s="477">
        <v>0</v>
      </c>
      <c r="M22" s="313"/>
      <c r="N22" s="314"/>
      <c r="O22" s="315"/>
      <c r="P22" s="316"/>
      <c r="R22" s="481" t="s">
        <v>430</v>
      </c>
      <c r="S22" s="481" t="s">
        <v>427</v>
      </c>
      <c r="T22" s="481" t="s">
        <v>13</v>
      </c>
      <c r="U22" s="481" t="s">
        <v>14</v>
      </c>
      <c r="V22" s="481" t="s">
        <v>15</v>
      </c>
      <c r="W22" s="481">
        <v>0</v>
      </c>
      <c r="X22" s="481" t="s">
        <v>149</v>
      </c>
      <c r="Y22" s="482">
        <v>0</v>
      </c>
      <c r="Z22" s="481">
        <v>0</v>
      </c>
      <c r="AA22" s="483">
        <v>0</v>
      </c>
      <c r="AB22" s="481">
        <v>0</v>
      </c>
      <c r="AC22" s="481">
        <v>448</v>
      </c>
    </row>
    <row r="23" spans="1:29" ht="20.100000000000001" customHeight="1" x14ac:dyDescent="0.2">
      <c r="A23" s="476" t="s">
        <v>44</v>
      </c>
      <c r="B23" s="476" t="s">
        <v>431</v>
      </c>
      <c r="C23" s="476" t="s">
        <v>13</v>
      </c>
      <c r="D23" s="476" t="s">
        <v>14</v>
      </c>
      <c r="E23" s="476" t="s">
        <v>15</v>
      </c>
      <c r="F23" s="477">
        <v>2326</v>
      </c>
      <c r="G23" s="477">
        <v>2007</v>
      </c>
      <c r="H23" s="478">
        <v>0.86285468615649197</v>
      </c>
      <c r="I23" s="477">
        <v>0</v>
      </c>
      <c r="J23" s="477">
        <v>2006</v>
      </c>
      <c r="K23" s="477">
        <v>3545</v>
      </c>
      <c r="M23" s="313"/>
      <c r="N23" s="314"/>
      <c r="O23" s="315"/>
      <c r="P23" s="316"/>
      <c r="R23" s="481" t="s">
        <v>44</v>
      </c>
      <c r="S23" s="481" t="s">
        <v>431</v>
      </c>
      <c r="T23" s="481" t="s">
        <v>13</v>
      </c>
      <c r="U23" s="481" t="s">
        <v>14</v>
      </c>
      <c r="V23" s="481" t="s">
        <v>15</v>
      </c>
      <c r="W23" s="481" t="s">
        <v>144</v>
      </c>
      <c r="X23" s="481" t="s">
        <v>149</v>
      </c>
      <c r="Y23" s="482">
        <v>2326</v>
      </c>
      <c r="Z23" s="481">
        <v>2007</v>
      </c>
      <c r="AA23" s="483">
        <v>0.86285468615649186</v>
      </c>
      <c r="AB23" s="481">
        <v>0</v>
      </c>
      <c r="AC23" s="481">
        <v>2006</v>
      </c>
    </row>
    <row r="24" spans="1:29" ht="20.100000000000001" customHeight="1" x14ac:dyDescent="0.2">
      <c r="A24" s="476" t="s">
        <v>49</v>
      </c>
      <c r="B24" s="476" t="s">
        <v>50</v>
      </c>
      <c r="C24" s="476" t="s">
        <v>47</v>
      </c>
      <c r="D24" s="476" t="s">
        <v>14</v>
      </c>
      <c r="E24" s="476" t="s">
        <v>15</v>
      </c>
      <c r="F24" s="477">
        <v>690</v>
      </c>
      <c r="G24" s="477">
        <v>543</v>
      </c>
      <c r="H24" s="478">
        <v>0.78695652173913</v>
      </c>
      <c r="I24" s="477">
        <v>542</v>
      </c>
      <c r="J24" s="477">
        <v>80</v>
      </c>
      <c r="K24" s="477">
        <v>0</v>
      </c>
      <c r="M24" s="313"/>
      <c r="N24" s="314"/>
      <c r="O24" s="315"/>
      <c r="P24" s="316"/>
      <c r="R24" s="481" t="s">
        <v>49</v>
      </c>
      <c r="S24" s="481" t="s">
        <v>50</v>
      </c>
      <c r="T24" s="481" t="s">
        <v>47</v>
      </c>
      <c r="U24" s="481" t="s">
        <v>14</v>
      </c>
      <c r="V24" s="481" t="s">
        <v>15</v>
      </c>
      <c r="W24" s="481">
        <v>0</v>
      </c>
      <c r="X24" s="481" t="s">
        <v>149</v>
      </c>
      <c r="Y24" s="482">
        <v>690</v>
      </c>
      <c r="Z24" s="481">
        <v>543</v>
      </c>
      <c r="AA24" s="483">
        <v>0.78695652173913044</v>
      </c>
      <c r="AB24" s="481">
        <v>542</v>
      </c>
      <c r="AC24" s="481">
        <v>80</v>
      </c>
    </row>
    <row r="25" spans="1:29" ht="20.100000000000001" customHeight="1" x14ac:dyDescent="0.2">
      <c r="A25" s="476" t="s">
        <v>53</v>
      </c>
      <c r="B25" s="476" t="s">
        <v>54</v>
      </c>
      <c r="C25" s="476" t="s">
        <v>47</v>
      </c>
      <c r="D25" s="476" t="s">
        <v>14</v>
      </c>
      <c r="E25" s="476" t="s">
        <v>15</v>
      </c>
      <c r="F25" s="477">
        <v>2968</v>
      </c>
      <c r="G25" s="477">
        <v>2364</v>
      </c>
      <c r="H25" s="478">
        <v>0.79649595687331498</v>
      </c>
      <c r="I25" s="477">
        <v>3555</v>
      </c>
      <c r="J25" s="477">
        <v>1124</v>
      </c>
      <c r="K25" s="477">
        <v>0</v>
      </c>
      <c r="M25" s="313"/>
      <c r="N25" s="314"/>
      <c r="O25" s="315"/>
      <c r="P25" s="316"/>
      <c r="R25" s="481" t="s">
        <v>53</v>
      </c>
      <c r="S25" s="481" t="s">
        <v>54</v>
      </c>
      <c r="T25" s="481" t="s">
        <v>47</v>
      </c>
      <c r="U25" s="481" t="s">
        <v>14</v>
      </c>
      <c r="V25" s="481" t="s">
        <v>15</v>
      </c>
      <c r="W25" s="481">
        <v>0</v>
      </c>
      <c r="X25" s="481" t="s">
        <v>149</v>
      </c>
      <c r="Y25" s="482">
        <v>2968</v>
      </c>
      <c r="Z25" s="481">
        <v>2364</v>
      </c>
      <c r="AA25" s="483">
        <v>0.79649595687331531</v>
      </c>
      <c r="AB25" s="481">
        <v>3555</v>
      </c>
      <c r="AC25" s="481">
        <v>1124</v>
      </c>
    </row>
    <row r="26" spans="1:29" ht="20.100000000000001" customHeight="1" x14ac:dyDescent="0.2">
      <c r="A26" s="476" t="s">
        <v>56</v>
      </c>
      <c r="B26" s="476" t="s">
        <v>57</v>
      </c>
      <c r="C26" s="476" t="s">
        <v>47</v>
      </c>
      <c r="D26" s="476" t="s">
        <v>14</v>
      </c>
      <c r="E26" s="476" t="s">
        <v>15</v>
      </c>
      <c r="F26" s="477">
        <v>96</v>
      </c>
      <c r="G26" s="477">
        <v>87</v>
      </c>
      <c r="H26" s="478">
        <v>0.90625</v>
      </c>
      <c r="I26" s="477">
        <v>174</v>
      </c>
      <c r="J26" s="477">
        <v>0</v>
      </c>
      <c r="K26" s="477">
        <v>0</v>
      </c>
      <c r="M26" s="313"/>
      <c r="N26" s="314"/>
      <c r="O26" s="315"/>
      <c r="P26" s="316"/>
      <c r="R26" s="481" t="s">
        <v>56</v>
      </c>
      <c r="S26" s="481" t="s">
        <v>57</v>
      </c>
      <c r="T26" s="481" t="s">
        <v>47</v>
      </c>
      <c r="U26" s="481" t="s">
        <v>14</v>
      </c>
      <c r="V26" s="481" t="s">
        <v>15</v>
      </c>
      <c r="W26" s="481">
        <v>0</v>
      </c>
      <c r="X26" s="481" t="s">
        <v>149</v>
      </c>
      <c r="Y26" s="482">
        <v>96</v>
      </c>
      <c r="Z26" s="482">
        <v>87</v>
      </c>
      <c r="AA26" s="483">
        <v>0.90625</v>
      </c>
      <c r="AB26" s="481">
        <v>174</v>
      </c>
      <c r="AC26" s="482">
        <v>0</v>
      </c>
    </row>
    <row r="27" spans="1:29" ht="20.100000000000001" customHeight="1" x14ac:dyDescent="0.2">
      <c r="A27" s="476" t="s">
        <v>59</v>
      </c>
      <c r="B27" s="476" t="s">
        <v>60</v>
      </c>
      <c r="C27" s="476" t="s">
        <v>47</v>
      </c>
      <c r="D27" s="476" t="s">
        <v>48</v>
      </c>
      <c r="E27" s="476" t="s">
        <v>15</v>
      </c>
      <c r="F27" s="477">
        <v>360</v>
      </c>
      <c r="G27" s="477">
        <v>332</v>
      </c>
      <c r="H27" s="478">
        <v>0.92222222222222205</v>
      </c>
      <c r="I27" s="477">
        <v>0</v>
      </c>
      <c r="J27" s="477">
        <v>157</v>
      </c>
      <c r="K27" s="477">
        <v>1222</v>
      </c>
      <c r="M27" s="313"/>
      <c r="N27" s="314"/>
      <c r="O27" s="315"/>
      <c r="P27" s="316"/>
      <c r="R27" s="481" t="s">
        <v>59</v>
      </c>
      <c r="S27" s="481" t="s">
        <v>60</v>
      </c>
      <c r="T27" s="481" t="s">
        <v>47</v>
      </c>
      <c r="U27" s="481" t="s">
        <v>48</v>
      </c>
      <c r="V27" s="481" t="s">
        <v>15</v>
      </c>
      <c r="W27" s="481">
        <v>0</v>
      </c>
      <c r="X27" s="481">
        <v>0</v>
      </c>
      <c r="Y27" s="482">
        <v>360</v>
      </c>
      <c r="Z27" s="481">
        <v>332</v>
      </c>
      <c r="AA27" s="483">
        <v>0.92222222222222228</v>
      </c>
      <c r="AB27" s="481">
        <v>0</v>
      </c>
      <c r="AC27" s="481">
        <v>157</v>
      </c>
    </row>
    <row r="28" spans="1:29" ht="20.100000000000001" customHeight="1" x14ac:dyDescent="0.2">
      <c r="A28" s="476" t="s">
        <v>62</v>
      </c>
      <c r="B28" s="476" t="s">
        <v>63</v>
      </c>
      <c r="C28" s="476" t="s">
        <v>47</v>
      </c>
      <c r="D28" s="476" t="s">
        <v>14</v>
      </c>
      <c r="E28" s="476" t="s">
        <v>15</v>
      </c>
      <c r="F28" s="477">
        <v>91</v>
      </c>
      <c r="G28" s="477">
        <v>71</v>
      </c>
      <c r="H28" s="478">
        <v>0.78021978021978</v>
      </c>
      <c r="I28" s="477">
        <v>179</v>
      </c>
      <c r="J28" s="477">
        <v>91</v>
      </c>
      <c r="K28" s="477">
        <v>0</v>
      </c>
      <c r="M28" s="313"/>
      <c r="N28" s="314"/>
      <c r="O28" s="315"/>
      <c r="P28" s="316"/>
      <c r="R28" s="481" t="s">
        <v>62</v>
      </c>
      <c r="S28" s="481" t="s">
        <v>63</v>
      </c>
      <c r="T28" s="481" t="s">
        <v>47</v>
      </c>
      <c r="U28" s="481" t="s">
        <v>14</v>
      </c>
      <c r="V28" s="481" t="s">
        <v>15</v>
      </c>
      <c r="W28" s="481">
        <v>0</v>
      </c>
      <c r="X28" s="481" t="s">
        <v>149</v>
      </c>
      <c r="Y28" s="482">
        <v>91</v>
      </c>
      <c r="Z28" s="481">
        <v>71</v>
      </c>
      <c r="AA28" s="483">
        <v>0.78021978021978022</v>
      </c>
      <c r="AB28" s="481">
        <v>179</v>
      </c>
      <c r="AC28" s="481">
        <v>91</v>
      </c>
    </row>
    <row r="29" spans="1:29" ht="20.100000000000001" customHeight="1" x14ac:dyDescent="0.2">
      <c r="A29" s="476" t="s">
        <v>65</v>
      </c>
      <c r="B29" s="476" t="s">
        <v>66</v>
      </c>
      <c r="C29" s="476" t="s">
        <v>47</v>
      </c>
      <c r="D29" s="476" t="s">
        <v>14</v>
      </c>
      <c r="E29" s="476" t="s">
        <v>15</v>
      </c>
      <c r="F29" s="477">
        <v>0</v>
      </c>
      <c r="G29" s="477">
        <v>0</v>
      </c>
      <c r="H29" s="478">
        <v>0</v>
      </c>
      <c r="I29" s="477">
        <v>0</v>
      </c>
      <c r="J29" s="477">
        <v>0</v>
      </c>
      <c r="K29" s="477">
        <v>0</v>
      </c>
      <c r="M29" s="313"/>
      <c r="N29" s="314"/>
      <c r="O29" s="315"/>
      <c r="P29" s="316"/>
      <c r="R29" s="481" t="s">
        <v>65</v>
      </c>
      <c r="S29" s="481" t="s">
        <v>66</v>
      </c>
      <c r="T29" s="481" t="s">
        <v>47</v>
      </c>
      <c r="U29" s="481" t="s">
        <v>14</v>
      </c>
      <c r="V29" s="481" t="s">
        <v>15</v>
      </c>
      <c r="W29" s="481">
        <v>0</v>
      </c>
      <c r="X29" s="481" t="s">
        <v>150</v>
      </c>
      <c r="Y29" s="482">
        <v>0</v>
      </c>
      <c r="Z29" s="481">
        <v>0</v>
      </c>
      <c r="AA29" s="483">
        <v>0</v>
      </c>
      <c r="AB29" s="481">
        <v>0</v>
      </c>
      <c r="AC29" s="481">
        <v>0</v>
      </c>
    </row>
    <row r="30" spans="1:29" ht="20.100000000000001" customHeight="1" x14ac:dyDescent="0.2">
      <c r="A30" s="476" t="s">
        <v>68</v>
      </c>
      <c r="B30" s="476" t="s">
        <v>69</v>
      </c>
      <c r="C30" s="476" t="s">
        <v>47</v>
      </c>
      <c r="D30" s="476" t="s">
        <v>14</v>
      </c>
      <c r="E30" s="476" t="s">
        <v>15</v>
      </c>
      <c r="F30" s="477">
        <v>1480</v>
      </c>
      <c r="G30" s="477">
        <v>1222</v>
      </c>
      <c r="H30" s="478">
        <v>0.82567567567567601</v>
      </c>
      <c r="I30" s="477">
        <v>1990</v>
      </c>
      <c r="J30" s="477">
        <v>362</v>
      </c>
      <c r="K30" s="477">
        <v>0</v>
      </c>
      <c r="M30" s="313"/>
      <c r="N30" s="314"/>
      <c r="O30" s="315"/>
      <c r="P30" s="316"/>
      <c r="R30" s="481" t="s">
        <v>68</v>
      </c>
      <c r="S30" s="481" t="s">
        <v>69</v>
      </c>
      <c r="T30" s="481" t="s">
        <v>47</v>
      </c>
      <c r="U30" s="481" t="s">
        <v>14</v>
      </c>
      <c r="V30" s="481" t="s">
        <v>15</v>
      </c>
      <c r="W30" s="481">
        <v>0</v>
      </c>
      <c r="X30" s="481" t="s">
        <v>149</v>
      </c>
      <c r="Y30" s="482">
        <v>1480</v>
      </c>
      <c r="Z30" s="481">
        <v>1222</v>
      </c>
      <c r="AA30" s="483">
        <v>0.82567567567567568</v>
      </c>
      <c r="AB30" s="481">
        <v>1990</v>
      </c>
      <c r="AC30" s="481">
        <v>362</v>
      </c>
    </row>
    <row r="31" spans="1:29" ht="20.100000000000001" customHeight="1" x14ac:dyDescent="0.2">
      <c r="A31" s="476" t="s">
        <v>71</v>
      </c>
      <c r="B31" s="476" t="s">
        <v>72</v>
      </c>
      <c r="C31" s="476" t="s">
        <v>47</v>
      </c>
      <c r="D31" s="476" t="s">
        <v>14</v>
      </c>
      <c r="E31" s="476" t="s">
        <v>15</v>
      </c>
      <c r="F31" s="477">
        <v>0</v>
      </c>
      <c r="G31" s="477">
        <v>0</v>
      </c>
      <c r="H31" s="478">
        <v>0</v>
      </c>
      <c r="I31" s="477">
        <v>0</v>
      </c>
      <c r="J31" s="477">
        <v>2</v>
      </c>
      <c r="K31" s="477">
        <v>0</v>
      </c>
      <c r="M31" s="313"/>
      <c r="N31" s="314"/>
      <c r="O31" s="315"/>
      <c r="P31" s="316"/>
      <c r="R31" s="481" t="s">
        <v>71</v>
      </c>
      <c r="S31" s="481" t="s">
        <v>72</v>
      </c>
      <c r="T31" s="481" t="s">
        <v>47</v>
      </c>
      <c r="U31" s="481" t="s">
        <v>14</v>
      </c>
      <c r="V31" s="481" t="s">
        <v>15</v>
      </c>
      <c r="W31" s="481">
        <v>0</v>
      </c>
      <c r="X31" s="481" t="s">
        <v>149</v>
      </c>
      <c r="Y31" s="482">
        <v>0</v>
      </c>
      <c r="Z31" s="481">
        <v>0</v>
      </c>
      <c r="AA31" s="483">
        <v>0</v>
      </c>
      <c r="AB31" s="481">
        <v>0</v>
      </c>
      <c r="AC31" s="481">
        <v>2</v>
      </c>
    </row>
    <row r="32" spans="1:29" ht="20.100000000000001" customHeight="1" x14ac:dyDescent="0.2">
      <c r="A32" s="476" t="s">
        <v>76</v>
      </c>
      <c r="B32" s="476" t="s">
        <v>77</v>
      </c>
      <c r="C32" s="476" t="s">
        <v>47</v>
      </c>
      <c r="D32" s="476" t="s">
        <v>14</v>
      </c>
      <c r="E32" s="476" t="s">
        <v>15</v>
      </c>
      <c r="F32" s="477">
        <v>411</v>
      </c>
      <c r="G32" s="477">
        <v>351</v>
      </c>
      <c r="H32" s="478">
        <v>0.85401459854014605</v>
      </c>
      <c r="I32" s="477">
        <v>702</v>
      </c>
      <c r="J32" s="477">
        <v>159</v>
      </c>
      <c r="K32" s="477">
        <v>0</v>
      </c>
      <c r="M32" s="313"/>
      <c r="N32" s="314"/>
      <c r="O32" s="315"/>
      <c r="P32" s="316"/>
      <c r="R32" s="481" t="s">
        <v>76</v>
      </c>
      <c r="S32" s="481" t="s">
        <v>77</v>
      </c>
      <c r="T32" s="481" t="s">
        <v>47</v>
      </c>
      <c r="U32" s="481" t="s">
        <v>14</v>
      </c>
      <c r="V32" s="481" t="s">
        <v>15</v>
      </c>
      <c r="W32" s="481">
        <v>0</v>
      </c>
      <c r="X32" s="481" t="s">
        <v>149</v>
      </c>
      <c r="Y32" s="482">
        <v>411</v>
      </c>
      <c r="Z32" s="481">
        <v>351</v>
      </c>
      <c r="AA32" s="483">
        <v>0.85401459854014594</v>
      </c>
      <c r="AB32" s="481">
        <v>702</v>
      </c>
      <c r="AC32" s="481">
        <v>159</v>
      </c>
    </row>
    <row r="33" spans="1:29" ht="20.100000000000001" customHeight="1" x14ac:dyDescent="0.2">
      <c r="A33" s="476" t="s">
        <v>79</v>
      </c>
      <c r="B33" s="476" t="s">
        <v>80</v>
      </c>
      <c r="C33" s="476" t="s">
        <v>47</v>
      </c>
      <c r="D33" s="476" t="s">
        <v>48</v>
      </c>
      <c r="E33" s="476" t="s">
        <v>15</v>
      </c>
      <c r="F33" s="477">
        <v>1328</v>
      </c>
      <c r="G33" s="477">
        <v>1035</v>
      </c>
      <c r="H33" s="478">
        <v>0.77936746987951799</v>
      </c>
      <c r="I33" s="477">
        <v>0</v>
      </c>
      <c r="J33" s="477">
        <v>580</v>
      </c>
      <c r="K33" s="477">
        <v>2252</v>
      </c>
      <c r="M33" s="313"/>
      <c r="N33" s="314"/>
      <c r="O33" s="315"/>
      <c r="P33" s="316"/>
      <c r="R33" s="481" t="s">
        <v>79</v>
      </c>
      <c r="S33" s="481" t="s">
        <v>80</v>
      </c>
      <c r="T33" s="481" t="s">
        <v>47</v>
      </c>
      <c r="U33" s="481" t="s">
        <v>48</v>
      </c>
      <c r="V33" s="481" t="s">
        <v>15</v>
      </c>
      <c r="W33" s="481">
        <v>0</v>
      </c>
      <c r="X33" s="481">
        <v>0</v>
      </c>
      <c r="Y33" s="482">
        <v>1328</v>
      </c>
      <c r="Z33" s="481">
        <v>1035</v>
      </c>
      <c r="AA33" s="483">
        <v>0.7793674698795181</v>
      </c>
      <c r="AB33" s="481">
        <v>0</v>
      </c>
      <c r="AC33" s="481">
        <v>580</v>
      </c>
    </row>
    <row r="34" spans="1:29" ht="20.100000000000001" customHeight="1" x14ac:dyDescent="0.2">
      <c r="A34" s="476" t="s">
        <v>82</v>
      </c>
      <c r="B34" s="476" t="s">
        <v>83</v>
      </c>
      <c r="C34" s="476" t="s">
        <v>47</v>
      </c>
      <c r="D34" s="476" t="s">
        <v>14</v>
      </c>
      <c r="E34" s="476" t="s">
        <v>15</v>
      </c>
      <c r="F34" s="477">
        <v>247</v>
      </c>
      <c r="G34" s="477">
        <v>212</v>
      </c>
      <c r="H34" s="478">
        <v>0.85829959514169996</v>
      </c>
      <c r="I34" s="477">
        <v>233</v>
      </c>
      <c r="J34" s="477">
        <v>84</v>
      </c>
      <c r="K34" s="477">
        <v>0</v>
      </c>
      <c r="M34" s="313"/>
      <c r="N34" s="314"/>
      <c r="O34" s="315"/>
      <c r="P34" s="316"/>
      <c r="R34" s="481" t="s">
        <v>82</v>
      </c>
      <c r="S34" s="481" t="s">
        <v>83</v>
      </c>
      <c r="T34" s="481" t="s">
        <v>47</v>
      </c>
      <c r="U34" s="481" t="s">
        <v>14</v>
      </c>
      <c r="V34" s="481" t="s">
        <v>15</v>
      </c>
      <c r="W34" s="481">
        <v>0</v>
      </c>
      <c r="X34" s="481" t="s">
        <v>149</v>
      </c>
      <c r="Y34" s="482">
        <v>247</v>
      </c>
      <c r="Z34" s="481">
        <v>212</v>
      </c>
      <c r="AA34" s="483">
        <v>0.8582995951417004</v>
      </c>
      <c r="AB34" s="481">
        <v>233</v>
      </c>
      <c r="AC34" s="481">
        <v>84</v>
      </c>
    </row>
    <row r="35" spans="1:29" ht="20.100000000000001" customHeight="1" x14ac:dyDescent="0.2">
      <c r="A35" s="476" t="s">
        <v>84</v>
      </c>
      <c r="B35" s="476" t="s">
        <v>85</v>
      </c>
      <c r="C35" s="476" t="s">
        <v>47</v>
      </c>
      <c r="D35" s="476" t="s">
        <v>14</v>
      </c>
      <c r="E35" s="476" t="s">
        <v>15</v>
      </c>
      <c r="F35" s="477">
        <v>0</v>
      </c>
      <c r="G35" s="477">
        <v>0</v>
      </c>
      <c r="H35" s="478">
        <v>0</v>
      </c>
      <c r="I35" s="477">
        <v>0</v>
      </c>
      <c r="J35" s="477">
        <v>0</v>
      </c>
      <c r="K35" s="477">
        <v>0</v>
      </c>
      <c r="M35" s="313"/>
      <c r="N35" s="314"/>
      <c r="O35" s="315"/>
      <c r="P35" s="316"/>
      <c r="R35" s="481" t="s">
        <v>84</v>
      </c>
      <c r="S35" s="481" t="s">
        <v>85</v>
      </c>
      <c r="T35" s="481" t="s">
        <v>47</v>
      </c>
      <c r="U35" s="481" t="s">
        <v>14</v>
      </c>
      <c r="V35" s="481" t="s">
        <v>15</v>
      </c>
      <c r="W35" s="481">
        <v>0</v>
      </c>
      <c r="X35" s="481" t="s">
        <v>150</v>
      </c>
      <c r="Y35" s="482">
        <v>0</v>
      </c>
      <c r="Z35" s="481">
        <v>0</v>
      </c>
      <c r="AA35" s="483">
        <v>0</v>
      </c>
      <c r="AB35" s="481">
        <v>0</v>
      </c>
      <c r="AC35" s="481">
        <v>0</v>
      </c>
    </row>
    <row r="36" spans="1:29" ht="20.100000000000001" customHeight="1" x14ac:dyDescent="0.2">
      <c r="A36" s="476" t="s">
        <v>86</v>
      </c>
      <c r="B36" s="476" t="s">
        <v>87</v>
      </c>
      <c r="C36" s="476" t="s">
        <v>47</v>
      </c>
      <c r="D36" s="476" t="s">
        <v>14</v>
      </c>
      <c r="E36" s="476" t="s">
        <v>15</v>
      </c>
      <c r="F36" s="477">
        <v>2</v>
      </c>
      <c r="G36" s="477">
        <v>0</v>
      </c>
      <c r="H36" s="478">
        <v>0</v>
      </c>
      <c r="I36" s="477">
        <v>0</v>
      </c>
      <c r="J36" s="477">
        <v>4</v>
      </c>
      <c r="K36" s="477">
        <v>0</v>
      </c>
      <c r="M36" s="313"/>
      <c r="N36" s="314"/>
      <c r="O36" s="315"/>
      <c r="P36" s="316"/>
      <c r="R36" s="481" t="s">
        <v>86</v>
      </c>
      <c r="S36" s="481" t="s">
        <v>87</v>
      </c>
      <c r="T36" s="481" t="s">
        <v>47</v>
      </c>
      <c r="U36" s="481" t="s">
        <v>14</v>
      </c>
      <c r="V36" s="481" t="s">
        <v>15</v>
      </c>
      <c r="W36" s="481">
        <v>0</v>
      </c>
      <c r="X36" s="481" t="s">
        <v>149</v>
      </c>
      <c r="Y36" s="482">
        <v>2</v>
      </c>
      <c r="Z36" s="481">
        <v>0</v>
      </c>
      <c r="AA36" s="483">
        <v>0</v>
      </c>
      <c r="AB36" s="481">
        <v>0</v>
      </c>
      <c r="AC36" s="481">
        <v>4</v>
      </c>
    </row>
    <row r="37" spans="1:29" ht="20.100000000000001" customHeight="1" x14ac:dyDescent="0.2">
      <c r="A37" s="476" t="s">
        <v>88</v>
      </c>
      <c r="B37" s="476" t="s">
        <v>17</v>
      </c>
      <c r="C37" s="476" t="s">
        <v>22</v>
      </c>
      <c r="D37" s="476" t="s">
        <v>14</v>
      </c>
      <c r="E37" s="476" t="s">
        <v>15</v>
      </c>
      <c r="F37" s="477">
        <v>117</v>
      </c>
      <c r="G37" s="477">
        <v>82</v>
      </c>
      <c r="H37" s="478">
        <v>0.70085470085470103</v>
      </c>
      <c r="I37" s="477">
        <v>97</v>
      </c>
      <c r="J37" s="477">
        <v>65</v>
      </c>
      <c r="K37" s="477">
        <v>9</v>
      </c>
      <c r="M37" s="313"/>
      <c r="N37" s="314"/>
      <c r="O37" s="315"/>
      <c r="P37" s="316"/>
      <c r="R37" s="481" t="s">
        <v>88</v>
      </c>
      <c r="S37" s="481" t="s">
        <v>17</v>
      </c>
      <c r="T37" s="481" t="s">
        <v>22</v>
      </c>
      <c r="U37" s="481" t="s">
        <v>14</v>
      </c>
      <c r="V37" s="481" t="s">
        <v>15</v>
      </c>
      <c r="W37" s="481">
        <v>0</v>
      </c>
      <c r="X37" s="481">
        <v>0</v>
      </c>
      <c r="Y37" s="482">
        <v>117</v>
      </c>
      <c r="Z37" s="481">
        <v>82</v>
      </c>
      <c r="AA37" s="483">
        <v>0.70085470085470081</v>
      </c>
      <c r="AB37" s="481">
        <v>97</v>
      </c>
      <c r="AC37" s="481">
        <v>65</v>
      </c>
    </row>
    <row r="38" spans="1:29" ht="20.100000000000001" customHeight="1" x14ac:dyDescent="0.2">
      <c r="A38" s="476" t="s">
        <v>89</v>
      </c>
      <c r="B38" s="476" t="s">
        <v>17</v>
      </c>
      <c r="C38" s="476" t="s">
        <v>22</v>
      </c>
      <c r="D38" s="476" t="s">
        <v>14</v>
      </c>
      <c r="E38" s="476" t="s">
        <v>15</v>
      </c>
      <c r="F38" s="477">
        <v>25</v>
      </c>
      <c r="G38" s="477">
        <v>19</v>
      </c>
      <c r="H38" s="478">
        <v>0.76</v>
      </c>
      <c r="I38" s="477">
        <v>24</v>
      </c>
      <c r="J38" s="477">
        <v>10</v>
      </c>
      <c r="K38" s="477">
        <v>0</v>
      </c>
      <c r="M38" s="313"/>
      <c r="N38" s="314"/>
      <c r="O38" s="315"/>
      <c r="P38" s="316"/>
      <c r="R38" s="481" t="s">
        <v>89</v>
      </c>
      <c r="S38" s="481" t="s">
        <v>17</v>
      </c>
      <c r="T38" s="481" t="s">
        <v>22</v>
      </c>
      <c r="U38" s="481" t="s">
        <v>14</v>
      </c>
      <c r="V38" s="481" t="s">
        <v>15</v>
      </c>
      <c r="W38" s="481">
        <v>0</v>
      </c>
      <c r="X38" s="481">
        <v>0</v>
      </c>
      <c r="Y38" s="482">
        <v>25</v>
      </c>
      <c r="Z38" s="481">
        <v>19</v>
      </c>
      <c r="AA38" s="483">
        <v>0.76</v>
      </c>
      <c r="AB38" s="481">
        <v>24</v>
      </c>
      <c r="AC38" s="481">
        <v>10</v>
      </c>
    </row>
    <row r="39" spans="1:29" ht="20.100000000000001" customHeight="1" x14ac:dyDescent="0.2">
      <c r="A39" s="476" t="s">
        <v>90</v>
      </c>
      <c r="B39" s="476" t="s">
        <v>17</v>
      </c>
      <c r="C39" s="476" t="s">
        <v>22</v>
      </c>
      <c r="D39" s="476" t="s">
        <v>14</v>
      </c>
      <c r="E39" s="476" t="s">
        <v>15</v>
      </c>
      <c r="F39" s="477">
        <v>243</v>
      </c>
      <c r="G39" s="477">
        <v>183</v>
      </c>
      <c r="H39" s="478">
        <v>0.75308641975308599</v>
      </c>
      <c r="I39" s="477">
        <v>261</v>
      </c>
      <c r="J39" s="477">
        <v>111</v>
      </c>
      <c r="K39" s="477">
        <v>0</v>
      </c>
      <c r="M39" s="313"/>
      <c r="N39" s="314"/>
      <c r="O39" s="315"/>
      <c r="P39" s="316"/>
      <c r="R39" s="481" t="s">
        <v>90</v>
      </c>
      <c r="S39" s="481" t="s">
        <v>17</v>
      </c>
      <c r="T39" s="481" t="s">
        <v>22</v>
      </c>
      <c r="U39" s="481" t="s">
        <v>14</v>
      </c>
      <c r="V39" s="481" t="s">
        <v>15</v>
      </c>
      <c r="W39" s="481">
        <v>0</v>
      </c>
      <c r="X39" s="481">
        <v>0</v>
      </c>
      <c r="Y39" s="482">
        <v>243</v>
      </c>
      <c r="Z39" s="481">
        <v>183</v>
      </c>
      <c r="AA39" s="483">
        <v>0.75308641975308643</v>
      </c>
      <c r="AB39" s="481">
        <v>261</v>
      </c>
      <c r="AC39" s="481">
        <v>111</v>
      </c>
    </row>
    <row r="40" spans="1:29" ht="20.100000000000001" customHeight="1" x14ac:dyDescent="0.2">
      <c r="A40" s="476" t="s">
        <v>91</v>
      </c>
      <c r="B40" s="476" t="s">
        <v>24</v>
      </c>
      <c r="C40" s="476" t="s">
        <v>22</v>
      </c>
      <c r="D40" s="476" t="s">
        <v>14</v>
      </c>
      <c r="E40" s="476" t="s">
        <v>15</v>
      </c>
      <c r="F40" s="477">
        <v>81</v>
      </c>
      <c r="G40" s="477">
        <v>52</v>
      </c>
      <c r="H40" s="478">
        <v>0.64197530864197505</v>
      </c>
      <c r="I40" s="477">
        <v>104</v>
      </c>
      <c r="J40" s="477">
        <v>14</v>
      </c>
      <c r="K40" s="477">
        <v>1</v>
      </c>
      <c r="M40" s="313"/>
      <c r="N40" s="314"/>
      <c r="O40" s="315"/>
      <c r="P40" s="316"/>
      <c r="R40" s="481" t="s">
        <v>91</v>
      </c>
      <c r="S40" s="481" t="s">
        <v>24</v>
      </c>
      <c r="T40" s="481" t="s">
        <v>22</v>
      </c>
      <c r="U40" s="481" t="s">
        <v>14</v>
      </c>
      <c r="V40" s="481" t="s">
        <v>15</v>
      </c>
      <c r="W40" s="481">
        <v>0</v>
      </c>
      <c r="X40" s="481">
        <v>0</v>
      </c>
      <c r="Y40" s="482">
        <v>81</v>
      </c>
      <c r="Z40" s="481">
        <v>52</v>
      </c>
      <c r="AA40" s="483">
        <v>0.64197530864197527</v>
      </c>
      <c r="AB40" s="481">
        <v>104</v>
      </c>
      <c r="AC40" s="481">
        <v>14</v>
      </c>
    </row>
    <row r="41" spans="1:29" ht="20.100000000000001" customHeight="1" x14ac:dyDescent="0.2">
      <c r="A41" s="476" t="s">
        <v>92</v>
      </c>
      <c r="B41" s="476" t="s">
        <v>361</v>
      </c>
      <c r="C41" s="476" t="s">
        <v>22</v>
      </c>
      <c r="D41" s="476" t="s">
        <v>14</v>
      </c>
      <c r="E41" s="476" t="s">
        <v>15</v>
      </c>
      <c r="F41" s="477">
        <v>0</v>
      </c>
      <c r="G41" s="477">
        <v>0</v>
      </c>
      <c r="H41" s="478">
        <v>0</v>
      </c>
      <c r="I41" s="477">
        <v>0</v>
      </c>
      <c r="J41" s="477">
        <v>31</v>
      </c>
      <c r="K41" s="477">
        <v>1</v>
      </c>
      <c r="M41" s="313"/>
      <c r="N41" s="314"/>
      <c r="O41" s="315"/>
      <c r="P41" s="316"/>
      <c r="R41" s="481" t="s">
        <v>92</v>
      </c>
      <c r="S41" s="481" t="s">
        <v>361</v>
      </c>
      <c r="T41" s="481" t="s">
        <v>22</v>
      </c>
      <c r="U41" s="481" t="s">
        <v>14</v>
      </c>
      <c r="V41" s="481" t="s">
        <v>15</v>
      </c>
      <c r="W41" s="481" t="s">
        <v>140</v>
      </c>
      <c r="X41" s="481">
        <v>0</v>
      </c>
      <c r="Y41" s="482">
        <v>0</v>
      </c>
      <c r="Z41" s="481">
        <v>0</v>
      </c>
      <c r="AA41" s="483">
        <v>0</v>
      </c>
      <c r="AB41" s="481">
        <v>0</v>
      </c>
      <c r="AC41" s="481">
        <v>31</v>
      </c>
    </row>
    <row r="42" spans="1:29" ht="20.100000000000001" customHeight="1" x14ac:dyDescent="0.2">
      <c r="A42" s="476" t="s">
        <v>93</v>
      </c>
      <c r="B42" s="476" t="s">
        <v>12</v>
      </c>
      <c r="C42" s="476" t="s">
        <v>22</v>
      </c>
      <c r="D42" s="476" t="s">
        <v>14</v>
      </c>
      <c r="E42" s="476" t="s">
        <v>15</v>
      </c>
      <c r="F42" s="477">
        <v>0</v>
      </c>
      <c r="G42" s="477">
        <v>0</v>
      </c>
      <c r="H42" s="478">
        <v>0</v>
      </c>
      <c r="I42" s="477">
        <v>0</v>
      </c>
      <c r="J42" s="477">
        <v>7</v>
      </c>
      <c r="K42" s="477">
        <v>0</v>
      </c>
      <c r="M42" s="313"/>
      <c r="N42" s="314"/>
      <c r="O42" s="315"/>
      <c r="P42" s="316"/>
      <c r="R42" s="481" t="s">
        <v>93</v>
      </c>
      <c r="S42" s="481" t="s">
        <v>12</v>
      </c>
      <c r="T42" s="481" t="s">
        <v>22</v>
      </c>
      <c r="U42" s="481" t="s">
        <v>14</v>
      </c>
      <c r="V42" s="481" t="s">
        <v>15</v>
      </c>
      <c r="W42" s="481">
        <v>0</v>
      </c>
      <c r="X42" s="481">
        <v>0</v>
      </c>
      <c r="Y42" s="482">
        <v>0</v>
      </c>
      <c r="Z42" s="481">
        <v>0</v>
      </c>
      <c r="AA42" s="483">
        <v>0</v>
      </c>
      <c r="AB42" s="481">
        <v>0</v>
      </c>
      <c r="AC42" s="481">
        <v>7</v>
      </c>
    </row>
    <row r="43" spans="1:29" ht="20.100000000000001" customHeight="1" x14ac:dyDescent="0.2">
      <c r="A43" s="476" t="s">
        <v>94</v>
      </c>
      <c r="B43" s="476" t="s">
        <v>17</v>
      </c>
      <c r="C43" s="476" t="s">
        <v>22</v>
      </c>
      <c r="D43" s="476" t="s">
        <v>14</v>
      </c>
      <c r="E43" s="476" t="s">
        <v>15</v>
      </c>
      <c r="F43" s="477">
        <v>56</v>
      </c>
      <c r="G43" s="477">
        <v>42</v>
      </c>
      <c r="H43" s="478">
        <v>0.75</v>
      </c>
      <c r="I43" s="477">
        <v>41</v>
      </c>
      <c r="J43" s="477">
        <v>29</v>
      </c>
      <c r="K43" s="477">
        <v>11</v>
      </c>
      <c r="M43" s="313"/>
      <c r="N43" s="314"/>
      <c r="O43" s="315"/>
      <c r="P43" s="316"/>
      <c r="R43" s="481" t="s">
        <v>94</v>
      </c>
      <c r="S43" s="481" t="s">
        <v>17</v>
      </c>
      <c r="T43" s="481" t="s">
        <v>22</v>
      </c>
      <c r="U43" s="481" t="s">
        <v>14</v>
      </c>
      <c r="V43" s="481" t="s">
        <v>15</v>
      </c>
      <c r="W43" s="481">
        <v>0</v>
      </c>
      <c r="X43" s="481">
        <v>0</v>
      </c>
      <c r="Y43" s="482">
        <v>56</v>
      </c>
      <c r="Z43" s="481">
        <v>42</v>
      </c>
      <c r="AA43" s="483">
        <v>0.75</v>
      </c>
      <c r="AB43" s="481">
        <v>41</v>
      </c>
      <c r="AC43" s="481">
        <v>29</v>
      </c>
    </row>
    <row r="44" spans="1:29" ht="20.100000000000001" customHeight="1" x14ac:dyDescent="0.2">
      <c r="A44" s="476" t="s">
        <v>95</v>
      </c>
      <c r="B44" s="476" t="s">
        <v>31</v>
      </c>
      <c r="C44" s="476" t="s">
        <v>22</v>
      </c>
      <c r="D44" s="476" t="s">
        <v>14</v>
      </c>
      <c r="E44" s="476" t="s">
        <v>15</v>
      </c>
      <c r="F44" s="477">
        <v>899</v>
      </c>
      <c r="G44" s="477">
        <v>513</v>
      </c>
      <c r="H44" s="478">
        <v>0.57063403781980004</v>
      </c>
      <c r="I44" s="477">
        <v>1158</v>
      </c>
      <c r="J44" s="477">
        <v>358</v>
      </c>
      <c r="K44" s="477">
        <v>0</v>
      </c>
      <c r="M44" s="313"/>
      <c r="N44" s="314"/>
      <c r="O44" s="315"/>
      <c r="P44" s="316"/>
      <c r="R44" s="481" t="s">
        <v>95</v>
      </c>
      <c r="S44" s="481" t="s">
        <v>31</v>
      </c>
      <c r="T44" s="481" t="s">
        <v>22</v>
      </c>
      <c r="U44" s="481" t="s">
        <v>14</v>
      </c>
      <c r="V44" s="481" t="s">
        <v>15</v>
      </c>
      <c r="W44" s="481" t="s">
        <v>140</v>
      </c>
      <c r="X44" s="481">
        <v>0</v>
      </c>
      <c r="Y44" s="482">
        <v>899</v>
      </c>
      <c r="Z44" s="481">
        <v>513</v>
      </c>
      <c r="AA44" s="483">
        <v>0.57063403781979982</v>
      </c>
      <c r="AB44" s="481">
        <v>1158</v>
      </c>
      <c r="AC44" s="481">
        <v>358</v>
      </c>
    </row>
    <row r="45" spans="1:29" ht="20.100000000000001" customHeight="1" x14ac:dyDescent="0.2">
      <c r="A45" s="476" t="s">
        <v>96</v>
      </c>
      <c r="B45" s="476" t="s">
        <v>24</v>
      </c>
      <c r="C45" s="476" t="s">
        <v>22</v>
      </c>
      <c r="D45" s="476" t="s">
        <v>14</v>
      </c>
      <c r="E45" s="476" t="s">
        <v>15</v>
      </c>
      <c r="F45" s="477">
        <v>19</v>
      </c>
      <c r="G45" s="477">
        <v>11</v>
      </c>
      <c r="H45" s="478">
        <v>0.57894736842105299</v>
      </c>
      <c r="I45" s="477">
        <v>22</v>
      </c>
      <c r="J45" s="477">
        <v>15</v>
      </c>
      <c r="K45" s="477">
        <v>0</v>
      </c>
      <c r="M45" s="313"/>
      <c r="N45" s="314"/>
      <c r="O45" s="315"/>
      <c r="P45" s="316"/>
      <c r="R45" s="481" t="s">
        <v>96</v>
      </c>
      <c r="S45" s="481" t="s">
        <v>24</v>
      </c>
      <c r="T45" s="481" t="s">
        <v>22</v>
      </c>
      <c r="U45" s="481" t="s">
        <v>14</v>
      </c>
      <c r="V45" s="481" t="s">
        <v>15</v>
      </c>
      <c r="W45" s="481">
        <v>0</v>
      </c>
      <c r="X45" s="481">
        <v>0</v>
      </c>
      <c r="Y45" s="482">
        <v>19</v>
      </c>
      <c r="Z45" s="481">
        <v>11</v>
      </c>
      <c r="AA45" s="483">
        <v>0.57894736842105265</v>
      </c>
      <c r="AB45" s="481">
        <v>22</v>
      </c>
      <c r="AC45" s="481">
        <v>15</v>
      </c>
    </row>
    <row r="46" spans="1:29" ht="20.100000000000001" customHeight="1" x14ac:dyDescent="0.2">
      <c r="A46" s="476" t="s">
        <v>97</v>
      </c>
      <c r="B46" s="476" t="s">
        <v>361</v>
      </c>
      <c r="C46" s="476" t="s">
        <v>22</v>
      </c>
      <c r="D46" s="476" t="s">
        <v>14</v>
      </c>
      <c r="E46" s="476" t="s">
        <v>15</v>
      </c>
      <c r="F46" s="477">
        <v>98</v>
      </c>
      <c r="G46" s="477">
        <v>47</v>
      </c>
      <c r="H46" s="478">
        <v>0.47959183673469402</v>
      </c>
      <c r="I46" s="477">
        <v>94</v>
      </c>
      <c r="J46" s="477">
        <v>29</v>
      </c>
      <c r="K46" s="477">
        <v>0</v>
      </c>
      <c r="M46" s="313"/>
      <c r="N46" s="314"/>
      <c r="O46" s="315"/>
      <c r="P46" s="316"/>
      <c r="R46" s="481" t="s">
        <v>97</v>
      </c>
      <c r="S46" s="481" t="s">
        <v>361</v>
      </c>
      <c r="T46" s="481" t="s">
        <v>22</v>
      </c>
      <c r="U46" s="481" t="s">
        <v>14</v>
      </c>
      <c r="V46" s="481" t="s">
        <v>15</v>
      </c>
      <c r="W46" s="481" t="s">
        <v>140</v>
      </c>
      <c r="X46" s="481">
        <v>0</v>
      </c>
      <c r="Y46" s="482">
        <v>98</v>
      </c>
      <c r="Z46" s="481">
        <v>47</v>
      </c>
      <c r="AA46" s="483">
        <v>0.47959183673469385</v>
      </c>
      <c r="AB46" s="481">
        <v>94</v>
      </c>
      <c r="AC46" s="481">
        <v>29</v>
      </c>
    </row>
    <row r="47" spans="1:29" ht="20.100000000000001" customHeight="1" x14ac:dyDescent="0.2">
      <c r="A47" s="476" t="s">
        <v>98</v>
      </c>
      <c r="B47" s="476" t="s">
        <v>12</v>
      </c>
      <c r="C47" s="476" t="s">
        <v>22</v>
      </c>
      <c r="D47" s="476" t="s">
        <v>14</v>
      </c>
      <c r="E47" s="476" t="s">
        <v>15</v>
      </c>
      <c r="F47" s="477">
        <v>0</v>
      </c>
      <c r="G47" s="477">
        <v>0</v>
      </c>
      <c r="H47" s="478">
        <v>0</v>
      </c>
      <c r="I47" s="477">
        <v>0</v>
      </c>
      <c r="J47" s="477">
        <v>0</v>
      </c>
      <c r="K47" s="477">
        <v>0</v>
      </c>
      <c r="M47" s="313"/>
      <c r="N47" s="314"/>
      <c r="O47" s="315"/>
      <c r="P47" s="316"/>
      <c r="R47" s="481" t="s">
        <v>98</v>
      </c>
      <c r="S47" s="481" t="s">
        <v>12</v>
      </c>
      <c r="T47" s="481" t="s">
        <v>22</v>
      </c>
      <c r="U47" s="481" t="s">
        <v>14</v>
      </c>
      <c r="V47" s="481" t="s">
        <v>15</v>
      </c>
      <c r="W47" s="481">
        <v>0</v>
      </c>
      <c r="X47" s="481">
        <v>0</v>
      </c>
      <c r="Y47" s="482">
        <v>0</v>
      </c>
      <c r="Z47" s="481">
        <v>0</v>
      </c>
      <c r="AA47" s="483">
        <v>0</v>
      </c>
      <c r="AB47" s="481">
        <v>0</v>
      </c>
      <c r="AC47" s="481">
        <v>0</v>
      </c>
    </row>
    <row r="48" spans="1:29" ht="20.100000000000001" customHeight="1" x14ac:dyDescent="0.2">
      <c r="A48" s="476" t="s">
        <v>99</v>
      </c>
      <c r="B48" s="476" t="s">
        <v>17</v>
      </c>
      <c r="C48" s="476" t="s">
        <v>22</v>
      </c>
      <c r="D48" s="476" t="s">
        <v>14</v>
      </c>
      <c r="E48" s="476" t="s">
        <v>15</v>
      </c>
      <c r="F48" s="477">
        <v>15</v>
      </c>
      <c r="G48" s="477">
        <v>14</v>
      </c>
      <c r="H48" s="478">
        <v>0.93333333333333302</v>
      </c>
      <c r="I48" s="477">
        <v>18</v>
      </c>
      <c r="J48" s="477">
        <v>0</v>
      </c>
      <c r="K48" s="477">
        <v>0</v>
      </c>
      <c r="M48" s="313"/>
      <c r="N48" s="314"/>
      <c r="O48" s="315"/>
      <c r="P48" s="316"/>
      <c r="R48" s="481" t="s">
        <v>99</v>
      </c>
      <c r="S48" s="481" t="s">
        <v>17</v>
      </c>
      <c r="T48" s="481" t="s">
        <v>22</v>
      </c>
      <c r="U48" s="481" t="s">
        <v>14</v>
      </c>
      <c r="V48" s="481" t="s">
        <v>15</v>
      </c>
      <c r="W48" s="481">
        <v>0</v>
      </c>
      <c r="X48" s="481">
        <v>0</v>
      </c>
      <c r="Y48" s="482">
        <v>15</v>
      </c>
      <c r="Z48" s="481">
        <v>14</v>
      </c>
      <c r="AA48" s="483">
        <v>0.93333333333333335</v>
      </c>
      <c r="AB48" s="481">
        <v>18</v>
      </c>
      <c r="AC48" s="481">
        <v>0</v>
      </c>
    </row>
    <row r="49" spans="1:29" ht="20.100000000000001" customHeight="1" x14ac:dyDescent="0.2">
      <c r="A49" s="476" t="s">
        <v>100</v>
      </c>
      <c r="B49" s="476" t="s">
        <v>377</v>
      </c>
      <c r="C49" s="476" t="s">
        <v>22</v>
      </c>
      <c r="D49" s="476" t="s">
        <v>14</v>
      </c>
      <c r="E49" s="476" t="s">
        <v>15</v>
      </c>
      <c r="F49" s="477">
        <v>484</v>
      </c>
      <c r="G49" s="477">
        <v>329</v>
      </c>
      <c r="H49" s="478">
        <v>0.67975206611570205</v>
      </c>
      <c r="I49" s="477">
        <v>640</v>
      </c>
      <c r="J49" s="477">
        <v>204</v>
      </c>
      <c r="K49" s="477">
        <v>286</v>
      </c>
      <c r="M49" s="313"/>
      <c r="N49" s="314"/>
      <c r="O49" s="315"/>
      <c r="P49" s="316"/>
      <c r="R49" s="481" t="s">
        <v>100</v>
      </c>
      <c r="S49" s="481" t="s">
        <v>377</v>
      </c>
      <c r="T49" s="481" t="s">
        <v>22</v>
      </c>
      <c r="U49" s="481" t="s">
        <v>14</v>
      </c>
      <c r="V49" s="481" t="s">
        <v>15</v>
      </c>
      <c r="W49" s="481" t="s">
        <v>140</v>
      </c>
      <c r="X49" s="481">
        <v>0</v>
      </c>
      <c r="Y49" s="482">
        <v>484</v>
      </c>
      <c r="Z49" s="481">
        <v>329</v>
      </c>
      <c r="AA49" s="483">
        <v>0.67975206611570249</v>
      </c>
      <c r="AB49" s="481">
        <v>640</v>
      </c>
      <c r="AC49" s="481">
        <v>204</v>
      </c>
    </row>
    <row r="50" spans="1:29" ht="20.100000000000001" customHeight="1" x14ac:dyDescent="0.2">
      <c r="A50" s="476" t="s">
        <v>21</v>
      </c>
      <c r="B50" s="476" t="s">
        <v>19</v>
      </c>
      <c r="C50" s="476" t="s">
        <v>22</v>
      </c>
      <c r="D50" s="476" t="s">
        <v>32</v>
      </c>
      <c r="E50" s="476" t="s">
        <v>15</v>
      </c>
      <c r="F50" s="477">
        <v>187</v>
      </c>
      <c r="G50" s="477">
        <v>186</v>
      </c>
      <c r="H50" s="478">
        <v>0.99465240641711195</v>
      </c>
      <c r="I50" s="477">
        <v>0</v>
      </c>
      <c r="J50" s="477">
        <v>40</v>
      </c>
      <c r="K50" s="477">
        <v>0</v>
      </c>
      <c r="M50" s="313"/>
      <c r="N50" s="314"/>
      <c r="O50" s="315"/>
      <c r="P50" s="316"/>
      <c r="R50" s="481" t="s">
        <v>21</v>
      </c>
      <c r="S50" s="481" t="s">
        <v>19</v>
      </c>
      <c r="T50" s="481" t="s">
        <v>22</v>
      </c>
      <c r="U50" s="481" t="s">
        <v>32</v>
      </c>
      <c r="V50" s="481" t="s">
        <v>15</v>
      </c>
      <c r="W50" s="481">
        <v>0</v>
      </c>
      <c r="X50" s="481">
        <v>0</v>
      </c>
      <c r="Y50" s="482">
        <v>187</v>
      </c>
      <c r="Z50" s="481">
        <v>186</v>
      </c>
      <c r="AA50" s="483">
        <v>0.99465240641711228</v>
      </c>
      <c r="AB50" s="481">
        <v>0</v>
      </c>
      <c r="AC50" s="481">
        <v>40</v>
      </c>
    </row>
    <row r="51" spans="1:29" ht="20.100000000000001" customHeight="1" x14ac:dyDescent="0.2">
      <c r="A51" s="476" t="s">
        <v>101</v>
      </c>
      <c r="B51" s="476" t="s">
        <v>24</v>
      </c>
      <c r="C51" s="476" t="s">
        <v>22</v>
      </c>
      <c r="D51" s="476" t="s">
        <v>14</v>
      </c>
      <c r="E51" s="476" t="s">
        <v>15</v>
      </c>
      <c r="F51" s="477">
        <v>290</v>
      </c>
      <c r="G51" s="477">
        <v>207</v>
      </c>
      <c r="H51" s="478">
        <v>0.71379310344827596</v>
      </c>
      <c r="I51" s="477">
        <v>295</v>
      </c>
      <c r="J51" s="477">
        <v>254</v>
      </c>
      <c r="K51" s="477">
        <v>2</v>
      </c>
      <c r="M51" s="313"/>
      <c r="N51" s="314"/>
      <c r="O51" s="315"/>
      <c r="P51" s="316"/>
      <c r="R51" s="481" t="s">
        <v>101</v>
      </c>
      <c r="S51" s="481" t="s">
        <v>24</v>
      </c>
      <c r="T51" s="481" t="s">
        <v>22</v>
      </c>
      <c r="U51" s="481" t="s">
        <v>14</v>
      </c>
      <c r="V51" s="481" t="s">
        <v>15</v>
      </c>
      <c r="W51" s="481">
        <v>0</v>
      </c>
      <c r="X51" s="481">
        <v>0</v>
      </c>
      <c r="Y51" s="482">
        <v>290</v>
      </c>
      <c r="Z51" s="481">
        <v>207</v>
      </c>
      <c r="AA51" s="483">
        <v>0.71379310344827585</v>
      </c>
      <c r="AB51" s="481">
        <v>295</v>
      </c>
      <c r="AC51" s="481">
        <v>254</v>
      </c>
    </row>
    <row r="52" spans="1:29" ht="20.100000000000001" customHeight="1" x14ac:dyDescent="0.2">
      <c r="A52" s="476" t="s">
        <v>102</v>
      </c>
      <c r="B52" s="476" t="s">
        <v>361</v>
      </c>
      <c r="C52" s="476" t="s">
        <v>22</v>
      </c>
      <c r="D52" s="476" t="s">
        <v>14</v>
      </c>
      <c r="E52" s="476" t="s">
        <v>15</v>
      </c>
      <c r="F52" s="477">
        <v>596</v>
      </c>
      <c r="G52" s="477">
        <v>323</v>
      </c>
      <c r="H52" s="478">
        <v>0.54194630872483196</v>
      </c>
      <c r="I52" s="477">
        <v>645</v>
      </c>
      <c r="J52" s="477">
        <v>765</v>
      </c>
      <c r="K52" s="477">
        <v>112</v>
      </c>
      <c r="M52" s="313"/>
      <c r="N52" s="314"/>
      <c r="O52" s="315"/>
      <c r="P52" s="316"/>
      <c r="R52" s="481" t="s">
        <v>102</v>
      </c>
      <c r="S52" s="481" t="s">
        <v>361</v>
      </c>
      <c r="T52" s="481" t="s">
        <v>22</v>
      </c>
      <c r="U52" s="481" t="s">
        <v>14</v>
      </c>
      <c r="V52" s="481" t="s">
        <v>15</v>
      </c>
      <c r="W52" s="481" t="s">
        <v>140</v>
      </c>
      <c r="X52" s="481">
        <v>0</v>
      </c>
      <c r="Y52" s="482">
        <v>596</v>
      </c>
      <c r="Z52" s="481">
        <v>323</v>
      </c>
      <c r="AA52" s="483">
        <v>0.54194630872483218</v>
      </c>
      <c r="AB52" s="481">
        <v>645</v>
      </c>
      <c r="AC52" s="481">
        <v>765</v>
      </c>
    </row>
    <row r="53" spans="1:29" ht="20.100000000000001" customHeight="1" x14ac:dyDescent="0.2">
      <c r="A53" s="476" t="s">
        <v>103</v>
      </c>
      <c r="B53" s="476" t="s">
        <v>12</v>
      </c>
      <c r="C53" s="476" t="s">
        <v>22</v>
      </c>
      <c r="D53" s="476" t="s">
        <v>14</v>
      </c>
      <c r="E53" s="476" t="s">
        <v>15</v>
      </c>
      <c r="F53" s="477">
        <v>0</v>
      </c>
      <c r="G53" s="477">
        <v>0</v>
      </c>
      <c r="H53" s="478">
        <v>0</v>
      </c>
      <c r="I53" s="477">
        <v>0</v>
      </c>
      <c r="J53" s="477">
        <v>0</v>
      </c>
      <c r="K53" s="477">
        <v>0</v>
      </c>
      <c r="M53" s="313"/>
      <c r="N53" s="314"/>
      <c r="O53" s="315"/>
      <c r="P53" s="316"/>
      <c r="R53" s="481" t="s">
        <v>103</v>
      </c>
      <c r="S53" s="481" t="s">
        <v>12</v>
      </c>
      <c r="T53" s="481" t="s">
        <v>22</v>
      </c>
      <c r="U53" s="481" t="s">
        <v>14</v>
      </c>
      <c r="V53" s="481" t="s">
        <v>15</v>
      </c>
      <c r="W53" s="481">
        <v>0</v>
      </c>
      <c r="X53" s="481">
        <v>0</v>
      </c>
      <c r="Y53" s="482">
        <v>0</v>
      </c>
      <c r="Z53" s="481">
        <v>0</v>
      </c>
      <c r="AA53" s="483">
        <v>0</v>
      </c>
      <c r="AB53" s="481">
        <v>0</v>
      </c>
      <c r="AC53" s="481">
        <v>0</v>
      </c>
    </row>
    <row r="54" spans="1:29" ht="20.100000000000001" customHeight="1" x14ac:dyDescent="0.2">
      <c r="A54" s="476" t="s">
        <v>104</v>
      </c>
      <c r="B54" s="476" t="s">
        <v>17</v>
      </c>
      <c r="C54" s="476" t="s">
        <v>22</v>
      </c>
      <c r="D54" s="476" t="s">
        <v>14</v>
      </c>
      <c r="E54" s="476" t="s">
        <v>15</v>
      </c>
      <c r="F54" s="477">
        <v>414</v>
      </c>
      <c r="G54" s="477">
        <v>314</v>
      </c>
      <c r="H54" s="478">
        <v>0.75845410628019305</v>
      </c>
      <c r="I54" s="477">
        <v>502</v>
      </c>
      <c r="J54" s="477">
        <v>330</v>
      </c>
      <c r="K54" s="477">
        <v>0</v>
      </c>
      <c r="M54" s="313"/>
      <c r="N54" s="314"/>
      <c r="O54" s="315"/>
      <c r="P54" s="316"/>
      <c r="R54" s="481" t="s">
        <v>104</v>
      </c>
      <c r="S54" s="481" t="s">
        <v>17</v>
      </c>
      <c r="T54" s="481" t="s">
        <v>22</v>
      </c>
      <c r="U54" s="481" t="s">
        <v>14</v>
      </c>
      <c r="V54" s="481" t="s">
        <v>15</v>
      </c>
      <c r="W54" s="481">
        <v>0</v>
      </c>
      <c r="X54" s="481">
        <v>0</v>
      </c>
      <c r="Y54" s="482">
        <v>414</v>
      </c>
      <c r="Z54" s="481">
        <v>314</v>
      </c>
      <c r="AA54" s="483">
        <v>0.75845410628019327</v>
      </c>
      <c r="AB54" s="481">
        <v>502</v>
      </c>
      <c r="AC54" s="481">
        <v>330</v>
      </c>
    </row>
    <row r="55" spans="1:29" ht="20.100000000000001" customHeight="1" x14ac:dyDescent="0.2">
      <c r="A55" s="476" t="s">
        <v>105</v>
      </c>
      <c r="B55" s="476" t="s">
        <v>374</v>
      </c>
      <c r="C55" s="476" t="s">
        <v>22</v>
      </c>
      <c r="D55" s="476" t="s">
        <v>14</v>
      </c>
      <c r="E55" s="476" t="s">
        <v>15</v>
      </c>
      <c r="F55" s="477">
        <v>730</v>
      </c>
      <c r="G55" s="477">
        <v>500</v>
      </c>
      <c r="H55" s="478">
        <v>0.68493150684931503</v>
      </c>
      <c r="I55" s="477">
        <v>3048</v>
      </c>
      <c r="J55" s="477">
        <v>1126</v>
      </c>
      <c r="K55" s="477">
        <v>565</v>
      </c>
      <c r="M55" s="313"/>
      <c r="N55" s="314"/>
      <c r="O55" s="315"/>
      <c r="P55" s="316"/>
      <c r="R55" s="481" t="s">
        <v>105</v>
      </c>
      <c r="S55" s="481" t="s">
        <v>374</v>
      </c>
      <c r="T55" s="481" t="s">
        <v>22</v>
      </c>
      <c r="U55" s="481" t="s">
        <v>14</v>
      </c>
      <c r="V55" s="481" t="s">
        <v>15</v>
      </c>
      <c r="W55" s="481" t="s">
        <v>140</v>
      </c>
      <c r="X55" s="481">
        <v>0</v>
      </c>
      <c r="Y55" s="482">
        <v>730</v>
      </c>
      <c r="Z55" s="481">
        <v>500</v>
      </c>
      <c r="AA55" s="483">
        <v>0.68493150684931503</v>
      </c>
      <c r="AB55" s="481">
        <v>3048</v>
      </c>
      <c r="AC55" s="481">
        <v>1126</v>
      </c>
    </row>
    <row r="56" spans="1:29" ht="20.100000000000001" customHeight="1" x14ac:dyDescent="0.2">
      <c r="A56" s="476" t="s">
        <v>55</v>
      </c>
      <c r="B56" s="476" t="s">
        <v>106</v>
      </c>
      <c r="C56" s="476" t="s">
        <v>13</v>
      </c>
      <c r="D56" s="476" t="s">
        <v>14</v>
      </c>
      <c r="E56" s="476" t="s">
        <v>15</v>
      </c>
      <c r="F56" s="477">
        <v>1428</v>
      </c>
      <c r="G56" s="477">
        <v>1181</v>
      </c>
      <c r="H56" s="478">
        <v>0.82703081232493003</v>
      </c>
      <c r="I56" s="477">
        <v>1935</v>
      </c>
      <c r="J56" s="477">
        <v>0</v>
      </c>
      <c r="K56" s="477">
        <v>633</v>
      </c>
      <c r="M56" s="313"/>
      <c r="N56" s="314"/>
      <c r="O56" s="315"/>
      <c r="P56" s="316"/>
      <c r="R56" s="481" t="s">
        <v>55</v>
      </c>
      <c r="S56" s="481" t="s">
        <v>106</v>
      </c>
      <c r="T56" s="481" t="s">
        <v>13</v>
      </c>
      <c r="U56" s="481" t="s">
        <v>14</v>
      </c>
      <c r="V56" s="481" t="s">
        <v>15</v>
      </c>
      <c r="W56" s="481" t="s">
        <v>141</v>
      </c>
      <c r="X56" s="481" t="s">
        <v>149</v>
      </c>
      <c r="Y56" s="482">
        <v>1428</v>
      </c>
      <c r="Z56" s="481">
        <v>1181</v>
      </c>
      <c r="AA56" s="483">
        <v>0.82703081232492992</v>
      </c>
      <c r="AB56" s="481">
        <v>1935</v>
      </c>
      <c r="AC56" s="481">
        <v>0</v>
      </c>
    </row>
    <row r="57" spans="1:29" ht="20.100000000000001" customHeight="1" x14ac:dyDescent="0.2">
      <c r="A57" s="476" t="s">
        <v>78</v>
      </c>
      <c r="B57" s="476" t="s">
        <v>107</v>
      </c>
      <c r="C57" s="476" t="s">
        <v>13</v>
      </c>
      <c r="D57" s="476" t="s">
        <v>14</v>
      </c>
      <c r="E57" s="476" t="s">
        <v>15</v>
      </c>
      <c r="F57" s="477">
        <v>1985</v>
      </c>
      <c r="G57" s="477">
        <v>1700</v>
      </c>
      <c r="H57" s="478">
        <v>0.85642317380352595</v>
      </c>
      <c r="I57" s="477">
        <v>3240</v>
      </c>
      <c r="J57" s="477">
        <v>0</v>
      </c>
      <c r="K57" s="477">
        <v>0</v>
      </c>
      <c r="M57" s="313"/>
      <c r="N57" s="314"/>
      <c r="O57" s="315"/>
      <c r="P57" s="316"/>
      <c r="R57" s="481" t="s">
        <v>78</v>
      </c>
      <c r="S57" s="481" t="s">
        <v>107</v>
      </c>
      <c r="T57" s="481" t="s">
        <v>13</v>
      </c>
      <c r="U57" s="481" t="s">
        <v>14</v>
      </c>
      <c r="V57" s="481" t="s">
        <v>15</v>
      </c>
      <c r="W57" s="481" t="s">
        <v>141</v>
      </c>
      <c r="X57" s="481" t="s">
        <v>149</v>
      </c>
      <c r="Y57" s="482">
        <v>1985</v>
      </c>
      <c r="Z57" s="481">
        <v>1700</v>
      </c>
      <c r="AA57" s="483">
        <v>0.85642317380352639</v>
      </c>
      <c r="AB57" s="481">
        <v>3240</v>
      </c>
      <c r="AC57" s="481">
        <v>0</v>
      </c>
    </row>
    <row r="58" spans="1:29" ht="20.100000000000001" customHeight="1" x14ac:dyDescent="0.2">
      <c r="A58" s="476" t="s">
        <v>61</v>
      </c>
      <c r="B58" s="476" t="s">
        <v>108</v>
      </c>
      <c r="C58" s="476" t="s">
        <v>13</v>
      </c>
      <c r="D58" s="476" t="s">
        <v>14</v>
      </c>
      <c r="E58" s="476" t="s">
        <v>15</v>
      </c>
      <c r="F58" s="477">
        <v>1258</v>
      </c>
      <c r="G58" s="477">
        <v>976</v>
      </c>
      <c r="H58" s="478">
        <v>0.775834658187599</v>
      </c>
      <c r="I58" s="477">
        <v>1953</v>
      </c>
      <c r="J58" s="477">
        <v>0</v>
      </c>
      <c r="K58" s="477">
        <v>0</v>
      </c>
      <c r="M58" s="313"/>
      <c r="N58" s="314"/>
      <c r="O58" s="315"/>
      <c r="P58" s="316"/>
      <c r="R58" s="481" t="s">
        <v>61</v>
      </c>
      <c r="S58" s="481" t="s">
        <v>108</v>
      </c>
      <c r="T58" s="481" t="s">
        <v>13</v>
      </c>
      <c r="U58" s="481" t="s">
        <v>14</v>
      </c>
      <c r="V58" s="481" t="s">
        <v>15</v>
      </c>
      <c r="W58" s="481" t="s">
        <v>141</v>
      </c>
      <c r="X58" s="481" t="s">
        <v>149</v>
      </c>
      <c r="Y58" s="482">
        <v>1258</v>
      </c>
      <c r="Z58" s="481">
        <v>976</v>
      </c>
      <c r="AA58" s="483">
        <v>0.77583465818759934</v>
      </c>
      <c r="AB58" s="481">
        <v>1953</v>
      </c>
      <c r="AC58" s="481">
        <v>0</v>
      </c>
    </row>
    <row r="59" spans="1:29" ht="20.100000000000001" customHeight="1" x14ac:dyDescent="0.2">
      <c r="A59" s="476" t="s">
        <v>67</v>
      </c>
      <c r="B59" s="476" t="s">
        <v>109</v>
      </c>
      <c r="C59" s="476" t="s">
        <v>13</v>
      </c>
      <c r="D59" s="476" t="s">
        <v>14</v>
      </c>
      <c r="E59" s="476" t="s">
        <v>15</v>
      </c>
      <c r="F59" s="477">
        <v>0</v>
      </c>
      <c r="G59" s="477">
        <v>0</v>
      </c>
      <c r="H59" s="478">
        <v>0</v>
      </c>
      <c r="I59" s="477">
        <v>0</v>
      </c>
      <c r="J59" s="477">
        <v>0</v>
      </c>
      <c r="K59" s="477">
        <v>0</v>
      </c>
      <c r="M59" s="313"/>
      <c r="N59" s="314"/>
      <c r="O59" s="315"/>
      <c r="P59" s="316"/>
      <c r="R59" s="481" t="s">
        <v>67</v>
      </c>
      <c r="S59" s="481" t="s">
        <v>109</v>
      </c>
      <c r="T59" s="481" t="s">
        <v>13</v>
      </c>
      <c r="U59" s="481" t="s">
        <v>14</v>
      </c>
      <c r="V59" s="481" t="s">
        <v>15</v>
      </c>
      <c r="W59" s="481" t="s">
        <v>141</v>
      </c>
      <c r="X59" s="481" t="s">
        <v>150</v>
      </c>
      <c r="Y59" s="482">
        <v>0</v>
      </c>
      <c r="Z59" s="481">
        <v>0</v>
      </c>
      <c r="AA59" s="483">
        <v>0</v>
      </c>
      <c r="AB59" s="481">
        <v>0</v>
      </c>
      <c r="AC59" s="481">
        <v>0</v>
      </c>
    </row>
    <row r="60" spans="1:29" ht="20.100000000000001" customHeight="1" x14ac:dyDescent="0.2">
      <c r="A60" s="476" t="s">
        <v>73</v>
      </c>
      <c r="B60" s="476" t="s">
        <v>110</v>
      </c>
      <c r="C60" s="476" t="s">
        <v>13</v>
      </c>
      <c r="D60" s="476" t="s">
        <v>14</v>
      </c>
      <c r="E60" s="476" t="s">
        <v>15</v>
      </c>
      <c r="F60" s="477">
        <v>0</v>
      </c>
      <c r="G60" s="477">
        <v>0</v>
      </c>
      <c r="H60" s="478">
        <v>0</v>
      </c>
      <c r="I60" s="477">
        <v>0</v>
      </c>
      <c r="J60" s="477">
        <v>0</v>
      </c>
      <c r="K60" s="477">
        <v>0</v>
      </c>
      <c r="M60" s="313"/>
      <c r="N60" s="314"/>
      <c r="O60" s="315"/>
      <c r="P60" s="316"/>
      <c r="R60" s="481" t="s">
        <v>73</v>
      </c>
      <c r="S60" s="481" t="s">
        <v>110</v>
      </c>
      <c r="T60" s="481" t="s">
        <v>13</v>
      </c>
      <c r="U60" s="481" t="s">
        <v>14</v>
      </c>
      <c r="V60" s="481" t="s">
        <v>15</v>
      </c>
      <c r="W60" s="481" t="s">
        <v>141</v>
      </c>
      <c r="X60" s="481" t="s">
        <v>150</v>
      </c>
      <c r="Y60" s="482">
        <v>0</v>
      </c>
      <c r="Z60" s="481">
        <v>0</v>
      </c>
      <c r="AA60" s="483">
        <v>0</v>
      </c>
      <c r="AB60" s="481">
        <v>0</v>
      </c>
      <c r="AC60" s="481">
        <v>0</v>
      </c>
    </row>
    <row r="61" spans="1:29" ht="20.100000000000001" customHeight="1" x14ac:dyDescent="0.2">
      <c r="A61" s="476" t="s">
        <v>58</v>
      </c>
      <c r="B61" s="476" t="s">
        <v>106</v>
      </c>
      <c r="C61" s="476" t="s">
        <v>13</v>
      </c>
      <c r="D61" s="476" t="s">
        <v>14</v>
      </c>
      <c r="E61" s="476" t="s">
        <v>15</v>
      </c>
      <c r="F61" s="477">
        <v>1283</v>
      </c>
      <c r="G61" s="477">
        <v>1082</v>
      </c>
      <c r="H61" s="478">
        <v>0.84333593141075602</v>
      </c>
      <c r="I61" s="477">
        <v>1871</v>
      </c>
      <c r="J61" s="477">
        <v>65</v>
      </c>
      <c r="K61" s="477">
        <v>213</v>
      </c>
      <c r="M61" s="313"/>
      <c r="N61" s="314"/>
      <c r="O61" s="315"/>
      <c r="P61" s="316"/>
      <c r="R61" s="481" t="s">
        <v>58</v>
      </c>
      <c r="S61" s="481" t="s">
        <v>106</v>
      </c>
      <c r="T61" s="481" t="s">
        <v>13</v>
      </c>
      <c r="U61" s="481" t="s">
        <v>14</v>
      </c>
      <c r="V61" s="481" t="s">
        <v>15</v>
      </c>
      <c r="W61" s="481" t="s">
        <v>141</v>
      </c>
      <c r="X61" s="481" t="s">
        <v>149</v>
      </c>
      <c r="Y61" s="482">
        <v>1283</v>
      </c>
      <c r="Z61" s="481">
        <v>1082</v>
      </c>
      <c r="AA61" s="483">
        <v>0.84333593141075602</v>
      </c>
      <c r="AB61" s="481">
        <v>1871</v>
      </c>
      <c r="AC61" s="481">
        <v>65</v>
      </c>
    </row>
    <row r="62" spans="1:29" ht="20.100000000000001" customHeight="1" x14ac:dyDescent="0.2">
      <c r="A62" s="476" t="s">
        <v>81</v>
      </c>
      <c r="B62" s="476" t="s">
        <v>107</v>
      </c>
      <c r="C62" s="476" t="s">
        <v>13</v>
      </c>
      <c r="D62" s="476" t="s">
        <v>14</v>
      </c>
      <c r="E62" s="476" t="s">
        <v>15</v>
      </c>
      <c r="F62" s="477">
        <v>7403</v>
      </c>
      <c r="G62" s="477">
        <v>6435</v>
      </c>
      <c r="H62" s="478">
        <v>0.86924219910847</v>
      </c>
      <c r="I62" s="477">
        <v>10351</v>
      </c>
      <c r="J62" s="477">
        <v>0</v>
      </c>
      <c r="K62" s="477">
        <v>145</v>
      </c>
      <c r="M62" s="313"/>
      <c r="N62" s="314"/>
      <c r="O62" s="315"/>
      <c r="P62" s="316"/>
      <c r="R62" s="481" t="s">
        <v>81</v>
      </c>
      <c r="S62" s="481" t="s">
        <v>107</v>
      </c>
      <c r="T62" s="481" t="s">
        <v>13</v>
      </c>
      <c r="U62" s="481" t="s">
        <v>14</v>
      </c>
      <c r="V62" s="481" t="s">
        <v>15</v>
      </c>
      <c r="W62" s="481" t="s">
        <v>141</v>
      </c>
      <c r="X62" s="481" t="s">
        <v>151</v>
      </c>
      <c r="Y62" s="482">
        <v>7403</v>
      </c>
      <c r="Z62" s="481">
        <v>6435</v>
      </c>
      <c r="AA62" s="483">
        <v>0.86924219910846956</v>
      </c>
      <c r="AB62" s="481">
        <v>10351</v>
      </c>
      <c r="AC62" s="481">
        <v>0</v>
      </c>
    </row>
    <row r="63" spans="1:29" ht="20.100000000000001" customHeight="1" x14ac:dyDescent="0.2">
      <c r="A63" s="476" t="s">
        <v>64</v>
      </c>
      <c r="B63" s="476" t="s">
        <v>108</v>
      </c>
      <c r="C63" s="476" t="s">
        <v>13</v>
      </c>
      <c r="D63" s="476" t="s">
        <v>14</v>
      </c>
      <c r="E63" s="476" t="s">
        <v>15</v>
      </c>
      <c r="F63" s="477">
        <v>2121</v>
      </c>
      <c r="G63" s="477">
        <v>1796</v>
      </c>
      <c r="H63" s="478">
        <v>0.84677039132484699</v>
      </c>
      <c r="I63" s="477">
        <v>3531</v>
      </c>
      <c r="J63" s="477">
        <v>0</v>
      </c>
      <c r="K63" s="477">
        <v>0</v>
      </c>
      <c r="M63" s="313"/>
      <c r="N63" s="314"/>
      <c r="O63" s="315"/>
      <c r="P63" s="316"/>
      <c r="R63" s="481" t="s">
        <v>64</v>
      </c>
      <c r="S63" s="481" t="s">
        <v>108</v>
      </c>
      <c r="T63" s="481" t="s">
        <v>13</v>
      </c>
      <c r="U63" s="481" t="s">
        <v>14</v>
      </c>
      <c r="V63" s="481" t="s">
        <v>15</v>
      </c>
      <c r="W63" s="481" t="s">
        <v>141</v>
      </c>
      <c r="X63" s="481" t="s">
        <v>149</v>
      </c>
      <c r="Y63" s="482">
        <v>2121</v>
      </c>
      <c r="Z63" s="481">
        <v>1796</v>
      </c>
      <c r="AA63" s="483">
        <v>0.84677039132484677</v>
      </c>
      <c r="AB63" s="481">
        <v>3531</v>
      </c>
      <c r="AC63" s="481">
        <v>0</v>
      </c>
    </row>
    <row r="64" spans="1:29" ht="20.100000000000001" customHeight="1" x14ac:dyDescent="0.2">
      <c r="A64" s="476" t="s">
        <v>70</v>
      </c>
      <c r="B64" s="476" t="s">
        <v>109</v>
      </c>
      <c r="C64" s="476" t="s">
        <v>13</v>
      </c>
      <c r="D64" s="476" t="s">
        <v>14</v>
      </c>
      <c r="E64" s="476" t="s">
        <v>15</v>
      </c>
      <c r="F64" s="477">
        <v>0</v>
      </c>
      <c r="G64" s="477">
        <v>0</v>
      </c>
      <c r="H64" s="478">
        <v>0</v>
      </c>
      <c r="I64" s="477">
        <v>0</v>
      </c>
      <c r="J64" s="477">
        <v>0</v>
      </c>
      <c r="K64" s="477">
        <v>1</v>
      </c>
      <c r="M64" s="313"/>
      <c r="N64" s="314"/>
      <c r="O64" s="315"/>
      <c r="P64" s="316"/>
      <c r="R64" s="481" t="s">
        <v>70</v>
      </c>
      <c r="S64" s="481" t="s">
        <v>109</v>
      </c>
      <c r="T64" s="481" t="s">
        <v>13</v>
      </c>
      <c r="U64" s="481" t="s">
        <v>14</v>
      </c>
      <c r="V64" s="481" t="s">
        <v>15</v>
      </c>
      <c r="W64" s="481" t="s">
        <v>141</v>
      </c>
      <c r="X64" s="481" t="s">
        <v>150</v>
      </c>
      <c r="Y64" s="482">
        <v>0</v>
      </c>
      <c r="Z64" s="481">
        <v>0</v>
      </c>
      <c r="AA64" s="483">
        <v>0</v>
      </c>
      <c r="AB64" s="481">
        <v>0</v>
      </c>
      <c r="AC64" s="481">
        <v>0</v>
      </c>
    </row>
    <row r="65" spans="1:29" ht="20.100000000000001" customHeight="1" x14ac:dyDescent="0.2">
      <c r="A65" s="476" t="s">
        <v>75</v>
      </c>
      <c r="B65" s="476" t="s">
        <v>110</v>
      </c>
      <c r="C65" s="476" t="s">
        <v>13</v>
      </c>
      <c r="D65" s="476" t="s">
        <v>14</v>
      </c>
      <c r="E65" s="476" t="s">
        <v>15</v>
      </c>
      <c r="F65" s="477">
        <v>0</v>
      </c>
      <c r="G65" s="477">
        <v>0</v>
      </c>
      <c r="H65" s="478">
        <v>0</v>
      </c>
      <c r="I65" s="477">
        <v>0</v>
      </c>
      <c r="J65" s="477">
        <v>0</v>
      </c>
      <c r="K65" s="477">
        <v>0</v>
      </c>
      <c r="M65" s="313"/>
      <c r="N65" s="314"/>
      <c r="O65" s="315"/>
      <c r="P65" s="316"/>
      <c r="R65" s="481" t="s">
        <v>75</v>
      </c>
      <c r="S65" s="481" t="s">
        <v>110</v>
      </c>
      <c r="T65" s="481" t="s">
        <v>13</v>
      </c>
      <c r="U65" s="481" t="s">
        <v>14</v>
      </c>
      <c r="V65" s="481" t="s">
        <v>15</v>
      </c>
      <c r="W65" s="481" t="s">
        <v>141</v>
      </c>
      <c r="X65" s="481" t="s">
        <v>150</v>
      </c>
      <c r="Y65" s="482">
        <v>0</v>
      </c>
      <c r="Z65" s="481">
        <v>0</v>
      </c>
      <c r="AA65" s="483">
        <v>0</v>
      </c>
      <c r="AB65" s="481">
        <v>0</v>
      </c>
      <c r="AC65" s="481">
        <v>0</v>
      </c>
    </row>
    <row r="66" spans="1:29" ht="20.100000000000001" customHeight="1" x14ac:dyDescent="0.2">
      <c r="A66" s="476" t="s">
        <v>114</v>
      </c>
      <c r="B66" s="476" t="s">
        <v>115</v>
      </c>
      <c r="C66" s="476" t="s">
        <v>47</v>
      </c>
      <c r="D66" s="476" t="s">
        <v>32</v>
      </c>
      <c r="E66" s="476" t="s">
        <v>113</v>
      </c>
      <c r="F66" s="477">
        <v>108727</v>
      </c>
      <c r="G66" s="477">
        <v>105120</v>
      </c>
      <c r="H66" s="478">
        <v>0.96682516762165804</v>
      </c>
      <c r="I66" s="477">
        <v>0</v>
      </c>
      <c r="J66" s="477">
        <v>1812</v>
      </c>
      <c r="K66" s="477">
        <v>0</v>
      </c>
      <c r="M66" s="313"/>
      <c r="N66" s="314"/>
      <c r="O66" s="315"/>
      <c r="P66" s="316"/>
      <c r="R66" s="481" t="s">
        <v>114</v>
      </c>
      <c r="S66" s="481" t="s">
        <v>115</v>
      </c>
      <c r="T66" s="481" t="s">
        <v>47</v>
      </c>
      <c r="U66" s="481" t="s">
        <v>32</v>
      </c>
      <c r="V66" s="481" t="s">
        <v>113</v>
      </c>
      <c r="W66" s="481" t="s">
        <v>160</v>
      </c>
      <c r="X66" s="481" t="s">
        <v>154</v>
      </c>
      <c r="Y66" s="482">
        <v>108727</v>
      </c>
      <c r="Z66" s="481">
        <v>105120</v>
      </c>
      <c r="AA66" s="483">
        <v>0.96682516762165793</v>
      </c>
      <c r="AB66" s="481">
        <v>0</v>
      </c>
      <c r="AC66" s="481">
        <v>1812</v>
      </c>
    </row>
    <row r="67" spans="1:29" ht="20.100000000000001" customHeight="1" x14ac:dyDescent="0.2">
      <c r="A67" s="476" t="s">
        <v>116</v>
      </c>
      <c r="B67" s="476" t="s">
        <v>117</v>
      </c>
      <c r="C67" s="476" t="s">
        <v>47</v>
      </c>
      <c r="D67" s="476" t="s">
        <v>48</v>
      </c>
      <c r="E67" s="476" t="s">
        <v>113</v>
      </c>
      <c r="F67" s="477">
        <v>27316</v>
      </c>
      <c r="G67" s="477">
        <v>25660</v>
      </c>
      <c r="H67" s="478">
        <v>0.93937618977888404</v>
      </c>
      <c r="I67" s="477">
        <v>0</v>
      </c>
      <c r="J67" s="477">
        <v>1489</v>
      </c>
      <c r="K67" s="477">
        <v>0</v>
      </c>
      <c r="M67" s="313"/>
      <c r="N67" s="314"/>
      <c r="O67" s="315"/>
      <c r="P67" s="316"/>
      <c r="R67" s="481" t="s">
        <v>116</v>
      </c>
      <c r="S67" s="481" t="s">
        <v>117</v>
      </c>
      <c r="T67" s="481" t="s">
        <v>47</v>
      </c>
      <c r="U67" s="481" t="s">
        <v>48</v>
      </c>
      <c r="V67" s="481" t="s">
        <v>113</v>
      </c>
      <c r="W67" s="481">
        <v>0</v>
      </c>
      <c r="X67" s="481" t="s">
        <v>154</v>
      </c>
      <c r="Y67" s="482">
        <v>27316</v>
      </c>
      <c r="Z67" s="481">
        <v>25660</v>
      </c>
      <c r="AA67" s="483">
        <v>0.93937618977888415</v>
      </c>
      <c r="AB67" s="481">
        <v>0</v>
      </c>
      <c r="AC67" s="481">
        <v>1489</v>
      </c>
    </row>
    <row r="68" spans="1:29" ht="20.100000000000001" customHeight="1" x14ac:dyDescent="0.2">
      <c r="A68" s="476" t="s">
        <v>118</v>
      </c>
      <c r="B68" s="476" t="s">
        <v>119</v>
      </c>
      <c r="C68" s="476" t="s">
        <v>47</v>
      </c>
      <c r="D68" s="476" t="s">
        <v>32</v>
      </c>
      <c r="E68" s="476" t="s">
        <v>113</v>
      </c>
      <c r="F68" s="477">
        <v>30072</v>
      </c>
      <c r="G68" s="477">
        <v>29120</v>
      </c>
      <c r="H68" s="478">
        <v>0.96834264432029804</v>
      </c>
      <c r="I68" s="477">
        <v>26280</v>
      </c>
      <c r="J68" s="477">
        <v>1225</v>
      </c>
      <c r="K68" s="477">
        <v>11000</v>
      </c>
      <c r="M68" s="313"/>
      <c r="N68" s="314"/>
      <c r="O68" s="315"/>
      <c r="P68" s="316"/>
      <c r="R68" s="481" t="s">
        <v>118</v>
      </c>
      <c r="S68" s="481" t="s">
        <v>119</v>
      </c>
      <c r="T68" s="481" t="s">
        <v>47</v>
      </c>
      <c r="U68" s="481" t="s">
        <v>32</v>
      </c>
      <c r="V68" s="481" t="s">
        <v>113</v>
      </c>
      <c r="W68" s="481" t="s">
        <v>160</v>
      </c>
      <c r="X68" s="481" t="s">
        <v>157</v>
      </c>
      <c r="Y68" s="482">
        <v>30072</v>
      </c>
      <c r="Z68" s="481">
        <v>29120</v>
      </c>
      <c r="AA68" s="483">
        <v>0.96834264432029793</v>
      </c>
      <c r="AB68" s="481">
        <v>26280</v>
      </c>
      <c r="AC68" s="481">
        <v>1225</v>
      </c>
    </row>
    <row r="69" spans="1:29" ht="20.100000000000001" customHeight="1" x14ac:dyDescent="0.2">
      <c r="A69" s="476"/>
      <c r="B69" s="476"/>
      <c r="C69" s="476"/>
      <c r="D69" s="476"/>
      <c r="E69" s="476"/>
      <c r="F69" s="477"/>
      <c r="G69" s="477"/>
      <c r="H69" s="478"/>
      <c r="I69" s="477"/>
      <c r="J69" s="477"/>
      <c r="K69" s="477"/>
      <c r="M69" s="313"/>
      <c r="N69" s="314"/>
      <c r="O69" s="315"/>
      <c r="P69" s="316"/>
      <c r="R69" s="481" t="s">
        <v>423</v>
      </c>
      <c r="S69" s="481"/>
      <c r="T69" s="481"/>
      <c r="U69" s="481"/>
      <c r="V69" s="481"/>
      <c r="W69" s="481"/>
      <c r="X69" s="481"/>
      <c r="Y69" s="482" t="s">
        <v>434</v>
      </c>
      <c r="Z69" s="481" t="s">
        <v>434</v>
      </c>
      <c r="AA69" s="483" t="s">
        <v>434</v>
      </c>
      <c r="AB69" s="481"/>
      <c r="AC69" s="481" t="s">
        <v>434</v>
      </c>
    </row>
    <row r="70" spans="1:29" ht="20.100000000000001" customHeight="1" x14ac:dyDescent="0.2">
      <c r="A70" s="476"/>
      <c r="B70" s="476"/>
      <c r="C70" s="476"/>
      <c r="D70" s="476"/>
      <c r="E70" s="476"/>
      <c r="F70" s="477"/>
      <c r="G70" s="477"/>
      <c r="H70" s="478"/>
      <c r="I70" s="477"/>
      <c r="J70" s="477"/>
      <c r="K70" s="477"/>
      <c r="M70" s="313"/>
      <c r="N70" s="314"/>
      <c r="O70" s="315"/>
      <c r="P70" s="316"/>
      <c r="R70" s="481"/>
      <c r="S70" s="481"/>
      <c r="T70" s="481"/>
      <c r="U70" s="481"/>
      <c r="V70" s="481"/>
      <c r="W70" s="481"/>
      <c r="X70" s="481"/>
      <c r="Y70" s="482"/>
      <c r="Z70" s="481"/>
      <c r="AA70" s="483"/>
      <c r="AB70" s="481"/>
      <c r="AC70" s="481"/>
    </row>
    <row r="71" spans="1:29" ht="20.100000000000001" customHeight="1" x14ac:dyDescent="0.2">
      <c r="A71" s="476"/>
      <c r="B71" s="476"/>
      <c r="C71" s="476"/>
      <c r="D71" s="476"/>
      <c r="E71" s="476"/>
      <c r="F71" s="477"/>
      <c r="G71" s="477"/>
      <c r="H71" s="478"/>
      <c r="I71" s="477"/>
      <c r="J71" s="477"/>
      <c r="K71" s="477"/>
      <c r="M71" s="313"/>
      <c r="N71" s="314"/>
      <c r="O71" s="315"/>
      <c r="P71" s="316"/>
      <c r="R71" s="481"/>
      <c r="S71" s="481"/>
      <c r="T71" s="481"/>
      <c r="U71" s="481"/>
      <c r="V71" s="481"/>
      <c r="W71" s="481"/>
      <c r="X71" s="481"/>
      <c r="Y71" s="482"/>
      <c r="Z71" s="481"/>
      <c r="AA71" s="483"/>
      <c r="AB71" s="481"/>
      <c r="AC71" s="481"/>
    </row>
    <row r="72" spans="1:29" ht="20.100000000000001" customHeight="1" x14ac:dyDescent="0.2">
      <c r="A72" s="476"/>
      <c r="B72" s="476"/>
      <c r="C72" s="476"/>
      <c r="D72" s="476"/>
      <c r="E72" s="476"/>
      <c r="F72" s="477"/>
      <c r="G72" s="477"/>
      <c r="H72" s="478"/>
      <c r="I72" s="477"/>
      <c r="J72" s="477"/>
      <c r="K72" s="477"/>
      <c r="M72" s="313"/>
      <c r="N72" s="314"/>
      <c r="O72" s="315"/>
      <c r="P72" s="316"/>
      <c r="R72" s="481"/>
      <c r="S72" s="481"/>
      <c r="T72" s="481"/>
      <c r="U72" s="481"/>
      <c r="V72" s="481"/>
      <c r="W72" s="481"/>
      <c r="X72" s="481"/>
      <c r="Y72" s="482"/>
      <c r="Z72" s="481"/>
      <c r="AA72" s="483"/>
      <c r="AB72" s="481"/>
      <c r="AC72" s="481"/>
    </row>
    <row r="73" spans="1:29" ht="20.100000000000001" customHeight="1" x14ac:dyDescent="0.2">
      <c r="A73" s="476"/>
      <c r="B73" s="476"/>
      <c r="C73" s="476"/>
      <c r="D73" s="476"/>
      <c r="E73" s="476"/>
      <c r="F73" s="477"/>
      <c r="G73" s="477"/>
      <c r="H73" s="478"/>
      <c r="I73" s="477"/>
      <c r="J73" s="477"/>
      <c r="K73" s="477"/>
      <c r="M73" s="313"/>
      <c r="N73" s="314"/>
      <c r="O73" s="315"/>
      <c r="P73" s="316"/>
      <c r="R73" s="481"/>
      <c r="S73" s="481"/>
      <c r="T73" s="481"/>
      <c r="U73" s="481"/>
      <c r="V73" s="481"/>
      <c r="W73" s="481"/>
      <c r="X73" s="481"/>
      <c r="Y73" s="482"/>
      <c r="Z73" s="481"/>
      <c r="AA73" s="483"/>
      <c r="AB73" s="481"/>
      <c r="AC73" s="481"/>
    </row>
    <row r="74" spans="1:29" ht="20.100000000000001" customHeight="1" x14ac:dyDescent="0.2">
      <c r="A74" s="476"/>
      <c r="B74" s="476"/>
      <c r="C74" s="476"/>
      <c r="D74" s="476"/>
      <c r="E74" s="476"/>
      <c r="F74" s="477"/>
      <c r="G74" s="477"/>
      <c r="H74" s="478"/>
      <c r="I74" s="477"/>
      <c r="J74" s="477"/>
      <c r="K74" s="477"/>
      <c r="M74" s="313"/>
      <c r="N74" s="314"/>
      <c r="O74" s="315"/>
      <c r="P74" s="316"/>
      <c r="R74" s="481"/>
      <c r="S74" s="481"/>
      <c r="T74" s="481"/>
      <c r="U74" s="481"/>
      <c r="V74" s="481"/>
      <c r="W74" s="481"/>
      <c r="X74" s="481"/>
      <c r="Y74" s="482"/>
      <c r="Z74" s="481"/>
      <c r="AA74" s="483"/>
      <c r="AB74" s="481"/>
      <c r="AC74" s="481"/>
    </row>
    <row r="75" spans="1:29" ht="20.100000000000001" customHeight="1" x14ac:dyDescent="0.2">
      <c r="A75" s="476"/>
      <c r="B75" s="476"/>
      <c r="C75" s="476"/>
      <c r="D75" s="476"/>
      <c r="E75" s="476"/>
      <c r="F75" s="477"/>
      <c r="G75" s="477"/>
      <c r="H75" s="478"/>
      <c r="I75" s="477"/>
      <c r="J75" s="477"/>
      <c r="K75" s="477"/>
      <c r="M75" s="313"/>
      <c r="N75" s="314"/>
      <c r="O75" s="315"/>
      <c r="P75" s="316"/>
      <c r="R75" s="481"/>
      <c r="S75" s="481"/>
      <c r="T75" s="481"/>
      <c r="U75" s="481"/>
      <c r="V75" s="481"/>
      <c r="W75" s="481"/>
      <c r="X75" s="481"/>
      <c r="Y75" s="482"/>
      <c r="Z75" s="481"/>
      <c r="AA75" s="483"/>
      <c r="AB75" s="481"/>
      <c r="AC75" s="481"/>
    </row>
    <row r="76" spans="1:29" ht="20.100000000000001" customHeight="1" x14ac:dyDescent="0.2">
      <c r="A76" s="476"/>
      <c r="B76" s="476"/>
      <c r="C76" s="476"/>
      <c r="D76" s="476"/>
      <c r="E76" s="476"/>
      <c r="F76" s="477"/>
      <c r="G76" s="477"/>
      <c r="H76" s="478"/>
      <c r="I76" s="477"/>
      <c r="J76" s="477"/>
      <c r="K76" s="477"/>
      <c r="M76" s="313"/>
      <c r="N76" s="314"/>
      <c r="O76" s="315"/>
      <c r="P76" s="316"/>
      <c r="R76" s="481"/>
      <c r="S76" s="481"/>
      <c r="T76" s="481"/>
      <c r="U76" s="481"/>
      <c r="V76" s="481"/>
      <c r="W76" s="481"/>
      <c r="X76" s="481"/>
      <c r="Y76" s="482"/>
      <c r="Z76" s="481"/>
      <c r="AA76" s="483"/>
      <c r="AB76" s="481"/>
      <c r="AC76" s="481"/>
    </row>
    <row r="77" spans="1:29" ht="20.100000000000001" customHeight="1" x14ac:dyDescent="0.2">
      <c r="A77" s="474"/>
      <c r="M77" s="313"/>
      <c r="N77" s="314"/>
      <c r="O77" s="315"/>
      <c r="P77" s="316"/>
      <c r="R77" s="486"/>
      <c r="S77" s="481"/>
      <c r="T77" s="481"/>
      <c r="U77" s="481"/>
      <c r="V77" s="481"/>
      <c r="W77" s="481"/>
      <c r="X77" s="481"/>
      <c r="Y77" s="482"/>
      <c r="Z77" s="481"/>
      <c r="AA77" s="483"/>
      <c r="AB77" s="481"/>
      <c r="AC77" s="481"/>
    </row>
    <row r="78" spans="1:29" ht="20.100000000000001" customHeight="1" x14ac:dyDescent="0.2">
      <c r="A78" s="474"/>
      <c r="M78" s="313"/>
      <c r="N78" s="314"/>
      <c r="O78" s="315"/>
      <c r="P78" s="316"/>
      <c r="R78" s="481"/>
      <c r="S78" s="481"/>
      <c r="T78" s="481"/>
      <c r="U78" s="481"/>
      <c r="V78" s="481"/>
      <c r="W78" s="481"/>
      <c r="X78" s="481"/>
      <c r="Y78" s="482"/>
      <c r="Z78" s="481"/>
      <c r="AA78" s="483"/>
      <c r="AB78" s="481"/>
      <c r="AC78" s="481"/>
    </row>
    <row r="79" spans="1:29" ht="20.100000000000001" customHeight="1" x14ac:dyDescent="0.2">
      <c r="A79" s="465"/>
      <c r="B79" s="463"/>
      <c r="C79" s="463"/>
      <c r="D79" s="463"/>
      <c r="E79" s="463"/>
      <c r="F79" s="463"/>
      <c r="G79" s="463"/>
      <c r="H79" s="464"/>
      <c r="I79" s="463"/>
      <c r="J79" s="463"/>
      <c r="K79" s="463"/>
      <c r="R79"/>
      <c r="S79"/>
      <c r="T79"/>
      <c r="U79"/>
      <c r="V79"/>
      <c r="W79"/>
      <c r="X79"/>
      <c r="Y79"/>
      <c r="Z79"/>
      <c r="AA79"/>
      <c r="AB79"/>
      <c r="AC79"/>
    </row>
    <row r="80" spans="1:29" ht="20.100000000000001" customHeight="1" x14ac:dyDescent="0.2">
      <c r="A80" s="462"/>
    </row>
    <row r="81" spans="1:1" ht="20.100000000000001" customHeight="1" x14ac:dyDescent="0.2">
      <c r="A81" s="474"/>
    </row>
  </sheetData>
  <sortState ref="C3:C76">
    <sortCondition ref="C3:C76"/>
  </sortState>
  <mergeCells count="2">
    <mergeCell ref="M1:P1"/>
    <mergeCell ref="R1:AD1"/>
  </mergeCell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MES Adj</vt:lpstr>
      <vt:lpstr>MES Costing Report</vt:lpstr>
      <vt:lpstr>CAU</vt:lpstr>
      <vt:lpstr>CAU 1</vt:lpstr>
      <vt:lpstr>CAT LIST</vt:lpstr>
      <vt:lpstr>Mes adj 1</vt:lpstr>
      <vt:lpstr>HI</vt:lpstr>
      <vt:lpstr>PC</vt:lpstr>
      <vt:lpstr>CAU!Zone_d_impression</vt:lpstr>
      <vt:lpstr>'MES Costing Report'!Zone_d_impression</vt:lpstr>
    </vt:vector>
  </TitlesOfParts>
  <Company>ESSILOR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brissons</dc:creator>
  <cp:lastModifiedBy>HAYOTTE Jérémy</cp:lastModifiedBy>
  <dcterms:created xsi:type="dcterms:W3CDTF">2021-11-24T14:30:35Z</dcterms:created>
  <dcterms:modified xsi:type="dcterms:W3CDTF">2021-12-06T15:56:29Z</dcterms:modified>
</cp:coreProperties>
</file>