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S:\Projets\Transition\BUDGET\04-Suivi Budget\"/>
    </mc:Choice>
  </mc:AlternateContent>
  <xr:revisionPtr revIDLastSave="0" documentId="13_ncr:1_{27604699-9B8D-4C10-92B4-B2B071B2C469}" xr6:coauthVersionLast="46" xr6:coauthVersionMax="46" xr10:uidLastSave="{00000000-0000-0000-0000-000000000000}"/>
  <bookViews>
    <workbookView xWindow="-120" yWindow="-120" windowWidth="29040" windowHeight="15840" activeTab="2" xr2:uid="{2FAEB157-3602-413B-ABC1-268BC0A98FB9}"/>
  </bookViews>
  <sheets>
    <sheet name="Coût annuel T" sheetId="1" r:id="rId1"/>
    <sheet name="Coût annuel Matériels " sheetId="2" r:id="rId2"/>
    <sheet name="test" sheetId="3" r:id="rId3"/>
  </sheets>
  <externalReferences>
    <externalReference r:id="rId4"/>
  </externalReferences>
  <definedNames>
    <definedName name="_xlnm._FilterDatabase" localSheetId="1" hidden="1">'Coût annuel Matériels '!$B$4:$AW$22</definedName>
    <definedName name="_xlnm._FilterDatabase" localSheetId="0" hidden="1">'Coût annuel T'!$A$4:$AW$29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3" l="1"/>
  <c r="F11" i="3"/>
  <c r="AU57" i="2"/>
  <c r="AU55" i="2"/>
  <c r="AU56" i="2"/>
  <c r="AU54" i="2"/>
  <c r="AU87" i="1"/>
  <c r="AW55" i="2"/>
  <c r="AW56" i="2"/>
  <c r="AU81" i="1"/>
  <c r="AR81" i="1"/>
  <c r="AP81" i="1"/>
  <c r="AN81" i="1"/>
  <c r="AL81" i="1"/>
  <c r="AJ81" i="1"/>
  <c r="AH81" i="1"/>
  <c r="AF81" i="1"/>
  <c r="AD81" i="1"/>
  <c r="AB81" i="1"/>
  <c r="Z81" i="1"/>
  <c r="X81" i="1"/>
  <c r="AW82" i="1"/>
  <c r="AW83" i="1"/>
  <c r="AW84" i="1"/>
  <c r="AW85" i="1"/>
  <c r="AW86" i="1"/>
  <c r="E25" i="3"/>
  <c r="E20" i="3"/>
  <c r="E18" i="3"/>
  <c r="E17" i="3"/>
  <c r="E13" i="3"/>
  <c r="E12" i="3"/>
  <c r="E11" i="3"/>
  <c r="E9" i="3"/>
  <c r="E8" i="3"/>
  <c r="E7" i="3"/>
  <c r="E6" i="3"/>
  <c r="E4" i="3"/>
  <c r="C25" i="3"/>
  <c r="C20" i="3"/>
  <c r="C18" i="3"/>
  <c r="C17" i="3"/>
  <c r="C13" i="3"/>
  <c r="C12" i="3"/>
  <c r="C11" i="3"/>
  <c r="C9" i="3"/>
  <c r="D9" i="3" s="1"/>
  <c r="C8" i="3"/>
  <c r="D8" i="3" s="1"/>
  <c r="C7" i="3"/>
  <c r="D7" i="3" s="1"/>
  <c r="C6" i="3"/>
  <c r="D6" i="3" s="1"/>
  <c r="C3" i="3"/>
  <c r="AU66" i="1"/>
  <c r="AU64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L64" i="1"/>
  <c r="AJ64" i="1"/>
  <c r="AH64" i="1"/>
  <c r="AF64" i="1"/>
  <c r="AD64" i="1"/>
  <c r="AB64" i="1"/>
  <c r="Z64" i="1"/>
  <c r="X64" i="1"/>
  <c r="W64" i="1"/>
  <c r="U64" i="1"/>
  <c r="AV40" i="2" l="1"/>
  <c r="AV41" i="2"/>
  <c r="AV42" i="2"/>
  <c r="AV43" i="2"/>
  <c r="AW43" i="2" s="1"/>
  <c r="AV44" i="2"/>
  <c r="AV45" i="2"/>
  <c r="AV39" i="2"/>
  <c r="AT46" i="2"/>
  <c r="AS46" i="2"/>
  <c r="AR46" i="2"/>
  <c r="AQ46" i="2"/>
  <c r="AP46" i="2"/>
  <c r="AO46" i="2"/>
  <c r="AN46" i="2"/>
  <c r="AM46" i="2"/>
  <c r="AL46" i="2"/>
  <c r="AK46" i="2"/>
  <c r="AJ46" i="2"/>
  <c r="AI46" i="2"/>
  <c r="AH46" i="2"/>
  <c r="AG46" i="2"/>
  <c r="AF46" i="2"/>
  <c r="AE46" i="2"/>
  <c r="AD46" i="2"/>
  <c r="AC46" i="2"/>
  <c r="AW42" i="2"/>
  <c r="AW41" i="2"/>
  <c r="AW40" i="2"/>
  <c r="AU45" i="2"/>
  <c r="AU44" i="2"/>
  <c r="AW44" i="2" s="1"/>
  <c r="AU43" i="2"/>
  <c r="AU42" i="2"/>
  <c r="AU41" i="2"/>
  <c r="AU40" i="2"/>
  <c r="AU39" i="2"/>
  <c r="AW45" i="2" l="1"/>
  <c r="AV46" i="2"/>
  <c r="AW39" i="2"/>
  <c r="AW46" i="2" s="1"/>
  <c r="AU46" i="2"/>
  <c r="F87" i="1"/>
  <c r="G87" i="1"/>
  <c r="H87" i="1"/>
  <c r="J87" i="1"/>
  <c r="L87" i="1"/>
  <c r="N87" i="1"/>
  <c r="P87" i="1"/>
  <c r="R87" i="1"/>
  <c r="T87" i="1"/>
  <c r="V87" i="1"/>
  <c r="X87" i="1"/>
  <c r="Y87" i="1"/>
  <c r="Z87" i="1"/>
  <c r="AA87" i="1"/>
  <c r="E87" i="1"/>
  <c r="AW12" i="1" l="1"/>
  <c r="AW13" i="1"/>
  <c r="AW14" i="1"/>
  <c r="H15" i="1"/>
  <c r="J15" i="1"/>
  <c r="L15" i="1"/>
  <c r="N15" i="1"/>
  <c r="P15" i="1"/>
  <c r="R15" i="1"/>
  <c r="T15" i="1"/>
  <c r="V15" i="1"/>
  <c r="X15" i="1"/>
  <c r="Y15" i="1"/>
  <c r="Z15" i="1"/>
  <c r="AA15" i="1"/>
  <c r="AW51" i="1"/>
  <c r="AW52" i="1"/>
  <c r="AW53" i="1"/>
  <c r="AW54" i="1"/>
  <c r="AW55" i="1"/>
  <c r="AW56" i="1"/>
  <c r="AW57" i="1"/>
  <c r="AW58" i="1"/>
  <c r="E59" i="1"/>
  <c r="F59" i="1"/>
  <c r="H59" i="1"/>
  <c r="J59" i="1"/>
  <c r="L59" i="1"/>
  <c r="N59" i="1"/>
  <c r="P59" i="1"/>
  <c r="R59" i="1"/>
  <c r="Y59" i="1"/>
  <c r="AA59" i="1"/>
  <c r="AW96" i="1"/>
  <c r="AW106" i="1"/>
  <c r="AW94" i="1"/>
  <c r="AW80" i="1"/>
  <c r="AW64" i="1"/>
  <c r="AW66" i="1" s="1"/>
  <c r="AW65" i="1"/>
  <c r="AW41" i="1"/>
  <c r="AW46" i="1"/>
  <c r="C31" i="3" l="1"/>
  <c r="B31" i="3"/>
  <c r="D30" i="3"/>
  <c r="D31" i="3" s="1"/>
  <c r="C29" i="3"/>
  <c r="B29" i="3"/>
  <c r="D28" i="3"/>
  <c r="D27" i="3"/>
  <c r="C26" i="3"/>
  <c r="B26" i="3"/>
  <c r="D25" i="3"/>
  <c r="D26" i="3" s="1"/>
  <c r="C24" i="3"/>
  <c r="B24" i="3"/>
  <c r="D23" i="3"/>
  <c r="D22" i="3"/>
  <c r="D21" i="3"/>
  <c r="D20" i="3"/>
  <c r="C19" i="3"/>
  <c r="B19" i="3"/>
  <c r="D18" i="3"/>
  <c r="D17" i="3"/>
  <c r="C16" i="3"/>
  <c r="B16" i="3"/>
  <c r="D15" i="3"/>
  <c r="D14" i="3"/>
  <c r="D13" i="3"/>
  <c r="D12" i="3"/>
  <c r="D11" i="3"/>
  <c r="F10" i="3"/>
  <c r="C10" i="3"/>
  <c r="B10" i="3"/>
  <c r="B5" i="3"/>
  <c r="F5" i="3"/>
  <c r="D3" i="3"/>
  <c r="R66" i="2"/>
  <c r="AW66" i="2" s="1"/>
  <c r="AB65" i="2"/>
  <c r="AA65" i="2"/>
  <c r="Z65" i="2"/>
  <c r="Y65" i="2"/>
  <c r="X65" i="2"/>
  <c r="W65" i="2"/>
  <c r="V65" i="2"/>
  <c r="U65" i="2"/>
  <c r="T65" i="2"/>
  <c r="S65" i="2"/>
  <c r="Q65" i="2"/>
  <c r="P65" i="2"/>
  <c r="O65" i="2"/>
  <c r="N65" i="2"/>
  <c r="M65" i="2"/>
  <c r="L65" i="2"/>
  <c r="AW64" i="2"/>
  <c r="AW63" i="2"/>
  <c r="R63" i="2"/>
  <c r="R65" i="2" s="1"/>
  <c r="AB62" i="2"/>
  <c r="AA62" i="2"/>
  <c r="Z62" i="2"/>
  <c r="Y62" i="2"/>
  <c r="X62" i="2"/>
  <c r="W62" i="2"/>
  <c r="V62" i="2"/>
  <c r="U62" i="2"/>
  <c r="T62" i="2"/>
  <c r="S62" i="2"/>
  <c r="R62" i="2"/>
  <c r="Q62" i="2"/>
  <c r="P62" i="2"/>
  <c r="O62" i="2"/>
  <c r="N62" i="2"/>
  <c r="M62" i="2"/>
  <c r="L62" i="2"/>
  <c r="AW61" i="2"/>
  <c r="AW60" i="2"/>
  <c r="AW59" i="2"/>
  <c r="AW58" i="2"/>
  <c r="AW62" i="2" s="1"/>
  <c r="AB57" i="2"/>
  <c r="AA57" i="2"/>
  <c r="Z57" i="2"/>
  <c r="Y57" i="2"/>
  <c r="X57" i="2"/>
  <c r="W57" i="2"/>
  <c r="V57" i="2"/>
  <c r="U57" i="2"/>
  <c r="T57" i="2"/>
  <c r="S57" i="2"/>
  <c r="R57" i="2"/>
  <c r="Q57" i="2"/>
  <c r="P57" i="2"/>
  <c r="O57" i="2"/>
  <c r="N57" i="2"/>
  <c r="M57" i="2"/>
  <c r="L57" i="2"/>
  <c r="AW54" i="2"/>
  <c r="AW57" i="2" s="1"/>
  <c r="AB53" i="2"/>
  <c r="AA53" i="2"/>
  <c r="Z53" i="2"/>
  <c r="Y53" i="2"/>
  <c r="W53" i="2"/>
  <c r="V53" i="2"/>
  <c r="U53" i="2"/>
  <c r="T53" i="2"/>
  <c r="S53" i="2"/>
  <c r="R53" i="2"/>
  <c r="Q53" i="2"/>
  <c r="P53" i="2"/>
  <c r="O53" i="2"/>
  <c r="N53" i="2"/>
  <c r="M53" i="2"/>
  <c r="L53" i="2"/>
  <c r="K53" i="2"/>
  <c r="J53" i="2"/>
  <c r="I53" i="2"/>
  <c r="H53" i="2"/>
  <c r="AW52" i="2"/>
  <c r="AW51" i="2"/>
  <c r="AW50" i="2"/>
  <c r="AW49" i="2"/>
  <c r="AW48" i="2"/>
  <c r="X47" i="2"/>
  <c r="AW47" i="2" s="1"/>
  <c r="AW53" i="2" s="1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AW37" i="2"/>
  <c r="AW38" i="2" s="1"/>
  <c r="AW35" i="2"/>
  <c r="AW36" i="2" s="1"/>
  <c r="AB34" i="2"/>
  <c r="Z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AW33" i="2"/>
  <c r="AW32" i="2"/>
  <c r="X32" i="2"/>
  <c r="V32" i="2"/>
  <c r="AA31" i="2"/>
  <c r="AA34" i="2" s="1"/>
  <c r="Y31" i="2"/>
  <c r="X31" i="2"/>
  <c r="X34" i="2" s="1"/>
  <c r="W31" i="2"/>
  <c r="W34" i="2" s="1"/>
  <c r="V31" i="2"/>
  <c r="V34" i="2" s="1"/>
  <c r="U31" i="2"/>
  <c r="U34" i="2" s="1"/>
  <c r="Z30" i="2"/>
  <c r="Y30" i="2"/>
  <c r="Y34" i="2" s="1"/>
  <c r="X30" i="2"/>
  <c r="W30" i="2"/>
  <c r="V30" i="2"/>
  <c r="U30" i="2"/>
  <c r="T30" i="2"/>
  <c r="S30" i="2"/>
  <c r="R30" i="2"/>
  <c r="Q30" i="2"/>
  <c r="P30" i="2"/>
  <c r="O30" i="2"/>
  <c r="N30" i="2"/>
  <c r="AW29" i="2"/>
  <c r="AW28" i="2"/>
  <c r="AW30" i="2" s="1"/>
  <c r="AB27" i="2"/>
  <c r="AA27" i="2"/>
  <c r="Z27" i="2"/>
  <c r="Y27" i="2"/>
  <c r="X27" i="2"/>
  <c r="W27" i="2"/>
  <c r="V27" i="2"/>
  <c r="U27" i="2"/>
  <c r="T27" i="2"/>
  <c r="S27" i="2"/>
  <c r="R27" i="2"/>
  <c r="Q27" i="2"/>
  <c r="P27" i="2"/>
  <c r="O27" i="2"/>
  <c r="N27" i="2"/>
  <c r="M27" i="2"/>
  <c r="L27" i="2"/>
  <c r="K27" i="2"/>
  <c r="J27" i="2"/>
  <c r="I27" i="2"/>
  <c r="H27" i="2"/>
  <c r="AW26" i="2"/>
  <c r="AW25" i="2"/>
  <c r="AW27" i="2" s="1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AW23" i="2"/>
  <c r="AW22" i="2"/>
  <c r="AW24" i="2" s="1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AW20" i="2"/>
  <c r="AW19" i="2"/>
  <c r="AW18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AW16" i="2"/>
  <c r="AW15" i="2"/>
  <c r="AW14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AW12" i="2"/>
  <c r="AW11" i="2"/>
  <c r="AW10" i="2"/>
  <c r="AW9" i="2"/>
  <c r="AW8" i="2"/>
  <c r="AW7" i="2"/>
  <c r="AW6" i="2"/>
  <c r="AW5" i="2"/>
  <c r="W105" i="1"/>
  <c r="U105" i="1"/>
  <c r="S105" i="1"/>
  <c r="AA104" i="1"/>
  <c r="Z104" i="1"/>
  <c r="Y104" i="1"/>
  <c r="X104" i="1"/>
  <c r="V104" i="1"/>
  <c r="T104" i="1"/>
  <c r="R104" i="1"/>
  <c r="P104" i="1"/>
  <c r="N104" i="1"/>
  <c r="L104" i="1"/>
  <c r="S103" i="1"/>
  <c r="Q103" i="1"/>
  <c r="O103" i="1"/>
  <c r="M103" i="1"/>
  <c r="K103" i="1"/>
  <c r="Q102" i="1"/>
  <c r="O102" i="1"/>
  <c r="M102" i="1"/>
  <c r="O101" i="1"/>
  <c r="M101" i="1"/>
  <c r="K101" i="1"/>
  <c r="I101" i="1"/>
  <c r="G101" i="1"/>
  <c r="Q100" i="1"/>
  <c r="O100" i="1"/>
  <c r="M100" i="1"/>
  <c r="W99" i="1"/>
  <c r="W104" i="1" s="1"/>
  <c r="U99" i="1"/>
  <c r="U104" i="1" s="1"/>
  <c r="S99" i="1"/>
  <c r="Q99" i="1"/>
  <c r="O99" i="1"/>
  <c r="M99" i="1"/>
  <c r="K99" i="1"/>
  <c r="Q98" i="1"/>
  <c r="O98" i="1"/>
  <c r="M98" i="1"/>
  <c r="AA97" i="1"/>
  <c r="Z97" i="1"/>
  <c r="Y97" i="1"/>
  <c r="X97" i="1"/>
  <c r="V97" i="1"/>
  <c r="T97" i="1"/>
  <c r="R97" i="1"/>
  <c r="P97" i="1"/>
  <c r="N97" i="1"/>
  <c r="L97" i="1"/>
  <c r="Q95" i="1"/>
  <c r="AW95" i="1" s="1"/>
  <c r="Q93" i="1"/>
  <c r="O93" i="1"/>
  <c r="M93" i="1"/>
  <c r="K93" i="1"/>
  <c r="O92" i="1"/>
  <c r="M92" i="1"/>
  <c r="AW92" i="1" s="1"/>
  <c r="O91" i="1"/>
  <c r="M91" i="1"/>
  <c r="K91" i="1"/>
  <c r="I91" i="1"/>
  <c r="G91" i="1"/>
  <c r="Q90" i="1"/>
  <c r="O90" i="1"/>
  <c r="M90" i="1"/>
  <c r="AW90" i="1" s="1"/>
  <c r="W89" i="1"/>
  <c r="W97" i="1" s="1"/>
  <c r="U89" i="1"/>
  <c r="U97" i="1" s="1"/>
  <c r="S89" i="1"/>
  <c r="S97" i="1" s="1"/>
  <c r="Q89" i="1"/>
  <c r="O89" i="1"/>
  <c r="M89" i="1"/>
  <c r="K89" i="1"/>
  <c r="Q88" i="1"/>
  <c r="Q97" i="1" s="1"/>
  <c r="O88" i="1"/>
  <c r="M88" i="1"/>
  <c r="W81" i="1"/>
  <c r="W87" i="1" s="1"/>
  <c r="U81" i="1"/>
  <c r="U87" i="1" s="1"/>
  <c r="S81" i="1"/>
  <c r="S87" i="1" s="1"/>
  <c r="Q81" i="1"/>
  <c r="Q87" i="1" s="1"/>
  <c r="O81" i="1"/>
  <c r="O87" i="1" s="1"/>
  <c r="M81" i="1"/>
  <c r="M87" i="1" s="1"/>
  <c r="K81" i="1"/>
  <c r="K87" i="1" s="1"/>
  <c r="I81" i="1"/>
  <c r="I87" i="1" s="1"/>
  <c r="AA79" i="1"/>
  <c r="Z79" i="1"/>
  <c r="Y79" i="1"/>
  <c r="X79" i="1"/>
  <c r="V79" i="1"/>
  <c r="T79" i="1"/>
  <c r="R79" i="1"/>
  <c r="P79" i="1"/>
  <c r="N79" i="1"/>
  <c r="L79" i="1"/>
  <c r="J79" i="1"/>
  <c r="H79" i="1"/>
  <c r="U78" i="1"/>
  <c r="S78" i="1"/>
  <c r="Q78" i="1"/>
  <c r="O78" i="1"/>
  <c r="M78" i="1"/>
  <c r="K78" i="1"/>
  <c r="I78" i="1"/>
  <c r="W77" i="1"/>
  <c r="S77" i="1"/>
  <c r="Q77" i="1"/>
  <c r="O77" i="1"/>
  <c r="M77" i="1"/>
  <c r="W76" i="1"/>
  <c r="S76" i="1"/>
  <c r="Q76" i="1"/>
  <c r="O76" i="1"/>
  <c r="W75" i="1"/>
  <c r="U75" i="1"/>
  <c r="S75" i="1"/>
  <c r="Q75" i="1"/>
  <c r="O75" i="1"/>
  <c r="M75" i="1"/>
  <c r="K75" i="1"/>
  <c r="W74" i="1"/>
  <c r="U74" i="1"/>
  <c r="S74" i="1"/>
  <c r="Q74" i="1"/>
  <c r="O74" i="1"/>
  <c r="M74" i="1"/>
  <c r="O73" i="1"/>
  <c r="M73" i="1"/>
  <c r="W72" i="1"/>
  <c r="AW72" i="1" s="1"/>
  <c r="U71" i="1"/>
  <c r="S71" i="1"/>
  <c r="Q71" i="1"/>
  <c r="O71" i="1"/>
  <c r="M71" i="1"/>
  <c r="K71" i="1"/>
  <c r="W70" i="1"/>
  <c r="U70" i="1"/>
  <c r="S70" i="1"/>
  <c r="Q70" i="1"/>
  <c r="O70" i="1"/>
  <c r="M70" i="1"/>
  <c r="K70" i="1"/>
  <c r="I70" i="1"/>
  <c r="W69" i="1"/>
  <c r="U69" i="1"/>
  <c r="S69" i="1"/>
  <c r="O69" i="1"/>
  <c r="M69" i="1"/>
  <c r="K69" i="1"/>
  <c r="I69" i="1"/>
  <c r="G69" i="1"/>
  <c r="Q68" i="1"/>
  <c r="O68" i="1"/>
  <c r="M68" i="1"/>
  <c r="O67" i="1"/>
  <c r="M67" i="1"/>
  <c r="K67" i="1"/>
  <c r="AA66" i="1"/>
  <c r="Z66" i="1"/>
  <c r="Y66" i="1"/>
  <c r="X66" i="1"/>
  <c r="W66" i="1"/>
  <c r="V66" i="1"/>
  <c r="U66" i="1"/>
  <c r="T66" i="1"/>
  <c r="S66" i="1"/>
  <c r="R66" i="1"/>
  <c r="Q66" i="1"/>
  <c r="P66" i="1"/>
  <c r="O66" i="1"/>
  <c r="N66" i="1"/>
  <c r="M66" i="1"/>
  <c r="L66" i="1"/>
  <c r="K66" i="1"/>
  <c r="AW62" i="1"/>
  <c r="S62" i="1"/>
  <c r="Q62" i="1"/>
  <c r="O62" i="1"/>
  <c r="M62" i="1"/>
  <c r="K62" i="1"/>
  <c r="I62" i="1"/>
  <c r="AW60" i="1"/>
  <c r="K60" i="1"/>
  <c r="I60" i="1"/>
  <c r="W50" i="1"/>
  <c r="AW50" i="1" s="1"/>
  <c r="W49" i="1"/>
  <c r="U49" i="1"/>
  <c r="W48" i="1"/>
  <c r="U48" i="1"/>
  <c r="S48" i="1"/>
  <c r="Q48" i="1"/>
  <c r="O48" i="1"/>
  <c r="M48" i="1"/>
  <c r="K48" i="1"/>
  <c r="S47" i="1"/>
  <c r="Q47" i="1"/>
  <c r="O47" i="1"/>
  <c r="M47" i="1"/>
  <c r="K47" i="1"/>
  <c r="W45" i="1"/>
  <c r="U45" i="1"/>
  <c r="S45" i="1"/>
  <c r="Q45" i="1"/>
  <c r="O45" i="1"/>
  <c r="M45" i="1"/>
  <c r="K45" i="1"/>
  <c r="I45" i="1"/>
  <c r="G45" i="1"/>
  <c r="W44" i="1"/>
  <c r="U44" i="1"/>
  <c r="S44" i="1"/>
  <c r="Q44" i="1"/>
  <c r="O44" i="1"/>
  <c r="M44" i="1"/>
  <c r="K44" i="1"/>
  <c r="I44" i="1"/>
  <c r="G44" i="1"/>
  <c r="W43" i="1"/>
  <c r="U43" i="1"/>
  <c r="S43" i="1"/>
  <c r="Q43" i="1"/>
  <c r="O43" i="1"/>
  <c r="M43" i="1"/>
  <c r="K43" i="1"/>
  <c r="I43" i="1"/>
  <c r="G43" i="1"/>
  <c r="W42" i="1"/>
  <c r="U42" i="1"/>
  <c r="S42" i="1"/>
  <c r="Q42" i="1"/>
  <c r="O42" i="1"/>
  <c r="M42" i="1"/>
  <c r="K42" i="1"/>
  <c r="W40" i="1"/>
  <c r="U40" i="1"/>
  <c r="Z39" i="1"/>
  <c r="Z59" i="1" s="1"/>
  <c r="X39" i="1"/>
  <c r="X59" i="1" s="1"/>
  <c r="W39" i="1"/>
  <c r="V39" i="1"/>
  <c r="V59" i="1" s="1"/>
  <c r="U39" i="1"/>
  <c r="T39" i="1"/>
  <c r="T59" i="1" s="1"/>
  <c r="S35" i="1"/>
  <c r="Q35" i="1"/>
  <c r="O35" i="1"/>
  <c r="M35" i="1"/>
  <c r="K35" i="1"/>
  <c r="I35" i="1"/>
  <c r="G35" i="1"/>
  <c r="AA34" i="1"/>
  <c r="Z34" i="1"/>
  <c r="Y34" i="1"/>
  <c r="X34" i="1"/>
  <c r="W34" i="1"/>
  <c r="V34" i="1"/>
  <c r="T34" i="1"/>
  <c r="R34" i="1"/>
  <c r="P34" i="1"/>
  <c r="N34" i="1"/>
  <c r="L34" i="1"/>
  <c r="J34" i="1"/>
  <c r="H34" i="1"/>
  <c r="U33" i="1"/>
  <c r="U34" i="1" s="1"/>
  <c r="S33" i="1"/>
  <c r="Q33" i="1"/>
  <c r="O33" i="1"/>
  <c r="M33" i="1"/>
  <c r="K33" i="1"/>
  <c r="S32" i="1"/>
  <c r="Q32" i="1"/>
  <c r="O32" i="1"/>
  <c r="O34" i="1" s="1"/>
  <c r="M32" i="1"/>
  <c r="K32" i="1"/>
  <c r="I32" i="1"/>
  <c r="I34" i="1" s="1"/>
  <c r="G32" i="1"/>
  <c r="AA31" i="1"/>
  <c r="Z31" i="1"/>
  <c r="Y31" i="1"/>
  <c r="X31" i="1"/>
  <c r="W31" i="1"/>
  <c r="V31" i="1"/>
  <c r="T31" i="1"/>
  <c r="R31" i="1"/>
  <c r="P31" i="1"/>
  <c r="N31" i="1"/>
  <c r="L31" i="1"/>
  <c r="J31" i="1"/>
  <c r="H31" i="1"/>
  <c r="U30" i="1"/>
  <c r="U31" i="1" s="1"/>
  <c r="S30" i="1"/>
  <c r="Q30" i="1"/>
  <c r="O30" i="1"/>
  <c r="M30" i="1"/>
  <c r="K30" i="1"/>
  <c r="S29" i="1"/>
  <c r="Q29" i="1"/>
  <c r="O29" i="1"/>
  <c r="O31" i="1" s="1"/>
  <c r="M29" i="1"/>
  <c r="K29" i="1"/>
  <c r="K31" i="1" s="1"/>
  <c r="I29" i="1"/>
  <c r="I31" i="1" s="1"/>
  <c r="G29" i="1"/>
  <c r="G31" i="1" s="1"/>
  <c r="AA28" i="1"/>
  <c r="Z28" i="1"/>
  <c r="Y28" i="1"/>
  <c r="X28" i="1"/>
  <c r="W28" i="1"/>
  <c r="V28" i="1"/>
  <c r="U28" i="1"/>
  <c r="T28" i="1"/>
  <c r="R28" i="1"/>
  <c r="P28" i="1"/>
  <c r="N28" i="1"/>
  <c r="L28" i="1"/>
  <c r="J28" i="1"/>
  <c r="H28" i="1"/>
  <c r="G28" i="1"/>
  <c r="S27" i="1"/>
  <c r="S28" i="1" s="1"/>
  <c r="Q27" i="1"/>
  <c r="Q28" i="1" s="1"/>
  <c r="O27" i="1"/>
  <c r="O28" i="1" s="1"/>
  <c r="M27" i="1"/>
  <c r="K27" i="1"/>
  <c r="I27" i="1"/>
  <c r="M26" i="1"/>
  <c r="K26" i="1"/>
  <c r="I26" i="1"/>
  <c r="AA25" i="1"/>
  <c r="Z25" i="1"/>
  <c r="Y25" i="1"/>
  <c r="X25" i="1"/>
  <c r="V25" i="1"/>
  <c r="T25" i="1"/>
  <c r="R25" i="1"/>
  <c r="P25" i="1"/>
  <c r="N25" i="1"/>
  <c r="L25" i="1"/>
  <c r="J25" i="1"/>
  <c r="H25" i="1"/>
  <c r="U24" i="1"/>
  <c r="S24" i="1"/>
  <c r="W23" i="1"/>
  <c r="U23" i="1"/>
  <c r="S23" i="1"/>
  <c r="W22" i="1"/>
  <c r="O22" i="1"/>
  <c r="M22" i="1"/>
  <c r="K22" i="1"/>
  <c r="I22" i="1"/>
  <c r="W21" i="1"/>
  <c r="U21" i="1"/>
  <c r="S21" i="1"/>
  <c r="Q21" i="1"/>
  <c r="O21" i="1"/>
  <c r="M21" i="1"/>
  <c r="K21" i="1"/>
  <c r="I21" i="1"/>
  <c r="W20" i="1"/>
  <c r="U20" i="1"/>
  <c r="S19" i="1"/>
  <c r="Q19" i="1"/>
  <c r="O19" i="1"/>
  <c r="M19" i="1"/>
  <c r="K19" i="1"/>
  <c r="I19" i="1"/>
  <c r="W18" i="1"/>
  <c r="U18" i="1"/>
  <c r="S18" i="1"/>
  <c r="Q18" i="1"/>
  <c r="O18" i="1"/>
  <c r="M18" i="1"/>
  <c r="K18" i="1"/>
  <c r="I18" i="1"/>
  <c r="G18" i="1"/>
  <c r="W17" i="1"/>
  <c r="U17" i="1"/>
  <c r="S17" i="1"/>
  <c r="Q17" i="1"/>
  <c r="O17" i="1"/>
  <c r="M17" i="1"/>
  <c r="K17" i="1"/>
  <c r="I17" i="1"/>
  <c r="W16" i="1"/>
  <c r="U16" i="1"/>
  <c r="S16" i="1"/>
  <c r="S25" i="1" s="1"/>
  <c r="Q16" i="1"/>
  <c r="O16" i="1"/>
  <c r="O25" i="1" s="1"/>
  <c r="M16" i="1"/>
  <c r="K16" i="1"/>
  <c r="I16" i="1"/>
  <c r="W11" i="1"/>
  <c r="U11" i="1"/>
  <c r="W10" i="1"/>
  <c r="U10" i="1"/>
  <c r="S10" i="1"/>
  <c r="Q10" i="1"/>
  <c r="O10" i="1"/>
  <c r="M10" i="1"/>
  <c r="K10" i="1"/>
  <c r="I10" i="1"/>
  <c r="W9" i="1"/>
  <c r="U9" i="1"/>
  <c r="S9" i="1"/>
  <c r="Q9" i="1"/>
  <c r="O9" i="1"/>
  <c r="M9" i="1"/>
  <c r="K9" i="1"/>
  <c r="I9" i="1"/>
  <c r="G9" i="1"/>
  <c r="W8" i="1"/>
  <c r="U8" i="1"/>
  <c r="S8" i="1"/>
  <c r="O8" i="1"/>
  <c r="M8" i="1"/>
  <c r="K8" i="1"/>
  <c r="I8" i="1"/>
  <c r="I15" i="1" s="1"/>
  <c r="G8" i="1"/>
  <c r="G7" i="1"/>
  <c r="W6" i="1"/>
  <c r="U6" i="1"/>
  <c r="Q6" i="1"/>
  <c r="O6" i="1"/>
  <c r="M6" i="1"/>
  <c r="K6" i="1"/>
  <c r="W5" i="1"/>
  <c r="U5" i="1"/>
  <c r="S5" i="1"/>
  <c r="Q5" i="1"/>
  <c r="O5" i="1"/>
  <c r="M5" i="1"/>
  <c r="K5" i="1"/>
  <c r="AW65" i="2" l="1"/>
  <c r="AW31" i="2"/>
  <c r="D29" i="3"/>
  <c r="D19" i="3"/>
  <c r="D16" i="3"/>
  <c r="B32" i="3"/>
  <c r="D24" i="3"/>
  <c r="M15" i="1"/>
  <c r="M31" i="1"/>
  <c r="Q15" i="1"/>
  <c r="S15" i="1"/>
  <c r="M28" i="1"/>
  <c r="K34" i="1"/>
  <c r="AW35" i="1"/>
  <c r="M59" i="1"/>
  <c r="Q79" i="1"/>
  <c r="W79" i="1"/>
  <c r="AW73" i="1"/>
  <c r="AW100" i="1"/>
  <c r="AW102" i="1"/>
  <c r="AW11" i="1"/>
  <c r="AW13" i="2"/>
  <c r="AW17" i="2"/>
  <c r="AW21" i="2"/>
  <c r="AW34" i="2"/>
  <c r="AW10" i="1"/>
  <c r="AW23" i="1"/>
  <c r="S31" i="1"/>
  <c r="M34" i="1"/>
  <c r="O59" i="1"/>
  <c r="AW98" i="1"/>
  <c r="AW104" i="1" s="1"/>
  <c r="AW39" i="1"/>
  <c r="U59" i="1"/>
  <c r="K15" i="1"/>
  <c r="AW20" i="1"/>
  <c r="W59" i="1"/>
  <c r="Q59" i="1"/>
  <c r="K28" i="1"/>
  <c r="W15" i="1"/>
  <c r="S59" i="1"/>
  <c r="O15" i="1"/>
  <c r="AW19" i="1"/>
  <c r="AW24" i="1"/>
  <c r="K104" i="1"/>
  <c r="AW99" i="1"/>
  <c r="AW40" i="1"/>
  <c r="AW49" i="1"/>
  <c r="O79" i="1"/>
  <c r="M25" i="1"/>
  <c r="G59" i="1"/>
  <c r="AW101" i="1"/>
  <c r="AW103" i="1"/>
  <c r="AW105" i="1"/>
  <c r="U15" i="1"/>
  <c r="G15" i="1"/>
  <c r="K59" i="1"/>
  <c r="I59" i="1"/>
  <c r="AW44" i="1"/>
  <c r="U79" i="1"/>
  <c r="U25" i="1"/>
  <c r="AW45" i="1"/>
  <c r="AW81" i="1"/>
  <c r="AW89" i="1"/>
  <c r="O97" i="1"/>
  <c r="AW7" i="1"/>
  <c r="W25" i="1"/>
  <c r="Q34" i="1"/>
  <c r="AW47" i="1"/>
  <c r="AW68" i="1"/>
  <c r="S79" i="1"/>
  <c r="AW93" i="1"/>
  <c r="AW42" i="1"/>
  <c r="AW6" i="1"/>
  <c r="AW8" i="1"/>
  <c r="AW9" i="1"/>
  <c r="I25" i="1"/>
  <c r="AW16" i="1"/>
  <c r="AW17" i="1"/>
  <c r="G25" i="1"/>
  <c r="AW18" i="1"/>
  <c r="I28" i="1"/>
  <c r="AW26" i="1"/>
  <c r="Q31" i="1"/>
  <c r="S34" i="1"/>
  <c r="AW76" i="1"/>
  <c r="AW91" i="1"/>
  <c r="S104" i="1"/>
  <c r="AW5" i="1"/>
  <c r="AW75" i="1"/>
  <c r="AW78" i="1"/>
  <c r="I79" i="1"/>
  <c r="K25" i="1"/>
  <c r="G34" i="1"/>
  <c r="AW32" i="1"/>
  <c r="AW33" i="1"/>
  <c r="G79" i="1"/>
  <c r="AW69" i="1"/>
  <c r="AW70" i="1"/>
  <c r="AW71" i="1"/>
  <c r="Q104" i="1"/>
  <c r="AW22" i="1"/>
  <c r="AW30" i="1"/>
  <c r="K79" i="1"/>
  <c r="AW67" i="1"/>
  <c r="AW74" i="1"/>
  <c r="M97" i="1"/>
  <c r="AW88" i="1"/>
  <c r="AW21" i="1"/>
  <c r="AW27" i="1"/>
  <c r="AW29" i="1"/>
  <c r="Q25" i="1"/>
  <c r="AW43" i="1"/>
  <c r="AW48" i="1"/>
  <c r="M79" i="1"/>
  <c r="AW77" i="1"/>
  <c r="K97" i="1"/>
  <c r="M104" i="1"/>
  <c r="O104" i="1"/>
  <c r="X53" i="2"/>
  <c r="D10" i="3" l="1"/>
  <c r="AW87" i="1"/>
  <c r="AW79" i="1"/>
  <c r="AW15" i="1"/>
  <c r="AW59" i="1"/>
  <c r="AW31" i="1"/>
  <c r="AW97" i="1"/>
  <c r="AW28" i="1"/>
  <c r="AW34" i="1"/>
  <c r="AW25" i="1"/>
  <c r="C4" i="3" l="1"/>
  <c r="C5" i="3" l="1"/>
  <c r="C32" i="3" s="1"/>
  <c r="D4" i="3"/>
  <c r="D5" i="3" s="1"/>
  <c r="D32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tc={F60BBB20-8032-4F51-8253-D0C8FE9608DE}</author>
  </authors>
  <commentList>
    <comment ref="B23" authorId="0" shapeId="0" xr:uid="{F60BBB20-8032-4F51-8253-D0C8FE9608D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Facturé à MSD</t>
      </text>
    </comment>
  </commentList>
</comments>
</file>

<file path=xl/sharedStrings.xml><?xml version="1.0" encoding="utf-8"?>
<sst xmlns="http://schemas.openxmlformats.org/spreadsheetml/2006/main" count="174" uniqueCount="49">
  <si>
    <t>Prestataires</t>
  </si>
  <si>
    <t>Projets</t>
  </si>
  <si>
    <t>Jan</t>
  </si>
  <si>
    <t>Fév</t>
  </si>
  <si>
    <t>Mar</t>
  </si>
  <si>
    <t>Avr</t>
  </si>
  <si>
    <t>Mai</t>
  </si>
  <si>
    <t>Juin</t>
  </si>
  <si>
    <t>Juillet</t>
  </si>
  <si>
    <t>Août</t>
  </si>
  <si>
    <t>Sep</t>
  </si>
  <si>
    <t>Oct</t>
  </si>
  <si>
    <t>Nov</t>
  </si>
  <si>
    <t>Déc</t>
  </si>
  <si>
    <t>Estimatif (jours)</t>
  </si>
  <si>
    <t>Montant estimé (€)</t>
  </si>
  <si>
    <t>Réel (jours)</t>
  </si>
  <si>
    <t>estimé</t>
  </si>
  <si>
    <t>réel</t>
  </si>
  <si>
    <t>600728 - BASEWARE</t>
  </si>
  <si>
    <t>Commandes</t>
  </si>
  <si>
    <t>Hardware / Software</t>
  </si>
  <si>
    <t>Restant</t>
  </si>
  <si>
    <t>SOMME TOTAL</t>
  </si>
  <si>
    <t>Mars</t>
  </si>
  <si>
    <t>Avril</t>
  </si>
  <si>
    <t>Septembre</t>
  </si>
  <si>
    <t xml:space="preserve">Estimé </t>
  </si>
  <si>
    <t xml:space="preserve">Réel </t>
  </si>
  <si>
    <t>Planifié</t>
  </si>
  <si>
    <t>Facturé</t>
  </si>
  <si>
    <t>Engagés (commandés)</t>
  </si>
  <si>
    <t>Engagées (commandés) au 30/11</t>
  </si>
  <si>
    <t>mois en cours</t>
  </si>
  <si>
    <t>Restant au 30/11/2021 (mois en cours qui s'affiche)</t>
  </si>
  <si>
    <t>Planifié (estimatif commandes) au 30/11/2021 jusqu'au 30/09/2022</t>
  </si>
  <si>
    <t>Restant au 31/12/2021</t>
  </si>
  <si>
    <t>Engagées (commandées) au 31/12/2021</t>
  </si>
  <si>
    <t>Planifié (estimatif commandes) au 31/12/2021 au 30/09/2022</t>
  </si>
  <si>
    <t>XXX</t>
  </si>
  <si>
    <t xml:space="preserve">XXX </t>
  </si>
  <si>
    <t>TOTAL</t>
  </si>
  <si>
    <t>dés qu'un mois est passé, ces infos restent affichées, comme ça jusqu'au 30/09/2022</t>
  </si>
  <si>
    <t>Coût test 2021</t>
  </si>
  <si>
    <t>Coût test</t>
  </si>
  <si>
    <t>T</t>
  </si>
  <si>
    <t>Coût Annuel  2021</t>
  </si>
  <si>
    <t>Montant test (€)</t>
  </si>
  <si>
    <t xml:space="preserve">
Enveloppe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</si>
</sst>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00B050"/>
      <name val="Calibri"/>
      <family val="2"/>
      <scheme val="minor"/>
    </font>
    <font>
      <sz val="9"/>
      <color rgb="FF00B050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50"/>
      <name val="Calibri"/>
      <family val="2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name val="Calibri"/>
      <family val="2"/>
    </font>
    <font>
      <sz val="11"/>
      <color theme="4"/>
      <name val="Calibri"/>
      <family val="2"/>
    </font>
    <font>
      <sz val="11"/>
      <color theme="4"/>
      <name val="Calibri"/>
      <family val="2"/>
      <scheme val="minor"/>
    </font>
    <font>
      <b/>
      <sz val="14"/>
      <color theme="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theme="9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59999389629810485"/>
        <bgColor indexed="64"/>
      </patternFill>
    </fill>
    <fill>
      <patternFill patternType="darkUp">
        <bgColor theme="0"/>
      </patternFill>
    </fill>
    <fill>
      <patternFill patternType="darkUp">
        <bgColor theme="9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theme="9" tint="0.79998168889431442"/>
      </patternFill>
    </fill>
    <fill>
      <patternFill patternType="solid">
        <fgColor theme="0"/>
        <bgColor rgb="FF000000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theme="9"/>
      </bottom>
      <diagonal/>
    </border>
    <border>
      <left style="medium">
        <color rgb="FFFF0000"/>
      </left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/>
      <bottom style="medium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medium">
        <color rgb="FFFF0000"/>
      </left>
      <right/>
      <top style="thin">
        <color theme="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9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0" fontId="2" fillId="0" borderId="1" applyNumberFormat="0" applyFill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15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192">
    <xf numFmtId="0" fontId="0" fillId="0" borderId="0" xfId="0"/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0" fillId="0" borderId="3" xfId="1" applyFont="1" applyBorder="1" applyAlignment="1">
      <alignment horizontal="center" vertical="center"/>
    </xf>
    <xf numFmtId="44" fontId="5" fillId="0" borderId="5" xfId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44" fontId="5" fillId="4" borderId="8" xfId="1" applyFont="1" applyFill="1" applyBorder="1"/>
    <xf numFmtId="0" fontId="5" fillId="4" borderId="8" xfId="0" applyFont="1" applyFill="1" applyBorder="1"/>
    <xf numFmtId="0" fontId="5" fillId="4" borderId="8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44" fontId="5" fillId="4" borderId="8" xfId="1" applyFont="1" applyFill="1" applyBorder="1" applyAlignment="1">
      <alignment horizontal="center" vertical="center"/>
    </xf>
    <xf numFmtId="44" fontId="5" fillId="4" borderId="3" xfId="1" applyFont="1" applyFill="1" applyBorder="1" applyAlignment="1">
      <alignment horizontal="center" vertical="center"/>
    </xf>
    <xf numFmtId="0" fontId="5" fillId="4" borderId="9" xfId="0" applyFont="1" applyFill="1" applyBorder="1"/>
    <xf numFmtId="0" fontId="6" fillId="0" borderId="0" xfId="0" applyFont="1"/>
    <xf numFmtId="0" fontId="6" fillId="4" borderId="5" xfId="0" applyFont="1" applyFill="1" applyBorder="1"/>
    <xf numFmtId="44" fontId="6" fillId="4" borderId="5" xfId="1" applyFont="1" applyFill="1" applyBorder="1"/>
    <xf numFmtId="44" fontId="6" fillId="4" borderId="5" xfId="0" applyNumberFormat="1" applyFont="1" applyFill="1" applyBorder="1" applyAlignment="1">
      <alignment horizontal="center" vertical="center"/>
    </xf>
    <xf numFmtId="44" fontId="8" fillId="5" borderId="5" xfId="0" applyNumberFormat="1" applyFont="1" applyFill="1" applyBorder="1" applyAlignment="1">
      <alignment horizontal="center" vertical="center"/>
    </xf>
    <xf numFmtId="44" fontId="6" fillId="4" borderId="5" xfId="1" applyFont="1" applyFill="1" applyBorder="1" applyAlignment="1">
      <alignment horizontal="center" vertical="center"/>
    </xf>
    <xf numFmtId="44" fontId="6" fillId="4" borderId="10" xfId="1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44" fontId="6" fillId="4" borderId="4" xfId="0" applyNumberFormat="1" applyFont="1" applyFill="1" applyBorder="1"/>
    <xf numFmtId="0" fontId="6" fillId="6" borderId="5" xfId="0" applyFont="1" applyFill="1" applyBorder="1"/>
    <xf numFmtId="44" fontId="6" fillId="6" borderId="5" xfId="1" applyFont="1" applyFill="1" applyBorder="1"/>
    <xf numFmtId="44" fontId="6" fillId="6" borderId="5" xfId="0" applyNumberFormat="1" applyFont="1" applyFill="1" applyBorder="1" applyAlignment="1">
      <alignment horizontal="center" vertical="center"/>
    </xf>
    <xf numFmtId="44" fontId="8" fillId="7" borderId="5" xfId="0" applyNumberFormat="1" applyFont="1" applyFill="1" applyBorder="1" applyAlignment="1">
      <alignment horizontal="center" vertical="center"/>
    </xf>
    <xf numFmtId="44" fontId="6" fillId="6" borderId="5" xfId="1" applyFont="1" applyFill="1" applyBorder="1" applyAlignment="1">
      <alignment horizontal="center" vertical="center"/>
    </xf>
    <xf numFmtId="44" fontId="6" fillId="6" borderId="10" xfId="1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44" fontId="6" fillId="6" borderId="4" xfId="0" applyNumberFormat="1" applyFont="1" applyFill="1" applyBorder="1"/>
    <xf numFmtId="0" fontId="9" fillId="4" borderId="5" xfId="0" applyFont="1" applyFill="1" applyBorder="1" applyAlignment="1">
      <alignment horizontal="left"/>
    </xf>
    <xf numFmtId="44" fontId="9" fillId="4" borderId="5" xfId="0" applyNumberFormat="1" applyFont="1" applyFill="1" applyBorder="1" applyAlignment="1">
      <alignment horizontal="center" vertical="center"/>
    </xf>
    <xf numFmtId="44" fontId="9" fillId="4" borderId="5" xfId="1" applyFont="1" applyFill="1" applyBorder="1" applyAlignment="1">
      <alignment horizontal="center" vertical="center"/>
    </xf>
    <xf numFmtId="44" fontId="9" fillId="4" borderId="10" xfId="1" applyFont="1" applyFill="1" applyBorder="1" applyAlignment="1">
      <alignment horizontal="center" vertical="center"/>
    </xf>
    <xf numFmtId="0" fontId="10" fillId="8" borderId="0" xfId="0" applyFont="1" applyFill="1"/>
    <xf numFmtId="44" fontId="10" fillId="8" borderId="0" xfId="1" applyFont="1" applyFill="1" applyBorder="1"/>
    <xf numFmtId="0" fontId="10" fillId="8" borderId="0" xfId="0" applyFont="1" applyFill="1" applyAlignment="1">
      <alignment horizontal="left"/>
    </xf>
    <xf numFmtId="44" fontId="9" fillId="8" borderId="0" xfId="0" applyNumberFormat="1" applyFont="1" applyFill="1" applyAlignment="1">
      <alignment horizontal="center" vertical="center"/>
    </xf>
    <xf numFmtId="44" fontId="9" fillId="5" borderId="0" xfId="0" applyNumberFormat="1" applyFont="1" applyFill="1" applyAlignment="1">
      <alignment horizontal="center" vertical="center"/>
    </xf>
    <xf numFmtId="44" fontId="10" fillId="8" borderId="0" xfId="0" applyNumberFormat="1" applyFont="1" applyFill="1" applyAlignment="1">
      <alignment horizontal="center" vertical="center"/>
    </xf>
    <xf numFmtId="44" fontId="10" fillId="5" borderId="0" xfId="0" applyNumberFormat="1" applyFont="1" applyFill="1" applyAlignment="1">
      <alignment horizontal="center" vertical="center"/>
    </xf>
    <xf numFmtId="44" fontId="10" fillId="8" borderId="0" xfId="0" applyNumberFormat="1" applyFont="1" applyFill="1"/>
    <xf numFmtId="0" fontId="9" fillId="0" borderId="0" xfId="0" applyFont="1"/>
    <xf numFmtId="0" fontId="6" fillId="6" borderId="8" xfId="0" applyFont="1" applyFill="1" applyBorder="1"/>
    <xf numFmtId="44" fontId="6" fillId="6" borderId="8" xfId="1" applyFont="1" applyFill="1" applyBorder="1"/>
    <xf numFmtId="44" fontId="6" fillId="6" borderId="8" xfId="0" applyNumberFormat="1" applyFont="1" applyFill="1" applyBorder="1" applyAlignment="1">
      <alignment horizontal="center" vertical="center"/>
    </xf>
    <xf numFmtId="44" fontId="8" fillId="7" borderId="8" xfId="0" applyNumberFormat="1" applyFont="1" applyFill="1" applyBorder="1" applyAlignment="1">
      <alignment horizontal="center" vertical="center"/>
    </xf>
    <xf numFmtId="44" fontId="6" fillId="6" borderId="8" xfId="1" applyFont="1" applyFill="1" applyBorder="1" applyAlignment="1">
      <alignment horizontal="center" vertical="center"/>
    </xf>
    <xf numFmtId="44" fontId="6" fillId="6" borderId="3" xfId="1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44" fontId="6" fillId="6" borderId="9" xfId="0" applyNumberFormat="1" applyFont="1" applyFill="1" applyBorder="1"/>
    <xf numFmtId="44" fontId="9" fillId="6" borderId="5" xfId="0" applyNumberFormat="1" applyFont="1" applyFill="1" applyBorder="1" applyAlignment="1">
      <alignment horizontal="center" vertical="center"/>
    </xf>
    <xf numFmtId="44" fontId="9" fillId="6" borderId="5" xfId="1" applyFont="1" applyFill="1" applyBorder="1" applyAlignment="1">
      <alignment horizontal="center" vertical="center"/>
    </xf>
    <xf numFmtId="44" fontId="9" fillId="6" borderId="10" xfId="1" applyFont="1" applyFill="1" applyBorder="1" applyAlignment="1">
      <alignment horizontal="center" vertical="center"/>
    </xf>
    <xf numFmtId="0" fontId="5" fillId="8" borderId="0" xfId="0" applyFont="1" applyFill="1"/>
    <xf numFmtId="44" fontId="5" fillId="8" borderId="0" xfId="1" applyFont="1" applyFill="1" applyBorder="1"/>
    <xf numFmtId="44" fontId="8" fillId="5" borderId="0" xfId="0" applyNumberFormat="1" applyFont="1" applyFill="1" applyAlignment="1">
      <alignment horizontal="center" vertical="center"/>
    </xf>
    <xf numFmtId="44" fontId="9" fillId="8" borderId="0" xfId="1" applyFont="1" applyFill="1" applyBorder="1" applyAlignment="1">
      <alignment horizontal="center" vertical="center"/>
    </xf>
    <xf numFmtId="44" fontId="9" fillId="8" borderId="3" xfId="1" applyFont="1" applyFill="1" applyBorder="1" applyAlignment="1">
      <alignment horizontal="center" vertical="center"/>
    </xf>
    <xf numFmtId="44" fontId="5" fillId="8" borderId="0" xfId="0" applyNumberFormat="1" applyFont="1" applyFill="1" applyAlignment="1">
      <alignment horizontal="center" vertical="center"/>
    </xf>
    <xf numFmtId="44" fontId="7" fillId="5" borderId="0" xfId="0" applyNumberFormat="1" applyFont="1" applyFill="1" applyAlignment="1">
      <alignment horizontal="center" vertical="center"/>
    </xf>
    <xf numFmtId="44" fontId="5" fillId="8" borderId="0" xfId="0" applyNumberFormat="1" applyFont="1" applyFill="1"/>
    <xf numFmtId="0" fontId="6" fillId="0" borderId="5" xfId="0" applyFont="1" applyBorder="1"/>
    <xf numFmtId="44" fontId="6" fillId="0" borderId="5" xfId="1" applyFont="1" applyBorder="1"/>
    <xf numFmtId="44" fontId="6" fillId="0" borderId="5" xfId="0" applyNumberFormat="1" applyFont="1" applyBorder="1" applyAlignment="1">
      <alignment horizontal="center" vertical="center"/>
    </xf>
    <xf numFmtId="44" fontId="6" fillId="0" borderId="5" xfId="1" applyFont="1" applyBorder="1" applyAlignment="1">
      <alignment horizontal="center" vertical="center"/>
    </xf>
    <xf numFmtId="44" fontId="6" fillId="0" borderId="10" xfId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44" fontId="6" fillId="0" borderId="4" xfId="0" applyNumberFormat="1" applyFont="1" applyBorder="1"/>
    <xf numFmtId="44" fontId="9" fillId="9" borderId="5" xfId="0" applyNumberFormat="1" applyFont="1" applyFill="1" applyBorder="1" applyAlignment="1">
      <alignment horizontal="center" vertical="center"/>
    </xf>
    <xf numFmtId="44" fontId="8" fillId="10" borderId="5" xfId="0" applyNumberFormat="1" applyFont="1" applyFill="1" applyBorder="1" applyAlignment="1">
      <alignment horizontal="center" vertical="center"/>
    </xf>
    <xf numFmtId="44" fontId="9" fillId="4" borderId="0" xfId="1" applyFont="1" applyFill="1" applyBorder="1" applyAlignment="1">
      <alignment horizontal="center" vertical="center"/>
    </xf>
    <xf numFmtId="0" fontId="0" fillId="6" borderId="0" xfId="0" applyFill="1"/>
    <xf numFmtId="44" fontId="0" fillId="6" borderId="0" xfId="1" applyFont="1" applyFill="1" applyBorder="1"/>
    <xf numFmtId="44" fontId="6" fillId="6" borderId="0" xfId="0" applyNumberFormat="1" applyFont="1" applyFill="1" applyAlignment="1">
      <alignment horizontal="center" vertical="center"/>
    </xf>
    <xf numFmtId="44" fontId="6" fillId="6" borderId="0" xfId="1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0" fillId="4" borderId="0" xfId="0" applyFill="1"/>
    <xf numFmtId="44" fontId="0" fillId="4" borderId="0" xfId="1" applyFont="1" applyFill="1"/>
    <xf numFmtId="44" fontId="0" fillId="0" borderId="0" xfId="1" applyFont="1"/>
    <xf numFmtId="0" fontId="0" fillId="0" borderId="0" xfId="0" applyAlignment="1">
      <alignment horizontal="left"/>
    </xf>
    <xf numFmtId="0" fontId="6" fillId="4" borderId="5" xfId="0" applyFont="1" applyFill="1" applyBorder="1" applyAlignment="1">
      <alignment horizontal="left"/>
    </xf>
    <xf numFmtId="0" fontId="6" fillId="6" borderId="5" xfId="0" applyFont="1" applyFill="1" applyBorder="1" applyAlignment="1">
      <alignment horizontal="left"/>
    </xf>
    <xf numFmtId="0" fontId="6" fillId="6" borderId="8" xfId="0" applyFont="1" applyFill="1" applyBorder="1" applyAlignment="1">
      <alignment horizontal="left"/>
    </xf>
    <xf numFmtId="0" fontId="6" fillId="4" borderId="0" xfId="0" applyFont="1" applyFill="1" applyAlignment="1">
      <alignment horizontal="left"/>
    </xf>
    <xf numFmtId="0" fontId="6" fillId="4" borderId="0" xfId="0" applyFont="1" applyFill="1"/>
    <xf numFmtId="44" fontId="6" fillId="4" borderId="0" xfId="1" applyFont="1" applyFill="1" applyBorder="1"/>
    <xf numFmtId="44" fontId="9" fillId="4" borderId="0" xfId="0" applyNumberFormat="1" applyFont="1" applyFill="1" applyAlignment="1">
      <alignment horizontal="center" vertical="center"/>
    </xf>
    <xf numFmtId="0" fontId="11" fillId="4" borderId="5" xfId="0" applyFont="1" applyFill="1" applyBorder="1" applyAlignment="1">
      <alignment horizontal="left"/>
    </xf>
    <xf numFmtId="0" fontId="11" fillId="4" borderId="5" xfId="0" applyFont="1" applyFill="1" applyBorder="1"/>
    <xf numFmtId="44" fontId="11" fillId="4" borderId="5" xfId="1" applyFont="1" applyFill="1" applyBorder="1"/>
    <xf numFmtId="44" fontId="8" fillId="7" borderId="0" xfId="0" applyNumberFormat="1" applyFont="1" applyFill="1" applyAlignment="1">
      <alignment horizontal="center" vertical="center"/>
    </xf>
    <xf numFmtId="0" fontId="6" fillId="6" borderId="0" xfId="0" applyFont="1" applyFill="1" applyAlignment="1">
      <alignment horizontal="left"/>
    </xf>
    <xf numFmtId="0" fontId="6" fillId="6" borderId="0" xfId="0" applyFont="1" applyFill="1"/>
    <xf numFmtId="44" fontId="6" fillId="6" borderId="0" xfId="1" applyFont="1" applyFill="1" applyBorder="1"/>
    <xf numFmtId="0" fontId="5" fillId="8" borderId="0" xfId="0" applyFont="1" applyFill="1" applyAlignment="1">
      <alignment horizontal="left"/>
    </xf>
    <xf numFmtId="0" fontId="6" fillId="0" borderId="5" xfId="0" applyFont="1" applyBorder="1" applyAlignment="1">
      <alignment horizontal="left"/>
    </xf>
    <xf numFmtId="0" fontId="6" fillId="6" borderId="0" xfId="0" applyFont="1" applyFill="1" applyBorder="1"/>
    <xf numFmtId="44" fontId="9" fillId="6" borderId="0" xfId="0" applyNumberFormat="1" applyFont="1" applyFill="1" applyBorder="1" applyAlignment="1">
      <alignment horizontal="center" vertical="center"/>
    </xf>
    <xf numFmtId="44" fontId="8" fillId="7" borderId="0" xfId="0" applyNumberFormat="1" applyFont="1" applyFill="1" applyBorder="1" applyAlignment="1">
      <alignment horizontal="center" vertical="center"/>
    </xf>
    <xf numFmtId="44" fontId="9" fillId="6" borderId="0" xfId="1" applyFont="1" applyFill="1" applyBorder="1" applyAlignment="1">
      <alignment horizontal="center" vertical="center"/>
    </xf>
    <xf numFmtId="44" fontId="9" fillId="0" borderId="0" xfId="0" applyNumberFormat="1" applyFont="1"/>
    <xf numFmtId="0" fontId="6" fillId="4" borderId="0" xfId="0" applyFont="1" applyFill="1" applyBorder="1"/>
    <xf numFmtId="44" fontId="9" fillId="4" borderId="0" xfId="0" applyNumberFormat="1" applyFont="1" applyFill="1" applyBorder="1" applyAlignment="1">
      <alignment horizontal="center" vertical="center"/>
    </xf>
    <xf numFmtId="44" fontId="8" fillId="5" borderId="0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44" fontId="11" fillId="11" borderId="10" xfId="1" applyFont="1" applyFill="1" applyBorder="1" applyAlignment="1">
      <alignment horizontal="center" vertical="center"/>
    </xf>
    <xf numFmtId="44" fontId="6" fillId="4" borderId="19" xfId="1" applyFont="1" applyFill="1" applyBorder="1" applyAlignment="1">
      <alignment horizontal="center" vertical="center"/>
    </xf>
    <xf numFmtId="44" fontId="11" fillId="4" borderId="10" xfId="1" applyFont="1" applyFill="1" applyBorder="1" applyAlignment="1">
      <alignment horizontal="center" vertical="center"/>
    </xf>
    <xf numFmtId="44" fontId="11" fillId="11" borderId="5" xfId="0" applyNumberFormat="1" applyFont="1" applyFill="1" applyBorder="1" applyAlignment="1">
      <alignment horizontal="center" vertical="center"/>
    </xf>
    <xf numFmtId="44" fontId="10" fillId="12" borderId="0" xfId="0" applyNumberFormat="1" applyFont="1" applyFill="1" applyAlignment="1">
      <alignment horizontal="center" vertical="center"/>
    </xf>
    <xf numFmtId="44" fontId="6" fillId="5" borderId="5" xfId="1" applyFont="1" applyFill="1" applyBorder="1" applyAlignment="1">
      <alignment horizontal="center" vertical="center"/>
    </xf>
    <xf numFmtId="44" fontId="5" fillId="0" borderId="5" xfId="1" applyFont="1" applyBorder="1" applyAlignment="1">
      <alignment vertical="center"/>
    </xf>
    <xf numFmtId="44" fontId="5" fillId="0" borderId="6" xfId="1" applyFont="1" applyBorder="1" applyAlignment="1">
      <alignment vertical="center"/>
    </xf>
    <xf numFmtId="44" fontId="11" fillId="11" borderId="19" xfId="1" applyFont="1" applyFill="1" applyBorder="1" applyAlignment="1">
      <alignment horizontal="center" vertical="center"/>
    </xf>
    <xf numFmtId="0" fontId="10" fillId="12" borderId="0" xfId="0" applyFont="1" applyFill="1" applyAlignment="1">
      <alignment horizontal="left"/>
    </xf>
    <xf numFmtId="0" fontId="10" fillId="12" borderId="0" xfId="0" applyFont="1" applyFill="1"/>
    <xf numFmtId="44" fontId="10" fillId="12" borderId="0" xfId="1" applyFont="1" applyFill="1" applyBorder="1"/>
    <xf numFmtId="44" fontId="6" fillId="6" borderId="0" xfId="0" applyNumberFormat="1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44" fontId="11" fillId="11" borderId="5" xfId="1" applyFont="1" applyFill="1" applyBorder="1" applyAlignment="1">
      <alignment horizontal="center" vertical="center"/>
    </xf>
    <xf numFmtId="165" fontId="23" fillId="4" borderId="17" xfId="0" applyNumberFormat="1" applyFont="1" applyFill="1" applyBorder="1" applyAlignment="1">
      <alignment horizontal="center" vertical="center"/>
    </xf>
    <xf numFmtId="44" fontId="11" fillId="13" borderId="10" xfId="1" applyFont="1" applyFill="1" applyBorder="1" applyAlignment="1">
      <alignment horizontal="center" vertical="center"/>
    </xf>
    <xf numFmtId="9" fontId="10" fillId="8" borderId="0" xfId="6" applyFont="1" applyFill="1"/>
    <xf numFmtId="9" fontId="10" fillId="8" borderId="0" xfId="6" applyFont="1" applyFill="1" applyBorder="1"/>
    <xf numFmtId="9" fontId="10" fillId="8" borderId="0" xfId="6" applyFont="1" applyFill="1" applyAlignment="1">
      <alignment horizontal="left"/>
    </xf>
    <xf numFmtId="9" fontId="9" fillId="8" borderId="0" xfId="6" applyFont="1" applyFill="1" applyAlignment="1">
      <alignment horizontal="center" vertical="center"/>
    </xf>
    <xf numFmtId="9" fontId="9" fillId="5" borderId="0" xfId="6" applyFont="1" applyFill="1" applyAlignment="1">
      <alignment horizontal="center" vertical="center"/>
    </xf>
    <xf numFmtId="9" fontId="10" fillId="8" borderId="0" xfId="6" applyFont="1" applyFill="1" applyAlignment="1">
      <alignment horizontal="center" vertical="center"/>
    </xf>
    <xf numFmtId="9" fontId="10" fillId="5" borderId="0" xfId="6" applyFont="1" applyFill="1" applyAlignment="1">
      <alignment horizontal="center" vertical="center"/>
    </xf>
    <xf numFmtId="9" fontId="9" fillId="0" borderId="0" xfId="6" applyFont="1"/>
    <xf numFmtId="44" fontId="6" fillId="6" borderId="0" xfId="0" applyNumberFormat="1" applyFont="1" applyFill="1" applyBorder="1"/>
    <xf numFmtId="44" fontId="11" fillId="13" borderId="5" xfId="1" applyFont="1" applyFill="1" applyBorder="1" applyAlignment="1">
      <alignment horizontal="center" vertical="center"/>
    </xf>
    <xf numFmtId="164" fontId="24" fillId="0" borderId="0" xfId="0" applyNumberFormat="1" applyFont="1" applyFill="1" applyBorder="1" applyAlignment="1">
      <alignment horizontal="center" vertical="center" wrapText="1"/>
    </xf>
    <xf numFmtId="0" fontId="12" fillId="4" borderId="0" xfId="0" applyFont="1" applyFill="1"/>
    <xf numFmtId="164" fontId="13" fillId="4" borderId="11" xfId="0" applyNumberFormat="1" applyFont="1" applyFill="1" applyBorder="1" applyAlignment="1">
      <alignment horizontal="center" vertical="center" wrapText="1"/>
    </xf>
    <xf numFmtId="165" fontId="14" fillId="4" borderId="12" xfId="0" applyNumberFormat="1" applyFont="1" applyFill="1" applyBorder="1" applyAlignment="1">
      <alignment horizontal="center" vertical="center"/>
    </xf>
    <xf numFmtId="44" fontId="14" fillId="4" borderId="16" xfId="1" applyFont="1" applyFill="1" applyBorder="1" applyAlignment="1">
      <alignment horizontal="left" vertical="center"/>
    </xf>
    <xf numFmtId="165" fontId="17" fillId="4" borderId="16" xfId="0" applyNumberFormat="1" applyFont="1" applyFill="1" applyBorder="1" applyAlignment="1">
      <alignment horizontal="center" vertical="center"/>
    </xf>
    <xf numFmtId="165" fontId="14" fillId="4" borderId="16" xfId="0" applyNumberFormat="1" applyFont="1" applyFill="1" applyBorder="1" applyAlignment="1">
      <alignment horizontal="center" vertical="center"/>
    </xf>
    <xf numFmtId="165" fontId="18" fillId="14" borderId="16" xfId="0" applyNumberFormat="1" applyFont="1" applyFill="1" applyBorder="1" applyAlignment="1">
      <alignment horizontal="center" vertical="center"/>
    </xf>
    <xf numFmtId="164" fontId="13" fillId="4" borderId="20" xfId="0" applyNumberFormat="1" applyFont="1" applyFill="1" applyBorder="1" applyAlignment="1">
      <alignment horizontal="center" vertical="center"/>
    </xf>
    <xf numFmtId="164" fontId="13" fillId="4" borderId="15" xfId="0" applyNumberFormat="1" applyFont="1" applyFill="1" applyBorder="1" applyAlignment="1">
      <alignment horizontal="center" vertical="center"/>
    </xf>
    <xf numFmtId="164" fontId="13" fillId="4" borderId="21" xfId="0" applyNumberFormat="1" applyFont="1" applyFill="1" applyBorder="1" applyAlignment="1">
      <alignment horizontal="center" vertical="center"/>
    </xf>
    <xf numFmtId="165" fontId="14" fillId="4" borderId="13" xfId="0" applyNumberFormat="1" applyFont="1" applyFill="1" applyBorder="1" applyAlignment="1">
      <alignment horizontal="center" vertical="center"/>
    </xf>
    <xf numFmtId="165" fontId="14" fillId="4" borderId="14" xfId="0" applyNumberFormat="1" applyFont="1" applyFill="1" applyBorder="1" applyAlignment="1">
      <alignment horizontal="center" vertical="center"/>
    </xf>
    <xf numFmtId="165" fontId="14" fillId="4" borderId="22" xfId="0" applyNumberFormat="1" applyFont="1" applyFill="1" applyBorder="1" applyAlignment="1">
      <alignment horizontal="center" vertical="center"/>
    </xf>
    <xf numFmtId="44" fontId="14" fillId="4" borderId="16" xfId="1" applyFont="1" applyFill="1" applyBorder="1" applyAlignment="1">
      <alignment horizontal="center" vertical="center"/>
    </xf>
    <xf numFmtId="44" fontId="14" fillId="4" borderId="15" xfId="1" applyFont="1" applyFill="1" applyBorder="1" applyAlignment="1">
      <alignment horizontal="center" vertical="center"/>
    </xf>
    <xf numFmtId="44" fontId="14" fillId="4" borderId="17" xfId="1" applyFont="1" applyFill="1" applyBorder="1" applyAlignment="1">
      <alignment horizontal="center" vertical="center"/>
    </xf>
    <xf numFmtId="165" fontId="17" fillId="4" borderId="15" xfId="0" applyNumberFormat="1" applyFont="1" applyFill="1" applyBorder="1" applyAlignment="1">
      <alignment horizontal="center" vertical="center"/>
    </xf>
    <xf numFmtId="165" fontId="17" fillId="4" borderId="17" xfId="0" applyNumberFormat="1" applyFont="1" applyFill="1" applyBorder="1" applyAlignment="1">
      <alignment horizontal="center" vertical="center"/>
    </xf>
    <xf numFmtId="165" fontId="17" fillId="4" borderId="22" xfId="0" applyNumberFormat="1" applyFont="1" applyFill="1" applyBorder="1" applyAlignment="1">
      <alignment horizontal="center" vertical="center"/>
    </xf>
    <xf numFmtId="165" fontId="14" fillId="4" borderId="15" xfId="0" applyNumberFormat="1" applyFont="1" applyFill="1" applyBorder="1" applyAlignment="1">
      <alignment horizontal="center" vertical="center"/>
    </xf>
    <xf numFmtId="165" fontId="14" fillId="4" borderId="17" xfId="0" applyNumberFormat="1" applyFont="1" applyFill="1" applyBorder="1" applyAlignment="1">
      <alignment horizontal="center" vertical="center"/>
    </xf>
    <xf numFmtId="165" fontId="22" fillId="4" borderId="15" xfId="0" applyNumberFormat="1" applyFont="1" applyFill="1" applyBorder="1" applyAlignment="1">
      <alignment horizontal="center" vertical="center"/>
    </xf>
    <xf numFmtId="165" fontId="18" fillId="14" borderId="15" xfId="0" applyNumberFormat="1" applyFont="1" applyFill="1" applyBorder="1" applyAlignment="1">
      <alignment horizontal="center" vertical="center"/>
    </xf>
    <xf numFmtId="165" fontId="18" fillId="14" borderId="17" xfId="0" applyNumberFormat="1" applyFont="1" applyFill="1" applyBorder="1" applyAlignment="1">
      <alignment horizontal="center" vertical="center"/>
    </xf>
    <xf numFmtId="165" fontId="18" fillId="14" borderId="22" xfId="0" applyNumberFormat="1" applyFont="1" applyFill="1" applyBorder="1" applyAlignment="1">
      <alignment horizontal="center" vertical="center"/>
    </xf>
    <xf numFmtId="165" fontId="20" fillId="14" borderId="18" xfId="0" applyNumberFormat="1" applyFont="1" applyFill="1" applyBorder="1" applyAlignment="1">
      <alignment horizontal="center" vertical="center"/>
    </xf>
    <xf numFmtId="165" fontId="20" fillId="14" borderId="23" xfId="0" applyNumberFormat="1" applyFont="1" applyFill="1" applyBorder="1" applyAlignment="1">
      <alignment horizontal="center" vertical="center"/>
    </xf>
    <xf numFmtId="1" fontId="2" fillId="4" borderId="1" xfId="2" applyNumberFormat="1" applyFill="1" applyAlignment="1">
      <alignment horizontal="left"/>
    </xf>
    <xf numFmtId="1" fontId="0" fillId="4" borderId="0" xfId="0" applyNumberFormat="1" applyFill="1" applyAlignment="1">
      <alignment horizontal="left"/>
    </xf>
    <xf numFmtId="1" fontId="0" fillId="4" borderId="0" xfId="0" applyNumberFormat="1" applyFill="1"/>
    <xf numFmtId="1" fontId="0" fillId="4" borderId="0" xfId="1" applyNumberFormat="1" applyFont="1" applyFill="1"/>
    <xf numFmtId="1" fontId="16" fillId="4" borderId="15" xfId="5" applyNumberFormat="1" applyFont="1" applyFill="1" applyBorder="1" applyAlignment="1">
      <alignment horizontal="left"/>
    </xf>
    <xf numFmtId="1" fontId="19" fillId="4" borderId="15" xfId="0" applyNumberFormat="1" applyFont="1" applyFill="1" applyBorder="1" applyAlignment="1">
      <alignment horizontal="left"/>
    </xf>
    <xf numFmtId="165" fontId="26" fillId="14" borderId="16" xfId="0" applyNumberFormat="1" applyFont="1" applyFill="1" applyBorder="1" applyAlignment="1">
      <alignment horizontal="center" vertical="center"/>
    </xf>
    <xf numFmtId="165" fontId="26" fillId="14" borderId="15" xfId="0" applyNumberFormat="1" applyFont="1" applyFill="1" applyBorder="1" applyAlignment="1">
      <alignment horizontal="center" vertical="center"/>
    </xf>
    <xf numFmtId="0" fontId="25" fillId="0" borderId="0" xfId="0" applyFont="1"/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44" fontId="5" fillId="0" borderId="5" xfId="1" applyFont="1" applyBorder="1" applyAlignment="1">
      <alignment horizontal="center" vertical="center"/>
    </xf>
    <xf numFmtId="44" fontId="5" fillId="0" borderId="6" xfId="1" applyFont="1" applyBorder="1" applyAlignment="1">
      <alignment horizontal="center" vertical="center"/>
    </xf>
    <xf numFmtId="0" fontId="4" fillId="3" borderId="2" xfId="4" applyFont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4" fillId="2" borderId="2" xfId="3" applyFont="1" applyBorder="1" applyAlignment="1">
      <alignment horizontal="center"/>
    </xf>
    <xf numFmtId="0" fontId="5" fillId="0" borderId="4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25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7">
    <cellStyle name="Accent5" xfId="3" builtinId="45"/>
    <cellStyle name="Accent6" xfId="4" builtinId="49"/>
    <cellStyle name="Lien hypertexte" xfId="5" builtinId="8"/>
    <cellStyle name="Monétaire" xfId="1" builtinId="4"/>
    <cellStyle name="Normal" xfId="0" builtinId="0"/>
    <cellStyle name="Pourcentage" xfId="6" builtinId="5"/>
    <cellStyle name="Titre 1" xfId="2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390525</xdr:colOff>
      <xdr:row>5</xdr:row>
      <xdr:rowOff>19050</xdr:rowOff>
    </xdr:from>
    <xdr:to>
      <xdr:col>27</xdr:col>
      <xdr:colOff>685800</xdr:colOff>
      <xdr:row>13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63959D6-B9DC-4109-A51B-074CCD79B699}"/>
            </a:ext>
          </a:extLst>
        </xdr:cNvPr>
        <xdr:cNvSpPr txBox="1"/>
      </xdr:nvSpPr>
      <xdr:spPr>
        <a:xfrm>
          <a:off x="16592550" y="1219200"/>
          <a:ext cx="253365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1"/>
              </a:solidFill>
            </a:rPr>
            <a:t>à chaque mois en cours:</a:t>
          </a:r>
        </a:p>
        <a:p>
          <a:r>
            <a:rPr lang="fr-FR" sz="1100">
              <a:solidFill>
                <a:schemeClr val="accent1"/>
              </a:solidFill>
            </a:rPr>
            <a:t> affichés l'engagé</a:t>
          </a:r>
          <a:r>
            <a:rPr lang="fr-FR" sz="1100" baseline="0">
              <a:solidFill>
                <a:schemeClr val="accent1"/>
              </a:solidFill>
            </a:rPr>
            <a:t> pour chaque projet et le prévisionnel </a:t>
          </a:r>
        </a:p>
        <a:p>
          <a:r>
            <a:rPr lang="fr-FR" sz="1100" baseline="0">
              <a:solidFill>
                <a:schemeClr val="accent1"/>
              </a:solidFill>
            </a:rPr>
            <a:t>avoir un bilan de l'engagé et du prévisionnel mais comment présenter cela??</a:t>
          </a:r>
          <a:endParaRPr lang="fr-FR" sz="1100">
            <a:solidFill>
              <a:schemeClr val="accent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_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ens Planning et Congés"/>
      <sheetName val="SUIVI COMMANDES"/>
      <sheetName val="Enveloppe Budget"/>
      <sheetName val="BDD - Commandes"/>
      <sheetName val="TCD - Projets &amp; CC"/>
      <sheetName val="TCD - Détail facturé IO"/>
      <sheetName val="TCD - Prestataires"/>
      <sheetName val="Test - Nom projet"/>
      <sheetName val="TCD - Détail Factures"/>
      <sheetName val="Répartition de charge"/>
    </sheetNames>
    <sheetDataSet>
      <sheetData sheetId="0"/>
      <sheetData sheetId="1">
        <row r="3">
          <cell r="E3">
            <v>716835.48</v>
          </cell>
        </row>
        <row r="5">
          <cell r="G5">
            <v>1778439.6466666667</v>
          </cell>
        </row>
        <row r="8">
          <cell r="E8">
            <v>257166.7</v>
          </cell>
          <cell r="G8">
            <v>167262.66333333333</v>
          </cell>
        </row>
        <row r="9">
          <cell r="E9">
            <v>310506.25</v>
          </cell>
          <cell r="G9">
            <v>284771.40000000002</v>
          </cell>
        </row>
        <row r="10">
          <cell r="E10">
            <v>130731.25</v>
          </cell>
          <cell r="G10">
            <v>120951.25</v>
          </cell>
        </row>
        <row r="11">
          <cell r="E11">
            <v>154363.85</v>
          </cell>
          <cell r="G11">
            <v>151697.85</v>
          </cell>
        </row>
        <row r="14">
          <cell r="E14">
            <v>323365</v>
          </cell>
          <cell r="G14">
            <v>95671.63</v>
          </cell>
        </row>
        <row r="15">
          <cell r="E15">
            <v>208210</v>
          </cell>
          <cell r="G15">
            <v>111250</v>
          </cell>
        </row>
        <row r="16">
          <cell r="E16">
            <v>262850</v>
          </cell>
          <cell r="G16">
            <v>266750</v>
          </cell>
        </row>
        <row r="17">
          <cell r="E17">
            <v>131800</v>
          </cell>
          <cell r="G17">
            <v>91074.1</v>
          </cell>
        </row>
        <row r="18">
          <cell r="E18">
            <v>563749.13199999998</v>
          </cell>
          <cell r="G18">
            <v>337833.45199999999</v>
          </cell>
        </row>
        <row r="19">
          <cell r="E19">
            <v>607730.64599999995</v>
          </cell>
          <cell r="G19">
            <v>432426.25599999999</v>
          </cell>
        </row>
        <row r="20">
          <cell r="E20">
            <v>1001022.3759999999</v>
          </cell>
          <cell r="G20">
            <v>736342.98200000008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Royer, Elodie" id="{2A96C463-AFFE-4EBF-B115-38B90CB3E269}" userId="S::royerel@merck.com::3b1a6fdc-e8c8-44ce-8ef1-ee30cf93c7f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23" dT="2021-11-23T15:29:32.53" personId="{2A96C463-AFFE-4EBF-B115-38B90CB3E269}" id="{F60BBB20-8032-4F51-8253-D0C8FE9608DE}">
    <text>Facturé à MSD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48BDC-EBEE-4060-8DC1-C206C1AF8D50}">
  <dimension ref="A2:AX107"/>
  <sheetViews>
    <sheetView zoomScaleNormal="100" workbookViewId="0">
      <pane xSplit="3" ySplit="4" topLeftCell="AH5" activePane="bottomRight" state="frozen"/>
      <selection pane="topRight" activeCell="D1" sqref="D1"/>
      <selection pane="bottomLeft" activeCell="A5" sqref="A5"/>
      <selection pane="bottomRight" activeCell="B31" sqref="B31"/>
    </sheetView>
  </sheetViews>
  <sheetFormatPr baseColWidth="10" defaultRowHeight="15" x14ac:dyDescent="0.25"/>
  <cols>
    <col min="1" max="1" width="16.140625" customWidth="1"/>
    <col min="2" max="2" width="27.7109375" style="86" customWidth="1"/>
    <col min="3" max="3" width="26" customWidth="1"/>
    <col min="4" max="4" width="7.28515625" style="1" customWidth="1"/>
    <col min="5" max="5" width="5.7109375" style="1" customWidth="1"/>
    <col min="6" max="6" width="6.42578125" style="1" customWidth="1"/>
    <col min="7" max="7" width="10.28515625" style="1" bestFit="1" customWidth="1"/>
    <col min="8" max="8" width="5.7109375" style="1" customWidth="1"/>
    <col min="9" max="9" width="12.140625" style="1" bestFit="1" customWidth="1"/>
    <col min="10" max="10" width="7.42578125" style="1" customWidth="1"/>
    <col min="11" max="11" width="13.28515625" style="1" bestFit="1" customWidth="1"/>
    <col min="12" max="12" width="5.7109375" style="1" customWidth="1"/>
    <col min="13" max="13" width="12.28515625" style="1" bestFit="1" customWidth="1"/>
    <col min="14" max="14" width="5.7109375" style="1" customWidth="1"/>
    <col min="15" max="15" width="13.42578125" style="1" bestFit="1" customWidth="1"/>
    <col min="16" max="16" width="5.7109375" style="1" customWidth="1"/>
    <col min="17" max="17" width="11.140625" style="1" bestFit="1" customWidth="1"/>
    <col min="18" max="18" width="5.7109375" style="1" customWidth="1"/>
    <col min="19" max="19" width="11.140625" style="1" bestFit="1" customWidth="1"/>
    <col min="20" max="20" width="8.28515625" style="2" bestFit="1" customWidth="1"/>
    <col min="21" max="21" width="11.42578125" style="2" bestFit="1" customWidth="1"/>
    <col min="22" max="22" width="11.5703125" style="2" bestFit="1" customWidth="1"/>
    <col min="23" max="23" width="10.42578125" style="2" bestFit="1" customWidth="1"/>
    <col min="24" max="24" width="12.5703125" style="3" customWidth="1"/>
    <col min="25" max="25" width="10.42578125" style="2" bestFit="1" customWidth="1"/>
    <col min="26" max="26" width="11.5703125" style="2" bestFit="1" customWidth="1"/>
    <col min="27" max="27" width="10.42578125" style="2" bestFit="1" customWidth="1"/>
    <col min="28" max="28" width="11.140625" style="2" bestFit="1" customWidth="1"/>
    <col min="29" max="29" width="11.42578125" style="2" bestFit="1" customWidth="1"/>
    <col min="30" max="30" width="11.140625" style="2" bestFit="1" customWidth="1"/>
    <col min="31" max="31" width="11.42578125" style="2" bestFit="1" customWidth="1"/>
    <col min="32" max="32" width="11.140625" style="2" bestFit="1" customWidth="1"/>
    <col min="33" max="33" width="11.42578125" style="2" bestFit="1" customWidth="1"/>
    <col min="34" max="34" width="11.140625" style="2" bestFit="1" customWidth="1"/>
    <col min="35" max="35" width="11.42578125" style="2" bestFit="1" customWidth="1"/>
    <col min="36" max="36" width="11.140625" style="2" bestFit="1" customWidth="1"/>
    <col min="37" max="37" width="11.42578125" style="2" bestFit="1" customWidth="1"/>
    <col min="38" max="38" width="11.140625" style="2" bestFit="1" customWidth="1"/>
    <col min="39" max="39" width="11.42578125" style="2" bestFit="1" customWidth="1"/>
    <col min="40" max="40" width="11.140625" style="2" bestFit="1" customWidth="1"/>
    <col min="41" max="41" width="11.42578125" style="2" bestFit="1" customWidth="1"/>
    <col min="42" max="42" width="11.140625" style="2" bestFit="1" customWidth="1"/>
    <col min="43" max="43" width="11.42578125" style="2" bestFit="1" customWidth="1"/>
    <col min="44" max="44" width="11.5703125" style="2" bestFit="1" customWidth="1"/>
    <col min="45" max="45" width="11.42578125" style="2" bestFit="1" customWidth="1"/>
    <col min="46" max="46" width="7.5703125" style="1" customWidth="1"/>
    <col min="47" max="47" width="11.140625" style="1" bestFit="1" customWidth="1"/>
    <col min="48" max="48" width="7.7109375" style="1" customWidth="1"/>
    <col min="49" max="49" width="14.85546875" customWidth="1"/>
  </cols>
  <sheetData>
    <row r="2" spans="1:50" ht="21" x14ac:dyDescent="0.35">
      <c r="A2" s="183" t="s">
        <v>46</v>
      </c>
      <c r="B2" s="183"/>
      <c r="C2" s="183"/>
    </row>
    <row r="3" spans="1:50" s="8" customFormat="1" ht="33.75" customHeight="1" x14ac:dyDescent="0.25">
      <c r="A3" s="184" t="s">
        <v>0</v>
      </c>
      <c r="B3" s="4" t="s">
        <v>45</v>
      </c>
      <c r="C3" s="5" t="s">
        <v>1</v>
      </c>
      <c r="D3" s="179" t="s">
        <v>2</v>
      </c>
      <c r="E3" s="180"/>
      <c r="F3" s="179" t="s">
        <v>3</v>
      </c>
      <c r="G3" s="180"/>
      <c r="H3" s="179" t="s">
        <v>4</v>
      </c>
      <c r="I3" s="180"/>
      <c r="J3" s="179" t="s">
        <v>5</v>
      </c>
      <c r="K3" s="180"/>
      <c r="L3" s="179" t="s">
        <v>6</v>
      </c>
      <c r="M3" s="180"/>
      <c r="N3" s="179" t="s">
        <v>7</v>
      </c>
      <c r="O3" s="180"/>
      <c r="P3" s="179" t="s">
        <v>8</v>
      </c>
      <c r="Q3" s="180"/>
      <c r="R3" s="179" t="s">
        <v>9</v>
      </c>
      <c r="S3" s="180"/>
      <c r="T3" s="181" t="s">
        <v>10</v>
      </c>
      <c r="U3" s="182"/>
      <c r="V3" s="181" t="s">
        <v>11</v>
      </c>
      <c r="W3" s="182"/>
      <c r="X3" s="181" t="s">
        <v>12</v>
      </c>
      <c r="Y3" s="182"/>
      <c r="Z3" s="181" t="s">
        <v>13</v>
      </c>
      <c r="AA3" s="182"/>
      <c r="AB3" s="179" t="s">
        <v>2</v>
      </c>
      <c r="AC3" s="180"/>
      <c r="AD3" s="179" t="s">
        <v>3</v>
      </c>
      <c r="AE3" s="180"/>
      <c r="AF3" s="179" t="s">
        <v>4</v>
      </c>
      <c r="AG3" s="180"/>
      <c r="AH3" s="179" t="s">
        <v>5</v>
      </c>
      <c r="AI3" s="180"/>
      <c r="AJ3" s="179" t="s">
        <v>6</v>
      </c>
      <c r="AK3" s="180"/>
      <c r="AL3" s="179" t="s">
        <v>7</v>
      </c>
      <c r="AM3" s="180"/>
      <c r="AN3" s="179" t="s">
        <v>8</v>
      </c>
      <c r="AO3" s="180"/>
      <c r="AP3" s="179" t="s">
        <v>9</v>
      </c>
      <c r="AQ3" s="180"/>
      <c r="AR3" s="181" t="s">
        <v>10</v>
      </c>
      <c r="AS3" s="182"/>
      <c r="AT3" s="6" t="s">
        <v>14</v>
      </c>
      <c r="AU3" s="6" t="s">
        <v>15</v>
      </c>
      <c r="AV3" s="6" t="s">
        <v>16</v>
      </c>
      <c r="AW3" s="6" t="s">
        <v>47</v>
      </c>
    </row>
    <row r="4" spans="1:50" s="16" customFormat="1" ht="12.75" thickBot="1" x14ac:dyDescent="0.25">
      <c r="A4" s="185"/>
      <c r="B4" s="9"/>
      <c r="C4" s="10"/>
      <c r="D4" s="11" t="s">
        <v>17</v>
      </c>
      <c r="E4" s="12" t="s">
        <v>18</v>
      </c>
      <c r="F4" s="11" t="s">
        <v>17</v>
      </c>
      <c r="G4" s="12" t="s">
        <v>18</v>
      </c>
      <c r="H4" s="11" t="s">
        <v>17</v>
      </c>
      <c r="I4" s="12" t="s">
        <v>18</v>
      </c>
      <c r="J4" s="11" t="s">
        <v>17</v>
      </c>
      <c r="K4" s="12" t="s">
        <v>18</v>
      </c>
      <c r="L4" s="11" t="s">
        <v>17</v>
      </c>
      <c r="M4" s="12" t="s">
        <v>18</v>
      </c>
      <c r="N4" s="11" t="s">
        <v>17</v>
      </c>
      <c r="O4" s="12" t="s">
        <v>18</v>
      </c>
      <c r="P4" s="11" t="s">
        <v>17</v>
      </c>
      <c r="Q4" s="12" t="s">
        <v>18</v>
      </c>
      <c r="R4" s="11" t="s">
        <v>17</v>
      </c>
      <c r="S4" s="12" t="s">
        <v>18</v>
      </c>
      <c r="T4" s="13" t="s">
        <v>17</v>
      </c>
      <c r="U4" s="12" t="s">
        <v>18</v>
      </c>
      <c r="V4" s="13" t="s">
        <v>17</v>
      </c>
      <c r="W4" s="12" t="s">
        <v>18</v>
      </c>
      <c r="X4" s="14" t="s">
        <v>17</v>
      </c>
      <c r="Y4" s="12" t="s">
        <v>18</v>
      </c>
      <c r="Z4" s="13" t="s">
        <v>17</v>
      </c>
      <c r="AA4" s="12" t="s">
        <v>18</v>
      </c>
      <c r="AB4" s="11" t="s">
        <v>17</v>
      </c>
      <c r="AC4" s="12" t="s">
        <v>18</v>
      </c>
      <c r="AD4" s="11" t="s">
        <v>17</v>
      </c>
      <c r="AE4" s="12" t="s">
        <v>18</v>
      </c>
      <c r="AF4" s="11" t="s">
        <v>17</v>
      </c>
      <c r="AG4" s="12" t="s">
        <v>18</v>
      </c>
      <c r="AH4" s="11" t="s">
        <v>17</v>
      </c>
      <c r="AI4" s="12" t="s">
        <v>18</v>
      </c>
      <c r="AJ4" s="11" t="s">
        <v>17</v>
      </c>
      <c r="AK4" s="12" t="s">
        <v>18</v>
      </c>
      <c r="AL4" s="11" t="s">
        <v>17</v>
      </c>
      <c r="AM4" s="12" t="s">
        <v>18</v>
      </c>
      <c r="AN4" s="11" t="s">
        <v>17</v>
      </c>
      <c r="AO4" s="12" t="s">
        <v>18</v>
      </c>
      <c r="AP4" s="11" t="s">
        <v>17</v>
      </c>
      <c r="AQ4" s="12" t="s">
        <v>18</v>
      </c>
      <c r="AR4" s="13" t="s">
        <v>17</v>
      </c>
      <c r="AS4" s="12" t="s">
        <v>18</v>
      </c>
      <c r="AT4" s="11"/>
      <c r="AU4" s="11"/>
      <c r="AV4" s="12"/>
      <c r="AW4" s="15"/>
    </row>
    <row r="5" spans="1:50" s="16" customFormat="1" ht="12" x14ac:dyDescent="0.2">
      <c r="A5" s="17"/>
      <c r="B5" s="18">
        <v>460</v>
      </c>
      <c r="C5" s="17">
        <v>600688</v>
      </c>
      <c r="D5" s="19"/>
      <c r="E5" s="20"/>
      <c r="F5" s="19"/>
      <c r="G5" s="20"/>
      <c r="H5" s="19"/>
      <c r="I5" s="20"/>
      <c r="J5" s="19"/>
      <c r="K5" s="20">
        <f>12*$B$5</f>
        <v>5520</v>
      </c>
      <c r="L5" s="19"/>
      <c r="M5" s="20">
        <f>19*B5</f>
        <v>8740</v>
      </c>
      <c r="N5" s="19"/>
      <c r="O5" s="20">
        <f>22*$B$5</f>
        <v>10120</v>
      </c>
      <c r="P5" s="19"/>
      <c r="Q5" s="20">
        <f>18*$B$5</f>
        <v>8280</v>
      </c>
      <c r="R5" s="19"/>
      <c r="S5" s="20">
        <f>21*$B$5</f>
        <v>9660</v>
      </c>
      <c r="T5" s="21"/>
      <c r="U5" s="20">
        <f>22*$B$5</f>
        <v>10120</v>
      </c>
      <c r="V5" s="21"/>
      <c r="W5" s="20">
        <f>11*B5</f>
        <v>5060</v>
      </c>
      <c r="X5" s="22"/>
      <c r="Y5" s="20"/>
      <c r="Z5" s="21"/>
      <c r="AA5" s="20"/>
      <c r="AB5" s="21"/>
      <c r="AC5" s="20"/>
      <c r="AD5" s="21"/>
      <c r="AE5" s="20"/>
      <c r="AF5" s="21"/>
      <c r="AG5" s="20"/>
      <c r="AH5" s="21"/>
      <c r="AI5" s="20"/>
      <c r="AJ5" s="21"/>
      <c r="AK5" s="20"/>
      <c r="AL5" s="21"/>
      <c r="AM5" s="20"/>
      <c r="AN5" s="21"/>
      <c r="AO5" s="20"/>
      <c r="AP5" s="21"/>
      <c r="AQ5" s="20"/>
      <c r="AR5" s="21"/>
      <c r="AS5" s="20"/>
      <c r="AT5" s="23">
        <v>161</v>
      </c>
      <c r="AU5" s="23"/>
      <c r="AV5" s="24"/>
      <c r="AW5" s="25">
        <f>E5+G5+I5+K5+M5+O5+Q5+S5+U5+W5+Y5+AA5</f>
        <v>57500</v>
      </c>
    </row>
    <row r="6" spans="1:50" s="16" customFormat="1" ht="12" x14ac:dyDescent="0.2">
      <c r="A6" s="26"/>
      <c r="B6" s="27">
        <v>530</v>
      </c>
      <c r="C6" s="17">
        <v>600688</v>
      </c>
      <c r="D6" s="28"/>
      <c r="E6" s="29"/>
      <c r="F6" s="28"/>
      <c r="G6" s="29"/>
      <c r="H6" s="28"/>
      <c r="I6" s="29"/>
      <c r="J6" s="28"/>
      <c r="K6" s="29">
        <f>21*$B$6</f>
        <v>11130</v>
      </c>
      <c r="L6" s="28"/>
      <c r="M6" s="29">
        <f>15*$B$6</f>
        <v>7950</v>
      </c>
      <c r="N6" s="28"/>
      <c r="O6" s="29">
        <f>3*$B$6</f>
        <v>1590</v>
      </c>
      <c r="P6" s="28"/>
      <c r="Q6" s="29">
        <f>10*B6</f>
        <v>5300</v>
      </c>
      <c r="R6" s="28"/>
      <c r="S6" s="29">
        <v>0</v>
      </c>
      <c r="T6" s="30"/>
      <c r="U6" s="29">
        <f>21*B6</f>
        <v>11130</v>
      </c>
      <c r="V6" s="30"/>
      <c r="W6" s="29">
        <f>19*B6</f>
        <v>10070</v>
      </c>
      <c r="X6" s="31"/>
      <c r="Y6" s="29"/>
      <c r="Z6" s="30"/>
      <c r="AA6" s="29"/>
      <c r="AB6" s="30"/>
      <c r="AC6" s="29"/>
      <c r="AD6" s="30"/>
      <c r="AE6" s="29"/>
      <c r="AF6" s="30"/>
      <c r="AG6" s="29"/>
      <c r="AH6" s="30"/>
      <c r="AI6" s="29"/>
      <c r="AJ6" s="30"/>
      <c r="AK6" s="29"/>
      <c r="AL6" s="30"/>
      <c r="AM6" s="29"/>
      <c r="AN6" s="30"/>
      <c r="AO6" s="29"/>
      <c r="AP6" s="30"/>
      <c r="AQ6" s="29"/>
      <c r="AR6" s="30"/>
      <c r="AS6" s="29"/>
      <c r="AT6" s="32">
        <v>70</v>
      </c>
      <c r="AU6" s="32"/>
      <c r="AV6" s="33"/>
      <c r="AW6" s="25">
        <f t="shared" ref="AW6:AW14" si="0">E6+G6+I6+K6+M6+O6+Q6+S6+U6+W6+Y6+AA6</f>
        <v>47170</v>
      </c>
    </row>
    <row r="7" spans="1:50" s="16" customFormat="1" ht="12" x14ac:dyDescent="0.2">
      <c r="A7" s="17"/>
      <c r="B7" s="18">
        <v>615</v>
      </c>
      <c r="C7" s="17">
        <v>600688</v>
      </c>
      <c r="D7" s="19"/>
      <c r="E7" s="20"/>
      <c r="F7" s="19"/>
      <c r="G7" s="20">
        <f>12.5*B7</f>
        <v>7687.5</v>
      </c>
      <c r="H7" s="19"/>
      <c r="I7" s="20"/>
      <c r="J7" s="19"/>
      <c r="K7" s="20"/>
      <c r="L7" s="19"/>
      <c r="M7" s="20"/>
      <c r="N7" s="19"/>
      <c r="O7" s="20"/>
      <c r="P7" s="19"/>
      <c r="Q7" s="20"/>
      <c r="R7" s="19"/>
      <c r="S7" s="20"/>
      <c r="T7" s="21"/>
      <c r="U7" s="20"/>
      <c r="V7" s="21"/>
      <c r="W7" s="20"/>
      <c r="X7" s="22"/>
      <c r="Y7" s="20"/>
      <c r="Z7" s="21"/>
      <c r="AA7" s="20"/>
      <c r="AB7" s="21"/>
      <c r="AC7" s="20"/>
      <c r="AD7" s="21"/>
      <c r="AE7" s="20"/>
      <c r="AF7" s="21"/>
      <c r="AG7" s="20"/>
      <c r="AH7" s="21"/>
      <c r="AI7" s="20"/>
      <c r="AJ7" s="21"/>
      <c r="AK7" s="20"/>
      <c r="AL7" s="21"/>
      <c r="AM7" s="20"/>
      <c r="AN7" s="21"/>
      <c r="AO7" s="20"/>
      <c r="AP7" s="21"/>
      <c r="AQ7" s="20"/>
      <c r="AR7" s="21"/>
      <c r="AS7" s="20"/>
      <c r="AT7" s="23">
        <v>12.5</v>
      </c>
      <c r="AU7" s="23"/>
      <c r="AV7" s="24"/>
      <c r="AW7" s="25">
        <f t="shared" si="0"/>
        <v>7687.5</v>
      </c>
    </row>
    <row r="8" spans="1:50" s="16" customFormat="1" ht="12" x14ac:dyDescent="0.2">
      <c r="A8" s="26"/>
      <c r="B8" s="27">
        <v>695</v>
      </c>
      <c r="C8" s="17">
        <v>600688</v>
      </c>
      <c r="D8" s="28"/>
      <c r="E8" s="29"/>
      <c r="F8" s="28"/>
      <c r="G8" s="29">
        <f>22*B8</f>
        <v>15290</v>
      </c>
      <c r="H8" s="28"/>
      <c r="I8" s="29">
        <f>18*B8</f>
        <v>12510</v>
      </c>
      <c r="J8" s="28"/>
      <c r="K8" s="29">
        <f>21*B8</f>
        <v>14595</v>
      </c>
      <c r="L8" s="28"/>
      <c r="M8" s="29">
        <f>19*B8</f>
        <v>13205</v>
      </c>
      <c r="N8" s="28"/>
      <c r="O8" s="29">
        <f>22*B8</f>
        <v>15290</v>
      </c>
      <c r="P8" s="28"/>
      <c r="Q8" s="29"/>
      <c r="R8" s="28"/>
      <c r="S8" s="29">
        <f>20*B8</f>
        <v>13900</v>
      </c>
      <c r="T8" s="30"/>
      <c r="U8" s="29">
        <f>20*B8</f>
        <v>13900</v>
      </c>
      <c r="V8" s="30"/>
      <c r="W8" s="29">
        <f>16*B8</f>
        <v>11120</v>
      </c>
      <c r="X8" s="31"/>
      <c r="Y8" s="29"/>
      <c r="Z8" s="30"/>
      <c r="AA8" s="29"/>
      <c r="AB8" s="30"/>
      <c r="AC8" s="29"/>
      <c r="AD8" s="30"/>
      <c r="AE8" s="29"/>
      <c r="AF8" s="30"/>
      <c r="AG8" s="29"/>
      <c r="AH8" s="30"/>
      <c r="AI8" s="29"/>
      <c r="AJ8" s="30"/>
      <c r="AK8" s="29"/>
      <c r="AL8" s="30"/>
      <c r="AM8" s="29"/>
      <c r="AN8" s="30"/>
      <c r="AO8" s="29"/>
      <c r="AP8" s="30"/>
      <c r="AQ8" s="29"/>
      <c r="AR8" s="30"/>
      <c r="AS8" s="29"/>
      <c r="AT8" s="32">
        <v>231</v>
      </c>
      <c r="AU8" s="32"/>
      <c r="AV8" s="33"/>
      <c r="AW8" s="25">
        <f t="shared" si="0"/>
        <v>109810</v>
      </c>
    </row>
    <row r="9" spans="1:50" s="16" customFormat="1" ht="12" x14ac:dyDescent="0.2">
      <c r="A9" s="26"/>
      <c r="B9" s="27">
        <v>615</v>
      </c>
      <c r="C9" s="17">
        <v>600688</v>
      </c>
      <c r="D9" s="28"/>
      <c r="E9" s="29"/>
      <c r="F9" s="28"/>
      <c r="G9" s="29">
        <f>18*B9</f>
        <v>11070</v>
      </c>
      <c r="H9" s="28"/>
      <c r="I9" s="29">
        <f>22*B9</f>
        <v>13530</v>
      </c>
      <c r="J9" s="28"/>
      <c r="K9" s="29">
        <f>21*B9</f>
        <v>12915</v>
      </c>
      <c r="L9" s="28"/>
      <c r="M9" s="29">
        <f>15*B9</f>
        <v>9225</v>
      </c>
      <c r="N9" s="28"/>
      <c r="O9" s="29">
        <f>21.5*B9</f>
        <v>13222.5</v>
      </c>
      <c r="P9" s="28"/>
      <c r="Q9" s="29">
        <f>11*B9</f>
        <v>6765</v>
      </c>
      <c r="R9" s="28"/>
      <c r="S9" s="29">
        <f>12*B9</f>
        <v>7380</v>
      </c>
      <c r="T9" s="30"/>
      <c r="U9" s="29">
        <f>21.5*B9</f>
        <v>13222.5</v>
      </c>
      <c r="V9" s="30"/>
      <c r="W9" s="29">
        <f>20*B9</f>
        <v>12300</v>
      </c>
      <c r="X9" s="31"/>
      <c r="Y9" s="29"/>
      <c r="Z9" s="30"/>
      <c r="AA9" s="29"/>
      <c r="AB9" s="30"/>
      <c r="AC9" s="29"/>
      <c r="AD9" s="30"/>
      <c r="AE9" s="29"/>
      <c r="AF9" s="30"/>
      <c r="AG9" s="29"/>
      <c r="AH9" s="30"/>
      <c r="AI9" s="29"/>
      <c r="AJ9" s="30"/>
      <c r="AK9" s="29"/>
      <c r="AL9" s="30"/>
      <c r="AM9" s="29"/>
      <c r="AN9" s="30"/>
      <c r="AO9" s="29"/>
      <c r="AP9" s="30"/>
      <c r="AQ9" s="29"/>
      <c r="AR9" s="30"/>
      <c r="AS9" s="29"/>
      <c r="AT9" s="32">
        <v>135</v>
      </c>
      <c r="AU9" s="32"/>
      <c r="AV9" s="33"/>
      <c r="AW9" s="25">
        <f t="shared" si="0"/>
        <v>99630</v>
      </c>
    </row>
    <row r="10" spans="1:50" s="16" customFormat="1" ht="12" x14ac:dyDescent="0.2">
      <c r="A10" s="17"/>
      <c r="B10" s="18">
        <v>525</v>
      </c>
      <c r="C10" s="17">
        <v>600688</v>
      </c>
      <c r="D10" s="19"/>
      <c r="E10" s="20"/>
      <c r="F10" s="19"/>
      <c r="G10" s="20"/>
      <c r="H10" s="19"/>
      <c r="I10" s="20">
        <f>16.5*B10</f>
        <v>8662.5</v>
      </c>
      <c r="J10" s="19"/>
      <c r="K10" s="20">
        <f>20*B10</f>
        <v>10500</v>
      </c>
      <c r="L10" s="19"/>
      <c r="M10" s="20">
        <f>11*B10</f>
        <v>5775</v>
      </c>
      <c r="N10" s="19"/>
      <c r="O10" s="20">
        <f>20*B10</f>
        <v>10500</v>
      </c>
      <c r="P10" s="19"/>
      <c r="Q10" s="20">
        <f>21*B10</f>
        <v>11025</v>
      </c>
      <c r="R10" s="19"/>
      <c r="S10" s="20">
        <f>20*B10</f>
        <v>10500</v>
      </c>
      <c r="T10" s="21"/>
      <c r="U10" s="20">
        <f>14*B10</f>
        <v>7350</v>
      </c>
      <c r="V10" s="21"/>
      <c r="W10" s="20">
        <f>12*B10</f>
        <v>6300</v>
      </c>
      <c r="X10" s="22"/>
      <c r="Y10" s="20"/>
      <c r="Z10" s="21"/>
      <c r="AA10" s="20"/>
      <c r="AB10" s="21"/>
      <c r="AC10" s="20"/>
      <c r="AD10" s="21"/>
      <c r="AE10" s="20"/>
      <c r="AF10" s="21"/>
      <c r="AG10" s="20"/>
      <c r="AH10" s="21"/>
      <c r="AI10" s="20"/>
      <c r="AJ10" s="21"/>
      <c r="AK10" s="20"/>
      <c r="AL10" s="21"/>
      <c r="AM10" s="20"/>
      <c r="AN10" s="21"/>
      <c r="AO10" s="20"/>
      <c r="AP10" s="21"/>
      <c r="AQ10" s="20"/>
      <c r="AR10" s="21"/>
      <c r="AS10" s="20"/>
      <c r="AT10" s="23">
        <v>173</v>
      </c>
      <c r="AU10" s="23"/>
      <c r="AV10" s="24"/>
      <c r="AW10" s="25">
        <f t="shared" si="0"/>
        <v>70612.5</v>
      </c>
    </row>
    <row r="11" spans="1:50" s="16" customFormat="1" ht="12" x14ac:dyDescent="0.2">
      <c r="A11" s="26"/>
      <c r="B11" s="27">
        <v>485</v>
      </c>
      <c r="C11" s="17">
        <v>600688</v>
      </c>
      <c r="D11" s="28"/>
      <c r="E11" s="29"/>
      <c r="F11" s="28"/>
      <c r="G11" s="29"/>
      <c r="H11" s="28"/>
      <c r="I11" s="29"/>
      <c r="J11" s="28"/>
      <c r="K11" s="29"/>
      <c r="L11" s="28"/>
      <c r="M11" s="29"/>
      <c r="N11" s="28"/>
      <c r="O11" s="29"/>
      <c r="P11" s="28"/>
      <c r="Q11" s="29"/>
      <c r="R11" s="28"/>
      <c r="S11" s="29"/>
      <c r="T11" s="30"/>
      <c r="U11" s="29">
        <f>21*B11</f>
        <v>10185</v>
      </c>
      <c r="V11" s="30"/>
      <c r="W11" s="29">
        <f>18*B11</f>
        <v>8730</v>
      </c>
      <c r="X11" s="31"/>
      <c r="Y11" s="29"/>
      <c r="Z11" s="30"/>
      <c r="AA11" s="29"/>
      <c r="AB11" s="30"/>
      <c r="AC11" s="29"/>
      <c r="AD11" s="30"/>
      <c r="AE11" s="29"/>
      <c r="AF11" s="30"/>
      <c r="AG11" s="29"/>
      <c r="AH11" s="30"/>
      <c r="AI11" s="29"/>
      <c r="AJ11" s="30"/>
      <c r="AK11" s="29"/>
      <c r="AL11" s="30"/>
      <c r="AM11" s="29"/>
      <c r="AN11" s="30"/>
      <c r="AO11" s="29"/>
      <c r="AP11" s="30"/>
      <c r="AQ11" s="29"/>
      <c r="AR11" s="30"/>
      <c r="AS11" s="29"/>
      <c r="AT11" s="32">
        <v>26</v>
      </c>
      <c r="AU11" s="32"/>
      <c r="AV11" s="33"/>
      <c r="AW11" s="25">
        <f t="shared" si="0"/>
        <v>18915</v>
      </c>
    </row>
    <row r="12" spans="1:50" s="16" customFormat="1" ht="12" x14ac:dyDescent="0.2">
      <c r="A12" s="17"/>
      <c r="B12" s="18">
        <v>900</v>
      </c>
      <c r="C12" s="17">
        <v>600688</v>
      </c>
      <c r="D12" s="36"/>
      <c r="E12" s="20"/>
      <c r="F12" s="19"/>
      <c r="G12" s="20"/>
      <c r="H12" s="19"/>
      <c r="I12" s="20"/>
      <c r="J12" s="19"/>
      <c r="K12" s="20"/>
      <c r="L12" s="19"/>
      <c r="M12" s="20"/>
      <c r="N12" s="19"/>
      <c r="O12" s="20"/>
      <c r="P12" s="19"/>
      <c r="Q12" s="20"/>
      <c r="R12" s="19"/>
      <c r="S12" s="20"/>
      <c r="T12" s="21"/>
      <c r="U12" s="20"/>
      <c r="V12" s="21"/>
      <c r="W12" s="20"/>
      <c r="X12" s="31"/>
      <c r="Y12" s="19"/>
      <c r="Z12" s="30"/>
      <c r="AA12" s="19"/>
      <c r="AB12" s="21"/>
      <c r="AC12" s="20"/>
      <c r="AD12" s="21"/>
      <c r="AE12" s="20"/>
      <c r="AF12" s="21"/>
      <c r="AG12" s="20"/>
      <c r="AH12" s="21"/>
      <c r="AI12" s="20"/>
      <c r="AJ12" s="21"/>
      <c r="AK12" s="20"/>
      <c r="AL12" s="21"/>
      <c r="AM12" s="20"/>
      <c r="AN12" s="21"/>
      <c r="AO12" s="20"/>
      <c r="AP12" s="21"/>
      <c r="AQ12" s="20"/>
      <c r="AR12" s="21"/>
      <c r="AS12" s="20"/>
      <c r="AT12" s="23">
        <v>40</v>
      </c>
      <c r="AU12" s="23"/>
      <c r="AV12" s="24"/>
      <c r="AW12" s="25">
        <f t="shared" si="0"/>
        <v>0</v>
      </c>
    </row>
    <row r="13" spans="1:50" s="16" customFormat="1" ht="12" x14ac:dyDescent="0.2">
      <c r="A13" s="26"/>
      <c r="B13" s="93"/>
      <c r="C13" s="17">
        <v>600688</v>
      </c>
      <c r="D13" s="110"/>
      <c r="E13" s="29"/>
      <c r="F13" s="28"/>
      <c r="G13" s="29"/>
      <c r="H13" s="28"/>
      <c r="I13" s="29"/>
      <c r="J13" s="28"/>
      <c r="K13" s="29"/>
      <c r="L13" s="28"/>
      <c r="M13" s="29"/>
      <c r="N13" s="28"/>
      <c r="O13" s="29"/>
      <c r="P13" s="28"/>
      <c r="Q13" s="29"/>
      <c r="R13" s="28"/>
      <c r="S13" s="29"/>
      <c r="T13" s="30"/>
      <c r="U13" s="29">
        <v>5563</v>
      </c>
      <c r="V13" s="30"/>
      <c r="W13" s="29">
        <v>10240.93</v>
      </c>
      <c r="X13" s="22"/>
      <c r="Y13" s="28"/>
      <c r="Z13" s="30"/>
      <c r="AA13" s="28"/>
      <c r="AB13" s="30"/>
      <c r="AC13" s="29"/>
      <c r="AD13" s="30"/>
      <c r="AE13" s="29"/>
      <c r="AF13" s="30"/>
      <c r="AG13" s="29"/>
      <c r="AH13" s="30"/>
      <c r="AI13" s="29"/>
      <c r="AJ13" s="30"/>
      <c r="AK13" s="29"/>
      <c r="AL13" s="30"/>
      <c r="AM13" s="29"/>
      <c r="AN13" s="30"/>
      <c r="AO13" s="29"/>
      <c r="AP13" s="30"/>
      <c r="AQ13" s="29"/>
      <c r="AR13" s="30"/>
      <c r="AS13" s="29"/>
      <c r="AT13" s="112"/>
      <c r="AU13" s="112"/>
      <c r="AV13" s="113"/>
      <c r="AW13" s="25">
        <f t="shared" si="0"/>
        <v>15803.93</v>
      </c>
    </row>
    <row r="14" spans="1:50" s="16" customFormat="1" ht="12" x14ac:dyDescent="0.2">
      <c r="A14" s="17"/>
      <c r="B14" s="93"/>
      <c r="C14" s="17">
        <v>600688</v>
      </c>
      <c r="D14" s="110"/>
      <c r="E14" s="20"/>
      <c r="F14" s="19"/>
      <c r="G14" s="20"/>
      <c r="H14" s="19"/>
      <c r="I14" s="20"/>
      <c r="J14" s="19"/>
      <c r="K14" s="20"/>
      <c r="L14" s="19"/>
      <c r="M14" s="20">
        <v>1931</v>
      </c>
      <c r="N14" s="19"/>
      <c r="O14" s="20"/>
      <c r="P14" s="19"/>
      <c r="Q14" s="20"/>
      <c r="R14" s="19"/>
      <c r="S14" s="20"/>
      <c r="T14" s="21"/>
      <c r="U14" s="20"/>
      <c r="V14" s="21"/>
      <c r="W14" s="20"/>
      <c r="X14" s="31"/>
      <c r="Y14" s="19"/>
      <c r="Z14" s="21"/>
      <c r="AA14" s="19"/>
      <c r="AB14" s="21"/>
      <c r="AC14" s="20"/>
      <c r="AD14" s="21"/>
      <c r="AE14" s="20"/>
      <c r="AF14" s="21"/>
      <c r="AG14" s="20"/>
      <c r="AH14" s="21"/>
      <c r="AI14" s="20"/>
      <c r="AJ14" s="21"/>
      <c r="AK14" s="20"/>
      <c r="AL14" s="21"/>
      <c r="AM14" s="20"/>
      <c r="AN14" s="21"/>
      <c r="AO14" s="20"/>
      <c r="AP14" s="21"/>
      <c r="AQ14" s="20"/>
      <c r="AR14" s="21"/>
      <c r="AS14" s="20"/>
      <c r="AT14" s="112"/>
      <c r="AU14" s="112"/>
      <c r="AV14" s="113"/>
      <c r="AW14" s="25">
        <f t="shared" si="0"/>
        <v>1931</v>
      </c>
    </row>
    <row r="15" spans="1:50" s="47" customFormat="1" ht="12" x14ac:dyDescent="0.2">
      <c r="A15" s="39"/>
      <c r="B15" s="40"/>
      <c r="C15" s="41"/>
      <c r="D15" s="42"/>
      <c r="E15" s="43"/>
      <c r="F15" s="42"/>
      <c r="G15" s="43">
        <f>SUM(G5:G14)</f>
        <v>34047.5</v>
      </c>
      <c r="H15" s="43">
        <f t="shared" ref="H15:AA15" si="1">SUM(H5:H14)</f>
        <v>0</v>
      </c>
      <c r="I15" s="43">
        <f t="shared" si="1"/>
        <v>34702.5</v>
      </c>
      <c r="J15" s="43">
        <f t="shared" si="1"/>
        <v>0</v>
      </c>
      <c r="K15" s="43">
        <f t="shared" si="1"/>
        <v>54660</v>
      </c>
      <c r="L15" s="43">
        <f t="shared" si="1"/>
        <v>0</v>
      </c>
      <c r="M15" s="43">
        <f t="shared" si="1"/>
        <v>46826</v>
      </c>
      <c r="N15" s="43">
        <f t="shared" si="1"/>
        <v>0</v>
      </c>
      <c r="O15" s="43">
        <f t="shared" si="1"/>
        <v>50722.5</v>
      </c>
      <c r="P15" s="43">
        <f t="shared" si="1"/>
        <v>0</v>
      </c>
      <c r="Q15" s="43">
        <f t="shared" si="1"/>
        <v>31370</v>
      </c>
      <c r="R15" s="43">
        <f t="shared" si="1"/>
        <v>0</v>
      </c>
      <c r="S15" s="43">
        <f t="shared" si="1"/>
        <v>41440</v>
      </c>
      <c r="T15" s="43">
        <f t="shared" si="1"/>
        <v>0</v>
      </c>
      <c r="U15" s="43">
        <f t="shared" si="1"/>
        <v>71470.5</v>
      </c>
      <c r="V15" s="43">
        <f t="shared" si="1"/>
        <v>0</v>
      </c>
      <c r="W15" s="43">
        <f t="shared" si="1"/>
        <v>63820.93</v>
      </c>
      <c r="X15" s="43">
        <f t="shared" si="1"/>
        <v>0</v>
      </c>
      <c r="Y15" s="43">
        <f t="shared" si="1"/>
        <v>0</v>
      </c>
      <c r="Z15" s="43">
        <f t="shared" si="1"/>
        <v>0</v>
      </c>
      <c r="AA15" s="43">
        <f t="shared" si="1"/>
        <v>0</v>
      </c>
      <c r="AB15" s="43"/>
      <c r="AC15" s="43"/>
      <c r="AD15" s="43"/>
      <c r="AE15" s="43"/>
      <c r="AF15" s="43"/>
      <c r="AG15" s="43"/>
      <c r="AH15" s="43"/>
      <c r="AI15" s="43"/>
      <c r="AJ15" s="43"/>
      <c r="AK15" s="43"/>
      <c r="AL15" s="43"/>
      <c r="AM15" s="43"/>
      <c r="AN15" s="43"/>
      <c r="AO15" s="43"/>
      <c r="AP15" s="43"/>
      <c r="AQ15" s="43"/>
      <c r="AR15" s="43"/>
      <c r="AS15" s="43"/>
      <c r="AT15" s="44"/>
      <c r="AU15" s="44"/>
      <c r="AV15" s="45"/>
      <c r="AW15" s="46">
        <f>SUM(AW5:AW14)</f>
        <v>429059.93</v>
      </c>
      <c r="AX15" s="108"/>
    </row>
    <row r="16" spans="1:50" s="16" customFormat="1" ht="12" x14ac:dyDescent="0.2">
      <c r="A16" s="48"/>
      <c r="B16" s="49">
        <v>435</v>
      </c>
      <c r="C16" s="48">
        <v>600693</v>
      </c>
      <c r="D16" s="50"/>
      <c r="E16" s="51"/>
      <c r="F16" s="50"/>
      <c r="G16" s="51"/>
      <c r="H16" s="50"/>
      <c r="I16" s="51">
        <f>5*B16</f>
        <v>2175</v>
      </c>
      <c r="J16" s="50"/>
      <c r="K16" s="51">
        <f>17*B16</f>
        <v>7395</v>
      </c>
      <c r="L16" s="50"/>
      <c r="M16" s="51">
        <f>18*B16</f>
        <v>7830</v>
      </c>
      <c r="N16" s="50"/>
      <c r="O16" s="51">
        <f>22*B16</f>
        <v>9570</v>
      </c>
      <c r="P16" s="50"/>
      <c r="Q16" s="51">
        <f>20*B16</f>
        <v>8700</v>
      </c>
      <c r="R16" s="50"/>
      <c r="S16" s="51">
        <f>22*B16</f>
        <v>9570</v>
      </c>
      <c r="T16" s="52"/>
      <c r="U16" s="51">
        <f>12*B16</f>
        <v>5220</v>
      </c>
      <c r="V16" s="52"/>
      <c r="W16" s="51">
        <f>20*B16</f>
        <v>8700</v>
      </c>
      <c r="X16" s="53"/>
      <c r="Y16" s="51"/>
      <c r="Z16" s="52"/>
      <c r="AA16" s="51"/>
      <c r="AB16" s="52"/>
      <c r="AC16" s="51"/>
      <c r="AD16" s="52"/>
      <c r="AE16" s="51"/>
      <c r="AF16" s="52"/>
      <c r="AG16" s="51"/>
      <c r="AH16" s="52"/>
      <c r="AI16" s="51"/>
      <c r="AJ16" s="52"/>
      <c r="AK16" s="51"/>
      <c r="AL16" s="52"/>
      <c r="AM16" s="51"/>
      <c r="AN16" s="52"/>
      <c r="AO16" s="51"/>
      <c r="AP16" s="52"/>
      <c r="AQ16" s="51"/>
      <c r="AR16" s="52"/>
      <c r="AS16" s="51"/>
      <c r="AT16" s="54">
        <v>150</v>
      </c>
      <c r="AU16" s="54"/>
      <c r="AV16" s="55"/>
      <c r="AW16" s="34">
        <f t="shared" ref="AW16:AW21" si="2">E16+G16+I16+K16+M16+O16+Q16+S16+U16+W16+Y16+AA16</f>
        <v>59160</v>
      </c>
    </row>
    <row r="17" spans="1:49" s="16" customFormat="1" ht="12" x14ac:dyDescent="0.2">
      <c r="A17" s="17"/>
      <c r="B17" s="18">
        <v>460</v>
      </c>
      <c r="C17" s="48">
        <v>600693</v>
      </c>
      <c r="D17" s="19"/>
      <c r="E17" s="20"/>
      <c r="F17" s="19"/>
      <c r="G17" s="20"/>
      <c r="H17" s="19"/>
      <c r="I17" s="20">
        <f>6*B17</f>
        <v>2760</v>
      </c>
      <c r="J17" s="19"/>
      <c r="K17" s="20">
        <f>16.5*B17</f>
        <v>7590</v>
      </c>
      <c r="L17" s="19"/>
      <c r="M17" s="20">
        <f>20*B17</f>
        <v>9200</v>
      </c>
      <c r="N17" s="19"/>
      <c r="O17" s="20">
        <f>20*B17</f>
        <v>9200</v>
      </c>
      <c r="P17" s="19"/>
      <c r="Q17" s="20">
        <f>21*B17</f>
        <v>9660</v>
      </c>
      <c r="R17" s="19"/>
      <c r="S17" s="20">
        <f>22*B17</f>
        <v>10120</v>
      </c>
      <c r="T17" s="21"/>
      <c r="U17" s="20">
        <f>8*B17</f>
        <v>3680</v>
      </c>
      <c r="V17" s="21"/>
      <c r="W17" s="20">
        <f>21*B17</f>
        <v>9660</v>
      </c>
      <c r="X17" s="22"/>
      <c r="Y17" s="20"/>
      <c r="Z17" s="21"/>
      <c r="AA17" s="20"/>
      <c r="AB17" s="21"/>
      <c r="AC17" s="20"/>
      <c r="AD17" s="21"/>
      <c r="AE17" s="20"/>
      <c r="AF17" s="21"/>
      <c r="AG17" s="20"/>
      <c r="AH17" s="21"/>
      <c r="AI17" s="20"/>
      <c r="AJ17" s="21"/>
      <c r="AK17" s="20"/>
      <c r="AL17" s="21"/>
      <c r="AM17" s="20"/>
      <c r="AN17" s="21"/>
      <c r="AO17" s="20"/>
      <c r="AP17" s="21"/>
      <c r="AQ17" s="20"/>
      <c r="AR17" s="21"/>
      <c r="AS17" s="20"/>
      <c r="AT17" s="23">
        <v>165</v>
      </c>
      <c r="AU17" s="23"/>
      <c r="AV17" s="24"/>
      <c r="AW17" s="34">
        <f t="shared" si="2"/>
        <v>61870</v>
      </c>
    </row>
    <row r="18" spans="1:49" s="16" customFormat="1" ht="12" x14ac:dyDescent="0.2">
      <c r="A18" s="26"/>
      <c r="B18" s="27">
        <v>560</v>
      </c>
      <c r="C18" s="48">
        <v>600693</v>
      </c>
      <c r="D18" s="28"/>
      <c r="E18" s="29"/>
      <c r="F18" s="28"/>
      <c r="G18" s="29">
        <f>4*B18</f>
        <v>2240</v>
      </c>
      <c r="H18" s="28"/>
      <c r="I18" s="29">
        <f>23*B18</f>
        <v>12880</v>
      </c>
      <c r="J18" s="28"/>
      <c r="K18" s="29">
        <f>18*B18</f>
        <v>10080</v>
      </c>
      <c r="L18" s="28"/>
      <c r="M18" s="29">
        <f>15*B18</f>
        <v>8400</v>
      </c>
      <c r="N18" s="28"/>
      <c r="O18" s="29">
        <f>22*B18</f>
        <v>12320</v>
      </c>
      <c r="P18" s="28"/>
      <c r="Q18" s="29">
        <f>18*B18</f>
        <v>10080</v>
      </c>
      <c r="R18" s="28"/>
      <c r="S18" s="29">
        <f>21*B18</f>
        <v>11760</v>
      </c>
      <c r="T18" s="30"/>
      <c r="U18" s="29">
        <f>5*B18</f>
        <v>2800</v>
      </c>
      <c r="V18" s="30"/>
      <c r="W18" s="29">
        <f>21*B18</f>
        <v>11760</v>
      </c>
      <c r="X18" s="31"/>
      <c r="Y18" s="29"/>
      <c r="Z18" s="30"/>
      <c r="AA18" s="29"/>
      <c r="AB18" s="30"/>
      <c r="AC18" s="29"/>
      <c r="AD18" s="30"/>
      <c r="AE18" s="29"/>
      <c r="AF18" s="30"/>
      <c r="AG18" s="29"/>
      <c r="AH18" s="30"/>
      <c r="AI18" s="29"/>
      <c r="AJ18" s="30"/>
      <c r="AK18" s="29"/>
      <c r="AL18" s="30"/>
      <c r="AM18" s="29"/>
      <c r="AN18" s="30"/>
      <c r="AO18" s="29"/>
      <c r="AP18" s="30"/>
      <c r="AQ18" s="29"/>
      <c r="AR18" s="30"/>
      <c r="AS18" s="29"/>
      <c r="AT18" s="32">
        <v>160</v>
      </c>
      <c r="AU18" s="32"/>
      <c r="AV18" s="33"/>
      <c r="AW18" s="34">
        <f t="shared" si="2"/>
        <v>82320</v>
      </c>
    </row>
    <row r="19" spans="1:49" s="16" customFormat="1" ht="12" x14ac:dyDescent="0.2">
      <c r="A19" s="17"/>
      <c r="B19" s="18">
        <v>495</v>
      </c>
      <c r="C19" s="48">
        <v>600693</v>
      </c>
      <c r="D19" s="19"/>
      <c r="E19" s="20"/>
      <c r="F19" s="19"/>
      <c r="G19" s="20"/>
      <c r="H19" s="19"/>
      <c r="I19" s="20">
        <f>6*B19</f>
        <v>2970</v>
      </c>
      <c r="J19" s="19"/>
      <c r="K19" s="20">
        <f>20.5*B19</f>
        <v>10147.5</v>
      </c>
      <c r="L19" s="19"/>
      <c r="M19" s="20">
        <f>13*B19</f>
        <v>6435</v>
      </c>
      <c r="N19" s="19"/>
      <c r="O19" s="20">
        <f>22*B19</f>
        <v>10890</v>
      </c>
      <c r="P19" s="19"/>
      <c r="Q19" s="20">
        <f>18*B19</f>
        <v>8910</v>
      </c>
      <c r="R19" s="19"/>
      <c r="S19" s="20">
        <f>20*B19</f>
        <v>9900</v>
      </c>
      <c r="T19" s="21"/>
      <c r="U19" s="20"/>
      <c r="V19" s="21"/>
      <c r="W19" s="20"/>
      <c r="X19" s="22"/>
      <c r="Y19" s="20"/>
      <c r="Z19" s="21"/>
      <c r="AA19" s="20"/>
      <c r="AB19" s="21"/>
      <c r="AC19" s="20"/>
      <c r="AD19" s="21"/>
      <c r="AE19" s="20"/>
      <c r="AF19" s="21"/>
      <c r="AG19" s="20"/>
      <c r="AH19" s="21"/>
      <c r="AI19" s="20"/>
      <c r="AJ19" s="21"/>
      <c r="AK19" s="20"/>
      <c r="AL19" s="21"/>
      <c r="AM19" s="20"/>
      <c r="AN19" s="21"/>
      <c r="AO19" s="20"/>
      <c r="AP19" s="21"/>
      <c r="AQ19" s="20"/>
      <c r="AR19" s="21"/>
      <c r="AS19" s="20"/>
      <c r="AT19" s="23">
        <v>100</v>
      </c>
      <c r="AU19" s="23"/>
      <c r="AV19" s="24"/>
      <c r="AW19" s="34">
        <f t="shared" si="2"/>
        <v>49252.5</v>
      </c>
    </row>
    <row r="20" spans="1:49" s="16" customFormat="1" ht="12" x14ac:dyDescent="0.2">
      <c r="A20" s="17"/>
      <c r="B20" s="18">
        <v>515</v>
      </c>
      <c r="C20" s="48">
        <v>600693</v>
      </c>
      <c r="D20" s="19"/>
      <c r="E20" s="20"/>
      <c r="F20" s="19"/>
      <c r="G20" s="20"/>
      <c r="H20" s="19"/>
      <c r="I20" s="20"/>
      <c r="J20" s="19"/>
      <c r="K20" s="20"/>
      <c r="L20" s="19"/>
      <c r="M20" s="20"/>
      <c r="N20" s="19"/>
      <c r="O20" s="20"/>
      <c r="P20" s="19"/>
      <c r="Q20" s="20"/>
      <c r="R20" s="19"/>
      <c r="S20" s="20"/>
      <c r="T20" s="21"/>
      <c r="U20" s="20">
        <f>14*B20</f>
        <v>7210</v>
      </c>
      <c r="V20" s="21"/>
      <c r="W20" s="20">
        <f>19*B20</f>
        <v>9785</v>
      </c>
      <c r="X20" s="22"/>
      <c r="Y20" s="20"/>
      <c r="Z20" s="21"/>
      <c r="AA20" s="20"/>
      <c r="AB20" s="21"/>
      <c r="AC20" s="20"/>
      <c r="AD20" s="21"/>
      <c r="AE20" s="20"/>
      <c r="AF20" s="21"/>
      <c r="AG20" s="20"/>
      <c r="AH20" s="21"/>
      <c r="AI20" s="20"/>
      <c r="AJ20" s="21"/>
      <c r="AK20" s="20"/>
      <c r="AL20" s="21"/>
      <c r="AM20" s="20"/>
      <c r="AN20" s="21"/>
      <c r="AO20" s="20"/>
      <c r="AP20" s="21"/>
      <c r="AQ20" s="20"/>
      <c r="AR20" s="21"/>
      <c r="AS20" s="20"/>
      <c r="AT20" s="23"/>
      <c r="AU20" s="23"/>
      <c r="AV20" s="24"/>
      <c r="AW20" s="34">
        <f t="shared" si="2"/>
        <v>16995</v>
      </c>
    </row>
    <row r="21" spans="1:49" s="16" customFormat="1" ht="12" x14ac:dyDescent="0.2">
      <c r="A21" s="26"/>
      <c r="B21" s="27">
        <v>479</v>
      </c>
      <c r="C21" s="48">
        <v>600693</v>
      </c>
      <c r="D21" s="28"/>
      <c r="E21" s="29"/>
      <c r="F21" s="28"/>
      <c r="G21" s="29"/>
      <c r="H21" s="28"/>
      <c r="I21" s="29">
        <f>6*B21</f>
        <v>2874</v>
      </c>
      <c r="J21" s="28"/>
      <c r="K21" s="29">
        <f>16*B21</f>
        <v>7664</v>
      </c>
      <c r="L21" s="28"/>
      <c r="M21" s="29">
        <f>9*B21</f>
        <v>4311</v>
      </c>
      <c r="N21" s="28"/>
      <c r="O21" s="29">
        <f>22*B21</f>
        <v>10538</v>
      </c>
      <c r="P21" s="28"/>
      <c r="Q21" s="29">
        <f>21*B21</f>
        <v>10059</v>
      </c>
      <c r="R21" s="28"/>
      <c r="S21" s="29">
        <f>18*B21</f>
        <v>8622</v>
      </c>
      <c r="T21" s="30"/>
      <c r="U21" s="29">
        <f>22*B21</f>
        <v>10538</v>
      </c>
      <c r="V21" s="30"/>
      <c r="W21" s="29">
        <f>21*B21</f>
        <v>10059</v>
      </c>
      <c r="X21" s="31"/>
      <c r="Y21" s="29"/>
      <c r="Z21" s="30"/>
      <c r="AA21" s="29"/>
      <c r="AB21" s="30"/>
      <c r="AC21" s="29"/>
      <c r="AD21" s="30"/>
      <c r="AE21" s="29"/>
      <c r="AF21" s="30"/>
      <c r="AG21" s="29"/>
      <c r="AH21" s="30"/>
      <c r="AI21" s="29"/>
      <c r="AJ21" s="30"/>
      <c r="AK21" s="29"/>
      <c r="AL21" s="30"/>
      <c r="AM21" s="29"/>
      <c r="AN21" s="30"/>
      <c r="AO21" s="29"/>
      <c r="AP21" s="30"/>
      <c r="AQ21" s="29"/>
      <c r="AR21" s="30"/>
      <c r="AS21" s="29"/>
      <c r="AT21" s="32">
        <v>165</v>
      </c>
      <c r="AU21" s="32"/>
      <c r="AV21" s="33"/>
      <c r="AW21" s="34">
        <f t="shared" si="2"/>
        <v>64665</v>
      </c>
    </row>
    <row r="22" spans="1:49" s="16" customFormat="1" ht="12" x14ac:dyDescent="0.2">
      <c r="A22" s="17"/>
      <c r="B22" s="18">
        <v>479</v>
      </c>
      <c r="C22" s="48">
        <v>600693</v>
      </c>
      <c r="D22" s="19"/>
      <c r="E22" s="20"/>
      <c r="F22" s="19"/>
      <c r="G22" s="20"/>
      <c r="H22" s="19"/>
      <c r="I22" s="20">
        <f>6*B22</f>
        <v>2874</v>
      </c>
      <c r="J22" s="19"/>
      <c r="K22" s="20">
        <f>20*B22</f>
        <v>9580</v>
      </c>
      <c r="L22" s="19"/>
      <c r="M22" s="20">
        <f>18*B22</f>
        <v>8622</v>
      </c>
      <c r="N22" s="19"/>
      <c r="O22" s="20">
        <f>4*B22</f>
        <v>1916</v>
      </c>
      <c r="P22" s="19"/>
      <c r="Q22" s="20">
        <v>0</v>
      </c>
      <c r="R22" s="19"/>
      <c r="S22" s="20">
        <v>0</v>
      </c>
      <c r="T22" s="21"/>
      <c r="U22" s="20">
        <v>0</v>
      </c>
      <c r="V22" s="21"/>
      <c r="W22" s="20">
        <f>5*B22</f>
        <v>2395</v>
      </c>
      <c r="X22" s="22"/>
      <c r="Y22" s="20"/>
      <c r="Z22" s="21"/>
      <c r="AA22" s="20"/>
      <c r="AB22" s="21"/>
      <c r="AC22" s="20"/>
      <c r="AD22" s="21"/>
      <c r="AE22" s="20"/>
      <c r="AF22" s="21"/>
      <c r="AG22" s="20"/>
      <c r="AH22" s="21"/>
      <c r="AI22" s="20"/>
      <c r="AJ22" s="21"/>
      <c r="AK22" s="20"/>
      <c r="AL22" s="21"/>
      <c r="AM22" s="20"/>
      <c r="AN22" s="21"/>
      <c r="AO22" s="20"/>
      <c r="AP22" s="21"/>
      <c r="AQ22" s="20"/>
      <c r="AR22" s="21"/>
      <c r="AS22" s="20"/>
      <c r="AT22" s="23">
        <v>60</v>
      </c>
      <c r="AU22" s="23"/>
      <c r="AV22" s="24"/>
      <c r="AW22" s="34">
        <f>E22+G22+I22+K22+M22+O22+Q22+S22+U22+W22+Y22+AA22</f>
        <v>25387</v>
      </c>
    </row>
    <row r="23" spans="1:49" s="16" customFormat="1" ht="12" x14ac:dyDescent="0.2">
      <c r="A23" s="26"/>
      <c r="B23" s="27">
        <v>480</v>
      </c>
      <c r="C23" s="48">
        <v>600693</v>
      </c>
      <c r="D23" s="28"/>
      <c r="E23" s="29"/>
      <c r="F23" s="28"/>
      <c r="G23" s="29"/>
      <c r="H23" s="28"/>
      <c r="I23" s="29"/>
      <c r="J23" s="28"/>
      <c r="K23" s="29"/>
      <c r="L23" s="28"/>
      <c r="M23" s="29"/>
      <c r="N23" s="28"/>
      <c r="O23" s="29"/>
      <c r="P23" s="28"/>
      <c r="Q23" s="29"/>
      <c r="R23" s="28"/>
      <c r="S23" s="29">
        <f>7.5*B23</f>
        <v>3600</v>
      </c>
      <c r="T23" s="30"/>
      <c r="U23" s="29">
        <f>22*B23</f>
        <v>10560</v>
      </c>
      <c r="V23" s="30"/>
      <c r="W23" s="29">
        <f>5.5*B23</f>
        <v>2640</v>
      </c>
      <c r="X23" s="31"/>
      <c r="Y23" s="29"/>
      <c r="Z23" s="30"/>
      <c r="AA23" s="29"/>
      <c r="AB23" s="30"/>
      <c r="AC23" s="29"/>
      <c r="AD23" s="30"/>
      <c r="AE23" s="29"/>
      <c r="AF23" s="30"/>
      <c r="AG23" s="29"/>
      <c r="AH23" s="30"/>
      <c r="AI23" s="29"/>
      <c r="AJ23" s="30"/>
      <c r="AK23" s="29"/>
      <c r="AL23" s="30"/>
      <c r="AM23" s="29"/>
      <c r="AN23" s="30"/>
      <c r="AO23" s="29"/>
      <c r="AP23" s="30"/>
      <c r="AQ23" s="29"/>
      <c r="AR23" s="30"/>
      <c r="AS23" s="29"/>
      <c r="AT23" s="32">
        <v>80</v>
      </c>
      <c r="AU23" s="32"/>
      <c r="AV23" s="33"/>
      <c r="AW23" s="34">
        <f>E23+G23+I23+K23+M23+O23+Q23+S23+U23+W23+Y23+AA23</f>
        <v>16800</v>
      </c>
    </row>
    <row r="24" spans="1:49" s="16" customFormat="1" ht="12" x14ac:dyDescent="0.2">
      <c r="A24" s="17"/>
      <c r="B24" s="18">
        <v>500</v>
      </c>
      <c r="C24" s="48">
        <v>600693</v>
      </c>
      <c r="D24" s="19"/>
      <c r="E24" s="20"/>
      <c r="F24" s="19"/>
      <c r="G24" s="20"/>
      <c r="H24" s="19"/>
      <c r="I24" s="20"/>
      <c r="J24" s="19"/>
      <c r="K24" s="20"/>
      <c r="L24" s="19"/>
      <c r="M24" s="20"/>
      <c r="N24" s="19"/>
      <c r="O24" s="20"/>
      <c r="P24" s="19"/>
      <c r="Q24" s="20"/>
      <c r="R24" s="19"/>
      <c r="S24" s="20">
        <f>12*B24</f>
        <v>6000</v>
      </c>
      <c r="T24" s="21"/>
      <c r="U24" s="20">
        <f>13.5*B24</f>
        <v>6750</v>
      </c>
      <c r="V24" s="21"/>
      <c r="W24" s="20"/>
      <c r="X24" s="22"/>
      <c r="Y24" s="20"/>
      <c r="Z24" s="21"/>
      <c r="AA24" s="20"/>
      <c r="AB24" s="21"/>
      <c r="AC24" s="20"/>
      <c r="AD24" s="21"/>
      <c r="AE24" s="20"/>
      <c r="AF24" s="21"/>
      <c r="AG24" s="20"/>
      <c r="AH24" s="21"/>
      <c r="AI24" s="20"/>
      <c r="AJ24" s="21"/>
      <c r="AK24" s="20"/>
      <c r="AL24" s="21"/>
      <c r="AM24" s="20"/>
      <c r="AN24" s="21"/>
      <c r="AO24" s="20"/>
      <c r="AP24" s="21"/>
      <c r="AQ24" s="20"/>
      <c r="AR24" s="21"/>
      <c r="AS24" s="20"/>
      <c r="AT24" s="23">
        <v>29.5</v>
      </c>
      <c r="AU24" s="23"/>
      <c r="AV24" s="24"/>
      <c r="AW24" s="34">
        <f>E24+G24+I24+K24+M24+O24+Q24+S24+U24+W24+Y24+AA24</f>
        <v>12750</v>
      </c>
    </row>
    <row r="25" spans="1:49" s="47" customFormat="1" ht="12" x14ac:dyDescent="0.2">
      <c r="A25" s="39"/>
      <c r="B25" s="40"/>
      <c r="C25" s="41"/>
      <c r="D25" s="42"/>
      <c r="E25" s="43"/>
      <c r="F25" s="42"/>
      <c r="G25" s="43">
        <f t="shared" ref="G25:J25" si="3">SUM(G16:G24)</f>
        <v>2240</v>
      </c>
      <c r="H25" s="43">
        <f t="shared" si="3"/>
        <v>0</v>
      </c>
      <c r="I25" s="43">
        <f t="shared" si="3"/>
        <v>26533</v>
      </c>
      <c r="J25" s="43">
        <f t="shared" si="3"/>
        <v>0</v>
      </c>
      <c r="K25" s="43">
        <f>SUM(K16:K24)</f>
        <v>52456.5</v>
      </c>
      <c r="L25" s="43">
        <f t="shared" ref="L25:AA25" si="4">SUM(L16:L24)</f>
        <v>0</v>
      </c>
      <c r="M25" s="43">
        <f t="shared" si="4"/>
        <v>44798</v>
      </c>
      <c r="N25" s="43">
        <f t="shared" si="4"/>
        <v>0</v>
      </c>
      <c r="O25" s="43">
        <f t="shared" si="4"/>
        <v>54434</v>
      </c>
      <c r="P25" s="43">
        <f t="shared" si="4"/>
        <v>0</v>
      </c>
      <c r="Q25" s="43">
        <f t="shared" si="4"/>
        <v>47409</v>
      </c>
      <c r="R25" s="43">
        <f t="shared" si="4"/>
        <v>0</v>
      </c>
      <c r="S25" s="43">
        <f t="shared" si="4"/>
        <v>59572</v>
      </c>
      <c r="T25" s="43">
        <f t="shared" si="4"/>
        <v>0</v>
      </c>
      <c r="U25" s="43">
        <f t="shared" si="4"/>
        <v>46758</v>
      </c>
      <c r="V25" s="43">
        <f t="shared" si="4"/>
        <v>0</v>
      </c>
      <c r="W25" s="43">
        <f t="shared" si="4"/>
        <v>54999</v>
      </c>
      <c r="X25" s="43">
        <f t="shared" si="4"/>
        <v>0</v>
      </c>
      <c r="Y25" s="43">
        <f t="shared" si="4"/>
        <v>0</v>
      </c>
      <c r="Z25" s="43">
        <f t="shared" si="4"/>
        <v>0</v>
      </c>
      <c r="AA25" s="43">
        <f t="shared" si="4"/>
        <v>0</v>
      </c>
      <c r="AB25" s="43"/>
      <c r="AC25" s="43"/>
      <c r="AD25" s="43"/>
      <c r="AE25" s="43"/>
      <c r="AF25" s="43"/>
      <c r="AG25" s="43"/>
      <c r="AH25" s="43"/>
      <c r="AI25" s="43"/>
      <c r="AJ25" s="43"/>
      <c r="AK25" s="43"/>
      <c r="AL25" s="43"/>
      <c r="AM25" s="43"/>
      <c r="AN25" s="43"/>
      <c r="AO25" s="43"/>
      <c r="AP25" s="43"/>
      <c r="AQ25" s="43"/>
      <c r="AR25" s="43"/>
      <c r="AS25" s="43"/>
      <c r="AT25" s="44"/>
      <c r="AU25" s="44"/>
      <c r="AV25" s="45"/>
      <c r="AW25" s="46">
        <f>SUM(AW16:AW24)</f>
        <v>389199.5</v>
      </c>
    </row>
    <row r="26" spans="1:49" s="16" customFormat="1" ht="12" x14ac:dyDescent="0.2">
      <c r="A26" s="26"/>
      <c r="B26" s="27">
        <v>520</v>
      </c>
      <c r="C26" s="26">
        <v>600695</v>
      </c>
      <c r="D26" s="28"/>
      <c r="E26" s="29"/>
      <c r="F26" s="28"/>
      <c r="G26" s="29"/>
      <c r="H26" s="28"/>
      <c r="I26" s="29">
        <f>23*B26</f>
        <v>11960</v>
      </c>
      <c r="J26" s="28"/>
      <c r="K26" s="29">
        <f>16*B26</f>
        <v>8320</v>
      </c>
      <c r="L26" s="28"/>
      <c r="M26" s="29">
        <f>4*B26</f>
        <v>2080</v>
      </c>
      <c r="N26" s="28"/>
      <c r="O26" s="29"/>
      <c r="P26" s="28"/>
      <c r="Q26" s="29"/>
      <c r="R26" s="28"/>
      <c r="S26" s="29"/>
      <c r="T26" s="30"/>
      <c r="U26" s="29"/>
      <c r="V26" s="30"/>
      <c r="W26" s="29"/>
      <c r="X26" s="31"/>
      <c r="Y26" s="29"/>
      <c r="Z26" s="30"/>
      <c r="AA26" s="29"/>
      <c r="AB26" s="30"/>
      <c r="AC26" s="29"/>
      <c r="AD26" s="30"/>
      <c r="AE26" s="29"/>
      <c r="AF26" s="30"/>
      <c r="AG26" s="29"/>
      <c r="AH26" s="30"/>
      <c r="AI26" s="29"/>
      <c r="AJ26" s="30"/>
      <c r="AK26" s="29"/>
      <c r="AL26" s="30"/>
      <c r="AM26" s="29"/>
      <c r="AN26" s="30"/>
      <c r="AO26" s="29"/>
      <c r="AP26" s="30"/>
      <c r="AQ26" s="29"/>
      <c r="AR26" s="30"/>
      <c r="AS26" s="29"/>
      <c r="AT26" s="32">
        <v>98</v>
      </c>
      <c r="AU26" s="32"/>
      <c r="AV26" s="33"/>
      <c r="AW26" s="34">
        <f>E26+G26+I26+K26+M26+O26+Q26+S26+U26+W26+Y26+AA26</f>
        <v>22360</v>
      </c>
    </row>
    <row r="27" spans="1:49" s="16" customFormat="1" ht="12" x14ac:dyDescent="0.2">
      <c r="A27" s="17"/>
      <c r="B27" s="18">
        <v>680</v>
      </c>
      <c r="C27" s="26">
        <v>600695</v>
      </c>
      <c r="D27" s="36"/>
      <c r="E27" s="20"/>
      <c r="F27" s="36"/>
      <c r="G27" s="20"/>
      <c r="H27" s="36"/>
      <c r="I27" s="20">
        <f>3*B27</f>
        <v>2040</v>
      </c>
      <c r="J27" s="36"/>
      <c r="K27" s="20">
        <f>19*B27</f>
        <v>12920</v>
      </c>
      <c r="L27" s="36"/>
      <c r="M27" s="20">
        <f>19*B27</f>
        <v>12920</v>
      </c>
      <c r="N27" s="36"/>
      <c r="O27" s="20">
        <f>19*B27</f>
        <v>12920</v>
      </c>
      <c r="P27" s="36"/>
      <c r="Q27" s="20">
        <f>20*B27</f>
        <v>13600</v>
      </c>
      <c r="R27" s="36"/>
      <c r="S27" s="20">
        <f>22*B27</f>
        <v>14960</v>
      </c>
      <c r="T27" s="37"/>
      <c r="U27" s="20"/>
      <c r="V27" s="37"/>
      <c r="W27" s="20"/>
      <c r="X27" s="38"/>
      <c r="Y27" s="20"/>
      <c r="Z27" s="37"/>
      <c r="AA27" s="20"/>
      <c r="AB27" s="37"/>
      <c r="AC27" s="20"/>
      <c r="AD27" s="37"/>
      <c r="AE27" s="20"/>
      <c r="AF27" s="37"/>
      <c r="AG27" s="20"/>
      <c r="AH27" s="37"/>
      <c r="AI27" s="20"/>
      <c r="AJ27" s="37"/>
      <c r="AK27" s="20"/>
      <c r="AL27" s="37"/>
      <c r="AM27" s="20"/>
      <c r="AN27" s="37"/>
      <c r="AO27" s="20"/>
      <c r="AP27" s="37"/>
      <c r="AQ27" s="20"/>
      <c r="AR27" s="37"/>
      <c r="AS27" s="20"/>
      <c r="AT27" s="23">
        <v>124</v>
      </c>
      <c r="AU27" s="23"/>
      <c r="AV27" s="24"/>
      <c r="AW27" s="34">
        <f>E27+G27+I27+K27+M27+O27+Q27+S27+U27+W27+Y27+AA27</f>
        <v>69360</v>
      </c>
    </row>
    <row r="28" spans="1:49" s="47" customFormat="1" ht="12" x14ac:dyDescent="0.2">
      <c r="A28" s="39"/>
      <c r="B28" s="40"/>
      <c r="C28" s="41"/>
      <c r="D28" s="42"/>
      <c r="E28" s="43"/>
      <c r="F28" s="42"/>
      <c r="G28" s="43">
        <f t="shared" ref="G28:J28" si="5">SUM(G26:G27)</f>
        <v>0</v>
      </c>
      <c r="H28" s="43">
        <f t="shared" si="5"/>
        <v>0</v>
      </c>
      <c r="I28" s="43">
        <f t="shared" si="5"/>
        <v>14000</v>
      </c>
      <c r="J28" s="43">
        <f t="shared" si="5"/>
        <v>0</v>
      </c>
      <c r="K28" s="43">
        <f>SUM(K26:K27)</f>
        <v>21240</v>
      </c>
      <c r="L28" s="43">
        <f t="shared" ref="L28:AA28" si="6">SUM(L26:L27)</f>
        <v>0</v>
      </c>
      <c r="M28" s="43">
        <f t="shared" si="6"/>
        <v>15000</v>
      </c>
      <c r="N28" s="43">
        <f t="shared" si="6"/>
        <v>0</v>
      </c>
      <c r="O28" s="43">
        <f t="shared" si="6"/>
        <v>12920</v>
      </c>
      <c r="P28" s="43">
        <f t="shared" si="6"/>
        <v>0</v>
      </c>
      <c r="Q28" s="43">
        <f t="shared" si="6"/>
        <v>13600</v>
      </c>
      <c r="R28" s="43">
        <f t="shared" si="6"/>
        <v>0</v>
      </c>
      <c r="S28" s="43">
        <f t="shared" si="6"/>
        <v>14960</v>
      </c>
      <c r="T28" s="43">
        <f t="shared" si="6"/>
        <v>0</v>
      </c>
      <c r="U28" s="43">
        <f t="shared" si="6"/>
        <v>0</v>
      </c>
      <c r="V28" s="43">
        <f t="shared" si="6"/>
        <v>0</v>
      </c>
      <c r="W28" s="43">
        <f t="shared" si="6"/>
        <v>0</v>
      </c>
      <c r="X28" s="43">
        <f t="shared" si="6"/>
        <v>0</v>
      </c>
      <c r="Y28" s="43">
        <f t="shared" si="6"/>
        <v>0</v>
      </c>
      <c r="Z28" s="43">
        <f t="shared" si="6"/>
        <v>0</v>
      </c>
      <c r="AA28" s="43">
        <f t="shared" si="6"/>
        <v>0</v>
      </c>
      <c r="AB28" s="43"/>
      <c r="AC28" s="43"/>
      <c r="AD28" s="43"/>
      <c r="AE28" s="43"/>
      <c r="AF28" s="43"/>
      <c r="AG28" s="43"/>
      <c r="AH28" s="43"/>
      <c r="AI28" s="43"/>
      <c r="AJ28" s="43"/>
      <c r="AK28" s="43"/>
      <c r="AL28" s="43"/>
      <c r="AM28" s="43"/>
      <c r="AN28" s="43"/>
      <c r="AO28" s="43"/>
      <c r="AP28" s="43"/>
      <c r="AQ28" s="43"/>
      <c r="AR28" s="43"/>
      <c r="AS28" s="43"/>
      <c r="AT28" s="44"/>
      <c r="AU28" s="44"/>
      <c r="AV28" s="45"/>
      <c r="AW28" s="46">
        <f>SUM(AW26:AW27)</f>
        <v>91720</v>
      </c>
    </row>
    <row r="29" spans="1:49" s="16" customFormat="1" ht="12" x14ac:dyDescent="0.2">
      <c r="A29" s="26"/>
      <c r="B29" s="27">
        <v>500</v>
      </c>
      <c r="C29" s="26">
        <v>600723</v>
      </c>
      <c r="D29" s="28"/>
      <c r="E29" s="29"/>
      <c r="F29" s="28"/>
      <c r="G29" s="29">
        <f>10*B29</f>
        <v>5000</v>
      </c>
      <c r="H29" s="28"/>
      <c r="I29" s="29">
        <f>9*B29</f>
        <v>4500</v>
      </c>
      <c r="J29" s="28"/>
      <c r="K29" s="29">
        <f>10*B29</f>
        <v>5000</v>
      </c>
      <c r="L29" s="28"/>
      <c r="M29" s="29">
        <f>9*B29</f>
        <v>4500</v>
      </c>
      <c r="N29" s="28"/>
      <c r="O29" s="29">
        <f>11.5*B29</f>
        <v>5750</v>
      </c>
      <c r="P29" s="28"/>
      <c r="Q29" s="29">
        <f>10*B29</f>
        <v>5000</v>
      </c>
      <c r="R29" s="28"/>
      <c r="S29" s="29">
        <f>6*B29</f>
        <v>3000</v>
      </c>
      <c r="T29" s="30"/>
      <c r="U29" s="29"/>
      <c r="V29" s="30"/>
      <c r="W29" s="29"/>
      <c r="X29" s="31"/>
      <c r="Y29" s="29"/>
      <c r="Z29" s="30"/>
      <c r="AA29" s="29"/>
      <c r="AB29" s="30"/>
      <c r="AC29" s="29"/>
      <c r="AD29" s="30"/>
      <c r="AE29" s="29"/>
      <c r="AF29" s="30"/>
      <c r="AG29" s="29"/>
      <c r="AH29" s="30"/>
      <c r="AI29" s="29"/>
      <c r="AJ29" s="30"/>
      <c r="AK29" s="29"/>
      <c r="AL29" s="30"/>
      <c r="AM29" s="29"/>
      <c r="AN29" s="30"/>
      <c r="AO29" s="29"/>
      <c r="AP29" s="30"/>
      <c r="AQ29" s="29"/>
      <c r="AR29" s="30"/>
      <c r="AS29" s="29"/>
      <c r="AT29" s="32">
        <v>65.5</v>
      </c>
      <c r="AU29" s="32"/>
      <c r="AV29" s="33"/>
      <c r="AW29" s="34">
        <f>G29+I29+K29+M29+O29+Q29+S29+U29+W29+Y29+AA29</f>
        <v>32750</v>
      </c>
    </row>
    <row r="30" spans="1:49" s="16" customFormat="1" ht="12" x14ac:dyDescent="0.2">
      <c r="A30" s="17"/>
      <c r="B30" s="18">
        <v>525</v>
      </c>
      <c r="C30" s="26">
        <v>600723</v>
      </c>
      <c r="D30" s="36"/>
      <c r="E30" s="20"/>
      <c r="F30" s="36"/>
      <c r="G30" s="20"/>
      <c r="H30" s="36"/>
      <c r="I30" s="20"/>
      <c r="J30" s="36"/>
      <c r="K30" s="20">
        <f>8*B30</f>
        <v>4200</v>
      </c>
      <c r="L30" s="36"/>
      <c r="M30" s="20">
        <f>9*B30</f>
        <v>4725</v>
      </c>
      <c r="N30" s="36"/>
      <c r="O30" s="20">
        <f>10*B30</f>
        <v>5250</v>
      </c>
      <c r="P30" s="36"/>
      <c r="Q30" s="20">
        <f>5.5*B30</f>
        <v>2887.5</v>
      </c>
      <c r="R30" s="36"/>
      <c r="S30" s="20">
        <f>5*B30</f>
        <v>2625</v>
      </c>
      <c r="T30" s="37"/>
      <c r="U30" s="20">
        <f>10*B30</f>
        <v>5250</v>
      </c>
      <c r="V30" s="37"/>
      <c r="W30" s="20"/>
      <c r="X30" s="38"/>
      <c r="Y30" s="20"/>
      <c r="Z30" s="37"/>
      <c r="AA30" s="20"/>
      <c r="AB30" s="37"/>
      <c r="AC30" s="20"/>
      <c r="AD30" s="37"/>
      <c r="AE30" s="20"/>
      <c r="AF30" s="37"/>
      <c r="AG30" s="20"/>
      <c r="AH30" s="37"/>
      <c r="AI30" s="20"/>
      <c r="AJ30" s="37"/>
      <c r="AK30" s="20"/>
      <c r="AL30" s="37"/>
      <c r="AM30" s="20"/>
      <c r="AN30" s="37"/>
      <c r="AO30" s="20"/>
      <c r="AP30" s="37"/>
      <c r="AQ30" s="20"/>
      <c r="AR30" s="37"/>
      <c r="AS30" s="20"/>
      <c r="AT30" s="23">
        <v>47.5</v>
      </c>
      <c r="AU30" s="23"/>
      <c r="AV30" s="24"/>
      <c r="AW30" s="34">
        <f>G30+I30+K30+M30+O30+Q30+S30+U30+W30+Y30+AA30</f>
        <v>24937.5</v>
      </c>
    </row>
    <row r="31" spans="1:49" s="47" customFormat="1" ht="12" x14ac:dyDescent="0.2">
      <c r="A31" s="39"/>
      <c r="B31" s="40"/>
      <c r="C31" s="41"/>
      <c r="D31" s="42"/>
      <c r="E31" s="43"/>
      <c r="F31" s="42"/>
      <c r="G31" s="43">
        <f t="shared" ref="G31:AA31" si="7">SUM(G29:G30)</f>
        <v>5000</v>
      </c>
      <c r="H31" s="43">
        <f t="shared" si="7"/>
        <v>0</v>
      </c>
      <c r="I31" s="43">
        <f t="shared" si="7"/>
        <v>4500</v>
      </c>
      <c r="J31" s="43">
        <f t="shared" si="7"/>
        <v>0</v>
      </c>
      <c r="K31" s="43">
        <f t="shared" si="7"/>
        <v>9200</v>
      </c>
      <c r="L31" s="43">
        <f t="shared" si="7"/>
        <v>0</v>
      </c>
      <c r="M31" s="43">
        <f t="shared" si="7"/>
        <v>9225</v>
      </c>
      <c r="N31" s="43">
        <f t="shared" si="7"/>
        <v>0</v>
      </c>
      <c r="O31" s="43">
        <f t="shared" si="7"/>
        <v>11000</v>
      </c>
      <c r="P31" s="43">
        <f t="shared" si="7"/>
        <v>0</v>
      </c>
      <c r="Q31" s="43">
        <f t="shared" si="7"/>
        <v>7887.5</v>
      </c>
      <c r="R31" s="43">
        <f t="shared" si="7"/>
        <v>0</v>
      </c>
      <c r="S31" s="43">
        <f t="shared" si="7"/>
        <v>5625</v>
      </c>
      <c r="T31" s="43">
        <f t="shared" si="7"/>
        <v>0</v>
      </c>
      <c r="U31" s="43">
        <f t="shared" si="7"/>
        <v>5250</v>
      </c>
      <c r="V31" s="43">
        <f t="shared" si="7"/>
        <v>0</v>
      </c>
      <c r="W31" s="43">
        <f t="shared" si="7"/>
        <v>0</v>
      </c>
      <c r="X31" s="43">
        <f t="shared" si="7"/>
        <v>0</v>
      </c>
      <c r="Y31" s="43">
        <f t="shared" si="7"/>
        <v>0</v>
      </c>
      <c r="Z31" s="43">
        <f t="shared" si="7"/>
        <v>0</v>
      </c>
      <c r="AA31" s="43">
        <f t="shared" si="7"/>
        <v>0</v>
      </c>
      <c r="AB31" s="43"/>
      <c r="AC31" s="43"/>
      <c r="AD31" s="43"/>
      <c r="AE31" s="43"/>
      <c r="AF31" s="43"/>
      <c r="AG31" s="43"/>
      <c r="AH31" s="43"/>
      <c r="AI31" s="43"/>
      <c r="AJ31" s="43"/>
      <c r="AK31" s="43"/>
      <c r="AL31" s="43"/>
      <c r="AM31" s="43"/>
      <c r="AN31" s="43"/>
      <c r="AO31" s="43"/>
      <c r="AP31" s="43"/>
      <c r="AQ31" s="43"/>
      <c r="AR31" s="43"/>
      <c r="AS31" s="43"/>
      <c r="AT31" s="44"/>
      <c r="AU31" s="44"/>
      <c r="AV31" s="45"/>
      <c r="AW31" s="46">
        <f>SUM(AW29:AW30)</f>
        <v>57687.5</v>
      </c>
    </row>
    <row r="32" spans="1:49" s="16" customFormat="1" ht="12" x14ac:dyDescent="0.2">
      <c r="A32" s="26"/>
      <c r="B32" s="27">
        <v>500</v>
      </c>
      <c r="C32" s="26">
        <v>600724</v>
      </c>
      <c r="D32" s="28"/>
      <c r="E32" s="29"/>
      <c r="F32" s="28"/>
      <c r="G32" s="29">
        <f>10*B32</f>
        <v>5000</v>
      </c>
      <c r="H32" s="28"/>
      <c r="I32" s="29">
        <f>10*B32</f>
        <v>5000</v>
      </c>
      <c r="J32" s="28"/>
      <c r="K32" s="29">
        <f>10*B32</f>
        <v>5000</v>
      </c>
      <c r="L32" s="28"/>
      <c r="M32" s="29">
        <f>9*B32</f>
        <v>4500</v>
      </c>
      <c r="N32" s="28"/>
      <c r="O32" s="29">
        <f>10*B32</f>
        <v>5000</v>
      </c>
      <c r="P32" s="28"/>
      <c r="Q32" s="29">
        <f>7*B32</f>
        <v>3500</v>
      </c>
      <c r="R32" s="28"/>
      <c r="S32" s="29">
        <f>7*B32</f>
        <v>3500</v>
      </c>
      <c r="T32" s="30"/>
      <c r="U32" s="29"/>
      <c r="V32" s="30"/>
      <c r="W32" s="29"/>
      <c r="X32" s="31"/>
      <c r="Y32" s="29"/>
      <c r="Z32" s="30"/>
      <c r="AA32" s="29"/>
      <c r="AB32" s="30"/>
      <c r="AC32" s="29"/>
      <c r="AD32" s="30"/>
      <c r="AE32" s="29"/>
      <c r="AF32" s="30"/>
      <c r="AG32" s="29"/>
      <c r="AH32" s="30"/>
      <c r="AI32" s="29"/>
      <c r="AJ32" s="30"/>
      <c r="AK32" s="29"/>
      <c r="AL32" s="30"/>
      <c r="AM32" s="29"/>
      <c r="AN32" s="30"/>
      <c r="AO32" s="29"/>
      <c r="AP32" s="30"/>
      <c r="AQ32" s="29"/>
      <c r="AR32" s="30"/>
      <c r="AS32" s="29"/>
      <c r="AT32" s="32">
        <v>63</v>
      </c>
      <c r="AU32" s="32"/>
      <c r="AV32" s="33"/>
      <c r="AW32" s="25">
        <f>G32+I32+K32+M32+O32+Q32+S32+U32+W32+Y32+AA32</f>
        <v>31500</v>
      </c>
    </row>
    <row r="33" spans="1:49" s="16" customFormat="1" ht="12" x14ac:dyDescent="0.2">
      <c r="A33" s="17"/>
      <c r="B33" s="18">
        <v>525</v>
      </c>
      <c r="C33" s="26">
        <v>600724</v>
      </c>
      <c r="D33" s="36"/>
      <c r="E33" s="20"/>
      <c r="F33" s="36"/>
      <c r="G33" s="20"/>
      <c r="H33" s="36"/>
      <c r="I33" s="20"/>
      <c r="J33" s="36"/>
      <c r="K33" s="20">
        <f>8*B33</f>
        <v>4200</v>
      </c>
      <c r="L33" s="36"/>
      <c r="M33" s="20">
        <f>9*B33</f>
        <v>4725</v>
      </c>
      <c r="N33" s="36"/>
      <c r="O33" s="20">
        <f>10*B33</f>
        <v>5250</v>
      </c>
      <c r="P33" s="36"/>
      <c r="Q33" s="20">
        <f>5.5*B33</f>
        <v>2887.5</v>
      </c>
      <c r="R33" s="36"/>
      <c r="S33" s="20">
        <f>6*B33</f>
        <v>3150</v>
      </c>
      <c r="T33" s="37"/>
      <c r="U33" s="20">
        <f>11*B33</f>
        <v>5775</v>
      </c>
      <c r="V33" s="37"/>
      <c r="W33" s="20"/>
      <c r="X33" s="38"/>
      <c r="Y33" s="20"/>
      <c r="Z33" s="37"/>
      <c r="AA33" s="20"/>
      <c r="AB33" s="37"/>
      <c r="AC33" s="20"/>
      <c r="AD33" s="37"/>
      <c r="AE33" s="20"/>
      <c r="AF33" s="37"/>
      <c r="AG33" s="20"/>
      <c r="AH33" s="37"/>
      <c r="AI33" s="20"/>
      <c r="AJ33" s="37"/>
      <c r="AK33" s="20"/>
      <c r="AL33" s="37"/>
      <c r="AM33" s="20"/>
      <c r="AN33" s="37"/>
      <c r="AO33" s="20"/>
      <c r="AP33" s="37"/>
      <c r="AQ33" s="20"/>
      <c r="AR33" s="37"/>
      <c r="AS33" s="20"/>
      <c r="AT33" s="23">
        <v>50</v>
      </c>
      <c r="AU33" s="23"/>
      <c r="AV33" s="24"/>
      <c r="AW33" s="25">
        <f>G33+I33+K33+M33+O33+Q33+S33+U33+W33+Y33+AA33</f>
        <v>25987.5</v>
      </c>
    </row>
    <row r="34" spans="1:49" s="47" customFormat="1" ht="12" x14ac:dyDescent="0.2">
      <c r="A34" s="39"/>
      <c r="B34" s="40"/>
      <c r="C34" s="41"/>
      <c r="D34" s="42"/>
      <c r="E34" s="43"/>
      <c r="F34" s="42"/>
      <c r="G34" s="43">
        <f t="shared" ref="G34:J34" si="8">SUM(G32:G33)</f>
        <v>5000</v>
      </c>
      <c r="H34" s="43">
        <f t="shared" si="8"/>
        <v>0</v>
      </c>
      <c r="I34" s="43">
        <f t="shared" si="8"/>
        <v>5000</v>
      </c>
      <c r="J34" s="43">
        <f t="shared" si="8"/>
        <v>0</v>
      </c>
      <c r="K34" s="43">
        <f>SUM(K32:K33)</f>
        <v>9200</v>
      </c>
      <c r="L34" s="43">
        <f t="shared" ref="L34:AA34" si="9">SUM(L32:L33)</f>
        <v>0</v>
      </c>
      <c r="M34" s="43">
        <f t="shared" si="9"/>
        <v>9225</v>
      </c>
      <c r="N34" s="43">
        <f t="shared" si="9"/>
        <v>0</v>
      </c>
      <c r="O34" s="43">
        <f t="shared" si="9"/>
        <v>10250</v>
      </c>
      <c r="P34" s="43">
        <f t="shared" si="9"/>
        <v>0</v>
      </c>
      <c r="Q34" s="43">
        <f t="shared" si="9"/>
        <v>6387.5</v>
      </c>
      <c r="R34" s="43">
        <f t="shared" si="9"/>
        <v>0</v>
      </c>
      <c r="S34" s="43">
        <f t="shared" si="9"/>
        <v>6650</v>
      </c>
      <c r="T34" s="43">
        <f t="shared" si="9"/>
        <v>0</v>
      </c>
      <c r="U34" s="43">
        <f t="shared" si="9"/>
        <v>5775</v>
      </c>
      <c r="V34" s="43">
        <f t="shared" si="9"/>
        <v>0</v>
      </c>
      <c r="W34" s="43">
        <f t="shared" si="9"/>
        <v>0</v>
      </c>
      <c r="X34" s="43">
        <f t="shared" si="9"/>
        <v>0</v>
      </c>
      <c r="Y34" s="43">
        <f t="shared" si="9"/>
        <v>0</v>
      </c>
      <c r="Z34" s="43">
        <f t="shared" si="9"/>
        <v>0</v>
      </c>
      <c r="AA34" s="43">
        <f t="shared" si="9"/>
        <v>0</v>
      </c>
      <c r="AB34" s="43"/>
      <c r="AC34" s="43"/>
      <c r="AD34" s="43"/>
      <c r="AE34" s="43"/>
      <c r="AF34" s="43"/>
      <c r="AG34" s="43"/>
      <c r="AH34" s="43"/>
      <c r="AI34" s="43"/>
      <c r="AJ34" s="43"/>
      <c r="AK34" s="43"/>
      <c r="AL34" s="43"/>
      <c r="AM34" s="43"/>
      <c r="AN34" s="43"/>
      <c r="AO34" s="43"/>
      <c r="AP34" s="43"/>
      <c r="AQ34" s="43"/>
      <c r="AR34" s="43"/>
      <c r="AS34" s="43"/>
      <c r="AT34" s="44"/>
      <c r="AU34" s="44"/>
      <c r="AV34" s="45"/>
      <c r="AW34" s="46">
        <f>SUM(AW32:AW33)</f>
        <v>57487.5</v>
      </c>
    </row>
    <row r="35" spans="1:49" s="16" customFormat="1" ht="12" x14ac:dyDescent="0.2">
      <c r="A35" s="26"/>
      <c r="B35" s="27">
        <v>780</v>
      </c>
      <c r="C35" s="26" t="s">
        <v>19</v>
      </c>
      <c r="D35" s="28"/>
      <c r="E35" s="29"/>
      <c r="F35" s="28"/>
      <c r="G35" s="29">
        <f>10*B35</f>
        <v>7800</v>
      </c>
      <c r="H35" s="28"/>
      <c r="I35" s="29">
        <f>19*B35</f>
        <v>14820</v>
      </c>
      <c r="J35" s="28"/>
      <c r="K35" s="29">
        <f>20*B35</f>
        <v>15600</v>
      </c>
      <c r="L35" s="28"/>
      <c r="M35" s="29">
        <f>16*B35</f>
        <v>12480</v>
      </c>
      <c r="N35" s="28"/>
      <c r="O35" s="29">
        <f>20*B35</f>
        <v>15600</v>
      </c>
      <c r="P35" s="28"/>
      <c r="Q35" s="29">
        <f>19*B35</f>
        <v>14820</v>
      </c>
      <c r="R35" s="28"/>
      <c r="S35" s="29">
        <f>7*B35</f>
        <v>5460</v>
      </c>
      <c r="T35" s="30"/>
      <c r="U35" s="29"/>
      <c r="V35" s="30"/>
      <c r="W35" s="29"/>
      <c r="X35" s="31"/>
      <c r="Y35" s="29"/>
      <c r="Z35" s="30"/>
      <c r="AA35" s="29"/>
      <c r="AB35" s="30"/>
      <c r="AC35" s="29"/>
      <c r="AD35" s="30"/>
      <c r="AE35" s="29"/>
      <c r="AF35" s="30"/>
      <c r="AG35" s="29"/>
      <c r="AH35" s="30"/>
      <c r="AI35" s="29"/>
      <c r="AJ35" s="30"/>
      <c r="AK35" s="29"/>
      <c r="AL35" s="30"/>
      <c r="AM35" s="29"/>
      <c r="AN35" s="30"/>
      <c r="AO35" s="29"/>
      <c r="AP35" s="30"/>
      <c r="AQ35" s="29"/>
      <c r="AR35" s="30"/>
      <c r="AS35" s="29"/>
      <c r="AT35" s="32">
        <v>110</v>
      </c>
      <c r="AU35" s="32"/>
      <c r="AV35" s="33"/>
      <c r="AW35" s="34">
        <f>E35+G35+I35+K35+M35+O35+Q35+S35+U35+W35+Y35+AA35</f>
        <v>86580</v>
      </c>
    </row>
    <row r="36" spans="1:49" s="16" customFormat="1" ht="12" x14ac:dyDescent="0.2">
      <c r="A36" s="104"/>
      <c r="B36" s="101"/>
      <c r="C36" s="104"/>
      <c r="D36" s="126"/>
      <c r="E36" s="106"/>
      <c r="F36" s="126"/>
      <c r="G36" s="106"/>
      <c r="H36" s="126"/>
      <c r="I36" s="106"/>
      <c r="J36" s="126"/>
      <c r="K36" s="106"/>
      <c r="L36" s="126"/>
      <c r="M36" s="106"/>
      <c r="N36" s="126"/>
      <c r="O36" s="106"/>
      <c r="P36" s="126"/>
      <c r="Q36" s="106"/>
      <c r="R36" s="126"/>
      <c r="S36" s="106"/>
      <c r="T36" s="81"/>
      <c r="U36" s="106"/>
      <c r="V36" s="81"/>
      <c r="W36" s="106"/>
      <c r="X36" s="81"/>
      <c r="Y36" s="106"/>
      <c r="Z36" s="81"/>
      <c r="AA36" s="106"/>
      <c r="AB36" s="81"/>
      <c r="AC36" s="106"/>
      <c r="AD36" s="81"/>
      <c r="AE36" s="106"/>
      <c r="AF36" s="81"/>
      <c r="AG36" s="106"/>
      <c r="AH36" s="81"/>
      <c r="AI36" s="106"/>
      <c r="AJ36" s="81"/>
      <c r="AK36" s="106"/>
      <c r="AL36" s="81"/>
      <c r="AM36" s="106"/>
      <c r="AN36" s="81"/>
      <c r="AO36" s="106"/>
      <c r="AP36" s="81"/>
      <c r="AQ36" s="106"/>
      <c r="AR36" s="81"/>
      <c r="AS36" s="106"/>
      <c r="AT36" s="127"/>
      <c r="AU36" s="127"/>
      <c r="AV36" s="128"/>
      <c r="AW36" s="140"/>
    </row>
    <row r="37" spans="1:49" s="16" customFormat="1" ht="12" x14ac:dyDescent="0.2">
      <c r="A37" s="104"/>
      <c r="B37" s="101"/>
      <c r="C37" s="104"/>
      <c r="D37" s="126"/>
      <c r="E37" s="106"/>
      <c r="F37" s="126"/>
      <c r="G37" s="106"/>
      <c r="H37" s="126"/>
      <c r="I37" s="106"/>
      <c r="J37" s="126"/>
      <c r="K37" s="106"/>
      <c r="L37" s="126"/>
      <c r="M37" s="106"/>
      <c r="N37" s="126"/>
      <c r="O37" s="106"/>
      <c r="P37" s="126"/>
      <c r="Q37" s="106"/>
      <c r="R37" s="126"/>
      <c r="S37" s="106"/>
      <c r="T37" s="81"/>
      <c r="U37" s="106"/>
      <c r="V37" s="81"/>
      <c r="W37" s="106"/>
      <c r="X37" s="81"/>
      <c r="Y37" s="106"/>
      <c r="Z37" s="81"/>
      <c r="AA37" s="106"/>
      <c r="AB37" s="81"/>
      <c r="AC37" s="106"/>
      <c r="AD37" s="81"/>
      <c r="AE37" s="106"/>
      <c r="AF37" s="81"/>
      <c r="AG37" s="106"/>
      <c r="AH37" s="81"/>
      <c r="AI37" s="106"/>
      <c r="AJ37" s="81"/>
      <c r="AK37" s="106"/>
      <c r="AL37" s="81"/>
      <c r="AM37" s="106"/>
      <c r="AN37" s="81"/>
      <c r="AO37" s="106"/>
      <c r="AP37" s="81"/>
      <c r="AQ37" s="106"/>
      <c r="AR37" s="81"/>
      <c r="AS37" s="106"/>
      <c r="AT37" s="127"/>
      <c r="AU37" s="127"/>
      <c r="AV37" s="128"/>
      <c r="AW37" s="140"/>
    </row>
    <row r="38" spans="1:49" s="139" customFormat="1" ht="12" x14ac:dyDescent="0.2">
      <c r="A38" s="132"/>
      <c r="B38" s="133"/>
      <c r="C38" s="134"/>
      <c r="D38" s="135"/>
      <c r="E38" s="136"/>
      <c r="F38" s="135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6"/>
      <c r="AH38" s="136"/>
      <c r="AI38" s="136"/>
      <c r="AJ38" s="136"/>
      <c r="AK38" s="136"/>
      <c r="AL38" s="136"/>
      <c r="AM38" s="136"/>
      <c r="AN38" s="136"/>
      <c r="AO38" s="136"/>
      <c r="AP38" s="136"/>
      <c r="AQ38" s="136"/>
      <c r="AR38" s="136"/>
      <c r="AS38" s="136"/>
      <c r="AT38" s="137"/>
      <c r="AU38" s="137"/>
      <c r="AV38" s="138"/>
      <c r="AW38" s="132"/>
    </row>
    <row r="39" spans="1:49" s="16" customFormat="1" ht="12" x14ac:dyDescent="0.2">
      <c r="A39" s="17"/>
      <c r="B39" s="18">
        <v>650</v>
      </c>
      <c r="C39" s="17">
        <v>601000</v>
      </c>
      <c r="D39" s="19"/>
      <c r="E39" s="20"/>
      <c r="F39" s="19"/>
      <c r="G39" s="20"/>
      <c r="H39" s="19"/>
      <c r="I39" s="20"/>
      <c r="J39" s="19"/>
      <c r="K39" s="20"/>
      <c r="L39" s="19"/>
      <c r="M39" s="20"/>
      <c r="N39" s="19"/>
      <c r="O39" s="20"/>
      <c r="P39" s="19"/>
      <c r="Q39" s="20"/>
      <c r="R39" s="19"/>
      <c r="S39" s="20"/>
      <c r="T39" s="21">
        <f>0.5*B39</f>
        <v>325</v>
      </c>
      <c r="U39" s="20">
        <f>0.5*B39</f>
        <v>325</v>
      </c>
      <c r="V39" s="21">
        <f>4.5*$B$39</f>
        <v>2925</v>
      </c>
      <c r="W39" s="20">
        <f>3.5*$B$39</f>
        <v>2275</v>
      </c>
      <c r="X39" s="114">
        <f>4.5*$B$39</f>
        <v>2925</v>
      </c>
      <c r="Y39" s="20"/>
      <c r="Z39" s="114">
        <f>4.5*B39</f>
        <v>2925</v>
      </c>
      <c r="AA39" s="20"/>
      <c r="AB39" s="21"/>
      <c r="AC39" s="20"/>
      <c r="AD39" s="21"/>
      <c r="AE39" s="20"/>
      <c r="AF39" s="21"/>
      <c r="AG39" s="20"/>
      <c r="AH39" s="21"/>
      <c r="AI39" s="20"/>
      <c r="AJ39" s="21"/>
      <c r="AK39" s="20"/>
      <c r="AL39" s="21"/>
      <c r="AM39" s="20"/>
      <c r="AN39" s="21"/>
      <c r="AO39" s="20"/>
      <c r="AP39" s="21"/>
      <c r="AQ39" s="20"/>
      <c r="AR39" s="21"/>
      <c r="AS39" s="20"/>
      <c r="AT39" s="23">
        <v>14</v>
      </c>
      <c r="AU39" s="23"/>
      <c r="AV39" s="24"/>
      <c r="AW39" s="25">
        <f>E39+G39+I39+K39+M39+O39+Q39+S39+U39+W39+Y39+AA39</f>
        <v>2600</v>
      </c>
    </row>
    <row r="40" spans="1:49" s="16" customFormat="1" ht="12" x14ac:dyDescent="0.2">
      <c r="A40" s="26"/>
      <c r="B40" s="27">
        <v>515</v>
      </c>
      <c r="C40" s="17">
        <v>601000</v>
      </c>
      <c r="D40" s="28"/>
      <c r="E40" s="29"/>
      <c r="F40" s="28"/>
      <c r="G40" s="29"/>
      <c r="H40" s="28"/>
      <c r="I40" s="29"/>
      <c r="J40" s="28"/>
      <c r="K40" s="29"/>
      <c r="L40" s="28"/>
      <c r="M40" s="29"/>
      <c r="N40" s="28"/>
      <c r="O40" s="29"/>
      <c r="P40" s="28"/>
      <c r="Q40" s="29"/>
      <c r="R40" s="28"/>
      <c r="S40" s="29"/>
      <c r="T40" s="30"/>
      <c r="U40" s="29">
        <f>14*B40</f>
        <v>7210</v>
      </c>
      <c r="V40" s="30"/>
      <c r="W40" s="29">
        <f>19*B40</f>
        <v>9785</v>
      </c>
      <c r="X40" s="31"/>
      <c r="Y40" s="29"/>
      <c r="Z40" s="30"/>
      <c r="AA40" s="29"/>
      <c r="AB40" s="30"/>
      <c r="AC40" s="29"/>
      <c r="AD40" s="30"/>
      <c r="AE40" s="29"/>
      <c r="AF40" s="30"/>
      <c r="AG40" s="29"/>
      <c r="AH40" s="30"/>
      <c r="AI40" s="29"/>
      <c r="AJ40" s="30"/>
      <c r="AK40" s="29"/>
      <c r="AL40" s="30"/>
      <c r="AM40" s="29"/>
      <c r="AN40" s="30"/>
      <c r="AO40" s="29"/>
      <c r="AP40" s="30"/>
      <c r="AQ40" s="29"/>
      <c r="AR40" s="30"/>
      <c r="AS40" s="29"/>
      <c r="AT40" s="32">
        <v>65</v>
      </c>
      <c r="AU40" s="32"/>
      <c r="AV40" s="33"/>
      <c r="AW40" s="25">
        <f t="shared" ref="AW40:AW58" si="10">E40+G40+I40+K40+M40+O40+Q40+S40+U40+W40+Y40+AA40</f>
        <v>16995</v>
      </c>
    </row>
    <row r="41" spans="1:49" s="16" customFormat="1" ht="12" x14ac:dyDescent="0.2">
      <c r="A41" s="17"/>
      <c r="B41" s="18"/>
      <c r="C41" s="17">
        <v>601000</v>
      </c>
      <c r="D41" s="19"/>
      <c r="E41" s="20"/>
      <c r="F41" s="19"/>
      <c r="G41" s="20"/>
      <c r="H41" s="19"/>
      <c r="I41" s="20"/>
      <c r="J41" s="19"/>
      <c r="K41" s="20"/>
      <c r="L41" s="19"/>
      <c r="M41" s="20"/>
      <c r="N41" s="19"/>
      <c r="O41" s="20"/>
      <c r="P41" s="19"/>
      <c r="Q41" s="20"/>
      <c r="R41" s="19"/>
      <c r="S41" s="20"/>
      <c r="T41" s="21"/>
      <c r="U41" s="20"/>
      <c r="V41" s="21"/>
      <c r="W41" s="20"/>
      <c r="X41" s="22"/>
      <c r="Y41" s="20"/>
      <c r="Z41" s="21"/>
      <c r="AA41" s="20"/>
      <c r="AB41" s="21"/>
      <c r="AC41" s="20"/>
      <c r="AD41" s="21"/>
      <c r="AE41" s="20"/>
      <c r="AF41" s="21"/>
      <c r="AG41" s="20"/>
      <c r="AH41" s="21"/>
      <c r="AI41" s="20"/>
      <c r="AJ41" s="21"/>
      <c r="AK41" s="20"/>
      <c r="AL41" s="21"/>
      <c r="AM41" s="20"/>
      <c r="AN41" s="21"/>
      <c r="AO41" s="20"/>
      <c r="AP41" s="21"/>
      <c r="AQ41" s="20"/>
      <c r="AR41" s="21"/>
      <c r="AS41" s="20"/>
      <c r="AT41" s="23"/>
      <c r="AU41" s="23"/>
      <c r="AV41" s="24"/>
      <c r="AW41" s="25">
        <f t="shared" si="10"/>
        <v>0</v>
      </c>
    </row>
    <row r="42" spans="1:49" s="16" customFormat="1" ht="12" x14ac:dyDescent="0.2">
      <c r="A42" s="26"/>
      <c r="B42" s="27">
        <v>780</v>
      </c>
      <c r="C42" s="17">
        <v>601000</v>
      </c>
      <c r="D42" s="28"/>
      <c r="E42" s="29"/>
      <c r="F42" s="28"/>
      <c r="G42" s="29"/>
      <c r="H42" s="28"/>
      <c r="I42" s="29"/>
      <c r="J42" s="28"/>
      <c r="K42" s="29">
        <f>3*B42</f>
        <v>2340</v>
      </c>
      <c r="L42" s="28"/>
      <c r="M42" s="29">
        <f>12.5*B42</f>
        <v>9750</v>
      </c>
      <c r="N42" s="28"/>
      <c r="O42" s="29">
        <f>18*B42</f>
        <v>14040</v>
      </c>
      <c r="P42" s="28"/>
      <c r="Q42" s="29">
        <f>19*B42</f>
        <v>14820</v>
      </c>
      <c r="R42" s="28"/>
      <c r="S42" s="29">
        <f>6*B42</f>
        <v>4680</v>
      </c>
      <c r="T42" s="30"/>
      <c r="U42" s="29">
        <f>21*B42</f>
        <v>16380</v>
      </c>
      <c r="V42" s="30"/>
      <c r="W42" s="29">
        <f>19*B42</f>
        <v>14820</v>
      </c>
      <c r="X42" s="31"/>
      <c r="Y42" s="29"/>
      <c r="Z42" s="30"/>
      <c r="AA42" s="29"/>
      <c r="AB42" s="30"/>
      <c r="AC42" s="29"/>
      <c r="AD42" s="30"/>
      <c r="AE42" s="29"/>
      <c r="AF42" s="30"/>
      <c r="AG42" s="29"/>
      <c r="AH42" s="30"/>
      <c r="AI42" s="29"/>
      <c r="AJ42" s="30"/>
      <c r="AK42" s="29"/>
      <c r="AL42" s="30"/>
      <c r="AM42" s="29"/>
      <c r="AN42" s="30"/>
      <c r="AO42" s="29"/>
      <c r="AP42" s="30"/>
      <c r="AQ42" s="29"/>
      <c r="AR42" s="30"/>
      <c r="AS42" s="29"/>
      <c r="AT42" s="32">
        <v>122</v>
      </c>
      <c r="AU42" s="32"/>
      <c r="AV42" s="33"/>
      <c r="AW42" s="25">
        <f t="shared" si="10"/>
        <v>76830</v>
      </c>
    </row>
    <row r="43" spans="1:49" s="16" customFormat="1" ht="12" x14ac:dyDescent="0.2">
      <c r="A43" s="17"/>
      <c r="B43" s="18">
        <v>845</v>
      </c>
      <c r="C43" s="17">
        <v>601000</v>
      </c>
      <c r="D43" s="19"/>
      <c r="E43" s="20"/>
      <c r="F43" s="19"/>
      <c r="G43" s="20">
        <f>10*B43</f>
        <v>8450</v>
      </c>
      <c r="H43" s="19"/>
      <c r="I43" s="20">
        <f>22*B43</f>
        <v>18590</v>
      </c>
      <c r="J43" s="19"/>
      <c r="K43" s="20">
        <f>15*B43</f>
        <v>12675</v>
      </c>
      <c r="L43" s="19"/>
      <c r="M43" s="20">
        <f>17*B43</f>
        <v>14365</v>
      </c>
      <c r="N43" s="19"/>
      <c r="O43" s="20">
        <f>21*B43</f>
        <v>17745</v>
      </c>
      <c r="P43" s="19"/>
      <c r="Q43" s="20">
        <f>19*B43</f>
        <v>16055</v>
      </c>
      <c r="R43" s="19"/>
      <c r="S43" s="20">
        <f>12*B43</f>
        <v>10140</v>
      </c>
      <c r="T43" s="21"/>
      <c r="U43" s="20">
        <f>22*B43</f>
        <v>18590</v>
      </c>
      <c r="V43" s="21"/>
      <c r="W43" s="20">
        <f>20*B43</f>
        <v>16900</v>
      </c>
      <c r="X43" s="22"/>
      <c r="Y43" s="20"/>
      <c r="Z43" s="21"/>
      <c r="AA43" s="20"/>
      <c r="AB43" s="21"/>
      <c r="AC43" s="20"/>
      <c r="AD43" s="21"/>
      <c r="AE43" s="20"/>
      <c r="AF43" s="21"/>
      <c r="AG43" s="20"/>
      <c r="AH43" s="21"/>
      <c r="AI43" s="20"/>
      <c r="AJ43" s="21"/>
      <c r="AK43" s="20"/>
      <c r="AL43" s="21"/>
      <c r="AM43" s="20"/>
      <c r="AN43" s="21"/>
      <c r="AO43" s="20"/>
      <c r="AP43" s="21"/>
      <c r="AQ43" s="20"/>
      <c r="AR43" s="21"/>
      <c r="AS43" s="20"/>
      <c r="AT43" s="23">
        <v>200</v>
      </c>
      <c r="AU43" s="23"/>
      <c r="AV43" s="24"/>
      <c r="AW43" s="25">
        <f t="shared" si="10"/>
        <v>133510</v>
      </c>
    </row>
    <row r="44" spans="1:49" s="16" customFormat="1" ht="12" x14ac:dyDescent="0.2">
      <c r="A44" s="26"/>
      <c r="B44" s="27">
        <v>780</v>
      </c>
      <c r="C44" s="17">
        <v>601000</v>
      </c>
      <c r="D44" s="28"/>
      <c r="E44" s="29"/>
      <c r="F44" s="28"/>
      <c r="G44" s="29">
        <f>10*B44</f>
        <v>7800</v>
      </c>
      <c r="H44" s="28"/>
      <c r="I44" s="29">
        <f>19*B44</f>
        <v>14820</v>
      </c>
      <c r="J44" s="28"/>
      <c r="K44" s="29">
        <f>20*B44</f>
        <v>15600</v>
      </c>
      <c r="L44" s="28"/>
      <c r="M44" s="29">
        <f>16*B44</f>
        <v>12480</v>
      </c>
      <c r="N44" s="28"/>
      <c r="O44" s="29">
        <f>20*B44</f>
        <v>15600</v>
      </c>
      <c r="P44" s="28"/>
      <c r="Q44" s="29">
        <f>19*B44</f>
        <v>14820</v>
      </c>
      <c r="R44" s="28"/>
      <c r="S44" s="29">
        <f>7*B44</f>
        <v>5460</v>
      </c>
      <c r="T44" s="30"/>
      <c r="U44" s="29">
        <f>22*B44</f>
        <v>17160</v>
      </c>
      <c r="V44" s="30"/>
      <c r="W44" s="29">
        <f>20*B44</f>
        <v>15600</v>
      </c>
      <c r="X44" s="31"/>
      <c r="Y44" s="29"/>
      <c r="Z44" s="30"/>
      <c r="AA44" s="29"/>
      <c r="AB44" s="30"/>
      <c r="AC44" s="29"/>
      <c r="AD44" s="30"/>
      <c r="AE44" s="29"/>
      <c r="AF44" s="30"/>
      <c r="AG44" s="29"/>
      <c r="AH44" s="30"/>
      <c r="AI44" s="29"/>
      <c r="AJ44" s="30"/>
      <c r="AK44" s="29"/>
      <c r="AL44" s="30"/>
      <c r="AM44" s="29"/>
      <c r="AN44" s="30"/>
      <c r="AO44" s="29"/>
      <c r="AP44" s="30"/>
      <c r="AQ44" s="29"/>
      <c r="AR44" s="30"/>
      <c r="AS44" s="29"/>
      <c r="AT44" s="32">
        <v>87</v>
      </c>
      <c r="AU44" s="32"/>
      <c r="AV44" s="33"/>
      <c r="AW44" s="25">
        <f t="shared" si="10"/>
        <v>119340</v>
      </c>
    </row>
    <row r="45" spans="1:49" s="16" customFormat="1" ht="12" x14ac:dyDescent="0.2">
      <c r="A45" s="17"/>
      <c r="B45" s="18">
        <v>600</v>
      </c>
      <c r="C45" s="17">
        <v>601000</v>
      </c>
      <c r="D45" s="19"/>
      <c r="E45" s="20"/>
      <c r="F45" s="19"/>
      <c r="G45" s="20">
        <f>10*B45</f>
        <v>6000</v>
      </c>
      <c r="H45" s="19"/>
      <c r="I45" s="20">
        <f>13.5*B45</f>
        <v>8100</v>
      </c>
      <c r="J45" s="19"/>
      <c r="K45" s="20">
        <f>13.5*B45</f>
        <v>8100</v>
      </c>
      <c r="L45" s="19"/>
      <c r="M45" s="20">
        <f>11*B45</f>
        <v>6600</v>
      </c>
      <c r="N45" s="19"/>
      <c r="O45" s="20">
        <f>18*B45</f>
        <v>10800</v>
      </c>
      <c r="P45" s="19"/>
      <c r="Q45" s="20">
        <f>7*B45</f>
        <v>4200</v>
      </c>
      <c r="R45" s="19"/>
      <c r="S45" s="20">
        <f>18*B45</f>
        <v>10800</v>
      </c>
      <c r="T45" s="21"/>
      <c r="U45" s="20">
        <f>19.5*B45</f>
        <v>11700</v>
      </c>
      <c r="V45" s="21"/>
      <c r="W45" s="20">
        <f>20*B45</f>
        <v>12000</v>
      </c>
      <c r="X45" s="22"/>
      <c r="Y45" s="20"/>
      <c r="Z45" s="21"/>
      <c r="AA45" s="20"/>
      <c r="AB45" s="21"/>
      <c r="AC45" s="20"/>
      <c r="AD45" s="21"/>
      <c r="AE45" s="20"/>
      <c r="AF45" s="21"/>
      <c r="AG45" s="20"/>
      <c r="AH45" s="21"/>
      <c r="AI45" s="20"/>
      <c r="AJ45" s="21"/>
      <c r="AK45" s="20"/>
      <c r="AL45" s="21"/>
      <c r="AM45" s="20"/>
      <c r="AN45" s="21"/>
      <c r="AO45" s="20"/>
      <c r="AP45" s="21"/>
      <c r="AQ45" s="20"/>
      <c r="AR45" s="21"/>
      <c r="AS45" s="20"/>
      <c r="AT45" s="23">
        <v>141</v>
      </c>
      <c r="AU45" s="23"/>
      <c r="AV45" s="24"/>
      <c r="AW45" s="25">
        <f t="shared" si="10"/>
        <v>78300</v>
      </c>
    </row>
    <row r="46" spans="1:49" s="16" customFormat="1" ht="12" x14ac:dyDescent="0.2">
      <c r="A46" s="26"/>
      <c r="B46" s="27">
        <v>750</v>
      </c>
      <c r="C46" s="17">
        <v>601000</v>
      </c>
      <c r="D46" s="28"/>
      <c r="E46" s="29"/>
      <c r="F46" s="28"/>
      <c r="G46" s="29"/>
      <c r="H46" s="28"/>
      <c r="I46" s="29"/>
      <c r="J46" s="28"/>
      <c r="K46" s="29"/>
      <c r="L46" s="28"/>
      <c r="M46" s="29"/>
      <c r="N46" s="28"/>
      <c r="O46" s="29"/>
      <c r="P46" s="28"/>
      <c r="Q46" s="29"/>
      <c r="R46" s="28"/>
      <c r="S46" s="29"/>
      <c r="T46" s="30"/>
      <c r="U46" s="29"/>
      <c r="V46" s="30"/>
      <c r="W46" s="29"/>
      <c r="X46" s="31"/>
      <c r="Y46" s="29"/>
      <c r="Z46" s="30"/>
      <c r="AA46" s="29"/>
      <c r="AB46" s="30"/>
      <c r="AC46" s="29"/>
      <c r="AD46" s="30"/>
      <c r="AE46" s="29"/>
      <c r="AF46" s="30"/>
      <c r="AG46" s="29"/>
      <c r="AH46" s="30"/>
      <c r="AI46" s="29"/>
      <c r="AJ46" s="30"/>
      <c r="AK46" s="29"/>
      <c r="AL46" s="30"/>
      <c r="AM46" s="29"/>
      <c r="AN46" s="30"/>
      <c r="AO46" s="29"/>
      <c r="AP46" s="30"/>
      <c r="AQ46" s="29"/>
      <c r="AR46" s="30"/>
      <c r="AS46" s="29"/>
      <c r="AT46" s="32">
        <v>66</v>
      </c>
      <c r="AU46" s="32"/>
      <c r="AV46" s="33"/>
      <c r="AW46" s="25">
        <f t="shared" si="10"/>
        <v>0</v>
      </c>
    </row>
    <row r="47" spans="1:49" s="16" customFormat="1" ht="12" x14ac:dyDescent="0.2">
      <c r="A47" s="17"/>
      <c r="B47" s="18">
        <v>500</v>
      </c>
      <c r="C47" s="17">
        <v>601000</v>
      </c>
      <c r="D47" s="19"/>
      <c r="E47" s="20"/>
      <c r="F47" s="19"/>
      <c r="G47" s="20"/>
      <c r="H47" s="19"/>
      <c r="I47" s="20"/>
      <c r="J47" s="19"/>
      <c r="K47" s="20">
        <f>9.5*B47</f>
        <v>4750</v>
      </c>
      <c r="L47" s="19"/>
      <c r="M47" s="20">
        <f>18*B47</f>
        <v>9000</v>
      </c>
      <c r="N47" s="19"/>
      <c r="O47" s="20">
        <f>22*B47</f>
        <v>11000</v>
      </c>
      <c r="P47" s="19"/>
      <c r="Q47" s="20">
        <f>17*B47</f>
        <v>8500</v>
      </c>
      <c r="R47" s="19"/>
      <c r="S47" s="20">
        <f>4.5*B47</f>
        <v>2250</v>
      </c>
      <c r="T47" s="21"/>
      <c r="U47" s="20"/>
      <c r="V47" s="21"/>
      <c r="W47" s="20"/>
      <c r="X47" s="22"/>
      <c r="Y47" s="20"/>
      <c r="Z47" s="21"/>
      <c r="AA47" s="20"/>
      <c r="AB47" s="21"/>
      <c r="AC47" s="20"/>
      <c r="AD47" s="21"/>
      <c r="AE47" s="20"/>
      <c r="AF47" s="21"/>
      <c r="AG47" s="20"/>
      <c r="AH47" s="21"/>
      <c r="AI47" s="20"/>
      <c r="AJ47" s="21"/>
      <c r="AK47" s="20"/>
      <c r="AL47" s="21"/>
      <c r="AM47" s="20"/>
      <c r="AN47" s="21"/>
      <c r="AO47" s="20"/>
      <c r="AP47" s="21"/>
      <c r="AQ47" s="20"/>
      <c r="AR47" s="21"/>
      <c r="AS47" s="20"/>
      <c r="AT47" s="23">
        <v>71</v>
      </c>
      <c r="AU47" s="23"/>
      <c r="AV47" s="24"/>
      <c r="AW47" s="25">
        <f t="shared" si="10"/>
        <v>35500</v>
      </c>
    </row>
    <row r="48" spans="1:49" s="16" customFormat="1" ht="12" x14ac:dyDescent="0.2">
      <c r="A48" s="26"/>
      <c r="B48" s="27">
        <v>550</v>
      </c>
      <c r="C48" s="17">
        <v>601000</v>
      </c>
      <c r="D48" s="57"/>
      <c r="E48" s="29"/>
      <c r="F48" s="57"/>
      <c r="G48" s="29"/>
      <c r="H48" s="57"/>
      <c r="I48" s="29"/>
      <c r="J48" s="57"/>
      <c r="K48" s="29">
        <f>4*B48</f>
        <v>2200</v>
      </c>
      <c r="L48" s="57"/>
      <c r="M48" s="29">
        <f>13*B48</f>
        <v>7150</v>
      </c>
      <c r="N48" s="57"/>
      <c r="O48" s="29">
        <f>20*B48</f>
        <v>11000</v>
      </c>
      <c r="P48" s="57"/>
      <c r="Q48" s="29">
        <f>17*B48</f>
        <v>9350</v>
      </c>
      <c r="R48" s="57"/>
      <c r="S48" s="29">
        <f>11*B48</f>
        <v>6050</v>
      </c>
      <c r="T48" s="58"/>
      <c r="U48" s="29">
        <f>20.5*B48</f>
        <v>11275</v>
      </c>
      <c r="V48" s="58"/>
      <c r="W48" s="29">
        <f>19*B48</f>
        <v>10450</v>
      </c>
      <c r="X48" s="59"/>
      <c r="Y48" s="29"/>
      <c r="Z48" s="58"/>
      <c r="AA48" s="29"/>
      <c r="AB48" s="58"/>
      <c r="AC48" s="29"/>
      <c r="AD48" s="58"/>
      <c r="AE48" s="29"/>
      <c r="AF48" s="58"/>
      <c r="AG48" s="29"/>
      <c r="AH48" s="58"/>
      <c r="AI48" s="29"/>
      <c r="AJ48" s="58"/>
      <c r="AK48" s="29"/>
      <c r="AL48" s="58"/>
      <c r="AM48" s="29"/>
      <c r="AN48" s="58"/>
      <c r="AO48" s="29"/>
      <c r="AP48" s="58"/>
      <c r="AQ48" s="29"/>
      <c r="AR48" s="58"/>
      <c r="AS48" s="29"/>
      <c r="AT48" s="32">
        <v>140</v>
      </c>
      <c r="AU48" s="32"/>
      <c r="AV48" s="33"/>
      <c r="AW48" s="25">
        <f t="shared" si="10"/>
        <v>57475</v>
      </c>
    </row>
    <row r="49" spans="1:49" s="16" customFormat="1" ht="12" x14ac:dyDescent="0.2">
      <c r="A49" s="17"/>
      <c r="B49" s="18">
        <v>479</v>
      </c>
      <c r="C49" s="17">
        <v>601000</v>
      </c>
      <c r="D49" s="36"/>
      <c r="E49" s="20"/>
      <c r="F49" s="36"/>
      <c r="G49" s="20"/>
      <c r="H49" s="36"/>
      <c r="I49" s="20"/>
      <c r="J49" s="36"/>
      <c r="K49" s="20"/>
      <c r="L49" s="36"/>
      <c r="M49" s="20"/>
      <c r="N49" s="36"/>
      <c r="O49" s="20"/>
      <c r="P49" s="36"/>
      <c r="Q49" s="20"/>
      <c r="R49" s="36"/>
      <c r="S49" s="20"/>
      <c r="T49" s="37"/>
      <c r="U49" s="20">
        <f>13*B49</f>
        <v>6227</v>
      </c>
      <c r="V49" s="37"/>
      <c r="W49" s="20">
        <f>12*B49</f>
        <v>5748</v>
      </c>
      <c r="X49" s="38"/>
      <c r="Y49" s="20"/>
      <c r="Z49" s="37"/>
      <c r="AA49" s="20"/>
      <c r="AB49" s="37"/>
      <c r="AC49" s="20"/>
      <c r="AD49" s="37"/>
      <c r="AE49" s="20"/>
      <c r="AF49" s="37"/>
      <c r="AG49" s="20"/>
      <c r="AH49" s="37"/>
      <c r="AI49" s="20"/>
      <c r="AJ49" s="37"/>
      <c r="AK49" s="20"/>
      <c r="AL49" s="37"/>
      <c r="AM49" s="20"/>
      <c r="AN49" s="37"/>
      <c r="AO49" s="20"/>
      <c r="AP49" s="37"/>
      <c r="AQ49" s="20"/>
      <c r="AR49" s="37"/>
      <c r="AS49" s="20"/>
      <c r="AT49" s="23">
        <v>55</v>
      </c>
      <c r="AU49" s="23"/>
      <c r="AV49" s="24"/>
      <c r="AW49" s="25">
        <f t="shared" si="10"/>
        <v>11975</v>
      </c>
    </row>
    <row r="50" spans="1:49" s="16" customFormat="1" ht="12" x14ac:dyDescent="0.2">
      <c r="A50" s="26"/>
      <c r="B50" s="27">
        <v>525</v>
      </c>
      <c r="C50" s="17">
        <v>601000</v>
      </c>
      <c r="D50" s="19"/>
      <c r="E50" s="20"/>
      <c r="F50" s="19"/>
      <c r="G50" s="20"/>
      <c r="H50" s="19"/>
      <c r="I50" s="20"/>
      <c r="J50" s="19"/>
      <c r="K50" s="20"/>
      <c r="L50" s="19"/>
      <c r="M50" s="20"/>
      <c r="N50" s="19"/>
      <c r="O50" s="20"/>
      <c r="P50" s="19"/>
      <c r="Q50" s="20"/>
      <c r="R50" s="19"/>
      <c r="S50" s="20"/>
      <c r="T50" s="21"/>
      <c r="U50" s="20"/>
      <c r="V50" s="21"/>
      <c r="W50" s="20">
        <f>21*525</f>
        <v>11025</v>
      </c>
      <c r="X50" s="59"/>
      <c r="Y50" s="29"/>
      <c r="Z50" s="58"/>
      <c r="AA50" s="29"/>
      <c r="AB50" s="21"/>
      <c r="AC50" s="20"/>
      <c r="AD50" s="21"/>
      <c r="AE50" s="20"/>
      <c r="AF50" s="21"/>
      <c r="AG50" s="20"/>
      <c r="AH50" s="21"/>
      <c r="AI50" s="20"/>
      <c r="AJ50" s="21"/>
      <c r="AK50" s="20"/>
      <c r="AL50" s="21"/>
      <c r="AM50" s="20"/>
      <c r="AN50" s="21"/>
      <c r="AO50" s="20"/>
      <c r="AP50" s="21"/>
      <c r="AQ50" s="20"/>
      <c r="AR50" s="21"/>
      <c r="AS50" s="20"/>
      <c r="AT50" s="32">
        <v>21</v>
      </c>
      <c r="AU50" s="32"/>
      <c r="AV50" s="33"/>
      <c r="AW50" s="25">
        <f t="shared" si="10"/>
        <v>11025</v>
      </c>
    </row>
    <row r="51" spans="1:49" s="16" customFormat="1" ht="12" x14ac:dyDescent="0.2">
      <c r="A51" s="104"/>
      <c r="B51" s="101"/>
      <c r="C51" s="17">
        <v>601000</v>
      </c>
      <c r="D51" s="28"/>
      <c r="E51" s="29"/>
      <c r="F51" s="28"/>
      <c r="G51" s="29"/>
      <c r="H51" s="28"/>
      <c r="I51" s="29"/>
      <c r="J51" s="28"/>
      <c r="K51" s="29"/>
      <c r="L51" s="28"/>
      <c r="M51" s="29"/>
      <c r="N51" s="28"/>
      <c r="O51" s="29">
        <v>10235</v>
      </c>
      <c r="P51" s="28"/>
      <c r="Q51" s="29"/>
      <c r="R51" s="28"/>
      <c r="S51" s="29"/>
      <c r="T51" s="30"/>
      <c r="U51" s="29"/>
      <c r="V51" s="30"/>
      <c r="W51" s="29"/>
      <c r="X51" s="59"/>
      <c r="Y51" s="29"/>
      <c r="Z51" s="58"/>
      <c r="AA51" s="29"/>
      <c r="AB51" s="30"/>
      <c r="AC51" s="29"/>
      <c r="AD51" s="30"/>
      <c r="AE51" s="29"/>
      <c r="AF51" s="30"/>
      <c r="AG51" s="29"/>
      <c r="AH51" s="30"/>
      <c r="AI51" s="29"/>
      <c r="AJ51" s="30"/>
      <c r="AK51" s="29"/>
      <c r="AL51" s="30"/>
      <c r="AM51" s="29"/>
      <c r="AN51" s="30"/>
      <c r="AO51" s="29"/>
      <c r="AP51" s="30"/>
      <c r="AQ51" s="29"/>
      <c r="AR51" s="30"/>
      <c r="AS51" s="29"/>
      <c r="AT51" s="32"/>
      <c r="AU51" s="32"/>
      <c r="AV51" s="33"/>
      <c r="AW51" s="25">
        <f t="shared" si="10"/>
        <v>10235</v>
      </c>
    </row>
    <row r="52" spans="1:49" s="16" customFormat="1" ht="12" x14ac:dyDescent="0.2">
      <c r="A52" s="104"/>
      <c r="B52" s="101"/>
      <c r="C52" s="17">
        <v>601000</v>
      </c>
      <c r="D52" s="19"/>
      <c r="E52" s="20"/>
      <c r="F52" s="19"/>
      <c r="G52" s="20"/>
      <c r="H52" s="19"/>
      <c r="I52" s="20"/>
      <c r="J52" s="19"/>
      <c r="K52" s="20"/>
      <c r="L52" s="19"/>
      <c r="M52" s="20"/>
      <c r="N52" s="19"/>
      <c r="O52" s="20">
        <v>16687.5</v>
      </c>
      <c r="P52" s="19"/>
      <c r="Q52" s="20"/>
      <c r="R52" s="19"/>
      <c r="S52" s="20"/>
      <c r="T52" s="21"/>
      <c r="U52" s="20"/>
      <c r="V52" s="21"/>
      <c r="W52" s="20"/>
      <c r="X52" s="38"/>
      <c r="Y52" s="20"/>
      <c r="Z52" s="37"/>
      <c r="AA52" s="20"/>
      <c r="AB52" s="21"/>
      <c r="AC52" s="20"/>
      <c r="AD52" s="21"/>
      <c r="AE52" s="20"/>
      <c r="AF52" s="21"/>
      <c r="AG52" s="20"/>
      <c r="AH52" s="21"/>
      <c r="AI52" s="20"/>
      <c r="AJ52" s="21"/>
      <c r="AK52" s="20"/>
      <c r="AL52" s="21"/>
      <c r="AM52" s="20"/>
      <c r="AN52" s="21"/>
      <c r="AO52" s="20"/>
      <c r="AP52" s="21"/>
      <c r="AQ52" s="20"/>
      <c r="AR52" s="21"/>
      <c r="AS52" s="20"/>
      <c r="AT52" s="23"/>
      <c r="AU52" s="23"/>
      <c r="AV52" s="24"/>
      <c r="AW52" s="25">
        <f t="shared" si="10"/>
        <v>16687.5</v>
      </c>
    </row>
    <row r="53" spans="1:49" s="16" customFormat="1" ht="12" x14ac:dyDescent="0.2">
      <c r="A53" s="104"/>
      <c r="B53" s="101"/>
      <c r="C53" s="17">
        <v>601000</v>
      </c>
      <c r="D53" s="57"/>
      <c r="E53" s="29"/>
      <c r="F53" s="57"/>
      <c r="G53" s="29"/>
      <c r="H53" s="57"/>
      <c r="I53" s="29"/>
      <c r="J53" s="57"/>
      <c r="K53" s="29">
        <v>185285</v>
      </c>
      <c r="L53" s="57"/>
      <c r="M53" s="29"/>
      <c r="N53" s="57"/>
      <c r="O53" s="29"/>
      <c r="P53" s="57"/>
      <c r="Q53" s="29"/>
      <c r="R53" s="57"/>
      <c r="S53" s="29"/>
      <c r="T53" s="58"/>
      <c r="U53" s="29"/>
      <c r="V53" s="58"/>
      <c r="W53" s="29"/>
      <c r="X53" s="59"/>
      <c r="Y53" s="29"/>
      <c r="Z53" s="58"/>
      <c r="AA53" s="29"/>
      <c r="AC53" s="29"/>
      <c r="AD53" s="58"/>
      <c r="AE53" s="29"/>
      <c r="AF53" s="58"/>
      <c r="AG53" s="29"/>
      <c r="AH53" s="58"/>
      <c r="AI53" s="29"/>
      <c r="AJ53" s="58"/>
      <c r="AK53" s="29"/>
      <c r="AL53" s="58"/>
      <c r="AM53" s="29"/>
      <c r="AN53" s="58"/>
      <c r="AO53" s="29"/>
      <c r="AP53" s="58"/>
      <c r="AQ53" s="29"/>
      <c r="AR53" s="58"/>
      <c r="AS53" s="29"/>
      <c r="AT53" s="32"/>
      <c r="AU53" s="32"/>
      <c r="AV53" s="33"/>
      <c r="AW53" s="25">
        <f t="shared" si="10"/>
        <v>185285</v>
      </c>
    </row>
    <row r="54" spans="1:49" s="16" customFormat="1" ht="12" x14ac:dyDescent="0.2">
      <c r="A54" s="104"/>
      <c r="B54" s="101"/>
      <c r="C54" s="17">
        <v>601000</v>
      </c>
      <c r="D54" s="36"/>
      <c r="E54" s="20"/>
      <c r="F54" s="36"/>
      <c r="G54" s="20"/>
      <c r="H54" s="36"/>
      <c r="I54" s="20"/>
      <c r="J54" s="36"/>
      <c r="K54" s="20"/>
      <c r="L54" s="36"/>
      <c r="M54" s="20">
        <v>185766</v>
      </c>
      <c r="N54" s="36"/>
      <c r="O54" s="20"/>
      <c r="P54" s="36"/>
      <c r="Q54" s="20"/>
      <c r="R54" s="36"/>
      <c r="S54" s="20"/>
      <c r="T54" s="37"/>
      <c r="U54" s="20"/>
      <c r="V54" s="37"/>
      <c r="W54" s="20"/>
      <c r="X54" s="59"/>
      <c r="Y54" s="29"/>
      <c r="Z54" s="58"/>
      <c r="AA54" s="29"/>
      <c r="AB54" s="37"/>
      <c r="AC54" s="20"/>
      <c r="AD54" s="37"/>
      <c r="AE54" s="20"/>
      <c r="AF54" s="37"/>
      <c r="AG54" s="20"/>
      <c r="AH54" s="37"/>
      <c r="AI54" s="20"/>
      <c r="AJ54" s="37"/>
      <c r="AK54" s="20"/>
      <c r="AL54" s="37"/>
      <c r="AM54" s="20"/>
      <c r="AN54" s="37"/>
      <c r="AO54" s="20"/>
      <c r="AP54" s="37"/>
      <c r="AQ54" s="20"/>
      <c r="AR54" s="37"/>
      <c r="AS54" s="20"/>
      <c r="AT54" s="32"/>
      <c r="AU54" s="32"/>
      <c r="AV54" s="33"/>
      <c r="AW54" s="25">
        <f t="shared" si="10"/>
        <v>185766</v>
      </c>
    </row>
    <row r="55" spans="1:49" s="16" customFormat="1" ht="12" x14ac:dyDescent="0.2">
      <c r="A55" s="104"/>
      <c r="B55" s="101"/>
      <c r="C55" s="17">
        <v>601000</v>
      </c>
      <c r="D55" s="19"/>
      <c r="E55" s="20"/>
      <c r="F55" s="19"/>
      <c r="G55" s="20"/>
      <c r="H55" s="19"/>
      <c r="I55" s="20"/>
      <c r="J55" s="19"/>
      <c r="K55" s="20"/>
      <c r="L55" s="19"/>
      <c r="M55" s="20"/>
      <c r="N55" s="19"/>
      <c r="O55" s="20">
        <v>246412</v>
      </c>
      <c r="P55" s="19"/>
      <c r="Q55" s="20"/>
      <c r="R55" s="19"/>
      <c r="S55" s="20"/>
      <c r="T55" s="21"/>
      <c r="U55" s="20"/>
      <c r="V55" s="21"/>
      <c r="W55" s="20"/>
      <c r="X55" s="38"/>
      <c r="Y55" s="20"/>
      <c r="Z55" s="37"/>
      <c r="AA55" s="20"/>
      <c r="AB55" s="21"/>
      <c r="AC55" s="20"/>
      <c r="AD55" s="21"/>
      <c r="AE55" s="20"/>
      <c r="AF55" s="21"/>
      <c r="AG55" s="20"/>
      <c r="AH55" s="21"/>
      <c r="AI55" s="20"/>
      <c r="AJ55" s="21"/>
      <c r="AK55" s="20"/>
      <c r="AL55" s="21"/>
      <c r="AM55" s="20"/>
      <c r="AN55" s="21"/>
      <c r="AO55" s="20"/>
      <c r="AP55" s="21"/>
      <c r="AQ55" s="20"/>
      <c r="AR55" s="21"/>
      <c r="AS55" s="20"/>
      <c r="AT55" s="23"/>
      <c r="AU55" s="23"/>
      <c r="AV55" s="24"/>
      <c r="AW55" s="25">
        <f t="shared" si="10"/>
        <v>246412</v>
      </c>
    </row>
    <row r="56" spans="1:49" s="16" customFormat="1" ht="12" x14ac:dyDescent="0.2">
      <c r="A56" s="104"/>
      <c r="B56" s="101"/>
      <c r="C56" s="17">
        <v>601000</v>
      </c>
      <c r="D56" s="28"/>
      <c r="E56" s="29"/>
      <c r="F56" s="28"/>
      <c r="G56" s="29"/>
      <c r="H56" s="28"/>
      <c r="I56" s="29"/>
      <c r="J56" s="28"/>
      <c r="K56" s="29"/>
      <c r="L56" s="28"/>
      <c r="M56" s="29"/>
      <c r="N56" s="28"/>
      <c r="O56" s="29"/>
      <c r="P56" s="28"/>
      <c r="Q56" s="29">
        <v>267368</v>
      </c>
      <c r="R56" s="28"/>
      <c r="S56" s="29"/>
      <c r="T56" s="30"/>
      <c r="U56" s="29"/>
      <c r="V56" s="30"/>
      <c r="W56" s="29"/>
      <c r="X56" s="59"/>
      <c r="Y56" s="29"/>
      <c r="Z56" s="58"/>
      <c r="AA56" s="29"/>
      <c r="AB56" s="30"/>
      <c r="AC56" s="29"/>
      <c r="AD56" s="30"/>
      <c r="AE56" s="29"/>
      <c r="AF56" s="30"/>
      <c r="AG56" s="29"/>
      <c r="AH56" s="30"/>
      <c r="AI56" s="29"/>
      <c r="AJ56" s="30"/>
      <c r="AK56" s="29"/>
      <c r="AL56" s="30"/>
      <c r="AM56" s="29"/>
      <c r="AN56" s="30"/>
      <c r="AO56" s="29"/>
      <c r="AP56" s="30"/>
      <c r="AQ56" s="29"/>
      <c r="AR56" s="30"/>
      <c r="AS56" s="29"/>
      <c r="AT56" s="32"/>
      <c r="AU56" s="32"/>
      <c r="AV56" s="33"/>
      <c r="AW56" s="25">
        <f t="shared" si="10"/>
        <v>267368</v>
      </c>
    </row>
    <row r="57" spans="1:49" s="16" customFormat="1" ht="12" x14ac:dyDescent="0.2">
      <c r="A57" s="104"/>
      <c r="B57" s="101"/>
      <c r="C57" s="17">
        <v>601000</v>
      </c>
      <c r="D57" s="19"/>
      <c r="E57" s="20"/>
      <c r="F57" s="19"/>
      <c r="G57" s="20"/>
      <c r="H57" s="19"/>
      <c r="I57" s="20"/>
      <c r="J57" s="19"/>
      <c r="K57" s="20"/>
      <c r="L57" s="19"/>
      <c r="M57" s="20"/>
      <c r="N57" s="19"/>
      <c r="O57" s="20"/>
      <c r="P57" s="19"/>
      <c r="Q57" s="20"/>
      <c r="R57" s="19"/>
      <c r="S57" s="20">
        <v>172685</v>
      </c>
      <c r="T57" s="21"/>
      <c r="U57" s="20"/>
      <c r="V57" s="21"/>
      <c r="W57" s="20"/>
      <c r="X57" s="59"/>
      <c r="Y57" s="29"/>
      <c r="Z57" s="58"/>
      <c r="AA57" s="29"/>
      <c r="AB57" s="21"/>
      <c r="AC57" s="20"/>
      <c r="AD57" s="21"/>
      <c r="AE57" s="20"/>
      <c r="AF57" s="21"/>
      <c r="AG57" s="20"/>
      <c r="AH57" s="21"/>
      <c r="AI57" s="20"/>
      <c r="AJ57" s="21"/>
      <c r="AK57" s="20"/>
      <c r="AL57" s="21"/>
      <c r="AM57" s="20"/>
      <c r="AN57" s="21"/>
      <c r="AO57" s="20"/>
      <c r="AP57" s="21"/>
      <c r="AQ57" s="20"/>
      <c r="AR57" s="21"/>
      <c r="AS57" s="20"/>
      <c r="AT57" s="32"/>
      <c r="AU57" s="32"/>
      <c r="AV57" s="33"/>
      <c r="AW57" s="25">
        <f t="shared" si="10"/>
        <v>172685</v>
      </c>
    </row>
    <row r="58" spans="1:49" s="16" customFormat="1" ht="12" x14ac:dyDescent="0.2">
      <c r="A58" s="104"/>
      <c r="B58" s="101"/>
      <c r="C58" s="17">
        <v>601000</v>
      </c>
      <c r="D58" s="57"/>
      <c r="E58" s="29"/>
      <c r="F58" s="57"/>
      <c r="G58" s="29"/>
      <c r="H58" s="57"/>
      <c r="I58" s="29"/>
      <c r="J58" s="57"/>
      <c r="K58" s="29"/>
      <c r="L58" s="57"/>
      <c r="M58" s="29"/>
      <c r="N58" s="57"/>
      <c r="O58" s="29"/>
      <c r="P58" s="57"/>
      <c r="Q58" s="29"/>
      <c r="R58" s="57"/>
      <c r="S58" s="29"/>
      <c r="T58" s="58"/>
      <c r="U58" s="29">
        <v>344940</v>
      </c>
      <c r="V58" s="58"/>
      <c r="W58" s="29"/>
      <c r="X58" s="141">
        <v>250000</v>
      </c>
      <c r="Y58" s="20"/>
      <c r="Z58" s="141">
        <v>250000</v>
      </c>
      <c r="AA58" s="20"/>
      <c r="AB58" s="141">
        <v>250000</v>
      </c>
      <c r="AC58" s="29"/>
      <c r="AD58" s="141">
        <v>250000</v>
      </c>
      <c r="AE58" s="29"/>
      <c r="AF58" s="141">
        <v>250000</v>
      </c>
      <c r="AG58" s="29"/>
      <c r="AH58" s="141">
        <v>250000</v>
      </c>
      <c r="AI58" s="29"/>
      <c r="AJ58" s="141">
        <v>250000</v>
      </c>
      <c r="AK58" s="29"/>
      <c r="AL58" s="141">
        <v>250000</v>
      </c>
      <c r="AM58" s="29"/>
      <c r="AN58" s="141">
        <v>250000</v>
      </c>
      <c r="AO58" s="29"/>
      <c r="AP58" s="141">
        <v>250000</v>
      </c>
      <c r="AQ58" s="29"/>
      <c r="AR58" s="141">
        <v>250000</v>
      </c>
      <c r="AS58" s="29"/>
      <c r="AT58" s="23"/>
      <c r="AU58" s="23"/>
      <c r="AV58" s="24"/>
      <c r="AW58" s="25">
        <f t="shared" si="10"/>
        <v>344940</v>
      </c>
    </row>
    <row r="59" spans="1:49" s="16" customFormat="1" ht="12" x14ac:dyDescent="0.2">
      <c r="A59" s="60"/>
      <c r="B59" s="61"/>
      <c r="C59" s="41"/>
      <c r="D59" s="42"/>
      <c r="E59" s="63">
        <f t="shared" ref="E59:J59" si="11">SUM(E39:E58)</f>
        <v>0</v>
      </c>
      <c r="F59" s="63">
        <f t="shared" si="11"/>
        <v>0</v>
      </c>
      <c r="G59" s="63">
        <f t="shared" si="11"/>
        <v>22250</v>
      </c>
      <c r="H59" s="63">
        <f t="shared" si="11"/>
        <v>0</v>
      </c>
      <c r="I59" s="63">
        <f t="shared" si="11"/>
        <v>41510</v>
      </c>
      <c r="J59" s="63">
        <f t="shared" si="11"/>
        <v>0</v>
      </c>
      <c r="K59" s="63">
        <f>SUM(K39:K58)</f>
        <v>230950</v>
      </c>
      <c r="L59" s="63">
        <f t="shared" ref="L59:AS59" si="12">SUM(L39:L58)</f>
        <v>0</v>
      </c>
      <c r="M59" s="63">
        <f t="shared" si="12"/>
        <v>245111</v>
      </c>
      <c r="N59" s="63">
        <f t="shared" si="12"/>
        <v>0</v>
      </c>
      <c r="O59" s="63">
        <f t="shared" si="12"/>
        <v>353519.5</v>
      </c>
      <c r="P59" s="63">
        <f t="shared" si="12"/>
        <v>0</v>
      </c>
      <c r="Q59" s="63">
        <f t="shared" si="12"/>
        <v>335113</v>
      </c>
      <c r="R59" s="63">
        <f t="shared" si="12"/>
        <v>0</v>
      </c>
      <c r="S59" s="63">
        <f t="shared" si="12"/>
        <v>212065</v>
      </c>
      <c r="T59" s="63">
        <f t="shared" si="12"/>
        <v>325</v>
      </c>
      <c r="U59" s="63">
        <f t="shared" si="12"/>
        <v>433807</v>
      </c>
      <c r="V59" s="63">
        <f t="shared" si="12"/>
        <v>2925</v>
      </c>
      <c r="W59" s="63">
        <f t="shared" si="12"/>
        <v>98603</v>
      </c>
      <c r="X59" s="63">
        <f>SUM(X39:X58)</f>
        <v>252925</v>
      </c>
      <c r="Y59" s="63">
        <f t="shared" si="12"/>
        <v>0</v>
      </c>
      <c r="Z59" s="63">
        <f t="shared" si="12"/>
        <v>252925</v>
      </c>
      <c r="AA59" s="63">
        <f t="shared" si="12"/>
        <v>0</v>
      </c>
      <c r="AB59" s="63">
        <f t="shared" si="12"/>
        <v>250000</v>
      </c>
      <c r="AC59" s="63">
        <f t="shared" si="12"/>
        <v>0</v>
      </c>
      <c r="AD59" s="63">
        <f t="shared" si="12"/>
        <v>250000</v>
      </c>
      <c r="AE59" s="63">
        <f t="shared" si="12"/>
        <v>0</v>
      </c>
      <c r="AF59" s="63">
        <f t="shared" si="12"/>
        <v>250000</v>
      </c>
      <c r="AG59" s="63">
        <f t="shared" si="12"/>
        <v>0</v>
      </c>
      <c r="AH59" s="63">
        <f t="shared" si="12"/>
        <v>250000</v>
      </c>
      <c r="AI59" s="63">
        <f t="shared" si="12"/>
        <v>0</v>
      </c>
      <c r="AJ59" s="63">
        <f t="shared" si="12"/>
        <v>250000</v>
      </c>
      <c r="AK59" s="63">
        <f t="shared" si="12"/>
        <v>0</v>
      </c>
      <c r="AL59" s="63">
        <f t="shared" si="12"/>
        <v>250000</v>
      </c>
      <c r="AM59" s="63">
        <f t="shared" si="12"/>
        <v>0</v>
      </c>
      <c r="AN59" s="63">
        <f t="shared" si="12"/>
        <v>250000</v>
      </c>
      <c r="AO59" s="63">
        <f t="shared" si="12"/>
        <v>0</v>
      </c>
      <c r="AP59" s="63">
        <f t="shared" si="12"/>
        <v>250000</v>
      </c>
      <c r="AQ59" s="63">
        <f t="shared" si="12"/>
        <v>0</v>
      </c>
      <c r="AR59" s="63">
        <f t="shared" si="12"/>
        <v>250000</v>
      </c>
      <c r="AS59" s="63">
        <f t="shared" si="12"/>
        <v>0</v>
      </c>
      <c r="AT59" s="65"/>
      <c r="AU59" s="65"/>
      <c r="AV59" s="66"/>
      <c r="AW59" s="67">
        <f>SUM(AW39:AW58)</f>
        <v>1972928.5</v>
      </c>
    </row>
    <row r="60" spans="1:49" s="16" customFormat="1" ht="12" x14ac:dyDescent="0.2">
      <c r="A60" s="68"/>
      <c r="B60" s="69">
        <v>500</v>
      </c>
      <c r="C60" s="68">
        <v>601002</v>
      </c>
      <c r="D60" s="70"/>
      <c r="E60" s="20"/>
      <c r="F60" s="70"/>
      <c r="G60" s="20"/>
      <c r="H60" s="70"/>
      <c r="I60" s="20">
        <f>18.5*B60</f>
        <v>9250</v>
      </c>
      <c r="J60" s="70"/>
      <c r="K60" s="20">
        <f>11.5*B60</f>
        <v>5750</v>
      </c>
      <c r="L60" s="70"/>
      <c r="M60" s="20"/>
      <c r="N60" s="70"/>
      <c r="O60" s="20"/>
      <c r="P60" s="70"/>
      <c r="Q60" s="20"/>
      <c r="R60" s="70"/>
      <c r="S60" s="20"/>
      <c r="T60" s="71"/>
      <c r="U60" s="20"/>
      <c r="V60" s="71"/>
      <c r="W60" s="20"/>
      <c r="X60" s="72"/>
      <c r="Y60" s="20"/>
      <c r="Z60" s="71"/>
      <c r="AA60" s="20"/>
      <c r="AB60" s="71"/>
      <c r="AC60" s="20"/>
      <c r="AD60" s="71"/>
      <c r="AE60" s="20"/>
      <c r="AF60" s="71"/>
      <c r="AG60" s="20"/>
      <c r="AH60" s="71"/>
      <c r="AI60" s="20"/>
      <c r="AJ60" s="71"/>
      <c r="AK60" s="20"/>
      <c r="AL60" s="71"/>
      <c r="AM60" s="20"/>
      <c r="AN60" s="71"/>
      <c r="AO60" s="20"/>
      <c r="AP60" s="71"/>
      <c r="AQ60" s="20"/>
      <c r="AR60" s="71"/>
      <c r="AS60" s="20"/>
      <c r="AT60" s="73">
        <v>30</v>
      </c>
      <c r="AU60" s="73"/>
      <c r="AV60" s="24"/>
      <c r="AW60" s="74">
        <f>'Coût annuel T'!$B60*'Coût annuel T'!$AT60</f>
        <v>15000</v>
      </c>
    </row>
    <row r="61" spans="1:49" s="47" customFormat="1" ht="12" x14ac:dyDescent="0.2">
      <c r="A61" s="39"/>
      <c r="B61" s="40"/>
      <c r="C61" s="41"/>
      <c r="D61" s="42"/>
      <c r="E61" s="43"/>
      <c r="F61" s="42"/>
      <c r="G61" s="43"/>
      <c r="H61" s="42"/>
      <c r="I61" s="43"/>
      <c r="J61" s="42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3"/>
      <c r="AA61" s="43"/>
      <c r="AB61" s="43"/>
      <c r="AC61" s="43"/>
      <c r="AD61" s="43"/>
      <c r="AE61" s="43"/>
      <c r="AF61" s="43"/>
      <c r="AG61" s="43"/>
      <c r="AH61" s="43"/>
      <c r="AI61" s="43"/>
      <c r="AJ61" s="43"/>
      <c r="AK61" s="43"/>
      <c r="AL61" s="43"/>
      <c r="AM61" s="43"/>
      <c r="AN61" s="43"/>
      <c r="AO61" s="43"/>
      <c r="AP61" s="43"/>
      <c r="AQ61" s="43"/>
      <c r="AR61" s="43"/>
      <c r="AS61" s="43"/>
      <c r="AT61" s="44"/>
      <c r="AU61" s="44"/>
      <c r="AV61" s="45"/>
      <c r="AW61" s="46"/>
    </row>
    <row r="62" spans="1:49" s="16" customFormat="1" ht="12" x14ac:dyDescent="0.2">
      <c r="A62" s="26"/>
      <c r="B62" s="27">
        <v>480</v>
      </c>
      <c r="C62" s="26">
        <v>601003</v>
      </c>
      <c r="D62" s="28"/>
      <c r="E62" s="29"/>
      <c r="F62" s="28"/>
      <c r="G62" s="29"/>
      <c r="H62" s="28"/>
      <c r="I62" s="29">
        <f>16*B62</f>
        <v>7680</v>
      </c>
      <c r="J62" s="28"/>
      <c r="K62" s="29">
        <f>17*B62</f>
        <v>8160</v>
      </c>
      <c r="L62" s="28"/>
      <c r="M62" s="29">
        <f>12.5*B62</f>
        <v>6000</v>
      </c>
      <c r="N62" s="28"/>
      <c r="O62" s="29">
        <f>18*B62</f>
        <v>8640</v>
      </c>
      <c r="P62" s="28"/>
      <c r="Q62" s="29">
        <f>20.5*B62</f>
        <v>9840</v>
      </c>
      <c r="R62" s="28"/>
      <c r="S62" s="29">
        <f>5*B62</f>
        <v>2400</v>
      </c>
      <c r="T62" s="30"/>
      <c r="U62" s="29"/>
      <c r="V62" s="30"/>
      <c r="W62" s="29"/>
      <c r="X62" s="31"/>
      <c r="Y62" s="29"/>
      <c r="Z62" s="30"/>
      <c r="AA62" s="29"/>
      <c r="AB62" s="30"/>
      <c r="AC62" s="29"/>
      <c r="AD62" s="30"/>
      <c r="AE62" s="29"/>
      <c r="AF62" s="30"/>
      <c r="AG62" s="29"/>
      <c r="AH62" s="30"/>
      <c r="AI62" s="29"/>
      <c r="AJ62" s="30"/>
      <c r="AK62" s="29"/>
      <c r="AL62" s="30"/>
      <c r="AM62" s="29"/>
      <c r="AN62" s="30"/>
      <c r="AO62" s="29"/>
      <c r="AP62" s="30"/>
      <c r="AQ62" s="29"/>
      <c r="AR62" s="30"/>
      <c r="AS62" s="29"/>
      <c r="AT62" s="32">
        <v>89</v>
      </c>
      <c r="AU62" s="32"/>
      <c r="AV62" s="33"/>
      <c r="AW62" s="34">
        <f>'Coût annuel T'!$B62*'Coût annuel T'!$AT62</f>
        <v>42720</v>
      </c>
    </row>
    <row r="63" spans="1:49" s="47" customFormat="1" ht="12" x14ac:dyDescent="0.2">
      <c r="A63" s="39"/>
      <c r="B63" s="40"/>
      <c r="C63" s="41"/>
      <c r="D63" s="42"/>
      <c r="E63" s="43"/>
      <c r="F63" s="42"/>
      <c r="G63" s="43"/>
      <c r="H63" s="42"/>
      <c r="I63" s="43"/>
      <c r="J63" s="42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  <c r="AF63" s="43"/>
      <c r="AG63" s="43"/>
      <c r="AH63" s="43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4"/>
      <c r="AU63" s="44"/>
      <c r="AV63" s="45"/>
      <c r="AW63" s="46"/>
    </row>
    <row r="64" spans="1:49" s="16" customFormat="1" ht="12" x14ac:dyDescent="0.2">
      <c r="A64" s="17"/>
      <c r="B64" s="18">
        <v>680</v>
      </c>
      <c r="C64" s="17">
        <v>601004</v>
      </c>
      <c r="D64" s="75"/>
      <c r="E64" s="76"/>
      <c r="F64" s="75"/>
      <c r="G64" s="76"/>
      <c r="H64" s="75"/>
      <c r="I64" s="76"/>
      <c r="J64" s="75"/>
      <c r="K64" s="76"/>
      <c r="L64" s="75"/>
      <c r="M64" s="76"/>
      <c r="N64" s="75"/>
      <c r="O64" s="76"/>
      <c r="P64" s="75"/>
      <c r="Q64" s="76"/>
      <c r="R64" s="75"/>
      <c r="S64" s="76"/>
      <c r="T64" s="21"/>
      <c r="U64" s="20">
        <f>18*B64</f>
        <v>12240</v>
      </c>
      <c r="V64" s="21"/>
      <c r="W64" s="20">
        <f>20*B64</f>
        <v>13600</v>
      </c>
      <c r="X64" s="114">
        <f>16*B64</f>
        <v>10880</v>
      </c>
      <c r="Y64" s="20"/>
      <c r="Z64" s="114">
        <f>18*B64</f>
        <v>12240</v>
      </c>
      <c r="AA64" s="20"/>
      <c r="AB64" s="129">
        <f>20*B64</f>
        <v>13600</v>
      </c>
      <c r="AC64" s="20"/>
      <c r="AD64" s="129">
        <f>20*B64</f>
        <v>13600</v>
      </c>
      <c r="AE64" s="20"/>
      <c r="AF64" s="129">
        <f>20*B64</f>
        <v>13600</v>
      </c>
      <c r="AG64" s="20"/>
      <c r="AH64" s="129">
        <f>20*B64</f>
        <v>13600</v>
      </c>
      <c r="AI64" s="20"/>
      <c r="AJ64" s="129">
        <f>18*B64</f>
        <v>12240</v>
      </c>
      <c r="AK64" s="20"/>
      <c r="AL64" s="129">
        <f>19*B64</f>
        <v>12920</v>
      </c>
      <c r="AM64" s="20"/>
      <c r="AN64" s="21"/>
      <c r="AO64" s="20"/>
      <c r="AP64" s="21"/>
      <c r="AQ64" s="20"/>
      <c r="AR64" s="21"/>
      <c r="AS64" s="20"/>
      <c r="AT64" s="23">
        <v>83</v>
      </c>
      <c r="AU64" s="117">
        <f>AR64+AP64+AN64+AL64+AJ64+AH64+AF64+AD64+AB64+Z64+X64</f>
        <v>102680</v>
      </c>
      <c r="AV64" s="24"/>
      <c r="AW64" s="25">
        <f>U64+W64+Y64+AA64</f>
        <v>25840</v>
      </c>
    </row>
    <row r="65" spans="1:49" s="16" customFormat="1" ht="12" x14ac:dyDescent="0.2">
      <c r="A65" s="26"/>
      <c r="B65" s="27">
        <v>954</v>
      </c>
      <c r="C65" s="26">
        <v>601004</v>
      </c>
      <c r="D65" s="75"/>
      <c r="E65" s="76"/>
      <c r="F65" s="75"/>
      <c r="G65" s="76"/>
      <c r="H65" s="75"/>
      <c r="I65" s="76"/>
      <c r="J65" s="75"/>
      <c r="K65" s="76"/>
      <c r="L65" s="75"/>
      <c r="M65" s="76"/>
      <c r="N65" s="75"/>
      <c r="O65" s="76"/>
      <c r="P65" s="75"/>
      <c r="Q65" s="76"/>
      <c r="R65" s="75"/>
      <c r="S65" s="76"/>
      <c r="T65" s="30"/>
      <c r="U65" s="20"/>
      <c r="V65" s="30"/>
      <c r="W65" s="20"/>
      <c r="X65" s="31"/>
      <c r="Y65" s="20"/>
      <c r="Z65" s="30"/>
      <c r="AA65" s="20"/>
      <c r="AB65" s="30"/>
      <c r="AC65" s="20"/>
      <c r="AD65" s="30"/>
      <c r="AE65" s="20"/>
      <c r="AF65" s="30"/>
      <c r="AG65" s="20"/>
      <c r="AH65" s="30"/>
      <c r="AI65" s="20"/>
      <c r="AJ65" s="30"/>
      <c r="AK65" s="20"/>
      <c r="AL65" s="30"/>
      <c r="AM65" s="20"/>
      <c r="AN65" s="30"/>
      <c r="AO65" s="20"/>
      <c r="AP65" s="30"/>
      <c r="AQ65" s="20"/>
      <c r="AR65" s="30"/>
      <c r="AS65" s="20"/>
      <c r="AT65" s="32">
        <v>10</v>
      </c>
      <c r="AU65" s="32"/>
      <c r="AV65" s="33"/>
      <c r="AW65" s="25">
        <f>U65+W65+Y65+AA65</f>
        <v>0</v>
      </c>
    </row>
    <row r="66" spans="1:49" s="47" customFormat="1" ht="12" x14ac:dyDescent="0.2">
      <c r="A66" s="39"/>
      <c r="B66" s="40"/>
      <c r="C66" s="41"/>
      <c r="D66" s="42"/>
      <c r="E66" s="43"/>
      <c r="F66" s="42"/>
      <c r="G66" s="43"/>
      <c r="H66" s="42"/>
      <c r="I66" s="43"/>
      <c r="J66" s="42"/>
      <c r="K66" s="43">
        <f t="shared" ref="K66:W66" si="13">SUM(K64:K65)</f>
        <v>0</v>
      </c>
      <c r="L66" s="43">
        <f t="shared" si="13"/>
        <v>0</v>
      </c>
      <c r="M66" s="43">
        <f t="shared" si="13"/>
        <v>0</v>
      </c>
      <c r="N66" s="43">
        <f t="shared" si="13"/>
        <v>0</v>
      </c>
      <c r="O66" s="43">
        <f t="shared" si="13"/>
        <v>0</v>
      </c>
      <c r="P66" s="43">
        <f t="shared" si="13"/>
        <v>0</v>
      </c>
      <c r="Q66" s="43">
        <f t="shared" si="13"/>
        <v>0</v>
      </c>
      <c r="R66" s="43">
        <f t="shared" si="13"/>
        <v>0</v>
      </c>
      <c r="S66" s="43">
        <f t="shared" si="13"/>
        <v>0</v>
      </c>
      <c r="T66" s="43">
        <f t="shared" si="13"/>
        <v>0</v>
      </c>
      <c r="U66" s="43">
        <f t="shared" si="13"/>
        <v>12240</v>
      </c>
      <c r="V66" s="43">
        <f t="shared" si="13"/>
        <v>0</v>
      </c>
      <c r="W66" s="43">
        <f t="shared" si="13"/>
        <v>13600</v>
      </c>
      <c r="X66" s="43">
        <f>SUM(X60:X65)</f>
        <v>10880</v>
      </c>
      <c r="Y66" s="43">
        <f>SUM(Y60:Y65)</f>
        <v>0</v>
      </c>
      <c r="Z66" s="43">
        <f>SUM(Z60:Z65)</f>
        <v>12240</v>
      </c>
      <c r="AA66" s="43">
        <f>SUM(AA60:AA65)</f>
        <v>0</v>
      </c>
      <c r="AB66" s="43"/>
      <c r="AC66" s="43"/>
      <c r="AD66" s="43"/>
      <c r="AE66" s="43"/>
      <c r="AF66" s="43"/>
      <c r="AG66" s="43"/>
      <c r="AH66" s="43"/>
      <c r="AI66" s="43"/>
      <c r="AJ66" s="43"/>
      <c r="AK66" s="43"/>
      <c r="AL66" s="43"/>
      <c r="AM66" s="43"/>
      <c r="AN66" s="43"/>
      <c r="AO66" s="43"/>
      <c r="AP66" s="43"/>
      <c r="AQ66" s="43"/>
      <c r="AR66" s="43"/>
      <c r="AS66" s="43"/>
      <c r="AT66" s="44"/>
      <c r="AU66" s="44">
        <f>SUM(AU64:AU65)</f>
        <v>102680</v>
      </c>
      <c r="AV66" s="45"/>
      <c r="AW66" s="67">
        <f>SUM(AW64:AW65)</f>
        <v>25840</v>
      </c>
    </row>
    <row r="67" spans="1:49" s="16" customFormat="1" ht="12" x14ac:dyDescent="0.2">
      <c r="A67" s="17"/>
      <c r="B67" s="18">
        <v>580</v>
      </c>
      <c r="C67" s="17">
        <v>601005</v>
      </c>
      <c r="D67" s="19"/>
      <c r="E67" s="20"/>
      <c r="F67" s="19"/>
      <c r="G67" s="20"/>
      <c r="H67" s="19"/>
      <c r="I67" s="20"/>
      <c r="J67" s="19"/>
      <c r="K67" s="20">
        <f>11.5*$B$67</f>
        <v>6670</v>
      </c>
      <c r="L67" s="19"/>
      <c r="M67" s="20">
        <f>13*$B$67</f>
        <v>7540</v>
      </c>
      <c r="N67" s="19"/>
      <c r="O67" s="20">
        <f>13.5*$B$67</f>
        <v>7830</v>
      </c>
      <c r="P67" s="19"/>
      <c r="Q67" s="20"/>
      <c r="R67" s="19"/>
      <c r="S67" s="20"/>
      <c r="T67" s="21"/>
      <c r="U67" s="20"/>
      <c r="V67" s="21"/>
      <c r="W67" s="20"/>
      <c r="X67" s="22"/>
      <c r="Y67" s="20"/>
      <c r="Z67" s="21"/>
      <c r="AA67" s="20"/>
      <c r="AB67" s="21"/>
      <c r="AC67" s="20"/>
      <c r="AD67" s="21"/>
      <c r="AE67" s="20"/>
      <c r="AF67" s="21"/>
      <c r="AG67" s="20"/>
      <c r="AH67" s="21"/>
      <c r="AI67" s="20"/>
      <c r="AJ67" s="21"/>
      <c r="AK67" s="20"/>
      <c r="AL67" s="21"/>
      <c r="AM67" s="20"/>
      <c r="AN67" s="21"/>
      <c r="AO67" s="20"/>
      <c r="AP67" s="21"/>
      <c r="AQ67" s="20"/>
      <c r="AR67" s="21"/>
      <c r="AS67" s="20"/>
      <c r="AT67" s="23">
        <v>49</v>
      </c>
      <c r="AU67" s="23"/>
      <c r="AV67" s="24"/>
      <c r="AW67" s="25">
        <f>E67+G67+I67+K67+M67+O67+Q67+S67+U67+W67+Y67+AA67</f>
        <v>22040</v>
      </c>
    </row>
    <row r="68" spans="1:49" s="16" customFormat="1" ht="12" x14ac:dyDescent="0.2">
      <c r="A68" s="26"/>
      <c r="B68" s="27">
        <v>455</v>
      </c>
      <c r="C68" s="17">
        <v>601005</v>
      </c>
      <c r="D68" s="28"/>
      <c r="E68" s="29"/>
      <c r="F68" s="28"/>
      <c r="G68" s="29"/>
      <c r="H68" s="28"/>
      <c r="I68" s="29"/>
      <c r="J68" s="28"/>
      <c r="K68" s="29"/>
      <c r="L68" s="28"/>
      <c r="M68" s="29">
        <f>4*B68</f>
        <v>1820</v>
      </c>
      <c r="N68" s="28"/>
      <c r="O68" s="29">
        <f>7*B68</f>
        <v>3185</v>
      </c>
      <c r="P68" s="28"/>
      <c r="Q68" s="29">
        <f>2.5*B68</f>
        <v>1137.5</v>
      </c>
      <c r="R68" s="28"/>
      <c r="S68" s="29"/>
      <c r="T68" s="30"/>
      <c r="U68" s="29"/>
      <c r="V68" s="30"/>
      <c r="W68" s="29"/>
      <c r="X68" s="31"/>
      <c r="Y68" s="29"/>
      <c r="Z68" s="30"/>
      <c r="AA68" s="29"/>
      <c r="AB68" s="30"/>
      <c r="AC68" s="29"/>
      <c r="AD68" s="30"/>
      <c r="AE68" s="29"/>
      <c r="AF68" s="30"/>
      <c r="AG68" s="29"/>
      <c r="AH68" s="30"/>
      <c r="AI68" s="29"/>
      <c r="AJ68" s="30"/>
      <c r="AK68" s="29"/>
      <c r="AL68" s="30"/>
      <c r="AM68" s="29"/>
      <c r="AN68" s="30"/>
      <c r="AO68" s="29"/>
      <c r="AP68" s="30"/>
      <c r="AQ68" s="29"/>
      <c r="AR68" s="30"/>
      <c r="AS68" s="29"/>
      <c r="AT68" s="32">
        <v>48</v>
      </c>
      <c r="AU68" s="32"/>
      <c r="AV68" s="33"/>
      <c r="AW68" s="25">
        <f t="shared" ref="AW68:AW78" si="14">E68+G68+I68+K68+M68+O68+Q68+S68+U68+W68+Y68+AA68</f>
        <v>6142.5</v>
      </c>
    </row>
    <row r="69" spans="1:49" s="16" customFormat="1" ht="12" x14ac:dyDescent="0.2">
      <c r="A69" s="17"/>
      <c r="B69" s="18">
        <v>607.78</v>
      </c>
      <c r="C69" s="17">
        <v>601005</v>
      </c>
      <c r="D69" s="19"/>
      <c r="E69" s="20"/>
      <c r="F69" s="19"/>
      <c r="G69" s="20">
        <f>15*B69</f>
        <v>9116.6999999999989</v>
      </c>
      <c r="H69" s="19"/>
      <c r="I69" s="20">
        <f>15*B69</f>
        <v>9116.6999999999989</v>
      </c>
      <c r="J69" s="19"/>
      <c r="K69" s="20">
        <f>1*B69</f>
        <v>607.78</v>
      </c>
      <c r="L69" s="19"/>
      <c r="M69" s="20">
        <f>5*B69</f>
        <v>3038.8999999999996</v>
      </c>
      <c r="N69" s="19"/>
      <c r="O69" s="20">
        <f>5*B69</f>
        <v>3038.8999999999996</v>
      </c>
      <c r="P69" s="19"/>
      <c r="Q69" s="20"/>
      <c r="R69" s="19"/>
      <c r="S69" s="20">
        <f>7.5*B69</f>
        <v>4558.3499999999995</v>
      </c>
      <c r="T69" s="21"/>
      <c r="U69" s="20">
        <f>13*B69</f>
        <v>7901.1399999999994</v>
      </c>
      <c r="V69" s="21"/>
      <c r="W69" s="20">
        <f>21*B69</f>
        <v>12763.38</v>
      </c>
      <c r="X69" s="22"/>
      <c r="Y69" s="20"/>
      <c r="Z69" s="21"/>
      <c r="AA69" s="20"/>
      <c r="AB69" s="21"/>
      <c r="AC69" s="20"/>
      <c r="AD69" s="21"/>
      <c r="AE69" s="20"/>
      <c r="AF69" s="21"/>
      <c r="AG69" s="20"/>
      <c r="AH69" s="21"/>
      <c r="AI69" s="20"/>
      <c r="AJ69" s="21"/>
      <c r="AK69" s="20"/>
      <c r="AL69" s="21"/>
      <c r="AM69" s="20"/>
      <c r="AN69" s="21"/>
      <c r="AO69" s="20"/>
      <c r="AP69" s="21"/>
      <c r="AQ69" s="20"/>
      <c r="AR69" s="21"/>
      <c r="AS69" s="20"/>
      <c r="AT69" s="23">
        <v>178</v>
      </c>
      <c r="AU69" s="23"/>
      <c r="AV69" s="24"/>
      <c r="AW69" s="25">
        <f t="shared" si="14"/>
        <v>50141.849999999991</v>
      </c>
    </row>
    <row r="70" spans="1:49" s="16" customFormat="1" ht="12" x14ac:dyDescent="0.2">
      <c r="A70" s="26"/>
      <c r="B70" s="27">
        <v>690</v>
      </c>
      <c r="C70" s="17">
        <v>601005</v>
      </c>
      <c r="D70" s="28"/>
      <c r="E70" s="29"/>
      <c r="F70" s="28"/>
      <c r="G70" s="29"/>
      <c r="H70" s="28"/>
      <c r="I70" s="29">
        <f>23*B70</f>
        <v>15870</v>
      </c>
      <c r="J70" s="28"/>
      <c r="K70" s="29">
        <f>16*B70</f>
        <v>11040</v>
      </c>
      <c r="L70" s="28"/>
      <c r="M70" s="29">
        <f>18*B70</f>
        <v>12420</v>
      </c>
      <c r="N70" s="28"/>
      <c r="O70" s="29">
        <f>21*B70</f>
        <v>14490</v>
      </c>
      <c r="P70" s="28"/>
      <c r="Q70" s="29">
        <f>10.5*B70</f>
        <v>7245</v>
      </c>
      <c r="R70" s="28"/>
      <c r="S70" s="29">
        <f>17*B70</f>
        <v>11730</v>
      </c>
      <c r="T70" s="30"/>
      <c r="U70" s="29">
        <f>22*B70</f>
        <v>15180</v>
      </c>
      <c r="V70" s="30"/>
      <c r="W70" s="29">
        <f>21*B70</f>
        <v>14490</v>
      </c>
      <c r="X70" s="31"/>
      <c r="Y70" s="29"/>
      <c r="Z70" s="30"/>
      <c r="AA70" s="29"/>
      <c r="AB70" s="30"/>
      <c r="AC70" s="29"/>
      <c r="AD70" s="30"/>
      <c r="AE70" s="29"/>
      <c r="AF70" s="30"/>
      <c r="AG70" s="29"/>
      <c r="AH70" s="30"/>
      <c r="AI70" s="29"/>
      <c r="AJ70" s="30"/>
      <c r="AK70" s="29"/>
      <c r="AL70" s="30"/>
      <c r="AM70" s="29"/>
      <c r="AN70" s="30"/>
      <c r="AO70" s="29"/>
      <c r="AP70" s="30"/>
      <c r="AQ70" s="29"/>
      <c r="AR70" s="30"/>
      <c r="AS70" s="29"/>
      <c r="AT70" s="32">
        <v>182</v>
      </c>
      <c r="AU70" s="32"/>
      <c r="AV70" s="33"/>
      <c r="AW70" s="25">
        <f t="shared" si="14"/>
        <v>102465</v>
      </c>
    </row>
    <row r="71" spans="1:49" s="16" customFormat="1" ht="12" x14ac:dyDescent="0.2">
      <c r="A71" s="17"/>
      <c r="B71" s="18">
        <v>290</v>
      </c>
      <c r="C71" s="17">
        <v>601005</v>
      </c>
      <c r="D71" s="19"/>
      <c r="E71" s="20"/>
      <c r="F71" s="19"/>
      <c r="G71" s="20"/>
      <c r="H71" s="19"/>
      <c r="I71" s="20"/>
      <c r="J71" s="19"/>
      <c r="K71" s="20">
        <f>21*B71</f>
        <v>6090</v>
      </c>
      <c r="L71" s="19"/>
      <c r="M71" s="20">
        <f>18*B71</f>
        <v>5220</v>
      </c>
      <c r="N71" s="19"/>
      <c r="O71" s="20">
        <f>22*B71</f>
        <v>6380</v>
      </c>
      <c r="P71" s="19"/>
      <c r="Q71" s="20">
        <f>10.5*B71</f>
        <v>3045</v>
      </c>
      <c r="R71" s="19"/>
      <c r="S71" s="20">
        <f>1*B71</f>
        <v>290</v>
      </c>
      <c r="T71" s="21"/>
      <c r="U71" s="20">
        <f>5*B71</f>
        <v>1450</v>
      </c>
      <c r="V71" s="21"/>
      <c r="W71" s="20"/>
      <c r="X71" s="22"/>
      <c r="Y71" s="20"/>
      <c r="Z71" s="21"/>
      <c r="AA71" s="20"/>
      <c r="AB71" s="21"/>
      <c r="AC71" s="20"/>
      <c r="AD71" s="21"/>
      <c r="AE71" s="20"/>
      <c r="AF71" s="21"/>
      <c r="AG71" s="20"/>
      <c r="AH71" s="21"/>
      <c r="AI71" s="20"/>
      <c r="AJ71" s="21"/>
      <c r="AK71" s="20"/>
      <c r="AL71" s="21"/>
      <c r="AM71" s="20"/>
      <c r="AN71" s="21"/>
      <c r="AO71" s="20"/>
      <c r="AP71" s="21"/>
      <c r="AQ71" s="20"/>
      <c r="AR71" s="21"/>
      <c r="AS71" s="20"/>
      <c r="AT71" s="23">
        <v>105</v>
      </c>
      <c r="AU71" s="23"/>
      <c r="AV71" s="24"/>
      <c r="AW71" s="25">
        <f t="shared" si="14"/>
        <v>22475</v>
      </c>
    </row>
    <row r="72" spans="1:49" s="16" customFormat="1" ht="12" x14ac:dyDescent="0.2">
      <c r="A72" s="26"/>
      <c r="B72" s="27">
        <v>435</v>
      </c>
      <c r="C72" s="17">
        <v>601005</v>
      </c>
      <c r="D72" s="28"/>
      <c r="E72" s="29"/>
      <c r="F72" s="28"/>
      <c r="G72" s="29"/>
      <c r="H72" s="28"/>
      <c r="I72" s="29"/>
      <c r="J72" s="28"/>
      <c r="K72" s="29"/>
      <c r="L72" s="28"/>
      <c r="M72" s="29"/>
      <c r="N72" s="28"/>
      <c r="O72" s="29"/>
      <c r="P72" s="28"/>
      <c r="Q72" s="29"/>
      <c r="R72" s="28"/>
      <c r="S72" s="29"/>
      <c r="T72" s="30"/>
      <c r="U72" s="29"/>
      <c r="V72" s="30"/>
      <c r="W72" s="29">
        <f>20*B72</f>
        <v>8700</v>
      </c>
      <c r="X72" s="31"/>
      <c r="Y72" s="29"/>
      <c r="Z72" s="30"/>
      <c r="AA72" s="29"/>
      <c r="AB72" s="30"/>
      <c r="AC72" s="29"/>
      <c r="AD72" s="30"/>
      <c r="AE72" s="29"/>
      <c r="AF72" s="30"/>
      <c r="AG72" s="29"/>
      <c r="AH72" s="30"/>
      <c r="AI72" s="29"/>
      <c r="AJ72" s="30"/>
      <c r="AK72" s="29"/>
      <c r="AL72" s="30"/>
      <c r="AM72" s="29"/>
      <c r="AN72" s="30"/>
      <c r="AO72" s="29"/>
      <c r="AP72" s="30"/>
      <c r="AQ72" s="29"/>
      <c r="AR72" s="30"/>
      <c r="AS72" s="29"/>
      <c r="AT72" s="32">
        <v>60</v>
      </c>
      <c r="AU72" s="32"/>
      <c r="AV72" s="33"/>
      <c r="AW72" s="25">
        <f t="shared" si="14"/>
        <v>8700</v>
      </c>
    </row>
    <row r="73" spans="1:49" s="16" customFormat="1" ht="12" x14ac:dyDescent="0.2">
      <c r="A73" s="17"/>
      <c r="B73" s="18">
        <v>485</v>
      </c>
      <c r="C73" s="17">
        <v>601005</v>
      </c>
      <c r="D73" s="19"/>
      <c r="E73" s="20"/>
      <c r="F73" s="19"/>
      <c r="G73" s="20"/>
      <c r="H73" s="19"/>
      <c r="I73" s="20"/>
      <c r="J73" s="19"/>
      <c r="K73" s="20"/>
      <c r="L73" s="19"/>
      <c r="M73" s="20">
        <f>6*B73</f>
        <v>2910</v>
      </c>
      <c r="N73" s="19"/>
      <c r="O73" s="20">
        <f>8*B73</f>
        <v>3880</v>
      </c>
      <c r="P73" s="19"/>
      <c r="Q73" s="20"/>
      <c r="R73" s="19"/>
      <c r="S73" s="20"/>
      <c r="T73" s="21"/>
      <c r="U73" s="20"/>
      <c r="V73" s="21"/>
      <c r="W73" s="20"/>
      <c r="X73" s="22"/>
      <c r="Y73" s="20"/>
      <c r="Z73" s="21"/>
      <c r="AA73" s="20"/>
      <c r="AB73" s="21"/>
      <c r="AC73" s="20"/>
      <c r="AD73" s="21"/>
      <c r="AE73" s="20"/>
      <c r="AF73" s="21"/>
      <c r="AG73" s="20"/>
      <c r="AH73" s="21"/>
      <c r="AI73" s="20"/>
      <c r="AJ73" s="21"/>
      <c r="AK73" s="20"/>
      <c r="AL73" s="21"/>
      <c r="AM73" s="20"/>
      <c r="AN73" s="21"/>
      <c r="AO73" s="20"/>
      <c r="AP73" s="21"/>
      <c r="AQ73" s="20"/>
      <c r="AR73" s="21"/>
      <c r="AS73" s="20"/>
      <c r="AT73" s="23">
        <v>19</v>
      </c>
      <c r="AU73" s="23"/>
      <c r="AV73" s="24"/>
      <c r="AW73" s="25">
        <f t="shared" si="14"/>
        <v>6790</v>
      </c>
    </row>
    <row r="74" spans="1:49" s="16" customFormat="1" ht="12" x14ac:dyDescent="0.2">
      <c r="A74" s="26"/>
      <c r="B74" s="27">
        <v>500</v>
      </c>
      <c r="C74" s="17">
        <v>601005</v>
      </c>
      <c r="D74" s="57"/>
      <c r="E74" s="29"/>
      <c r="F74" s="57"/>
      <c r="G74" s="29"/>
      <c r="H74" s="57"/>
      <c r="I74" s="29"/>
      <c r="J74" s="57"/>
      <c r="K74" s="29"/>
      <c r="L74" s="57"/>
      <c r="M74" s="29">
        <f>13.5*B74</f>
        <v>6750</v>
      </c>
      <c r="N74" s="57"/>
      <c r="O74" s="29">
        <f>22*B74</f>
        <v>11000</v>
      </c>
      <c r="P74" s="57"/>
      <c r="Q74" s="29">
        <f>3.5*B74</f>
        <v>1750</v>
      </c>
      <c r="R74" s="57"/>
      <c r="S74" s="29">
        <f>7.5*B74</f>
        <v>3750</v>
      </c>
      <c r="T74" s="58"/>
      <c r="U74" s="29">
        <f>22*B74</f>
        <v>11000</v>
      </c>
      <c r="V74" s="58"/>
      <c r="W74" s="29">
        <f>16*B74</f>
        <v>8000</v>
      </c>
      <c r="X74" s="59"/>
      <c r="Y74" s="29"/>
      <c r="Z74" s="58"/>
      <c r="AA74" s="29"/>
      <c r="AB74" s="58"/>
      <c r="AC74" s="29"/>
      <c r="AD74" s="58"/>
      <c r="AE74" s="29"/>
      <c r="AF74" s="58"/>
      <c r="AG74" s="29"/>
      <c r="AH74" s="58"/>
      <c r="AI74" s="29"/>
      <c r="AJ74" s="58"/>
      <c r="AK74" s="29"/>
      <c r="AL74" s="58"/>
      <c r="AM74" s="29"/>
      <c r="AN74" s="58"/>
      <c r="AO74" s="29"/>
      <c r="AP74" s="58"/>
      <c r="AQ74" s="29"/>
      <c r="AR74" s="58"/>
      <c r="AS74" s="29"/>
      <c r="AT74" s="32">
        <v>165</v>
      </c>
      <c r="AU74" s="32"/>
      <c r="AV74" s="33"/>
      <c r="AW74" s="25">
        <f t="shared" si="14"/>
        <v>42250</v>
      </c>
    </row>
    <row r="75" spans="1:49" s="16" customFormat="1" ht="12" x14ac:dyDescent="0.2">
      <c r="A75" s="17"/>
      <c r="B75" s="18">
        <v>650</v>
      </c>
      <c r="C75" s="17">
        <v>601005</v>
      </c>
      <c r="D75" s="36"/>
      <c r="E75" s="20"/>
      <c r="F75" s="36"/>
      <c r="G75" s="20"/>
      <c r="H75" s="36"/>
      <c r="I75" s="20"/>
      <c r="J75" s="36"/>
      <c r="K75" s="20">
        <f>21*B75</f>
        <v>13650</v>
      </c>
      <c r="L75" s="36"/>
      <c r="M75" s="20">
        <f>16*B75</f>
        <v>10400</v>
      </c>
      <c r="N75" s="36"/>
      <c r="O75" s="20">
        <f>22*B75</f>
        <v>14300</v>
      </c>
      <c r="P75" s="36"/>
      <c r="Q75" s="20">
        <f>17*B75</f>
        <v>11050</v>
      </c>
      <c r="R75" s="36"/>
      <c r="S75" s="20">
        <f>5*B75</f>
        <v>3250</v>
      </c>
      <c r="T75" s="37"/>
      <c r="U75" s="20">
        <f>22*B75</f>
        <v>14300</v>
      </c>
      <c r="V75" s="37"/>
      <c r="W75" s="20">
        <f>12.5*B75</f>
        <v>8125</v>
      </c>
      <c r="X75" s="38"/>
      <c r="Y75" s="20"/>
      <c r="Z75" s="37"/>
      <c r="AA75" s="20"/>
      <c r="AB75" s="37"/>
      <c r="AC75" s="20"/>
      <c r="AD75" s="37"/>
      <c r="AE75" s="20"/>
      <c r="AF75" s="37"/>
      <c r="AG75" s="20"/>
      <c r="AH75" s="37"/>
      <c r="AI75" s="20"/>
      <c r="AJ75" s="37"/>
      <c r="AK75" s="20"/>
      <c r="AL75" s="37"/>
      <c r="AM75" s="20"/>
      <c r="AN75" s="37"/>
      <c r="AO75" s="20"/>
      <c r="AP75" s="37"/>
      <c r="AQ75" s="20"/>
      <c r="AR75" s="37"/>
      <c r="AS75" s="20"/>
      <c r="AT75" s="23">
        <v>155</v>
      </c>
      <c r="AU75" s="23"/>
      <c r="AV75" s="24"/>
      <c r="AW75" s="25">
        <f t="shared" si="14"/>
        <v>75075</v>
      </c>
    </row>
    <row r="76" spans="1:49" s="16" customFormat="1" ht="12" x14ac:dyDescent="0.2">
      <c r="A76" s="26"/>
      <c r="B76" s="27">
        <v>350</v>
      </c>
      <c r="C76" s="17">
        <v>601005</v>
      </c>
      <c r="D76" s="57"/>
      <c r="E76" s="29"/>
      <c r="F76" s="57"/>
      <c r="G76" s="29"/>
      <c r="H76" s="57"/>
      <c r="I76" s="29"/>
      <c r="J76" s="57"/>
      <c r="K76" s="29"/>
      <c r="L76" s="57"/>
      <c r="M76" s="29"/>
      <c r="N76" s="57"/>
      <c r="O76" s="29">
        <f>13*B76</f>
        <v>4550</v>
      </c>
      <c r="P76" s="57"/>
      <c r="Q76" s="29">
        <f>21*B76</f>
        <v>7350</v>
      </c>
      <c r="R76" s="57"/>
      <c r="S76" s="29">
        <f>8*B76</f>
        <v>2800</v>
      </c>
      <c r="T76" s="58"/>
      <c r="U76" s="29">
        <v>0</v>
      </c>
      <c r="V76" s="58"/>
      <c r="W76" s="29">
        <f>20*B76</f>
        <v>7000</v>
      </c>
      <c r="X76" s="59"/>
      <c r="Y76" s="29"/>
      <c r="Z76" s="58"/>
      <c r="AA76" s="29"/>
      <c r="AB76" s="58"/>
      <c r="AC76" s="29"/>
      <c r="AD76" s="58"/>
      <c r="AE76" s="29"/>
      <c r="AF76" s="58"/>
      <c r="AG76" s="29"/>
      <c r="AH76" s="58"/>
      <c r="AI76" s="29"/>
      <c r="AJ76" s="58"/>
      <c r="AK76" s="29"/>
      <c r="AL76" s="58"/>
      <c r="AM76" s="29"/>
      <c r="AN76" s="58"/>
      <c r="AO76" s="29"/>
      <c r="AP76" s="58"/>
      <c r="AQ76" s="29"/>
      <c r="AR76" s="58"/>
      <c r="AS76" s="29"/>
      <c r="AT76" s="32">
        <v>129</v>
      </c>
      <c r="AU76" s="32"/>
      <c r="AV76" s="33"/>
      <c r="AW76" s="25">
        <f t="shared" si="14"/>
        <v>21700</v>
      </c>
    </row>
    <row r="77" spans="1:49" s="16" customFormat="1" ht="12" x14ac:dyDescent="0.2">
      <c r="A77" s="17"/>
      <c r="B77" s="18">
        <v>510</v>
      </c>
      <c r="C77" s="17">
        <v>601005</v>
      </c>
      <c r="D77" s="36"/>
      <c r="E77" s="20"/>
      <c r="F77" s="36"/>
      <c r="G77" s="20"/>
      <c r="H77" s="36"/>
      <c r="I77" s="20"/>
      <c r="J77" s="36"/>
      <c r="K77" s="20">
        <v>510</v>
      </c>
      <c r="L77" s="36"/>
      <c r="M77" s="20">
        <f>6*B77</f>
        <v>3060</v>
      </c>
      <c r="N77" s="36"/>
      <c r="O77" s="20">
        <f>12*B77</f>
        <v>6120</v>
      </c>
      <c r="P77" s="36"/>
      <c r="Q77" s="20">
        <f>10*B77</f>
        <v>5100</v>
      </c>
      <c r="R77" s="36"/>
      <c r="S77" s="20">
        <f>15*B77</f>
        <v>7650</v>
      </c>
      <c r="T77" s="37"/>
      <c r="U77" s="20">
        <v>0</v>
      </c>
      <c r="V77" s="37"/>
      <c r="W77" s="20">
        <f>6*B77</f>
        <v>3060</v>
      </c>
      <c r="X77" s="38"/>
      <c r="Y77" s="20"/>
      <c r="Z77" s="37"/>
      <c r="AA77" s="20"/>
      <c r="AB77" s="37"/>
      <c r="AC77" s="20"/>
      <c r="AD77" s="37"/>
      <c r="AE77" s="20"/>
      <c r="AF77" s="37"/>
      <c r="AG77" s="20"/>
      <c r="AH77" s="37"/>
      <c r="AI77" s="20"/>
      <c r="AJ77" s="37"/>
      <c r="AK77" s="20"/>
      <c r="AL77" s="37"/>
      <c r="AM77" s="20"/>
      <c r="AN77" s="37"/>
      <c r="AO77" s="20"/>
      <c r="AP77" s="37"/>
      <c r="AQ77" s="20"/>
      <c r="AR77" s="37"/>
      <c r="AS77" s="20"/>
      <c r="AT77" s="23">
        <v>115</v>
      </c>
      <c r="AU77" s="23"/>
      <c r="AV77" s="24"/>
      <c r="AW77" s="25">
        <f t="shared" si="14"/>
        <v>25500</v>
      </c>
    </row>
    <row r="78" spans="1:49" s="16" customFormat="1" ht="12" x14ac:dyDescent="0.2">
      <c r="A78" s="26"/>
      <c r="B78" s="27">
        <v>440</v>
      </c>
      <c r="C78" s="17">
        <v>601005</v>
      </c>
      <c r="D78" s="57"/>
      <c r="E78" s="29"/>
      <c r="F78" s="57"/>
      <c r="G78" s="29"/>
      <c r="H78" s="57"/>
      <c r="I78" s="29">
        <f>3*B78</f>
        <v>1320</v>
      </c>
      <c r="J78" s="57"/>
      <c r="K78" s="29">
        <f>21*B78</f>
        <v>9240</v>
      </c>
      <c r="L78" s="57"/>
      <c r="M78" s="29">
        <f>19*B78</f>
        <v>8360</v>
      </c>
      <c r="N78" s="57"/>
      <c r="O78" s="29">
        <f>21.5*B78</f>
        <v>9460</v>
      </c>
      <c r="P78" s="57"/>
      <c r="Q78" s="29">
        <f>20*B78</f>
        <v>8800</v>
      </c>
      <c r="R78" s="57"/>
      <c r="S78" s="29">
        <f>22*B78</f>
        <v>9680</v>
      </c>
      <c r="T78" s="58"/>
      <c r="U78" s="29">
        <f>19.5*B78</f>
        <v>8580</v>
      </c>
      <c r="V78" s="58"/>
      <c r="W78" s="29"/>
      <c r="X78" s="59"/>
      <c r="Y78" s="29"/>
      <c r="Z78" s="58"/>
      <c r="AA78" s="29"/>
      <c r="AB78" s="58"/>
      <c r="AC78" s="29"/>
      <c r="AD78" s="58"/>
      <c r="AE78" s="29"/>
      <c r="AF78" s="58"/>
      <c r="AG78" s="29"/>
      <c r="AH78" s="58"/>
      <c r="AI78" s="29"/>
      <c r="AJ78" s="58"/>
      <c r="AK78" s="29"/>
      <c r="AL78" s="58"/>
      <c r="AM78" s="29"/>
      <c r="AN78" s="58"/>
      <c r="AO78" s="29"/>
      <c r="AP78" s="58"/>
      <c r="AQ78" s="29"/>
      <c r="AR78" s="58"/>
      <c r="AS78" s="29"/>
      <c r="AT78" s="32">
        <v>129</v>
      </c>
      <c r="AU78" s="32"/>
      <c r="AV78" s="33"/>
      <c r="AW78" s="25">
        <f t="shared" si="14"/>
        <v>55440</v>
      </c>
    </row>
    <row r="79" spans="1:49" s="47" customFormat="1" ht="12" x14ac:dyDescent="0.2">
      <c r="A79" s="39"/>
      <c r="B79" s="40"/>
      <c r="C79" s="41"/>
      <c r="D79" s="42"/>
      <c r="E79" s="43"/>
      <c r="F79" s="42"/>
      <c r="G79" s="43">
        <f t="shared" ref="G79:J79" si="15">SUM(G67:G78)</f>
        <v>9116.6999999999989</v>
      </c>
      <c r="H79" s="43">
        <f t="shared" si="15"/>
        <v>0</v>
      </c>
      <c r="I79" s="43">
        <f t="shared" si="15"/>
        <v>26306.699999999997</v>
      </c>
      <c r="J79" s="43">
        <f t="shared" si="15"/>
        <v>0</v>
      </c>
      <c r="K79" s="43">
        <f>SUM(K67:K78)</f>
        <v>47807.78</v>
      </c>
      <c r="L79" s="43">
        <f t="shared" ref="L79:AA79" si="16">SUM(L67:L78)</f>
        <v>0</v>
      </c>
      <c r="M79" s="43">
        <f t="shared" si="16"/>
        <v>61518.9</v>
      </c>
      <c r="N79" s="43">
        <f t="shared" si="16"/>
        <v>0</v>
      </c>
      <c r="O79" s="43">
        <f t="shared" si="16"/>
        <v>84233.9</v>
      </c>
      <c r="P79" s="43">
        <f t="shared" si="16"/>
        <v>0</v>
      </c>
      <c r="Q79" s="43">
        <f t="shared" si="16"/>
        <v>45477.5</v>
      </c>
      <c r="R79" s="43">
        <f t="shared" si="16"/>
        <v>0</v>
      </c>
      <c r="S79" s="43">
        <f t="shared" si="16"/>
        <v>43708.35</v>
      </c>
      <c r="T79" s="43">
        <f t="shared" si="16"/>
        <v>0</v>
      </c>
      <c r="U79" s="43">
        <f t="shared" si="16"/>
        <v>58411.14</v>
      </c>
      <c r="V79" s="43">
        <f t="shared" si="16"/>
        <v>0</v>
      </c>
      <c r="W79" s="43">
        <f t="shared" si="16"/>
        <v>62138.38</v>
      </c>
      <c r="X79" s="43">
        <f t="shared" si="16"/>
        <v>0</v>
      </c>
      <c r="Y79" s="43">
        <f t="shared" si="16"/>
        <v>0</v>
      </c>
      <c r="Z79" s="43">
        <f t="shared" si="16"/>
        <v>0</v>
      </c>
      <c r="AA79" s="43">
        <f t="shared" si="16"/>
        <v>0</v>
      </c>
      <c r="AB79" s="43"/>
      <c r="AC79" s="43"/>
      <c r="AD79" s="43"/>
      <c r="AE79" s="43"/>
      <c r="AF79" s="43"/>
      <c r="AG79" s="43"/>
      <c r="AH79" s="43"/>
      <c r="AI79" s="43"/>
      <c r="AJ79" s="43"/>
      <c r="AK79" s="43"/>
      <c r="AL79" s="43"/>
      <c r="AM79" s="43"/>
      <c r="AN79" s="43"/>
      <c r="AO79" s="43"/>
      <c r="AP79" s="43"/>
      <c r="AQ79" s="43"/>
      <c r="AR79" s="43"/>
      <c r="AS79" s="43"/>
      <c r="AT79" s="44"/>
      <c r="AU79" s="44"/>
      <c r="AV79" s="45"/>
      <c r="AW79" s="46">
        <f>SUM(AW67:AW78)</f>
        <v>438719.35</v>
      </c>
    </row>
    <row r="80" spans="1:49" s="16" customFormat="1" ht="12" x14ac:dyDescent="0.2">
      <c r="A80" s="26"/>
      <c r="B80" s="27"/>
      <c r="C80" s="26">
        <v>601006</v>
      </c>
      <c r="D80" s="28"/>
      <c r="E80" s="29"/>
      <c r="F80" s="28"/>
      <c r="G80" s="29"/>
      <c r="H80" s="28"/>
      <c r="I80" s="29"/>
      <c r="J80" s="28"/>
      <c r="K80" s="29"/>
      <c r="L80" s="28"/>
      <c r="M80" s="29"/>
      <c r="N80" s="28"/>
      <c r="O80" s="29"/>
      <c r="P80" s="28"/>
      <c r="Q80" s="29"/>
      <c r="R80" s="28"/>
      <c r="S80" s="29"/>
      <c r="T80" s="30"/>
      <c r="U80" s="29"/>
      <c r="V80" s="30"/>
      <c r="W80" s="29"/>
      <c r="X80" s="31"/>
      <c r="Y80" s="29"/>
      <c r="Z80" s="30"/>
      <c r="AA80" s="29"/>
      <c r="AB80" s="30"/>
      <c r="AC80" s="29"/>
      <c r="AD80" s="30"/>
      <c r="AE80" s="29"/>
      <c r="AF80" s="30"/>
      <c r="AG80" s="29"/>
      <c r="AH80" s="30"/>
      <c r="AI80" s="29"/>
      <c r="AJ80" s="30"/>
      <c r="AK80" s="29"/>
      <c r="AL80" s="30"/>
      <c r="AM80" s="29"/>
      <c r="AN80" s="30"/>
      <c r="AO80" s="29"/>
      <c r="AP80" s="30"/>
      <c r="AQ80" s="29"/>
      <c r="AR80" s="30"/>
      <c r="AS80" s="29"/>
      <c r="AT80" s="32"/>
      <c r="AU80" s="32"/>
      <c r="AV80" s="33"/>
      <c r="AW80" s="25">
        <f t="shared" ref="AW80:AW86" si="17">E80+G80+I80+K80+M80+O80+Q80+S80+U80+W80+Y80+AA80</f>
        <v>0</v>
      </c>
    </row>
    <row r="81" spans="1:49" s="16" customFormat="1" ht="12" x14ac:dyDescent="0.2">
      <c r="A81" s="17"/>
      <c r="B81" s="18">
        <v>479</v>
      </c>
      <c r="C81" s="26">
        <v>601006</v>
      </c>
      <c r="D81" s="19"/>
      <c r="E81" s="20"/>
      <c r="F81" s="19"/>
      <c r="G81" s="20"/>
      <c r="H81" s="19"/>
      <c r="I81" s="20">
        <f>6*B81</f>
        <v>2874</v>
      </c>
      <c r="J81" s="19"/>
      <c r="K81" s="20">
        <f>18*B81</f>
        <v>8622</v>
      </c>
      <c r="L81" s="19"/>
      <c r="M81" s="20">
        <f>17.5*B81</f>
        <v>8382.5</v>
      </c>
      <c r="N81" s="19"/>
      <c r="O81" s="20">
        <f>22*B81</f>
        <v>10538</v>
      </c>
      <c r="P81" s="19"/>
      <c r="Q81" s="20">
        <f>18.5*B81</f>
        <v>8861.5</v>
      </c>
      <c r="R81" s="19"/>
      <c r="S81" s="20">
        <f>12*B81</f>
        <v>5748</v>
      </c>
      <c r="T81" s="21"/>
      <c r="U81" s="20">
        <f>18*B81</f>
        <v>8622</v>
      </c>
      <c r="V81" s="21"/>
      <c r="W81" s="20">
        <f>21*B81</f>
        <v>10059</v>
      </c>
      <c r="X81" s="114">
        <f>20*B81</f>
        <v>9580</v>
      </c>
      <c r="Y81" s="20"/>
      <c r="Z81" s="129">
        <f>18*B81</f>
        <v>8622</v>
      </c>
      <c r="AA81" s="20"/>
      <c r="AB81" s="129">
        <f>18*B81</f>
        <v>8622</v>
      </c>
      <c r="AC81" s="20"/>
      <c r="AD81" s="129">
        <f>20*B81</f>
        <v>9580</v>
      </c>
      <c r="AE81" s="20"/>
      <c r="AF81" s="129">
        <f>20*B81</f>
        <v>9580</v>
      </c>
      <c r="AG81" s="20"/>
      <c r="AH81" s="129">
        <f>19*B81</f>
        <v>9101</v>
      </c>
      <c r="AI81" s="20"/>
      <c r="AJ81" s="129">
        <f>20*B81</f>
        <v>9580</v>
      </c>
      <c r="AK81" s="20"/>
      <c r="AL81" s="129">
        <f>18*B81</f>
        <v>8622</v>
      </c>
      <c r="AM81" s="20"/>
      <c r="AN81" s="129">
        <f>20*B81</f>
        <v>9580</v>
      </c>
      <c r="AO81" s="20"/>
      <c r="AP81" s="129">
        <f>15*B81</f>
        <v>7185</v>
      </c>
      <c r="AQ81" s="20"/>
      <c r="AR81" s="129">
        <f>21*B81</f>
        <v>10059</v>
      </c>
      <c r="AS81" s="20"/>
      <c r="AT81" s="23">
        <v>180</v>
      </c>
      <c r="AU81" s="117">
        <f>AR81+AP81+AN81+AL81+AJ81+AH81+AF81+AD81+AB81+Z81+X81</f>
        <v>100111</v>
      </c>
      <c r="AV81" s="24"/>
      <c r="AW81" s="25">
        <f t="shared" si="17"/>
        <v>63707</v>
      </c>
    </row>
    <row r="82" spans="1:49" s="16" customFormat="1" ht="12" x14ac:dyDescent="0.2">
      <c r="A82" s="26"/>
      <c r="B82" s="27"/>
      <c r="C82" s="26">
        <v>601006</v>
      </c>
      <c r="D82" s="57"/>
      <c r="E82" s="29"/>
      <c r="F82" s="57"/>
      <c r="G82" s="29"/>
      <c r="H82" s="57"/>
      <c r="I82" s="29"/>
      <c r="J82" s="57"/>
      <c r="K82" s="29"/>
      <c r="L82" s="57"/>
      <c r="M82" s="29"/>
      <c r="N82" s="57"/>
      <c r="O82" s="29"/>
      <c r="P82" s="57"/>
      <c r="Q82" s="29"/>
      <c r="R82" s="57"/>
      <c r="S82" s="29"/>
      <c r="T82" s="58"/>
      <c r="U82" s="29"/>
      <c r="V82" s="58"/>
      <c r="W82" s="29"/>
      <c r="X82" s="59"/>
      <c r="Y82" s="29"/>
      <c r="Z82" s="58"/>
      <c r="AA82" s="29"/>
      <c r="AB82" s="58"/>
      <c r="AC82" s="29"/>
      <c r="AD82" s="58"/>
      <c r="AE82" s="29"/>
      <c r="AF82" s="58"/>
      <c r="AG82" s="29"/>
      <c r="AH82" s="58"/>
      <c r="AI82" s="29"/>
      <c r="AJ82" s="58"/>
      <c r="AK82" s="29"/>
      <c r="AL82" s="58"/>
      <c r="AM82" s="29"/>
      <c r="AN82" s="58"/>
      <c r="AO82" s="29"/>
      <c r="AP82" s="58"/>
      <c r="AQ82" s="29"/>
      <c r="AR82" s="58"/>
      <c r="AS82" s="29"/>
      <c r="AT82" s="32"/>
      <c r="AU82" s="32"/>
      <c r="AV82" s="33"/>
      <c r="AW82" s="25">
        <f t="shared" si="17"/>
        <v>0</v>
      </c>
    </row>
    <row r="83" spans="1:49" s="16" customFormat="1" ht="12" x14ac:dyDescent="0.2">
      <c r="A83" s="17"/>
      <c r="B83" s="18">
        <v>590</v>
      </c>
      <c r="C83" s="26">
        <v>601006</v>
      </c>
      <c r="D83" s="57"/>
      <c r="E83" s="29"/>
      <c r="F83" s="57"/>
      <c r="G83" s="29"/>
      <c r="H83" s="57"/>
      <c r="I83" s="29"/>
      <c r="J83" s="57"/>
      <c r="K83" s="29"/>
      <c r="L83" s="57"/>
      <c r="M83" s="29"/>
      <c r="N83" s="57"/>
      <c r="O83" s="29"/>
      <c r="P83" s="57"/>
      <c r="Q83" s="29"/>
      <c r="R83" s="57"/>
      <c r="S83" s="29"/>
      <c r="T83" s="58"/>
      <c r="U83" s="29"/>
      <c r="V83" s="58"/>
      <c r="W83" s="29"/>
      <c r="X83" s="38"/>
      <c r="Y83" s="20"/>
      <c r="Z83" s="37"/>
      <c r="AA83" s="20"/>
      <c r="AB83" s="58"/>
      <c r="AC83" s="29"/>
      <c r="AD83" s="58"/>
      <c r="AE83" s="29"/>
      <c r="AF83" s="58"/>
      <c r="AG83" s="29"/>
      <c r="AH83" s="58"/>
      <c r="AI83" s="29"/>
      <c r="AJ83" s="58"/>
      <c r="AK83" s="29"/>
      <c r="AL83" s="58"/>
      <c r="AM83" s="29"/>
      <c r="AN83" s="58"/>
      <c r="AO83" s="29"/>
      <c r="AP83" s="58"/>
      <c r="AQ83" s="29"/>
      <c r="AR83" s="58"/>
      <c r="AS83" s="29"/>
      <c r="AT83" s="32">
        <v>35</v>
      </c>
      <c r="AU83" s="32"/>
      <c r="AV83" s="33"/>
      <c r="AW83" s="25">
        <f t="shared" si="17"/>
        <v>0</v>
      </c>
    </row>
    <row r="84" spans="1:49" s="16" customFormat="1" ht="12" x14ac:dyDescent="0.2">
      <c r="A84" s="109"/>
      <c r="B84" s="27">
        <v>525</v>
      </c>
      <c r="C84" s="26">
        <v>601006</v>
      </c>
      <c r="D84" s="57"/>
      <c r="E84" s="29"/>
      <c r="F84" s="57"/>
      <c r="G84" s="29"/>
      <c r="H84" s="57"/>
      <c r="I84" s="29"/>
      <c r="J84" s="57"/>
      <c r="K84" s="29"/>
      <c r="L84" s="57"/>
      <c r="M84" s="29"/>
      <c r="N84" s="57"/>
      <c r="O84" s="29"/>
      <c r="P84" s="57"/>
      <c r="Q84" s="29"/>
      <c r="R84" s="57"/>
      <c r="S84" s="29"/>
      <c r="T84" s="58"/>
      <c r="U84" s="29"/>
      <c r="V84" s="58"/>
      <c r="W84" s="29"/>
      <c r="X84" s="77"/>
      <c r="Y84" s="111"/>
      <c r="Z84" s="77"/>
      <c r="AA84" s="111"/>
      <c r="AB84" s="58"/>
      <c r="AC84" s="29"/>
      <c r="AD84" s="58"/>
      <c r="AE84" s="29"/>
      <c r="AF84" s="58"/>
      <c r="AG84" s="29"/>
      <c r="AH84" s="58"/>
      <c r="AI84" s="29"/>
      <c r="AJ84" s="58"/>
      <c r="AK84" s="29"/>
      <c r="AL84" s="58"/>
      <c r="AM84" s="29"/>
      <c r="AN84" s="58"/>
      <c r="AO84" s="29"/>
      <c r="AP84" s="58"/>
      <c r="AQ84" s="29"/>
      <c r="AR84" s="58"/>
      <c r="AS84" s="29"/>
      <c r="AT84" s="32"/>
      <c r="AU84" s="32"/>
      <c r="AV84" s="33"/>
      <c r="AW84" s="25">
        <f t="shared" si="17"/>
        <v>0</v>
      </c>
    </row>
    <row r="85" spans="1:49" s="16" customFormat="1" ht="12" x14ac:dyDescent="0.2">
      <c r="A85" s="109"/>
      <c r="B85" s="27">
        <v>550</v>
      </c>
      <c r="C85" s="26">
        <v>601006</v>
      </c>
      <c r="D85" s="57"/>
      <c r="E85" s="29"/>
      <c r="F85" s="57"/>
      <c r="G85" s="29"/>
      <c r="H85" s="57"/>
      <c r="I85" s="29"/>
      <c r="J85" s="57"/>
      <c r="K85" s="29"/>
      <c r="L85" s="57"/>
      <c r="M85" s="29"/>
      <c r="N85" s="57"/>
      <c r="O85" s="29"/>
      <c r="P85" s="57"/>
      <c r="Q85" s="29"/>
      <c r="R85" s="57"/>
      <c r="S85" s="29"/>
      <c r="T85" s="58"/>
      <c r="U85" s="29"/>
      <c r="V85" s="58"/>
      <c r="W85" s="29">
        <v>7975</v>
      </c>
      <c r="X85" s="77"/>
      <c r="Y85" s="111"/>
      <c r="Z85" s="77"/>
      <c r="AA85" s="111"/>
      <c r="AB85" s="58"/>
      <c r="AC85" s="29"/>
      <c r="AD85" s="58"/>
      <c r="AE85" s="29"/>
      <c r="AF85" s="58"/>
      <c r="AG85" s="29"/>
      <c r="AH85" s="58"/>
      <c r="AI85" s="29"/>
      <c r="AJ85" s="58"/>
      <c r="AK85" s="29"/>
      <c r="AL85" s="58"/>
      <c r="AM85" s="29"/>
      <c r="AN85" s="58"/>
      <c r="AO85" s="29"/>
      <c r="AP85" s="58"/>
      <c r="AQ85" s="29"/>
      <c r="AR85" s="58"/>
      <c r="AS85" s="29"/>
      <c r="AT85" s="32"/>
      <c r="AU85" s="32"/>
      <c r="AV85" s="33"/>
      <c r="AW85" s="25">
        <f t="shared" si="17"/>
        <v>7975</v>
      </c>
    </row>
    <row r="86" spans="1:49" s="16" customFormat="1" ht="12" x14ac:dyDescent="0.2">
      <c r="A86" s="109"/>
      <c r="B86" s="27">
        <v>500</v>
      </c>
      <c r="C86" s="26">
        <v>601006</v>
      </c>
      <c r="D86" s="105"/>
      <c r="E86" s="106"/>
      <c r="F86" s="105"/>
      <c r="G86" s="106"/>
      <c r="H86" s="105"/>
      <c r="I86" s="106"/>
      <c r="J86" s="105"/>
      <c r="K86" s="106"/>
      <c r="L86" s="105"/>
      <c r="M86" s="106"/>
      <c r="N86" s="105"/>
      <c r="O86" s="106"/>
      <c r="P86" s="105"/>
      <c r="Q86" s="106"/>
      <c r="R86" s="105"/>
      <c r="S86" s="106"/>
      <c r="T86" s="107"/>
      <c r="U86" s="106"/>
      <c r="V86" s="107"/>
      <c r="W86" s="106">
        <v>6750</v>
      </c>
      <c r="X86" s="77"/>
      <c r="Y86" s="111"/>
      <c r="Z86" s="77"/>
      <c r="AA86" s="111"/>
      <c r="AB86" s="107"/>
      <c r="AC86" s="106"/>
      <c r="AD86" s="107"/>
      <c r="AE86" s="106"/>
      <c r="AF86" s="107"/>
      <c r="AG86" s="106"/>
      <c r="AH86" s="107"/>
      <c r="AI86" s="106"/>
      <c r="AJ86" s="107"/>
      <c r="AK86" s="106"/>
      <c r="AL86" s="107"/>
      <c r="AM86" s="106"/>
      <c r="AN86" s="107"/>
      <c r="AO86" s="106"/>
      <c r="AP86" s="107"/>
      <c r="AQ86" s="106"/>
      <c r="AR86" s="107"/>
      <c r="AS86" s="106"/>
      <c r="AT86" s="32"/>
      <c r="AU86" s="32"/>
      <c r="AV86" s="33"/>
      <c r="AW86" s="25">
        <f t="shared" si="17"/>
        <v>6750</v>
      </c>
    </row>
    <row r="87" spans="1:49" s="47" customFormat="1" ht="12" x14ac:dyDescent="0.2">
      <c r="A87" s="39"/>
      <c r="B87" s="40"/>
      <c r="C87" s="41"/>
      <c r="D87" s="42"/>
      <c r="E87" s="43">
        <f>SUM(E80:E86)</f>
        <v>0</v>
      </c>
      <c r="F87" s="43">
        <f t="shared" ref="F87:AA87" si="18">SUM(F80:F86)</f>
        <v>0</v>
      </c>
      <c r="G87" s="43">
        <f t="shared" si="18"/>
        <v>0</v>
      </c>
      <c r="H87" s="43">
        <f t="shared" si="18"/>
        <v>0</v>
      </c>
      <c r="I87" s="43">
        <f t="shared" si="18"/>
        <v>2874</v>
      </c>
      <c r="J87" s="43">
        <f t="shared" si="18"/>
        <v>0</v>
      </c>
      <c r="K87" s="43">
        <f t="shared" si="18"/>
        <v>8622</v>
      </c>
      <c r="L87" s="43">
        <f t="shared" si="18"/>
        <v>0</v>
      </c>
      <c r="M87" s="43">
        <f t="shared" si="18"/>
        <v>8382.5</v>
      </c>
      <c r="N87" s="43">
        <f t="shared" si="18"/>
        <v>0</v>
      </c>
      <c r="O87" s="43">
        <f t="shared" si="18"/>
        <v>10538</v>
      </c>
      <c r="P87" s="43">
        <f t="shared" si="18"/>
        <v>0</v>
      </c>
      <c r="Q87" s="43">
        <f t="shared" si="18"/>
        <v>8861.5</v>
      </c>
      <c r="R87" s="43">
        <f t="shared" si="18"/>
        <v>0</v>
      </c>
      <c r="S87" s="43">
        <f t="shared" si="18"/>
        <v>5748</v>
      </c>
      <c r="T87" s="43">
        <f t="shared" si="18"/>
        <v>0</v>
      </c>
      <c r="U87" s="43">
        <f t="shared" si="18"/>
        <v>8622</v>
      </c>
      <c r="V87" s="43">
        <f t="shared" si="18"/>
        <v>0</v>
      </c>
      <c r="W87" s="43">
        <f t="shared" si="18"/>
        <v>24784</v>
      </c>
      <c r="X87" s="43">
        <f t="shared" si="18"/>
        <v>9580</v>
      </c>
      <c r="Y87" s="43">
        <f t="shared" si="18"/>
        <v>0</v>
      </c>
      <c r="Z87" s="43">
        <f t="shared" si="18"/>
        <v>8622</v>
      </c>
      <c r="AA87" s="43">
        <f t="shared" si="18"/>
        <v>0</v>
      </c>
      <c r="AB87" s="43"/>
      <c r="AC87" s="43"/>
      <c r="AD87" s="43"/>
      <c r="AE87" s="43"/>
      <c r="AF87" s="43"/>
      <c r="AG87" s="43"/>
      <c r="AH87" s="43"/>
      <c r="AI87" s="43"/>
      <c r="AJ87" s="43"/>
      <c r="AK87" s="43"/>
      <c r="AL87" s="43"/>
      <c r="AM87" s="43"/>
      <c r="AN87" s="43"/>
      <c r="AO87" s="43"/>
      <c r="AP87" s="43"/>
      <c r="AQ87" s="43"/>
      <c r="AR87" s="43"/>
      <c r="AS87" s="43"/>
      <c r="AT87" s="44"/>
      <c r="AU87" s="44">
        <f>SUM(AU80:AU86)</f>
        <v>100111</v>
      </c>
      <c r="AV87" s="45"/>
      <c r="AW87" s="46">
        <f>SUM(AW80:AW86)</f>
        <v>78432</v>
      </c>
    </row>
    <row r="88" spans="1:49" s="16" customFormat="1" ht="12" x14ac:dyDescent="0.2">
      <c r="A88" s="26"/>
      <c r="B88" s="27">
        <v>580</v>
      </c>
      <c r="C88" s="26">
        <v>601007</v>
      </c>
      <c r="D88" s="28"/>
      <c r="E88" s="29"/>
      <c r="F88" s="28"/>
      <c r="G88" s="29"/>
      <c r="H88" s="28"/>
      <c r="I88" s="29"/>
      <c r="J88" s="28"/>
      <c r="K88" s="29"/>
      <c r="L88" s="28"/>
      <c r="M88" s="29">
        <f>1.5*B88</f>
        <v>870</v>
      </c>
      <c r="N88" s="28"/>
      <c r="O88" s="29">
        <f>1.5*B88</f>
        <v>870</v>
      </c>
      <c r="P88" s="28"/>
      <c r="Q88" s="29">
        <f>3*B88</f>
        <v>1740</v>
      </c>
      <c r="R88" s="28"/>
      <c r="S88" s="29"/>
      <c r="T88" s="30"/>
      <c r="U88" s="29"/>
      <c r="V88" s="30"/>
      <c r="W88" s="29"/>
      <c r="X88" s="31"/>
      <c r="Y88" s="29"/>
      <c r="Z88" s="30"/>
      <c r="AA88" s="29"/>
      <c r="AB88" s="30"/>
      <c r="AC88" s="29"/>
      <c r="AD88" s="30"/>
      <c r="AE88" s="29"/>
      <c r="AF88" s="30"/>
      <c r="AG88" s="29"/>
      <c r="AH88" s="30"/>
      <c r="AI88" s="29"/>
      <c r="AJ88" s="30"/>
      <c r="AK88" s="29"/>
      <c r="AL88" s="30"/>
      <c r="AM88" s="29"/>
      <c r="AN88" s="30"/>
      <c r="AO88" s="29"/>
      <c r="AP88" s="30"/>
      <c r="AQ88" s="29"/>
      <c r="AR88" s="30"/>
      <c r="AS88" s="29"/>
      <c r="AT88" s="32">
        <v>27</v>
      </c>
      <c r="AU88" s="32"/>
      <c r="AV88" s="33"/>
      <c r="AW88" s="34">
        <f>E88+G88+I88+K88+M88+O88+Q88+S88+U88+W88+Y88+AA88</f>
        <v>3480</v>
      </c>
    </row>
    <row r="89" spans="1:49" s="16" customFormat="1" ht="12" x14ac:dyDescent="0.2">
      <c r="A89" s="17"/>
      <c r="B89" s="18">
        <v>700</v>
      </c>
      <c r="C89" s="26">
        <v>601007</v>
      </c>
      <c r="D89" s="19"/>
      <c r="E89" s="20"/>
      <c r="F89" s="19"/>
      <c r="G89" s="20"/>
      <c r="H89" s="19"/>
      <c r="I89" s="20"/>
      <c r="J89" s="19"/>
      <c r="K89" s="20">
        <f>4.75*B89</f>
        <v>3325</v>
      </c>
      <c r="L89" s="19"/>
      <c r="M89" s="20">
        <f>9*B89</f>
        <v>6300</v>
      </c>
      <c r="N89" s="19"/>
      <c r="O89" s="20">
        <f>6*B89</f>
        <v>4200</v>
      </c>
      <c r="P89" s="19"/>
      <c r="Q89" s="20">
        <f>7*B89</f>
        <v>4900</v>
      </c>
      <c r="R89" s="19"/>
      <c r="S89" s="20">
        <f>2.5*B89</f>
        <v>1750</v>
      </c>
      <c r="T89" s="21"/>
      <c r="U89" s="20">
        <f>3*B89</f>
        <v>2100</v>
      </c>
      <c r="V89" s="21"/>
      <c r="W89" s="20">
        <f>3*B89</f>
        <v>2100</v>
      </c>
      <c r="X89" s="22"/>
      <c r="Y89" s="20"/>
      <c r="Z89" s="21"/>
      <c r="AA89" s="20"/>
      <c r="AB89" s="21"/>
      <c r="AC89" s="20"/>
      <c r="AD89" s="21"/>
      <c r="AE89" s="20"/>
      <c r="AF89" s="21"/>
      <c r="AG89" s="20"/>
      <c r="AH89" s="21"/>
      <c r="AI89" s="20"/>
      <c r="AJ89" s="21"/>
      <c r="AK89" s="20"/>
      <c r="AL89" s="21"/>
      <c r="AM89" s="20"/>
      <c r="AN89" s="21"/>
      <c r="AO89" s="20"/>
      <c r="AP89" s="21"/>
      <c r="AQ89" s="20"/>
      <c r="AR89" s="21"/>
      <c r="AS89" s="20"/>
      <c r="AT89" s="23">
        <v>50</v>
      </c>
      <c r="AU89" s="23"/>
      <c r="AV89" s="24"/>
      <c r="AW89" s="34">
        <f t="shared" ref="AW89:AW106" si="19">E89+G89+I89+K89+M89+O89+Q89+S89+U89+W89+Y89+AA89</f>
        <v>24675</v>
      </c>
    </row>
    <row r="90" spans="1:49" s="16" customFormat="1" ht="12" x14ac:dyDescent="0.2">
      <c r="A90" s="26"/>
      <c r="B90" s="27">
        <v>455</v>
      </c>
      <c r="C90" s="26">
        <v>601007</v>
      </c>
      <c r="D90" s="28"/>
      <c r="E90" s="29"/>
      <c r="F90" s="28"/>
      <c r="G90" s="29"/>
      <c r="H90" s="28"/>
      <c r="I90" s="29"/>
      <c r="J90" s="28"/>
      <c r="K90" s="29"/>
      <c r="L90" s="28"/>
      <c r="M90" s="29">
        <f>4*B90</f>
        <v>1820</v>
      </c>
      <c r="N90" s="28"/>
      <c r="O90" s="29">
        <f>7*B90</f>
        <v>3185</v>
      </c>
      <c r="P90" s="28"/>
      <c r="Q90" s="29">
        <f>2.5*B90</f>
        <v>1137.5</v>
      </c>
      <c r="R90" s="28"/>
      <c r="S90" s="29"/>
      <c r="T90" s="30"/>
      <c r="U90" s="29"/>
      <c r="V90" s="30"/>
      <c r="W90" s="29"/>
      <c r="X90" s="31"/>
      <c r="Y90" s="29"/>
      <c r="Z90" s="30"/>
      <c r="AA90" s="29"/>
      <c r="AB90" s="30"/>
      <c r="AC90" s="29"/>
      <c r="AD90" s="30"/>
      <c r="AE90" s="29"/>
      <c r="AF90" s="30"/>
      <c r="AG90" s="29"/>
      <c r="AH90" s="30"/>
      <c r="AI90" s="29"/>
      <c r="AJ90" s="30"/>
      <c r="AK90" s="29"/>
      <c r="AL90" s="30"/>
      <c r="AM90" s="29"/>
      <c r="AN90" s="30"/>
      <c r="AO90" s="29"/>
      <c r="AP90" s="30"/>
      <c r="AQ90" s="29"/>
      <c r="AR90" s="30"/>
      <c r="AS90" s="29"/>
      <c r="AT90" s="32">
        <v>21</v>
      </c>
      <c r="AU90" s="32"/>
      <c r="AV90" s="33"/>
      <c r="AW90" s="34">
        <f t="shared" si="19"/>
        <v>6142.5</v>
      </c>
    </row>
    <row r="91" spans="1:49" s="16" customFormat="1" ht="12" x14ac:dyDescent="0.2">
      <c r="A91" s="17"/>
      <c r="B91" s="18">
        <v>607.78</v>
      </c>
      <c r="C91" s="26">
        <v>601007</v>
      </c>
      <c r="D91" s="19"/>
      <c r="E91" s="20"/>
      <c r="F91" s="19"/>
      <c r="G91" s="20">
        <f>15*B91</f>
        <v>9116.6999999999989</v>
      </c>
      <c r="H91" s="19"/>
      <c r="I91" s="20">
        <f>15*B91</f>
        <v>9116.6999999999989</v>
      </c>
      <c r="J91" s="19"/>
      <c r="K91" s="20">
        <f>1*B91</f>
        <v>607.78</v>
      </c>
      <c r="L91" s="19"/>
      <c r="M91" s="20">
        <f>10*B91</f>
        <v>6077.7999999999993</v>
      </c>
      <c r="N91" s="19"/>
      <c r="O91" s="20">
        <f>10*B91</f>
        <v>6077.7999999999993</v>
      </c>
      <c r="P91" s="19"/>
      <c r="Q91" s="20"/>
      <c r="R91" s="19"/>
      <c r="S91" s="20"/>
      <c r="T91" s="21"/>
      <c r="U91" s="20"/>
      <c r="V91" s="21"/>
      <c r="W91" s="20"/>
      <c r="X91" s="22"/>
      <c r="Y91" s="20"/>
      <c r="Z91" s="21"/>
      <c r="AA91" s="20"/>
      <c r="AB91" s="21"/>
      <c r="AC91" s="20"/>
      <c r="AD91" s="21"/>
      <c r="AE91" s="20"/>
      <c r="AF91" s="21"/>
      <c r="AG91" s="20"/>
      <c r="AH91" s="21"/>
      <c r="AI91" s="20"/>
      <c r="AJ91" s="21"/>
      <c r="AK91" s="20"/>
      <c r="AL91" s="21"/>
      <c r="AM91" s="20"/>
      <c r="AN91" s="21"/>
      <c r="AO91" s="20"/>
      <c r="AP91" s="21"/>
      <c r="AQ91" s="20"/>
      <c r="AR91" s="21"/>
      <c r="AS91" s="20"/>
      <c r="AT91" s="23">
        <v>70</v>
      </c>
      <c r="AU91" s="23"/>
      <c r="AV91" s="24"/>
      <c r="AW91" s="34">
        <f t="shared" si="19"/>
        <v>30996.779999999995</v>
      </c>
    </row>
    <row r="92" spans="1:49" s="16" customFormat="1" ht="12" x14ac:dyDescent="0.2">
      <c r="A92" s="26"/>
      <c r="B92" s="27">
        <v>485</v>
      </c>
      <c r="C92" s="26">
        <v>601007</v>
      </c>
      <c r="D92" s="28"/>
      <c r="E92" s="29"/>
      <c r="F92" s="28"/>
      <c r="G92" s="29"/>
      <c r="H92" s="28"/>
      <c r="I92" s="29"/>
      <c r="J92" s="28"/>
      <c r="K92" s="29"/>
      <c r="L92" s="28"/>
      <c r="M92" s="29">
        <f>6*B92</f>
        <v>2910</v>
      </c>
      <c r="N92" s="28"/>
      <c r="O92" s="29">
        <f>8*B92</f>
        <v>3880</v>
      </c>
      <c r="P92" s="28"/>
      <c r="Q92" s="29"/>
      <c r="R92" s="28"/>
      <c r="S92" s="29"/>
      <c r="T92" s="30"/>
      <c r="U92" s="29"/>
      <c r="V92" s="30"/>
      <c r="W92" s="29"/>
      <c r="X92" s="31"/>
      <c r="Y92" s="29"/>
      <c r="Z92" s="30"/>
      <c r="AA92" s="29"/>
      <c r="AB92" s="30"/>
      <c r="AC92" s="29"/>
      <c r="AD92" s="30"/>
      <c r="AE92" s="29"/>
      <c r="AF92" s="30"/>
      <c r="AG92" s="29"/>
      <c r="AH92" s="30"/>
      <c r="AI92" s="29"/>
      <c r="AJ92" s="30"/>
      <c r="AK92" s="29"/>
      <c r="AL92" s="30"/>
      <c r="AM92" s="29"/>
      <c r="AN92" s="30"/>
      <c r="AO92" s="29"/>
      <c r="AP92" s="30"/>
      <c r="AQ92" s="29"/>
      <c r="AR92" s="30"/>
      <c r="AS92" s="29"/>
      <c r="AT92" s="32">
        <v>19</v>
      </c>
      <c r="AU92" s="32"/>
      <c r="AV92" s="33"/>
      <c r="AW92" s="34">
        <f t="shared" si="19"/>
        <v>6790</v>
      </c>
    </row>
    <row r="93" spans="1:49" s="16" customFormat="1" ht="12" x14ac:dyDescent="0.2">
      <c r="A93" s="17"/>
      <c r="B93" s="18">
        <v>510</v>
      </c>
      <c r="C93" s="26">
        <v>601007</v>
      </c>
      <c r="D93" s="19"/>
      <c r="E93" s="20"/>
      <c r="F93" s="19"/>
      <c r="G93" s="20"/>
      <c r="H93" s="19"/>
      <c r="I93" s="20"/>
      <c r="J93" s="19"/>
      <c r="K93" s="20">
        <f>1*B93</f>
        <v>510</v>
      </c>
      <c r="L93" s="19"/>
      <c r="M93" s="20">
        <f>6*B93</f>
        <v>3060</v>
      </c>
      <c r="N93" s="19"/>
      <c r="O93" s="20">
        <f>4*B93</f>
        <v>2040</v>
      </c>
      <c r="P93" s="19"/>
      <c r="Q93" s="20">
        <f>7*B93</f>
        <v>3570</v>
      </c>
      <c r="R93" s="19"/>
      <c r="S93" s="20"/>
      <c r="T93" s="21"/>
      <c r="U93" s="20"/>
      <c r="V93" s="21"/>
      <c r="W93" s="20"/>
      <c r="X93" s="38"/>
      <c r="Y93" s="20"/>
      <c r="Z93" s="37"/>
      <c r="AA93" s="20"/>
      <c r="AB93" s="21"/>
      <c r="AC93" s="20"/>
      <c r="AD93" s="21"/>
      <c r="AE93" s="20"/>
      <c r="AF93" s="21"/>
      <c r="AG93" s="20"/>
      <c r="AH93" s="21"/>
      <c r="AI93" s="20"/>
      <c r="AJ93" s="21"/>
      <c r="AK93" s="20"/>
      <c r="AL93" s="21"/>
      <c r="AM93" s="20"/>
      <c r="AN93" s="21"/>
      <c r="AO93" s="20"/>
      <c r="AP93" s="21"/>
      <c r="AQ93" s="20"/>
      <c r="AR93" s="21"/>
      <c r="AS93" s="20"/>
      <c r="AT93" s="23">
        <v>30</v>
      </c>
      <c r="AU93" s="23"/>
      <c r="AV93" s="24"/>
      <c r="AW93" s="34">
        <f t="shared" si="19"/>
        <v>9180</v>
      </c>
    </row>
    <row r="94" spans="1:49" s="16" customFormat="1" ht="12" x14ac:dyDescent="0.2">
      <c r="A94" s="26"/>
      <c r="B94" s="27"/>
      <c r="C94" s="26">
        <v>601007</v>
      </c>
      <c r="D94" s="28"/>
      <c r="E94" s="29"/>
      <c r="F94" s="28"/>
      <c r="G94" s="29"/>
      <c r="H94" s="28"/>
      <c r="I94" s="29"/>
      <c r="J94" s="28"/>
      <c r="K94" s="29"/>
      <c r="L94" s="28"/>
      <c r="M94" s="29"/>
      <c r="N94" s="28"/>
      <c r="O94" s="29"/>
      <c r="P94" s="28"/>
      <c r="Q94" s="29">
        <v>3900</v>
      </c>
      <c r="R94" s="28"/>
      <c r="S94" s="29"/>
      <c r="T94" s="30"/>
      <c r="U94" s="29"/>
      <c r="V94" s="30"/>
      <c r="W94" s="29"/>
      <c r="X94" s="77"/>
      <c r="Y94" s="62"/>
      <c r="Z94" s="77"/>
      <c r="AA94" s="62"/>
      <c r="AB94" s="30"/>
      <c r="AC94" s="29"/>
      <c r="AD94" s="30"/>
      <c r="AE94" s="29"/>
      <c r="AF94" s="30"/>
      <c r="AG94" s="29"/>
      <c r="AH94" s="30"/>
      <c r="AI94" s="29"/>
      <c r="AJ94" s="30"/>
      <c r="AK94" s="29"/>
      <c r="AL94" s="30"/>
      <c r="AM94" s="29"/>
      <c r="AN94" s="30"/>
      <c r="AO94" s="29"/>
      <c r="AP94" s="30"/>
      <c r="AQ94" s="29"/>
      <c r="AR94" s="30"/>
      <c r="AS94" s="29"/>
      <c r="AT94" s="32"/>
      <c r="AU94" s="32"/>
      <c r="AV94" s="33"/>
      <c r="AW94" s="34">
        <f t="shared" si="19"/>
        <v>3900</v>
      </c>
    </row>
    <row r="95" spans="1:49" s="16" customFormat="1" ht="12" x14ac:dyDescent="0.2">
      <c r="A95" s="17"/>
      <c r="B95" s="18"/>
      <c r="C95" s="26">
        <v>601007</v>
      </c>
      <c r="D95" s="19"/>
      <c r="E95" s="20"/>
      <c r="F95" s="19"/>
      <c r="G95" s="20"/>
      <c r="H95" s="19"/>
      <c r="I95" s="20"/>
      <c r="J95" s="19"/>
      <c r="K95" s="20"/>
      <c r="L95" s="19"/>
      <c r="M95" s="20"/>
      <c r="N95" s="19"/>
      <c r="O95" s="20"/>
      <c r="P95" s="19"/>
      <c r="Q95" s="20">
        <f>234960+650+8500</f>
        <v>244110</v>
      </c>
      <c r="R95" s="19"/>
      <c r="S95" s="20">
        <v>1687.5</v>
      </c>
      <c r="T95" s="21"/>
      <c r="U95" s="20">
        <v>5325</v>
      </c>
      <c r="V95" s="21"/>
      <c r="W95" s="20">
        <v>8300</v>
      </c>
      <c r="X95" s="77"/>
      <c r="Y95" s="62"/>
      <c r="Z95" s="77"/>
      <c r="AA95" s="62"/>
      <c r="AB95" s="21"/>
      <c r="AC95" s="20"/>
      <c r="AD95" s="21"/>
      <c r="AE95" s="20"/>
      <c r="AF95" s="21"/>
      <c r="AG95" s="20"/>
      <c r="AH95" s="21"/>
      <c r="AI95" s="20"/>
      <c r="AJ95" s="21"/>
      <c r="AK95" s="20"/>
      <c r="AL95" s="21"/>
      <c r="AM95" s="20"/>
      <c r="AN95" s="21"/>
      <c r="AO95" s="20"/>
      <c r="AP95" s="21"/>
      <c r="AQ95" s="20"/>
      <c r="AR95" s="21"/>
      <c r="AS95" s="20"/>
      <c r="AT95" s="23"/>
      <c r="AU95" s="23"/>
      <c r="AV95" s="24"/>
      <c r="AW95" s="34">
        <f t="shared" si="19"/>
        <v>259422.5</v>
      </c>
    </row>
    <row r="96" spans="1:49" s="16" customFormat="1" ht="12" x14ac:dyDescent="0.2">
      <c r="A96" s="26"/>
      <c r="B96" s="27"/>
      <c r="C96" s="26">
        <v>601007</v>
      </c>
      <c r="D96" s="28"/>
      <c r="E96" s="29"/>
      <c r="F96" s="28"/>
      <c r="G96" s="29"/>
      <c r="H96" s="28"/>
      <c r="I96" s="29"/>
      <c r="J96" s="28"/>
      <c r="K96" s="29"/>
      <c r="L96" s="28"/>
      <c r="M96" s="29"/>
      <c r="N96" s="28"/>
      <c r="O96" s="29"/>
      <c r="P96" s="28"/>
      <c r="Q96" s="29"/>
      <c r="R96" s="28"/>
      <c r="S96" s="29"/>
      <c r="T96" s="30"/>
      <c r="U96" s="29"/>
      <c r="V96" s="30"/>
      <c r="W96" s="29"/>
      <c r="X96" s="77"/>
      <c r="Y96" s="62"/>
      <c r="Z96" s="77"/>
      <c r="AA96" s="62"/>
      <c r="AB96" s="30"/>
      <c r="AC96" s="29"/>
      <c r="AD96" s="30"/>
      <c r="AE96" s="29"/>
      <c r="AF96" s="30"/>
      <c r="AG96" s="29"/>
      <c r="AH96" s="30"/>
      <c r="AI96" s="29"/>
      <c r="AJ96" s="30"/>
      <c r="AK96" s="29"/>
      <c r="AL96" s="30"/>
      <c r="AM96" s="29"/>
      <c r="AN96" s="30"/>
      <c r="AO96" s="29"/>
      <c r="AP96" s="30"/>
      <c r="AQ96" s="29"/>
      <c r="AR96" s="30"/>
      <c r="AS96" s="29"/>
      <c r="AT96" s="32"/>
      <c r="AU96" s="32"/>
      <c r="AV96" s="33"/>
      <c r="AW96" s="34">
        <f t="shared" si="19"/>
        <v>0</v>
      </c>
    </row>
    <row r="97" spans="1:49" s="47" customFormat="1" ht="12" x14ac:dyDescent="0.2">
      <c r="A97" s="39"/>
      <c r="B97" s="40"/>
      <c r="C97" s="41"/>
      <c r="D97" s="42"/>
      <c r="E97" s="43"/>
      <c r="F97" s="42"/>
      <c r="G97" s="43"/>
      <c r="H97" s="42"/>
      <c r="I97" s="43"/>
      <c r="J97" s="42"/>
      <c r="K97" s="43">
        <f>SUM(K88:K93)</f>
        <v>4442.78</v>
      </c>
      <c r="L97" s="43">
        <f t="shared" ref="L97:AA97" si="20">SUM(L88:L93)</f>
        <v>0</v>
      </c>
      <c r="M97" s="43">
        <f t="shared" si="20"/>
        <v>21037.8</v>
      </c>
      <c r="N97" s="43">
        <f t="shared" si="20"/>
        <v>0</v>
      </c>
      <c r="O97" s="43">
        <f t="shared" si="20"/>
        <v>20252.8</v>
      </c>
      <c r="P97" s="43">
        <f t="shared" si="20"/>
        <v>0</v>
      </c>
      <c r="Q97" s="43">
        <f t="shared" si="20"/>
        <v>11347.5</v>
      </c>
      <c r="R97" s="43">
        <f t="shared" si="20"/>
        <v>0</v>
      </c>
      <c r="S97" s="43">
        <f t="shared" si="20"/>
        <v>1750</v>
      </c>
      <c r="T97" s="43">
        <f t="shared" si="20"/>
        <v>0</v>
      </c>
      <c r="U97" s="43">
        <f t="shared" si="20"/>
        <v>2100</v>
      </c>
      <c r="V97" s="43">
        <f t="shared" si="20"/>
        <v>0</v>
      </c>
      <c r="W97" s="43">
        <f t="shared" si="20"/>
        <v>2100</v>
      </c>
      <c r="X97" s="43">
        <f t="shared" si="20"/>
        <v>0</v>
      </c>
      <c r="Y97" s="43">
        <f t="shared" si="20"/>
        <v>0</v>
      </c>
      <c r="Z97" s="43">
        <f t="shared" si="20"/>
        <v>0</v>
      </c>
      <c r="AA97" s="43">
        <f t="shared" si="20"/>
        <v>0</v>
      </c>
      <c r="AB97" s="43"/>
      <c r="AC97" s="43"/>
      <c r="AD97" s="43"/>
      <c r="AE97" s="43"/>
      <c r="AF97" s="43"/>
      <c r="AG97" s="43"/>
      <c r="AH97" s="43"/>
      <c r="AI97" s="43"/>
      <c r="AJ97" s="43"/>
      <c r="AK97" s="43"/>
      <c r="AL97" s="43"/>
      <c r="AM97" s="43"/>
      <c r="AN97" s="43"/>
      <c r="AO97" s="43"/>
      <c r="AP97" s="43"/>
      <c r="AQ97" s="43"/>
      <c r="AR97" s="43"/>
      <c r="AS97" s="43"/>
      <c r="AT97" s="44"/>
      <c r="AU97" s="44"/>
      <c r="AV97" s="45"/>
      <c r="AW97" s="46">
        <f>SUM(AW88:AW96)</f>
        <v>344586.78</v>
      </c>
    </row>
    <row r="98" spans="1:49" s="16" customFormat="1" ht="12" x14ac:dyDescent="0.2">
      <c r="A98" s="26"/>
      <c r="B98" s="27">
        <v>580</v>
      </c>
      <c r="C98" s="26">
        <v>601008</v>
      </c>
      <c r="D98" s="28"/>
      <c r="E98" s="29"/>
      <c r="F98" s="28"/>
      <c r="G98" s="29"/>
      <c r="H98" s="28"/>
      <c r="I98" s="29"/>
      <c r="J98" s="28"/>
      <c r="K98" s="29"/>
      <c r="L98" s="28"/>
      <c r="M98" s="29">
        <f>4.5*B98</f>
        <v>2610</v>
      </c>
      <c r="N98" s="28"/>
      <c r="O98" s="29">
        <f>3*B98</f>
        <v>1740</v>
      </c>
      <c r="P98" s="28"/>
      <c r="Q98" s="29">
        <f>B98</f>
        <v>580</v>
      </c>
      <c r="R98" s="28"/>
      <c r="S98" s="29"/>
      <c r="T98" s="30"/>
      <c r="U98" s="29"/>
      <c r="V98" s="30"/>
      <c r="W98" s="29"/>
      <c r="X98" s="31"/>
      <c r="Y98" s="29"/>
      <c r="Z98" s="30"/>
      <c r="AA98" s="29"/>
      <c r="AB98" s="30"/>
      <c r="AC98" s="29"/>
      <c r="AD98" s="30"/>
      <c r="AE98" s="29"/>
      <c r="AF98" s="30"/>
      <c r="AG98" s="29"/>
      <c r="AH98" s="30"/>
      <c r="AI98" s="29"/>
      <c r="AJ98" s="30"/>
      <c r="AK98" s="29"/>
      <c r="AL98" s="30"/>
      <c r="AM98" s="29"/>
      <c r="AN98" s="30"/>
      <c r="AO98" s="29"/>
      <c r="AP98" s="30"/>
      <c r="AQ98" s="29"/>
      <c r="AR98" s="30"/>
      <c r="AS98" s="29"/>
      <c r="AT98" s="32">
        <v>19</v>
      </c>
      <c r="AU98" s="32"/>
      <c r="AV98" s="33"/>
      <c r="AW98" s="34">
        <f t="shared" si="19"/>
        <v>4930</v>
      </c>
    </row>
    <row r="99" spans="1:49" s="16" customFormat="1" ht="12" x14ac:dyDescent="0.2">
      <c r="A99" s="17"/>
      <c r="B99" s="18">
        <v>700</v>
      </c>
      <c r="C99" s="26">
        <v>601008</v>
      </c>
      <c r="D99" s="19"/>
      <c r="E99" s="20"/>
      <c r="F99" s="19"/>
      <c r="G99" s="20"/>
      <c r="H99" s="19"/>
      <c r="I99" s="20"/>
      <c r="J99" s="19"/>
      <c r="K99" s="20">
        <f>4.75*B99</f>
        <v>3325</v>
      </c>
      <c r="L99" s="19"/>
      <c r="M99" s="20">
        <f>9*B99</f>
        <v>6300</v>
      </c>
      <c r="N99" s="19"/>
      <c r="O99" s="20">
        <f>6.5*B99</f>
        <v>4550</v>
      </c>
      <c r="P99" s="19"/>
      <c r="Q99" s="20">
        <f>7*B99</f>
        <v>4900</v>
      </c>
      <c r="R99" s="19"/>
      <c r="S99" s="20">
        <f>2.5*B99</f>
        <v>1750</v>
      </c>
      <c r="T99" s="21"/>
      <c r="U99" s="20">
        <f>3*B99</f>
        <v>2100</v>
      </c>
      <c r="V99" s="21"/>
      <c r="W99" s="20">
        <f>3*B99</f>
        <v>2100</v>
      </c>
      <c r="X99" s="22"/>
      <c r="Y99" s="20"/>
      <c r="Z99" s="21"/>
      <c r="AA99" s="20"/>
      <c r="AB99" s="21"/>
      <c r="AC99" s="20"/>
      <c r="AD99" s="21"/>
      <c r="AE99" s="20"/>
      <c r="AF99" s="21"/>
      <c r="AG99" s="20"/>
      <c r="AH99" s="21"/>
      <c r="AI99" s="20"/>
      <c r="AJ99" s="21"/>
      <c r="AK99" s="20"/>
      <c r="AL99" s="21"/>
      <c r="AM99" s="20"/>
      <c r="AN99" s="21"/>
      <c r="AO99" s="20"/>
      <c r="AP99" s="21"/>
      <c r="AQ99" s="20"/>
      <c r="AR99" s="21"/>
      <c r="AS99" s="20"/>
      <c r="AT99" s="23">
        <v>50</v>
      </c>
      <c r="AU99" s="23"/>
      <c r="AV99" s="24"/>
      <c r="AW99" s="34">
        <f t="shared" si="19"/>
        <v>25025</v>
      </c>
    </row>
    <row r="100" spans="1:49" s="16" customFormat="1" ht="12" x14ac:dyDescent="0.2">
      <c r="A100" s="26"/>
      <c r="B100" s="27">
        <v>455</v>
      </c>
      <c r="C100" s="26">
        <v>601008</v>
      </c>
      <c r="D100" s="28"/>
      <c r="E100" s="29"/>
      <c r="F100" s="28"/>
      <c r="G100" s="29"/>
      <c r="H100" s="28"/>
      <c r="I100" s="29"/>
      <c r="J100" s="28"/>
      <c r="K100" s="29"/>
      <c r="L100" s="28"/>
      <c r="M100" s="29">
        <f>4*B100</f>
        <v>1820</v>
      </c>
      <c r="N100" s="28"/>
      <c r="O100" s="29">
        <f>7*B100</f>
        <v>3185</v>
      </c>
      <c r="P100" s="28"/>
      <c r="Q100" s="29">
        <f>2*B100</f>
        <v>910</v>
      </c>
      <c r="R100" s="28"/>
      <c r="S100" s="29"/>
      <c r="T100" s="30"/>
      <c r="U100" s="29"/>
      <c r="V100" s="30"/>
      <c r="W100" s="29"/>
      <c r="X100" s="31"/>
      <c r="Y100" s="29"/>
      <c r="Z100" s="30"/>
      <c r="AA100" s="29"/>
      <c r="AB100" s="30"/>
      <c r="AC100" s="29"/>
      <c r="AD100" s="30"/>
      <c r="AE100" s="29"/>
      <c r="AF100" s="30"/>
      <c r="AG100" s="29"/>
      <c r="AH100" s="30"/>
      <c r="AI100" s="29"/>
      <c r="AJ100" s="30"/>
      <c r="AK100" s="29"/>
      <c r="AL100" s="30"/>
      <c r="AM100" s="29"/>
      <c r="AN100" s="30"/>
      <c r="AO100" s="29"/>
      <c r="AP100" s="30"/>
      <c r="AQ100" s="29"/>
      <c r="AR100" s="30"/>
      <c r="AS100" s="29"/>
      <c r="AT100" s="32">
        <v>21</v>
      </c>
      <c r="AU100" s="32"/>
      <c r="AV100" s="33"/>
      <c r="AW100" s="34">
        <f t="shared" si="19"/>
        <v>5915</v>
      </c>
    </row>
    <row r="101" spans="1:49" s="16" customFormat="1" ht="12" x14ac:dyDescent="0.2">
      <c r="A101" s="17"/>
      <c r="B101" s="18">
        <v>607.78</v>
      </c>
      <c r="C101" s="26">
        <v>601008</v>
      </c>
      <c r="D101" s="19"/>
      <c r="E101" s="20"/>
      <c r="F101" s="19"/>
      <c r="G101" s="20">
        <f>10*B101</f>
        <v>6077.7999999999993</v>
      </c>
      <c r="H101" s="19"/>
      <c r="I101" s="20">
        <f>10*B101</f>
        <v>6077.7999999999993</v>
      </c>
      <c r="J101" s="19"/>
      <c r="K101" s="20">
        <f>B101</f>
        <v>607.78</v>
      </c>
      <c r="L101" s="19"/>
      <c r="M101" s="20">
        <f>5*B101</f>
        <v>3038.8999999999996</v>
      </c>
      <c r="N101" s="19"/>
      <c r="O101" s="20">
        <f>5*B101</f>
        <v>3038.8999999999996</v>
      </c>
      <c r="P101" s="19"/>
      <c r="Q101" s="20"/>
      <c r="R101" s="19"/>
      <c r="S101" s="20"/>
      <c r="T101" s="21"/>
      <c r="U101" s="20"/>
      <c r="V101" s="21"/>
      <c r="W101" s="20"/>
      <c r="X101" s="22"/>
      <c r="Y101" s="20"/>
      <c r="Z101" s="21"/>
      <c r="AA101" s="20"/>
      <c r="AB101" s="21"/>
      <c r="AC101" s="20"/>
      <c r="AD101" s="21"/>
      <c r="AE101" s="20"/>
      <c r="AF101" s="21"/>
      <c r="AG101" s="20"/>
      <c r="AH101" s="21"/>
      <c r="AI101" s="20"/>
      <c r="AJ101" s="21"/>
      <c r="AK101" s="20"/>
      <c r="AL101" s="21"/>
      <c r="AM101" s="20"/>
      <c r="AN101" s="21"/>
      <c r="AO101" s="20"/>
      <c r="AP101" s="21"/>
      <c r="AQ101" s="20"/>
      <c r="AR101" s="21"/>
      <c r="AS101" s="20"/>
      <c r="AT101" s="23">
        <v>31</v>
      </c>
      <c r="AU101" s="23"/>
      <c r="AV101" s="24"/>
      <c r="AW101" s="34">
        <f t="shared" si="19"/>
        <v>18841.18</v>
      </c>
    </row>
    <row r="102" spans="1:49" s="16" customFormat="1" ht="12" x14ac:dyDescent="0.2">
      <c r="A102" s="26"/>
      <c r="B102" s="27">
        <v>485</v>
      </c>
      <c r="C102" s="26">
        <v>601008</v>
      </c>
      <c r="D102" s="28"/>
      <c r="E102" s="29"/>
      <c r="F102" s="28"/>
      <c r="G102" s="29"/>
      <c r="H102" s="28"/>
      <c r="I102" s="29"/>
      <c r="J102" s="28"/>
      <c r="K102" s="29"/>
      <c r="L102" s="28"/>
      <c r="M102" s="29">
        <f>5*B102</f>
        <v>2425</v>
      </c>
      <c r="N102" s="28"/>
      <c r="O102" s="29">
        <f>6*B102</f>
        <v>2910</v>
      </c>
      <c r="P102" s="28"/>
      <c r="Q102" s="29">
        <f>B102</f>
        <v>485</v>
      </c>
      <c r="R102" s="28"/>
      <c r="S102" s="29"/>
      <c r="T102" s="30"/>
      <c r="U102" s="29"/>
      <c r="V102" s="30"/>
      <c r="W102" s="29"/>
      <c r="X102" s="31"/>
      <c r="Y102" s="29"/>
      <c r="Z102" s="30"/>
      <c r="AA102" s="29"/>
      <c r="AB102" s="30"/>
      <c r="AC102" s="29"/>
      <c r="AD102" s="30"/>
      <c r="AE102" s="29"/>
      <c r="AF102" s="30"/>
      <c r="AG102" s="29"/>
      <c r="AH102" s="30"/>
      <c r="AI102" s="29"/>
      <c r="AJ102" s="30"/>
      <c r="AK102" s="29"/>
      <c r="AL102" s="30"/>
      <c r="AM102" s="29"/>
      <c r="AN102" s="30"/>
      <c r="AO102" s="29"/>
      <c r="AP102" s="30"/>
      <c r="AQ102" s="29"/>
      <c r="AR102" s="30"/>
      <c r="AS102" s="29"/>
      <c r="AT102" s="32">
        <v>40</v>
      </c>
      <c r="AU102" s="32"/>
      <c r="AV102" s="33"/>
      <c r="AW102" s="34">
        <f t="shared" si="19"/>
        <v>5820</v>
      </c>
    </row>
    <row r="103" spans="1:49" s="16" customFormat="1" ht="12" x14ac:dyDescent="0.2">
      <c r="A103" s="17"/>
      <c r="B103" s="18">
        <v>510</v>
      </c>
      <c r="C103" s="26">
        <v>601008</v>
      </c>
      <c r="D103" s="36"/>
      <c r="E103" s="20"/>
      <c r="F103" s="36"/>
      <c r="G103" s="20"/>
      <c r="H103" s="36"/>
      <c r="I103" s="20"/>
      <c r="J103" s="36"/>
      <c r="K103" s="20">
        <f>B103</f>
        <v>510</v>
      </c>
      <c r="L103" s="36"/>
      <c r="M103" s="20">
        <f>8*B103</f>
        <v>4080</v>
      </c>
      <c r="N103" s="36"/>
      <c r="O103" s="20">
        <f>4*B103</f>
        <v>2040</v>
      </c>
      <c r="P103" s="36"/>
      <c r="Q103" s="20">
        <f>4*B103</f>
        <v>2040</v>
      </c>
      <c r="R103" s="36"/>
      <c r="S103" s="20">
        <f>3*B103</f>
        <v>1530</v>
      </c>
      <c r="T103" s="37"/>
      <c r="U103" s="20"/>
      <c r="V103" s="37"/>
      <c r="W103" s="20"/>
      <c r="X103" s="38"/>
      <c r="Y103" s="20"/>
      <c r="Z103" s="37"/>
      <c r="AA103" s="20"/>
      <c r="AB103" s="37"/>
      <c r="AC103" s="20"/>
      <c r="AD103" s="37"/>
      <c r="AE103" s="20"/>
      <c r="AF103" s="37"/>
      <c r="AG103" s="20"/>
      <c r="AH103" s="37"/>
      <c r="AI103" s="20"/>
      <c r="AJ103" s="37"/>
      <c r="AK103" s="20"/>
      <c r="AL103" s="37"/>
      <c r="AM103" s="20"/>
      <c r="AN103" s="37"/>
      <c r="AO103" s="20"/>
      <c r="AP103" s="37"/>
      <c r="AQ103" s="20"/>
      <c r="AR103" s="37"/>
      <c r="AS103" s="20"/>
      <c r="AT103" s="23">
        <v>31</v>
      </c>
      <c r="AU103" s="23"/>
      <c r="AV103" s="24"/>
      <c r="AW103" s="34">
        <f t="shared" si="19"/>
        <v>10200</v>
      </c>
    </row>
    <row r="104" spans="1:49" s="47" customFormat="1" ht="12" x14ac:dyDescent="0.2">
      <c r="A104" s="39"/>
      <c r="B104" s="40"/>
      <c r="C104" s="41"/>
      <c r="D104" s="42"/>
      <c r="E104" s="43"/>
      <c r="F104" s="42"/>
      <c r="G104" s="43"/>
      <c r="H104" s="42"/>
      <c r="I104" s="43"/>
      <c r="J104" s="42"/>
      <c r="K104" s="43">
        <f>SUM(K98:K103)</f>
        <v>4442.78</v>
      </c>
      <c r="L104" s="43">
        <f t="shared" ref="L104:AA104" si="21">SUM(L98:L103)</f>
        <v>0</v>
      </c>
      <c r="M104" s="43">
        <f t="shared" si="21"/>
        <v>20273.900000000001</v>
      </c>
      <c r="N104" s="43">
        <f t="shared" si="21"/>
        <v>0</v>
      </c>
      <c r="O104" s="43">
        <f t="shared" si="21"/>
        <v>17463.900000000001</v>
      </c>
      <c r="P104" s="43">
        <f t="shared" si="21"/>
        <v>0</v>
      </c>
      <c r="Q104" s="43">
        <f t="shared" si="21"/>
        <v>8915</v>
      </c>
      <c r="R104" s="43">
        <f t="shared" si="21"/>
        <v>0</v>
      </c>
      <c r="S104" s="43">
        <f t="shared" si="21"/>
        <v>3280</v>
      </c>
      <c r="T104" s="43">
        <f t="shared" si="21"/>
        <v>0</v>
      </c>
      <c r="U104" s="43">
        <f t="shared" si="21"/>
        <v>2100</v>
      </c>
      <c r="V104" s="43">
        <f t="shared" si="21"/>
        <v>0</v>
      </c>
      <c r="W104" s="43">
        <f t="shared" si="21"/>
        <v>2100</v>
      </c>
      <c r="X104" s="43">
        <f t="shared" si="21"/>
        <v>0</v>
      </c>
      <c r="Y104" s="43">
        <f t="shared" si="21"/>
        <v>0</v>
      </c>
      <c r="Z104" s="43">
        <f t="shared" si="21"/>
        <v>0</v>
      </c>
      <c r="AA104" s="43">
        <f t="shared" si="21"/>
        <v>0</v>
      </c>
      <c r="AB104" s="43"/>
      <c r="AC104" s="43"/>
      <c r="AD104" s="43"/>
      <c r="AE104" s="43"/>
      <c r="AF104" s="43"/>
      <c r="AG104" s="43"/>
      <c r="AH104" s="43"/>
      <c r="AI104" s="43"/>
      <c r="AJ104" s="43"/>
      <c r="AK104" s="43"/>
      <c r="AL104" s="43"/>
      <c r="AM104" s="43"/>
      <c r="AN104" s="43"/>
      <c r="AO104" s="43"/>
      <c r="AP104" s="43"/>
      <c r="AQ104" s="43"/>
      <c r="AR104" s="43"/>
      <c r="AS104" s="43"/>
      <c r="AT104" s="44"/>
      <c r="AU104" s="44"/>
      <c r="AV104" s="45"/>
      <c r="AW104" s="46">
        <f>SUM(AW98:AW103)</f>
        <v>70731.179999999993</v>
      </c>
    </row>
    <row r="105" spans="1:49" s="16" customFormat="1" ht="12" x14ac:dyDescent="0.2">
      <c r="A105" s="26"/>
      <c r="B105" s="27">
        <v>500</v>
      </c>
      <c r="C105" s="26"/>
      <c r="D105" s="28"/>
      <c r="E105" s="29"/>
      <c r="F105" s="28"/>
      <c r="G105" s="29"/>
      <c r="H105" s="28"/>
      <c r="I105" s="29"/>
      <c r="J105" s="28"/>
      <c r="K105" s="29"/>
      <c r="L105" s="28"/>
      <c r="M105" s="29"/>
      <c r="N105" s="28"/>
      <c r="O105" s="29"/>
      <c r="P105" s="28"/>
      <c r="Q105" s="29"/>
      <c r="R105" s="28"/>
      <c r="S105" s="29">
        <f>1*B105</f>
        <v>500</v>
      </c>
      <c r="T105" s="30"/>
      <c r="U105" s="29">
        <f>21.5*B105</f>
        <v>10750</v>
      </c>
      <c r="V105" s="30"/>
      <c r="W105" s="29">
        <f>21*B105</f>
        <v>10500</v>
      </c>
      <c r="X105" s="31"/>
      <c r="Y105" s="29"/>
      <c r="Z105" s="30"/>
      <c r="AA105" s="29"/>
      <c r="AB105" s="30"/>
      <c r="AC105" s="29"/>
      <c r="AD105" s="30"/>
      <c r="AE105" s="29"/>
      <c r="AF105" s="30"/>
      <c r="AG105" s="29"/>
      <c r="AH105" s="30"/>
      <c r="AI105" s="29"/>
      <c r="AJ105" s="30"/>
      <c r="AK105" s="29"/>
      <c r="AL105" s="30"/>
      <c r="AM105" s="29"/>
      <c r="AN105" s="30"/>
      <c r="AO105" s="29"/>
      <c r="AP105" s="30"/>
      <c r="AQ105" s="29"/>
      <c r="AR105" s="30"/>
      <c r="AS105" s="29"/>
      <c r="AT105" s="32">
        <v>59</v>
      </c>
      <c r="AU105" s="32"/>
      <c r="AV105" s="33"/>
      <c r="AW105" s="34">
        <f t="shared" si="19"/>
        <v>21750</v>
      </c>
    </row>
    <row r="106" spans="1:49" x14ac:dyDescent="0.25">
      <c r="A106" s="78"/>
      <c r="B106" s="79"/>
      <c r="C106" s="78"/>
      <c r="D106" s="80"/>
      <c r="E106" s="80"/>
      <c r="F106" s="80"/>
      <c r="G106" s="80"/>
      <c r="H106" s="80"/>
      <c r="I106" s="80"/>
      <c r="J106" s="80"/>
      <c r="K106" s="80"/>
      <c r="L106" s="80"/>
      <c r="M106" s="80"/>
      <c r="N106" s="80"/>
      <c r="O106" s="80"/>
      <c r="P106" s="80"/>
      <c r="Q106" s="80"/>
      <c r="R106" s="80"/>
      <c r="S106" s="80"/>
      <c r="T106" s="81"/>
      <c r="U106" s="81"/>
      <c r="V106" s="81"/>
      <c r="W106" s="81"/>
      <c r="X106" s="53"/>
      <c r="Y106" s="81"/>
      <c r="Z106" s="81"/>
      <c r="AA106" s="81"/>
      <c r="AB106" s="81"/>
      <c r="AC106" s="81"/>
      <c r="AD106" s="81"/>
      <c r="AE106" s="81"/>
      <c r="AF106" s="81"/>
      <c r="AG106" s="81"/>
      <c r="AH106" s="81"/>
      <c r="AI106" s="81"/>
      <c r="AJ106" s="81"/>
      <c r="AK106" s="81"/>
      <c r="AL106" s="81"/>
      <c r="AM106" s="81"/>
      <c r="AN106" s="81"/>
      <c r="AO106" s="81"/>
      <c r="AP106" s="81"/>
      <c r="AQ106" s="81"/>
      <c r="AR106" s="81"/>
      <c r="AS106" s="81"/>
      <c r="AT106" s="82"/>
      <c r="AU106" s="82"/>
      <c r="AV106" s="83"/>
      <c r="AW106" s="34">
        <f t="shared" si="19"/>
        <v>0</v>
      </c>
    </row>
    <row r="107" spans="1:49" x14ac:dyDescent="0.25">
      <c r="A107" s="84"/>
      <c r="B107" s="85"/>
      <c r="C107" s="84"/>
    </row>
  </sheetData>
  <autoFilter ref="A4:AW29" xr:uid="{6D69F3AE-0727-45B2-8531-A510CA9F24A4}"/>
  <mergeCells count="23">
    <mergeCell ref="X3:Y3"/>
    <mergeCell ref="Z3:AA3"/>
    <mergeCell ref="L3:M3"/>
    <mergeCell ref="N3:O3"/>
    <mergeCell ref="P3:Q3"/>
    <mergeCell ref="R3:S3"/>
    <mergeCell ref="T3:U3"/>
    <mergeCell ref="V3:W3"/>
    <mergeCell ref="J3:K3"/>
    <mergeCell ref="A2:C2"/>
    <mergeCell ref="A3:A4"/>
    <mergeCell ref="D3:E3"/>
    <mergeCell ref="F3:G3"/>
    <mergeCell ref="H3:I3"/>
    <mergeCell ref="AL3:AM3"/>
    <mergeCell ref="AN3:AO3"/>
    <mergeCell ref="AP3:AQ3"/>
    <mergeCell ref="AR3:AS3"/>
    <mergeCell ref="AB3:AC3"/>
    <mergeCell ref="AD3:AE3"/>
    <mergeCell ref="AF3:AG3"/>
    <mergeCell ref="AH3:AI3"/>
    <mergeCell ref="AJ3:AK3"/>
  </mergeCells>
  <phoneticPr fontId="21" type="noConversion"/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F283B-8282-4732-87B7-1866D570C423}">
  <dimension ref="A2:AY66"/>
  <sheetViews>
    <sheetView zoomScaleNormal="100" workbookViewId="0">
      <pane xSplit="4" ySplit="4" topLeftCell="R5" activePane="bottomRight" state="frozen"/>
      <selection pane="topRight" activeCell="E1" sqref="E1"/>
      <selection pane="bottomLeft" activeCell="A5" sqref="A5"/>
      <selection pane="bottomRight" activeCell="AA19" sqref="AA19"/>
    </sheetView>
  </sheetViews>
  <sheetFormatPr baseColWidth="10" defaultRowHeight="15" x14ac:dyDescent="0.25"/>
  <cols>
    <col min="1" max="1" width="17.42578125" style="87" customWidth="1"/>
    <col min="2" max="2" width="16.140625" customWidth="1"/>
    <col min="3" max="3" width="17.7109375" style="86" customWidth="1"/>
    <col min="4" max="4" width="15.7109375" customWidth="1"/>
    <col min="5" max="5" width="7.28515625" style="1" customWidth="1"/>
    <col min="6" max="6" width="5.7109375" style="1" customWidth="1"/>
    <col min="7" max="7" width="6.42578125" style="1" customWidth="1"/>
    <col min="8" max="8" width="10.28515625" style="1" customWidth="1"/>
    <col min="9" max="9" width="5.7109375" style="1" customWidth="1"/>
    <col min="10" max="10" width="12.140625" style="1" customWidth="1"/>
    <col min="11" max="11" width="7.42578125" style="1" customWidth="1"/>
    <col min="12" max="12" width="13.28515625" style="1" customWidth="1"/>
    <col min="13" max="13" width="5.7109375" style="1" customWidth="1"/>
    <col min="14" max="14" width="12.28515625" style="1" customWidth="1"/>
    <col min="15" max="15" width="5.7109375" style="1" customWidth="1"/>
    <col min="16" max="16" width="13.42578125" style="1" customWidth="1"/>
    <col min="17" max="17" width="5.7109375" style="1" customWidth="1"/>
    <col min="18" max="18" width="11.140625" style="1" customWidth="1"/>
    <col min="19" max="19" width="5.7109375" style="1" customWidth="1"/>
    <col min="20" max="20" width="10.42578125" style="1" bestFit="1" customWidth="1"/>
    <col min="21" max="21" width="8.28515625" style="2" bestFit="1" customWidth="1"/>
    <col min="22" max="22" width="11.42578125" style="2" bestFit="1" customWidth="1"/>
    <col min="23" max="23" width="6.7109375" style="2" customWidth="1"/>
    <col min="24" max="24" width="11.140625" style="2" bestFit="1" customWidth="1"/>
    <col min="25" max="25" width="11.5703125" style="3" bestFit="1" customWidth="1"/>
    <col min="26" max="26" width="10.42578125" style="2" bestFit="1" customWidth="1"/>
    <col min="27" max="27" width="11.5703125" style="2" bestFit="1" customWidth="1"/>
    <col min="28" max="28" width="10.42578125" style="2" bestFit="1" customWidth="1"/>
    <col min="29" max="29" width="11.5703125" style="2" bestFit="1" customWidth="1"/>
    <col min="30" max="30" width="10.42578125" style="2" bestFit="1" customWidth="1"/>
    <col min="31" max="31" width="11.5703125" style="2" bestFit="1" customWidth="1"/>
    <col min="32" max="32" width="10.42578125" style="2" bestFit="1" customWidth="1"/>
    <col min="33" max="33" width="11.5703125" style="2" bestFit="1" customWidth="1"/>
    <col min="34" max="34" width="10.42578125" style="2" bestFit="1" customWidth="1"/>
    <col min="35" max="35" width="11.5703125" style="2" bestFit="1" customWidth="1"/>
    <col min="36" max="36" width="10.42578125" style="2" bestFit="1" customWidth="1"/>
    <col min="37" max="37" width="11.5703125" style="2" bestFit="1" customWidth="1"/>
    <col min="38" max="38" width="10.42578125" style="2" bestFit="1" customWidth="1"/>
    <col min="39" max="39" width="11.5703125" style="2" bestFit="1" customWidth="1"/>
    <col min="40" max="40" width="10.42578125" style="2" bestFit="1" customWidth="1"/>
    <col min="41" max="41" width="11.5703125" style="2" bestFit="1" customWidth="1"/>
    <col min="42" max="42" width="10.42578125" style="2" bestFit="1" customWidth="1"/>
    <col min="43" max="43" width="11.5703125" style="2" bestFit="1" customWidth="1"/>
    <col min="44" max="44" width="10.42578125" style="2" bestFit="1" customWidth="1"/>
    <col min="45" max="45" width="11.5703125" style="2" bestFit="1" customWidth="1"/>
    <col min="46" max="46" width="10.42578125" style="2" bestFit="1" customWidth="1"/>
    <col min="47" max="47" width="11.5703125" style="2" bestFit="1" customWidth="1"/>
    <col min="48" max="48" width="10.42578125" style="2" bestFit="1" customWidth="1"/>
    <col min="49" max="49" width="17.140625" customWidth="1"/>
  </cols>
  <sheetData>
    <row r="2" spans="1:51" ht="21" x14ac:dyDescent="0.35">
      <c r="B2" s="186" t="s">
        <v>43</v>
      </c>
      <c r="C2" s="186"/>
      <c r="D2" s="186"/>
    </row>
    <row r="3" spans="1:51" s="8" customFormat="1" ht="33.75" customHeight="1" x14ac:dyDescent="0.25">
      <c r="A3" s="187" t="s">
        <v>20</v>
      </c>
      <c r="B3" s="184"/>
      <c r="C3" s="4" t="s">
        <v>21</v>
      </c>
      <c r="D3" s="5" t="s">
        <v>1</v>
      </c>
      <c r="E3" s="179" t="s">
        <v>2</v>
      </c>
      <c r="F3" s="180"/>
      <c r="G3" s="179" t="s">
        <v>3</v>
      </c>
      <c r="H3" s="180"/>
      <c r="I3" s="179" t="s">
        <v>4</v>
      </c>
      <c r="J3" s="180"/>
      <c r="K3" s="179" t="s">
        <v>5</v>
      </c>
      <c r="L3" s="180"/>
      <c r="M3" s="179" t="s">
        <v>6</v>
      </c>
      <c r="N3" s="180"/>
      <c r="O3" s="179" t="s">
        <v>7</v>
      </c>
      <c r="P3" s="180"/>
      <c r="Q3" s="179" t="s">
        <v>8</v>
      </c>
      <c r="R3" s="180"/>
      <c r="S3" s="179" t="s">
        <v>9</v>
      </c>
      <c r="T3" s="180"/>
      <c r="U3" s="181" t="s">
        <v>10</v>
      </c>
      <c r="V3" s="182"/>
      <c r="W3" s="181" t="s">
        <v>11</v>
      </c>
      <c r="X3" s="182"/>
      <c r="Y3" s="181" t="s">
        <v>12</v>
      </c>
      <c r="Z3" s="182"/>
      <c r="AA3" s="181" t="s">
        <v>13</v>
      </c>
      <c r="AB3" s="182"/>
      <c r="AC3" s="181" t="s">
        <v>2</v>
      </c>
      <c r="AD3" s="182"/>
      <c r="AE3" s="181" t="s">
        <v>3</v>
      </c>
      <c r="AF3" s="182"/>
      <c r="AG3" s="181" t="s">
        <v>24</v>
      </c>
      <c r="AH3" s="182"/>
      <c r="AI3" s="181" t="s">
        <v>25</v>
      </c>
      <c r="AJ3" s="182"/>
      <c r="AK3" s="181" t="s">
        <v>6</v>
      </c>
      <c r="AL3" s="182"/>
      <c r="AM3" s="181" t="s">
        <v>7</v>
      </c>
      <c r="AN3" s="182"/>
      <c r="AO3" s="181" t="s">
        <v>8</v>
      </c>
      <c r="AP3" s="182"/>
      <c r="AQ3" s="181" t="s">
        <v>9</v>
      </c>
      <c r="AR3" s="182"/>
      <c r="AS3" s="181" t="s">
        <v>26</v>
      </c>
      <c r="AT3" s="182"/>
      <c r="AU3" s="120" t="s">
        <v>27</v>
      </c>
      <c r="AV3" s="121" t="s">
        <v>28</v>
      </c>
      <c r="AW3" s="7" t="s">
        <v>44</v>
      </c>
    </row>
    <row r="4" spans="1:51" s="16" customFormat="1" ht="12.75" thickBot="1" x14ac:dyDescent="0.25">
      <c r="A4" s="188"/>
      <c r="B4" s="185"/>
      <c r="C4" s="9"/>
      <c r="D4" s="10"/>
      <c r="E4" s="11" t="s">
        <v>17</v>
      </c>
      <c r="F4" s="12" t="s">
        <v>18</v>
      </c>
      <c r="G4" s="11" t="s">
        <v>17</v>
      </c>
      <c r="H4" s="12" t="s">
        <v>18</v>
      </c>
      <c r="I4" s="11" t="s">
        <v>17</v>
      </c>
      <c r="J4" s="12" t="s">
        <v>18</v>
      </c>
      <c r="K4" s="11" t="s">
        <v>17</v>
      </c>
      <c r="L4" s="12" t="s">
        <v>18</v>
      </c>
      <c r="M4" s="11" t="s">
        <v>17</v>
      </c>
      <c r="N4" s="12" t="s">
        <v>18</v>
      </c>
      <c r="O4" s="11" t="s">
        <v>17</v>
      </c>
      <c r="P4" s="12" t="s">
        <v>18</v>
      </c>
      <c r="Q4" s="11" t="s">
        <v>17</v>
      </c>
      <c r="R4" s="12" t="s">
        <v>18</v>
      </c>
      <c r="S4" s="11" t="s">
        <v>17</v>
      </c>
      <c r="T4" s="12" t="s">
        <v>18</v>
      </c>
      <c r="U4" s="13" t="s">
        <v>17</v>
      </c>
      <c r="V4" s="12" t="s">
        <v>18</v>
      </c>
      <c r="W4" s="13" t="s">
        <v>17</v>
      </c>
      <c r="X4" s="12" t="s">
        <v>18</v>
      </c>
      <c r="Y4" s="14" t="s">
        <v>17</v>
      </c>
      <c r="Z4" s="12" t="s">
        <v>18</v>
      </c>
      <c r="AA4" s="13" t="s">
        <v>17</v>
      </c>
      <c r="AB4" s="12" t="s">
        <v>18</v>
      </c>
      <c r="AC4" s="13" t="s">
        <v>17</v>
      </c>
      <c r="AD4" s="12" t="s">
        <v>18</v>
      </c>
      <c r="AE4" s="13" t="s">
        <v>17</v>
      </c>
      <c r="AF4" s="12" t="s">
        <v>18</v>
      </c>
      <c r="AG4" s="13" t="s">
        <v>17</v>
      </c>
      <c r="AH4" s="12" t="s">
        <v>18</v>
      </c>
      <c r="AI4" s="13" t="s">
        <v>17</v>
      </c>
      <c r="AJ4" s="12" t="s">
        <v>18</v>
      </c>
      <c r="AK4" s="13" t="s">
        <v>17</v>
      </c>
      <c r="AL4" s="12" t="s">
        <v>18</v>
      </c>
      <c r="AM4" s="13" t="s">
        <v>17</v>
      </c>
      <c r="AN4" s="12" t="s">
        <v>18</v>
      </c>
      <c r="AO4" s="13" t="s">
        <v>17</v>
      </c>
      <c r="AP4" s="12" t="s">
        <v>18</v>
      </c>
      <c r="AQ4" s="13" t="s">
        <v>17</v>
      </c>
      <c r="AR4" s="12" t="s">
        <v>18</v>
      </c>
      <c r="AS4" s="13" t="s">
        <v>17</v>
      </c>
      <c r="AT4" s="12" t="s">
        <v>18</v>
      </c>
      <c r="AU4" s="13" t="s">
        <v>17</v>
      </c>
      <c r="AV4" s="12" t="s">
        <v>18</v>
      </c>
      <c r="AW4" s="15"/>
    </row>
    <row r="5" spans="1:51" s="16" customFormat="1" ht="12" x14ac:dyDescent="0.2">
      <c r="A5" s="88"/>
      <c r="B5" s="17"/>
      <c r="C5" s="18"/>
      <c r="D5" s="17">
        <v>600688</v>
      </c>
      <c r="E5" s="19"/>
      <c r="F5" s="20"/>
      <c r="G5" s="19"/>
      <c r="H5" s="20"/>
      <c r="I5" s="19"/>
      <c r="J5" s="20"/>
      <c r="K5" s="19"/>
      <c r="L5" s="20"/>
      <c r="M5" s="19"/>
      <c r="N5" s="20"/>
      <c r="O5" s="19"/>
      <c r="P5" s="20"/>
      <c r="Q5" s="19"/>
      <c r="R5" s="20">
        <v>3120</v>
      </c>
      <c r="S5" s="19"/>
      <c r="T5" s="20"/>
      <c r="U5" s="21"/>
      <c r="V5" s="20"/>
      <c r="W5" s="21"/>
      <c r="X5" s="20"/>
      <c r="Y5" s="22"/>
      <c r="Z5" s="20"/>
      <c r="AA5" s="21"/>
      <c r="AB5" s="20"/>
      <c r="AC5" s="21"/>
      <c r="AD5" s="20"/>
      <c r="AE5" s="21"/>
      <c r="AF5" s="20"/>
      <c r="AG5" s="21"/>
      <c r="AH5" s="20"/>
      <c r="AI5" s="21"/>
      <c r="AJ5" s="20"/>
      <c r="AK5" s="21"/>
      <c r="AL5" s="20"/>
      <c r="AM5" s="21"/>
      <c r="AN5" s="20"/>
      <c r="AO5" s="21"/>
      <c r="AP5" s="20"/>
      <c r="AQ5" s="21"/>
      <c r="AR5" s="20"/>
      <c r="AS5" s="21"/>
      <c r="AT5" s="20"/>
      <c r="AU5" s="21"/>
      <c r="AV5" s="20"/>
      <c r="AW5" s="25">
        <f>AB5+Z5+X5+V5+T5+R5+P5+N5+L5+J5+H5+F5</f>
        <v>3120</v>
      </c>
    </row>
    <row r="6" spans="1:51" s="16" customFormat="1" ht="12" x14ac:dyDescent="0.2">
      <c r="A6" s="89"/>
      <c r="B6" s="26"/>
      <c r="C6" s="27"/>
      <c r="D6" s="17">
        <v>600688</v>
      </c>
      <c r="E6" s="28"/>
      <c r="F6" s="29"/>
      <c r="G6" s="28"/>
      <c r="H6" s="29"/>
      <c r="I6" s="28"/>
      <c r="J6" s="29"/>
      <c r="K6" s="28"/>
      <c r="L6" s="29"/>
      <c r="M6" s="28"/>
      <c r="N6" s="29"/>
      <c r="O6" s="28"/>
      <c r="P6" s="29"/>
      <c r="Q6" s="28"/>
      <c r="R6" s="29"/>
      <c r="S6" s="28"/>
      <c r="T6" s="29">
        <v>5280</v>
      </c>
      <c r="U6" s="30"/>
      <c r="V6" s="29"/>
      <c r="W6" s="30"/>
      <c r="X6" s="29"/>
      <c r="Y6" s="31"/>
      <c r="Z6" s="29"/>
      <c r="AA6" s="30"/>
      <c r="AB6" s="29"/>
      <c r="AC6" s="30"/>
      <c r="AD6" s="29"/>
      <c r="AE6" s="30"/>
      <c r="AF6" s="29"/>
      <c r="AG6" s="30"/>
      <c r="AH6" s="29"/>
      <c r="AI6" s="30"/>
      <c r="AJ6" s="29"/>
      <c r="AK6" s="30"/>
      <c r="AL6" s="29"/>
      <c r="AM6" s="30"/>
      <c r="AN6" s="29"/>
      <c r="AO6" s="30"/>
      <c r="AP6" s="29"/>
      <c r="AQ6" s="30"/>
      <c r="AR6" s="29"/>
      <c r="AS6" s="30"/>
      <c r="AT6" s="29"/>
      <c r="AU6" s="30"/>
      <c r="AV6" s="29"/>
      <c r="AW6" s="25">
        <f t="shared" ref="AW6:AW12" si="0">AB6+Z6+X6+V6+T6+R6+P6+N6+L6+J6+H6+F6</f>
        <v>5280</v>
      </c>
    </row>
    <row r="7" spans="1:51" s="16" customFormat="1" ht="12" x14ac:dyDescent="0.2">
      <c r="A7" s="88"/>
      <c r="B7" s="17"/>
      <c r="C7" s="18"/>
      <c r="D7" s="17">
        <v>600688</v>
      </c>
      <c r="E7" s="19"/>
      <c r="F7" s="20"/>
      <c r="G7" s="19"/>
      <c r="H7" s="20"/>
      <c r="I7" s="19"/>
      <c r="J7" s="20"/>
      <c r="K7" s="19"/>
      <c r="L7" s="20"/>
      <c r="M7" s="19"/>
      <c r="N7" s="20"/>
      <c r="O7" s="19"/>
      <c r="P7" s="20"/>
      <c r="Q7" s="19"/>
      <c r="R7" s="20"/>
      <c r="S7" s="19"/>
      <c r="T7" s="20">
        <v>736</v>
      </c>
      <c r="U7" s="21"/>
      <c r="V7" s="20"/>
      <c r="W7" s="21"/>
      <c r="X7" s="20"/>
      <c r="Y7" s="22"/>
      <c r="Z7" s="20"/>
      <c r="AA7" s="21"/>
      <c r="AB7" s="20"/>
      <c r="AC7" s="21"/>
      <c r="AD7" s="20"/>
      <c r="AE7" s="21"/>
      <c r="AF7" s="20"/>
      <c r="AG7" s="21"/>
      <c r="AH7" s="20"/>
      <c r="AI7" s="21"/>
      <c r="AJ7" s="20"/>
      <c r="AK7" s="21"/>
      <c r="AL7" s="20"/>
      <c r="AM7" s="21"/>
      <c r="AN7" s="20"/>
      <c r="AO7" s="21"/>
      <c r="AP7" s="20"/>
      <c r="AQ7" s="21"/>
      <c r="AR7" s="20"/>
      <c r="AS7" s="21"/>
      <c r="AT7" s="20"/>
      <c r="AU7" s="21"/>
      <c r="AV7" s="20"/>
      <c r="AW7" s="25">
        <f t="shared" si="0"/>
        <v>736</v>
      </c>
    </row>
    <row r="8" spans="1:51" s="16" customFormat="1" ht="12" x14ac:dyDescent="0.2">
      <c r="A8" s="89"/>
      <c r="B8" s="26"/>
      <c r="C8" s="27"/>
      <c r="D8" s="17">
        <v>600688</v>
      </c>
      <c r="E8" s="28"/>
      <c r="F8" s="29"/>
      <c r="G8" s="28"/>
      <c r="H8" s="29"/>
      <c r="I8" s="28"/>
      <c r="J8" s="20"/>
      <c r="K8" s="28"/>
      <c r="L8" s="29"/>
      <c r="M8" s="28"/>
      <c r="N8" s="29"/>
      <c r="O8" s="28"/>
      <c r="P8" s="29"/>
      <c r="Q8" s="28"/>
      <c r="R8" s="29"/>
      <c r="S8" s="28"/>
      <c r="T8" s="29"/>
      <c r="U8" s="30"/>
      <c r="V8" s="29"/>
      <c r="W8" s="30"/>
      <c r="X8" s="29"/>
      <c r="Y8" s="31"/>
      <c r="Z8" s="29"/>
      <c r="AA8" s="30"/>
      <c r="AB8" s="29"/>
      <c r="AC8" s="30"/>
      <c r="AD8" s="29"/>
      <c r="AE8" s="30"/>
      <c r="AF8" s="29"/>
      <c r="AG8" s="30"/>
      <c r="AH8" s="29"/>
      <c r="AI8" s="30"/>
      <c r="AJ8" s="29"/>
      <c r="AK8" s="30"/>
      <c r="AL8" s="29"/>
      <c r="AM8" s="30"/>
      <c r="AN8" s="29"/>
      <c r="AO8" s="30"/>
      <c r="AP8" s="29"/>
      <c r="AQ8" s="30"/>
      <c r="AR8" s="29"/>
      <c r="AS8" s="30"/>
      <c r="AT8" s="29"/>
      <c r="AU8" s="30"/>
      <c r="AV8" s="29"/>
      <c r="AW8" s="25">
        <f t="shared" si="0"/>
        <v>0</v>
      </c>
    </row>
    <row r="9" spans="1:51" s="16" customFormat="1" ht="12" x14ac:dyDescent="0.2">
      <c r="A9" s="89"/>
      <c r="B9" s="26"/>
      <c r="C9" s="27"/>
      <c r="D9" s="17">
        <v>600688</v>
      </c>
      <c r="E9" s="28"/>
      <c r="F9" s="29"/>
      <c r="G9" s="28"/>
      <c r="H9" s="29"/>
      <c r="I9" s="28"/>
      <c r="J9" s="20"/>
      <c r="K9" s="28"/>
      <c r="L9" s="29"/>
      <c r="M9" s="28"/>
      <c r="N9" s="29"/>
      <c r="O9" s="28"/>
      <c r="P9" s="29"/>
      <c r="Q9" s="28"/>
      <c r="R9" s="29"/>
      <c r="S9" s="28"/>
      <c r="T9" s="29"/>
      <c r="U9" s="30"/>
      <c r="V9" s="29"/>
      <c r="W9" s="30"/>
      <c r="X9" s="29"/>
      <c r="Y9" s="31"/>
      <c r="Z9" s="29"/>
      <c r="AA9" s="30"/>
      <c r="AB9" s="29"/>
      <c r="AC9" s="30"/>
      <c r="AD9" s="29"/>
      <c r="AE9" s="30"/>
      <c r="AF9" s="29"/>
      <c r="AG9" s="30"/>
      <c r="AH9" s="29"/>
      <c r="AI9" s="30"/>
      <c r="AJ9" s="29"/>
      <c r="AK9" s="30"/>
      <c r="AL9" s="29"/>
      <c r="AM9" s="30"/>
      <c r="AN9" s="29"/>
      <c r="AO9" s="30"/>
      <c r="AP9" s="29"/>
      <c r="AQ9" s="30"/>
      <c r="AR9" s="29"/>
      <c r="AS9" s="30"/>
      <c r="AT9" s="29"/>
      <c r="AU9" s="30"/>
      <c r="AV9" s="29"/>
      <c r="AW9" s="25">
        <f t="shared" si="0"/>
        <v>0</v>
      </c>
    </row>
    <row r="10" spans="1:51" s="16" customFormat="1" ht="12" x14ac:dyDescent="0.2">
      <c r="A10" s="88"/>
      <c r="B10" s="17"/>
      <c r="C10" s="18"/>
      <c r="D10" s="17">
        <v>600688</v>
      </c>
      <c r="E10" s="19"/>
      <c r="F10" s="20"/>
      <c r="G10" s="19"/>
      <c r="H10" s="20"/>
      <c r="I10" s="19"/>
      <c r="J10" s="20"/>
      <c r="K10" s="19"/>
      <c r="L10" s="20"/>
      <c r="M10" s="19"/>
      <c r="N10" s="20"/>
      <c r="O10" s="19"/>
      <c r="P10" s="29"/>
      <c r="Q10" s="19"/>
      <c r="R10" s="20"/>
      <c r="S10" s="19"/>
      <c r="T10" s="20">
        <v>750</v>
      </c>
      <c r="U10" s="21"/>
      <c r="V10" s="20"/>
      <c r="W10" s="21"/>
      <c r="X10" s="20"/>
      <c r="Y10" s="22"/>
      <c r="Z10" s="20"/>
      <c r="AA10" s="21"/>
      <c r="AB10" s="20"/>
      <c r="AC10" s="21"/>
      <c r="AD10" s="20"/>
      <c r="AE10" s="21"/>
      <c r="AF10" s="20"/>
      <c r="AG10" s="21"/>
      <c r="AH10" s="20"/>
      <c r="AI10" s="21"/>
      <c r="AJ10" s="20"/>
      <c r="AK10" s="21"/>
      <c r="AL10" s="20"/>
      <c r="AM10" s="21"/>
      <c r="AN10" s="20"/>
      <c r="AO10" s="21"/>
      <c r="AP10" s="20"/>
      <c r="AQ10" s="21"/>
      <c r="AR10" s="20"/>
      <c r="AS10" s="21"/>
      <c r="AT10" s="20"/>
      <c r="AU10" s="21"/>
      <c r="AV10" s="20"/>
      <c r="AW10" s="25">
        <f t="shared" si="0"/>
        <v>750</v>
      </c>
    </row>
    <row r="11" spans="1:51" s="16" customFormat="1" ht="12" x14ac:dyDescent="0.2">
      <c r="A11" s="89"/>
      <c r="B11" s="26"/>
      <c r="C11" s="27"/>
      <c r="D11" s="17">
        <v>600688</v>
      </c>
      <c r="E11" s="28"/>
      <c r="F11" s="29"/>
      <c r="G11" s="28"/>
      <c r="H11" s="29"/>
      <c r="I11" s="28"/>
      <c r="J11" s="29"/>
      <c r="K11" s="28"/>
      <c r="L11" s="29"/>
      <c r="M11" s="28"/>
      <c r="N11" s="29"/>
      <c r="O11" s="28"/>
      <c r="P11" s="29"/>
      <c r="Q11" s="28"/>
      <c r="R11" s="29">
        <v>16900</v>
      </c>
      <c r="S11" s="28"/>
      <c r="T11" s="29"/>
      <c r="U11" s="30"/>
      <c r="V11" s="29"/>
      <c r="W11" s="30"/>
      <c r="X11" s="29"/>
      <c r="Y11" s="31"/>
      <c r="Z11" s="29"/>
      <c r="AA11" s="30"/>
      <c r="AB11" s="29"/>
      <c r="AC11" s="30"/>
      <c r="AD11" s="29"/>
      <c r="AE11" s="30"/>
      <c r="AF11" s="29"/>
      <c r="AG11" s="30"/>
      <c r="AH11" s="29"/>
      <c r="AI11" s="30"/>
      <c r="AJ11" s="29"/>
      <c r="AK11" s="30"/>
      <c r="AL11" s="29"/>
      <c r="AM11" s="30"/>
      <c r="AN11" s="29"/>
      <c r="AO11" s="30"/>
      <c r="AP11" s="29"/>
      <c r="AQ11" s="30"/>
      <c r="AR11" s="29"/>
      <c r="AS11" s="30"/>
      <c r="AT11" s="29"/>
      <c r="AU11" s="30"/>
      <c r="AV11" s="29"/>
      <c r="AW11" s="25">
        <f t="shared" si="0"/>
        <v>16900</v>
      </c>
    </row>
    <row r="12" spans="1:51" s="16" customFormat="1" ht="12" x14ac:dyDescent="0.2">
      <c r="A12" s="88"/>
      <c r="B12" s="17"/>
      <c r="C12" s="18"/>
      <c r="D12" s="17">
        <v>600688</v>
      </c>
      <c r="E12" s="36"/>
      <c r="F12" s="20"/>
      <c r="G12" s="36"/>
      <c r="H12" s="20"/>
      <c r="I12" s="36"/>
      <c r="J12" s="20"/>
      <c r="K12" s="36"/>
      <c r="L12" s="20"/>
      <c r="M12" s="36"/>
      <c r="N12" s="20"/>
      <c r="O12" s="36"/>
      <c r="P12" s="20"/>
      <c r="Q12" s="36"/>
      <c r="R12" s="20"/>
      <c r="S12" s="36"/>
      <c r="T12" s="20"/>
      <c r="U12" s="37"/>
      <c r="V12" s="20"/>
      <c r="W12" s="37"/>
      <c r="X12" s="20"/>
      <c r="Y12" s="38"/>
      <c r="Z12" s="20"/>
      <c r="AA12" s="37"/>
      <c r="AB12" s="20"/>
      <c r="AC12" s="37"/>
      <c r="AD12" s="20"/>
      <c r="AE12" s="37"/>
      <c r="AF12" s="20"/>
      <c r="AG12" s="37"/>
      <c r="AH12" s="20"/>
      <c r="AI12" s="37"/>
      <c r="AJ12" s="20"/>
      <c r="AK12" s="37"/>
      <c r="AL12" s="20"/>
      <c r="AM12" s="37"/>
      <c r="AN12" s="20"/>
      <c r="AO12" s="37"/>
      <c r="AP12" s="20"/>
      <c r="AQ12" s="37"/>
      <c r="AR12" s="20"/>
      <c r="AS12" s="37"/>
      <c r="AT12" s="20"/>
      <c r="AU12" s="37"/>
      <c r="AV12" s="20"/>
      <c r="AW12" s="25">
        <f t="shared" si="0"/>
        <v>0</v>
      </c>
    </row>
    <row r="13" spans="1:51" s="47" customFormat="1" ht="12" x14ac:dyDescent="0.2">
      <c r="A13" s="41"/>
      <c r="B13" s="39"/>
      <c r="C13" s="40"/>
      <c r="D13" s="41"/>
      <c r="E13" s="42"/>
      <c r="F13" s="43"/>
      <c r="G13" s="42"/>
      <c r="H13" s="43">
        <f t="shared" ref="H13:AB13" si="1">SUM(H5:H12)</f>
        <v>0</v>
      </c>
      <c r="I13" s="43">
        <f t="shared" si="1"/>
        <v>0</v>
      </c>
      <c r="J13" s="43">
        <f t="shared" si="1"/>
        <v>0</v>
      </c>
      <c r="K13" s="43">
        <f t="shared" si="1"/>
        <v>0</v>
      </c>
      <c r="L13" s="43">
        <f t="shared" si="1"/>
        <v>0</v>
      </c>
      <c r="M13" s="43">
        <f t="shared" si="1"/>
        <v>0</v>
      </c>
      <c r="N13" s="43">
        <f t="shared" si="1"/>
        <v>0</v>
      </c>
      <c r="O13" s="43">
        <f t="shared" si="1"/>
        <v>0</v>
      </c>
      <c r="P13" s="43">
        <f t="shared" si="1"/>
        <v>0</v>
      </c>
      <c r="Q13" s="43">
        <f t="shared" si="1"/>
        <v>0</v>
      </c>
      <c r="R13" s="43">
        <f t="shared" si="1"/>
        <v>20020</v>
      </c>
      <c r="S13" s="43">
        <f t="shared" si="1"/>
        <v>0</v>
      </c>
      <c r="T13" s="43">
        <f t="shared" si="1"/>
        <v>6766</v>
      </c>
      <c r="U13" s="43">
        <f t="shared" si="1"/>
        <v>0</v>
      </c>
      <c r="V13" s="43">
        <f t="shared" si="1"/>
        <v>0</v>
      </c>
      <c r="W13" s="43">
        <f t="shared" si="1"/>
        <v>0</v>
      </c>
      <c r="X13" s="43">
        <f t="shared" si="1"/>
        <v>0</v>
      </c>
      <c r="Y13" s="43">
        <f t="shared" si="1"/>
        <v>0</v>
      </c>
      <c r="Z13" s="43">
        <f t="shared" si="1"/>
        <v>0</v>
      </c>
      <c r="AA13" s="43">
        <f t="shared" si="1"/>
        <v>0</v>
      </c>
      <c r="AB13" s="43">
        <f t="shared" si="1"/>
        <v>0</v>
      </c>
      <c r="AC13" s="43"/>
      <c r="AD13" s="43"/>
      <c r="AE13" s="43"/>
      <c r="AF13" s="43"/>
      <c r="AG13" s="43"/>
      <c r="AH13" s="43"/>
      <c r="AI13" s="43"/>
      <c r="AJ13" s="43"/>
      <c r="AK13" s="43"/>
      <c r="AL13" s="43"/>
      <c r="AM13" s="43"/>
      <c r="AN13" s="43"/>
      <c r="AO13" s="43"/>
      <c r="AP13" s="43"/>
      <c r="AQ13" s="43"/>
      <c r="AR13" s="43"/>
      <c r="AS13" s="43"/>
      <c r="AT13" s="43"/>
      <c r="AU13" s="43"/>
      <c r="AV13" s="43"/>
      <c r="AW13" s="46">
        <f>SUM(AW5:AW12)</f>
        <v>26786</v>
      </c>
      <c r="AY13" s="108"/>
    </row>
    <row r="14" spans="1:51" s="16" customFormat="1" ht="12" x14ac:dyDescent="0.2">
      <c r="A14" s="90"/>
      <c r="B14" s="48"/>
      <c r="C14" s="49"/>
      <c r="D14" s="48">
        <v>600693</v>
      </c>
      <c r="E14" s="50"/>
      <c r="F14" s="51"/>
      <c r="G14" s="50"/>
      <c r="H14" s="51"/>
      <c r="I14" s="50"/>
      <c r="J14" s="51"/>
      <c r="K14" s="50"/>
      <c r="L14" s="51"/>
      <c r="M14" s="50"/>
      <c r="N14" s="51"/>
      <c r="O14" s="50"/>
      <c r="P14" s="51">
        <v>16640</v>
      </c>
      <c r="Q14" s="50"/>
      <c r="R14" s="51"/>
      <c r="S14" s="50"/>
      <c r="T14" s="51"/>
      <c r="U14" s="52"/>
      <c r="V14" s="51"/>
      <c r="W14" s="52"/>
      <c r="X14" s="51"/>
      <c r="Y14" s="53"/>
      <c r="Z14" s="51"/>
      <c r="AA14" s="52"/>
      <c r="AB14" s="51"/>
      <c r="AC14" s="52"/>
      <c r="AD14" s="51"/>
      <c r="AE14" s="52"/>
      <c r="AF14" s="51"/>
      <c r="AG14" s="52"/>
      <c r="AH14" s="51"/>
      <c r="AI14" s="52"/>
      <c r="AJ14" s="51"/>
      <c r="AK14" s="52"/>
      <c r="AL14" s="51"/>
      <c r="AM14" s="52"/>
      <c r="AN14" s="51"/>
      <c r="AO14" s="52"/>
      <c r="AP14" s="51"/>
      <c r="AQ14" s="52"/>
      <c r="AR14" s="51"/>
      <c r="AS14" s="52"/>
      <c r="AT14" s="51"/>
      <c r="AU14" s="52"/>
      <c r="AV14" s="51"/>
      <c r="AW14" s="56">
        <f>F14+H14+J14+L14+N14+P14+R14+T14+V14+X14+Z14+AB14</f>
        <v>16640</v>
      </c>
    </row>
    <row r="15" spans="1:51" s="16" customFormat="1" ht="12" x14ac:dyDescent="0.2">
      <c r="A15" s="88"/>
      <c r="B15" s="17"/>
      <c r="C15" s="18"/>
      <c r="D15" s="17">
        <v>600693</v>
      </c>
      <c r="E15" s="19"/>
      <c r="F15" s="20"/>
      <c r="G15" s="19"/>
      <c r="H15" s="20"/>
      <c r="I15" s="19"/>
      <c r="J15" s="20"/>
      <c r="K15" s="19"/>
      <c r="L15" s="20"/>
      <c r="M15" s="19"/>
      <c r="N15" s="20"/>
      <c r="O15" s="19"/>
      <c r="P15" s="20"/>
      <c r="Q15" s="19"/>
      <c r="R15" s="20"/>
      <c r="S15" s="19"/>
      <c r="T15" s="20"/>
      <c r="U15" s="21"/>
      <c r="V15" s="20"/>
      <c r="W15" s="21"/>
      <c r="X15" s="20">
        <v>17356.11</v>
      </c>
      <c r="Y15" s="22"/>
      <c r="Z15" s="20"/>
      <c r="AA15" s="21"/>
      <c r="AB15" s="20"/>
      <c r="AC15" s="21"/>
      <c r="AD15" s="20"/>
      <c r="AE15" s="21"/>
      <c r="AF15" s="20"/>
      <c r="AG15" s="21"/>
      <c r="AH15" s="20"/>
      <c r="AI15" s="21"/>
      <c r="AJ15" s="20"/>
      <c r="AK15" s="21"/>
      <c r="AL15" s="20"/>
      <c r="AM15" s="21"/>
      <c r="AN15" s="20"/>
      <c r="AO15" s="21"/>
      <c r="AP15" s="20"/>
      <c r="AQ15" s="21"/>
      <c r="AR15" s="20"/>
      <c r="AS15" s="21"/>
      <c r="AT15" s="20"/>
      <c r="AU15" s="21"/>
      <c r="AV15" s="20"/>
      <c r="AW15" s="56">
        <f t="shared" ref="AW15:AW16" si="2">F15+H15+J15+L15+N15+P15+R15+T15+V15+X15+Z15+AB15</f>
        <v>17356.11</v>
      </c>
    </row>
    <row r="16" spans="1:51" s="16" customFormat="1" ht="12" x14ac:dyDescent="0.2">
      <c r="A16" s="89"/>
      <c r="B16" s="26"/>
      <c r="C16" s="27"/>
      <c r="D16" s="26">
        <v>600693</v>
      </c>
      <c r="E16" s="28"/>
      <c r="F16" s="29"/>
      <c r="G16" s="28"/>
      <c r="H16" s="29"/>
      <c r="I16" s="28"/>
      <c r="J16" s="29"/>
      <c r="K16" s="28"/>
      <c r="L16" s="29"/>
      <c r="M16" s="28"/>
      <c r="N16" s="29">
        <v>8800</v>
      </c>
      <c r="O16" s="28"/>
      <c r="P16" s="29"/>
      <c r="Q16" s="28"/>
      <c r="R16" s="29"/>
      <c r="S16" s="28"/>
      <c r="T16" s="29"/>
      <c r="U16" s="30"/>
      <c r="V16" s="29"/>
      <c r="W16" s="30"/>
      <c r="X16" s="29"/>
      <c r="Y16" s="31"/>
      <c r="Z16" s="29"/>
      <c r="AA16" s="30"/>
      <c r="AB16" s="29"/>
      <c r="AC16" s="30"/>
      <c r="AD16" s="29"/>
      <c r="AE16" s="30"/>
      <c r="AF16" s="29"/>
      <c r="AG16" s="30"/>
      <c r="AH16" s="29"/>
      <c r="AI16" s="30"/>
      <c r="AJ16" s="29"/>
      <c r="AK16" s="30"/>
      <c r="AL16" s="29"/>
      <c r="AM16" s="30"/>
      <c r="AN16" s="29"/>
      <c r="AO16" s="30"/>
      <c r="AP16" s="29"/>
      <c r="AQ16" s="30"/>
      <c r="AR16" s="29"/>
      <c r="AS16" s="30"/>
      <c r="AT16" s="29"/>
      <c r="AU16" s="30"/>
      <c r="AV16" s="29"/>
      <c r="AW16" s="56">
        <f t="shared" si="2"/>
        <v>8800</v>
      </c>
    </row>
    <row r="17" spans="1:49" s="47" customFormat="1" ht="12" x14ac:dyDescent="0.2">
      <c r="A17" s="41"/>
      <c r="B17" s="39"/>
      <c r="C17" s="40"/>
      <c r="D17" s="41"/>
      <c r="E17" s="42"/>
      <c r="F17" s="43"/>
      <c r="G17" s="42"/>
      <c r="H17" s="43">
        <f t="shared" ref="H17:AB17" si="3">SUM(H14:H16)</f>
        <v>0</v>
      </c>
      <c r="I17" s="43">
        <f t="shared" si="3"/>
        <v>0</v>
      </c>
      <c r="J17" s="43">
        <f t="shared" si="3"/>
        <v>0</v>
      </c>
      <c r="K17" s="43">
        <f t="shared" si="3"/>
        <v>0</v>
      </c>
      <c r="L17" s="43">
        <f t="shared" si="3"/>
        <v>0</v>
      </c>
      <c r="M17" s="43">
        <f t="shared" si="3"/>
        <v>0</v>
      </c>
      <c r="N17" s="43">
        <f t="shared" si="3"/>
        <v>8800</v>
      </c>
      <c r="O17" s="43">
        <f t="shared" si="3"/>
        <v>0</v>
      </c>
      <c r="P17" s="43">
        <f t="shared" si="3"/>
        <v>16640</v>
      </c>
      <c r="Q17" s="43">
        <f t="shared" si="3"/>
        <v>0</v>
      </c>
      <c r="R17" s="43">
        <f t="shared" si="3"/>
        <v>0</v>
      </c>
      <c r="S17" s="43">
        <f t="shared" si="3"/>
        <v>0</v>
      </c>
      <c r="T17" s="43">
        <f t="shared" si="3"/>
        <v>0</v>
      </c>
      <c r="U17" s="43">
        <f t="shared" si="3"/>
        <v>0</v>
      </c>
      <c r="V17" s="43">
        <f t="shared" si="3"/>
        <v>0</v>
      </c>
      <c r="W17" s="43">
        <f t="shared" si="3"/>
        <v>0</v>
      </c>
      <c r="X17" s="43">
        <f t="shared" si="3"/>
        <v>17356.11</v>
      </c>
      <c r="Y17" s="43">
        <f t="shared" si="3"/>
        <v>0</v>
      </c>
      <c r="Z17" s="43">
        <f t="shared" si="3"/>
        <v>0</v>
      </c>
      <c r="AA17" s="43">
        <f t="shared" si="3"/>
        <v>0</v>
      </c>
      <c r="AB17" s="43">
        <f t="shared" si="3"/>
        <v>0</v>
      </c>
      <c r="AC17" s="43"/>
      <c r="AD17" s="43"/>
      <c r="AE17" s="43"/>
      <c r="AF17" s="43"/>
      <c r="AG17" s="43"/>
      <c r="AH17" s="43"/>
      <c r="AI17" s="43"/>
      <c r="AJ17" s="43"/>
      <c r="AK17" s="43"/>
      <c r="AL17" s="43"/>
      <c r="AM17" s="43"/>
      <c r="AN17" s="43"/>
      <c r="AO17" s="43"/>
      <c r="AP17" s="43"/>
      <c r="AQ17" s="43"/>
      <c r="AR17" s="43"/>
      <c r="AS17" s="43"/>
      <c r="AT17" s="43"/>
      <c r="AU17" s="43"/>
      <c r="AV17" s="43"/>
      <c r="AW17" s="46">
        <f>SUM(AW14:AW16)</f>
        <v>42796.11</v>
      </c>
    </row>
    <row r="18" spans="1:49" s="16" customFormat="1" ht="12" x14ac:dyDescent="0.2">
      <c r="A18" s="89"/>
      <c r="B18" s="26"/>
      <c r="C18" s="27"/>
      <c r="D18" s="26">
        <v>600695</v>
      </c>
      <c r="E18" s="28"/>
      <c r="F18" s="51"/>
      <c r="G18" s="50"/>
      <c r="H18" s="51"/>
      <c r="I18" s="50"/>
      <c r="J18" s="51"/>
      <c r="K18" s="50"/>
      <c r="L18" s="51"/>
      <c r="M18" s="50"/>
      <c r="N18" s="51"/>
      <c r="O18" s="50"/>
      <c r="P18" s="51"/>
      <c r="Q18" s="50"/>
      <c r="R18" s="51"/>
      <c r="S18" s="50"/>
      <c r="T18" s="51">
        <v>1160</v>
      </c>
      <c r="U18" s="52"/>
      <c r="V18" s="51"/>
      <c r="W18" s="52"/>
      <c r="X18" s="51"/>
      <c r="Y18" s="31"/>
      <c r="Z18" s="29"/>
      <c r="AA18" s="30"/>
      <c r="AB18" s="29"/>
      <c r="AC18" s="30"/>
      <c r="AD18" s="29"/>
      <c r="AE18" s="30"/>
      <c r="AF18" s="29"/>
      <c r="AG18" s="30"/>
      <c r="AH18" s="29"/>
      <c r="AI18" s="30"/>
      <c r="AJ18" s="29"/>
      <c r="AK18" s="30"/>
      <c r="AL18" s="29"/>
      <c r="AM18" s="30"/>
      <c r="AN18" s="29"/>
      <c r="AO18" s="30"/>
      <c r="AP18" s="29"/>
      <c r="AQ18" s="30"/>
      <c r="AR18" s="29"/>
      <c r="AS18" s="30"/>
      <c r="AT18" s="29"/>
      <c r="AU18" s="30"/>
      <c r="AV18" s="29"/>
      <c r="AW18" s="34">
        <f>F18+H18+J18+L18+N18+P18+R18+T18+V18+X18+Z18+AB18</f>
        <v>1160</v>
      </c>
    </row>
    <row r="19" spans="1:49" s="16" customFormat="1" ht="12" x14ac:dyDescent="0.2">
      <c r="A19" s="88"/>
      <c r="B19" s="17"/>
      <c r="C19" s="18"/>
      <c r="D19" s="26">
        <v>600695</v>
      </c>
      <c r="E19" s="36"/>
      <c r="F19" s="20"/>
      <c r="G19" s="19"/>
      <c r="H19" s="20"/>
      <c r="I19" s="19"/>
      <c r="J19" s="20"/>
      <c r="K19" s="19"/>
      <c r="L19" s="20"/>
      <c r="M19" s="19"/>
      <c r="N19" s="20"/>
      <c r="O19" s="19"/>
      <c r="P19" s="20"/>
      <c r="Q19" s="19"/>
      <c r="R19" s="20"/>
      <c r="S19" s="19"/>
      <c r="T19" s="20">
        <v>3610</v>
      </c>
      <c r="U19" s="21"/>
      <c r="V19" s="20"/>
      <c r="W19" s="21"/>
      <c r="X19" s="20"/>
      <c r="Y19" s="38"/>
      <c r="Z19" s="20"/>
      <c r="AA19" s="37"/>
      <c r="AB19" s="20"/>
      <c r="AC19" s="37"/>
      <c r="AD19" s="20"/>
      <c r="AE19" s="37"/>
      <c r="AF19" s="20"/>
      <c r="AG19" s="37"/>
      <c r="AH19" s="20"/>
      <c r="AI19" s="37"/>
      <c r="AJ19" s="20"/>
      <c r="AK19" s="37"/>
      <c r="AL19" s="20"/>
      <c r="AM19" s="37"/>
      <c r="AN19" s="20"/>
      <c r="AO19" s="37"/>
      <c r="AP19" s="20"/>
      <c r="AQ19" s="37"/>
      <c r="AR19" s="20"/>
      <c r="AS19" s="37"/>
      <c r="AT19" s="20"/>
      <c r="AU19" s="37"/>
      <c r="AV19" s="20"/>
      <c r="AW19" s="34">
        <f t="shared" ref="AW19:AW20" si="4">F19+H19+J19+L19+N19+P19+R19+T19+V19+X19+Z19+AB19</f>
        <v>3610</v>
      </c>
    </row>
    <row r="20" spans="1:49" s="16" customFormat="1" ht="12" x14ac:dyDescent="0.2">
      <c r="A20" s="91"/>
      <c r="B20" s="92"/>
      <c r="C20" s="93"/>
      <c r="D20" s="26">
        <v>600695</v>
      </c>
      <c r="E20" s="94"/>
      <c r="F20" s="29"/>
      <c r="G20" s="28"/>
      <c r="H20" s="29"/>
      <c r="I20" s="28"/>
      <c r="J20" s="29"/>
      <c r="K20" s="28"/>
      <c r="L20" s="29"/>
      <c r="M20" s="28"/>
      <c r="N20" s="29"/>
      <c r="O20" s="28"/>
      <c r="P20" s="29"/>
      <c r="Q20" s="28"/>
      <c r="R20" s="29"/>
      <c r="S20" s="28"/>
      <c r="T20" s="29"/>
      <c r="U20" s="30"/>
      <c r="V20" s="29">
        <v>1014.32</v>
      </c>
      <c r="W20" s="30"/>
      <c r="X20" s="29"/>
      <c r="Y20" s="77"/>
      <c r="Z20" s="62"/>
      <c r="AA20" s="77"/>
      <c r="AB20" s="62"/>
      <c r="AC20" s="77"/>
      <c r="AD20" s="62"/>
      <c r="AE20" s="77"/>
      <c r="AF20" s="62"/>
      <c r="AG20" s="77"/>
      <c r="AH20" s="62"/>
      <c r="AI20" s="77"/>
      <c r="AJ20" s="62"/>
      <c r="AK20" s="77"/>
      <c r="AL20" s="62"/>
      <c r="AM20" s="77"/>
      <c r="AN20" s="62"/>
      <c r="AO20" s="77"/>
      <c r="AP20" s="62"/>
      <c r="AQ20" s="77"/>
      <c r="AR20" s="62"/>
      <c r="AS20" s="77"/>
      <c r="AT20" s="62"/>
      <c r="AU20" s="77"/>
      <c r="AV20" s="62"/>
      <c r="AW20" s="34">
        <f t="shared" si="4"/>
        <v>1014.32</v>
      </c>
    </row>
    <row r="21" spans="1:49" s="47" customFormat="1" ht="12" x14ac:dyDescent="0.2">
      <c r="A21" s="41"/>
      <c r="B21" s="39"/>
      <c r="C21" s="40"/>
      <c r="D21" s="41"/>
      <c r="E21" s="42"/>
      <c r="F21" s="43"/>
      <c r="G21" s="42"/>
      <c r="H21" s="43">
        <f t="shared" ref="H21:K21" si="5">SUM(H18:H19)</f>
        <v>0</v>
      </c>
      <c r="I21" s="43">
        <f t="shared" si="5"/>
        <v>0</v>
      </c>
      <c r="J21" s="43">
        <f t="shared" si="5"/>
        <v>0</v>
      </c>
      <c r="K21" s="43">
        <f t="shared" si="5"/>
        <v>0</v>
      </c>
      <c r="L21" s="43">
        <f>SUM(L18:L19)</f>
        <v>0</v>
      </c>
      <c r="M21" s="43">
        <f t="shared" ref="M21" si="6">SUM(M18:M19)</f>
        <v>0</v>
      </c>
      <c r="N21" s="43">
        <f>SUM(N18:N20)</f>
        <v>0</v>
      </c>
      <c r="O21" s="43">
        <f t="shared" ref="O21:AB21" si="7">SUM(O18:O20)</f>
        <v>0</v>
      </c>
      <c r="P21" s="43">
        <f t="shared" si="7"/>
        <v>0</v>
      </c>
      <c r="Q21" s="43">
        <f t="shared" si="7"/>
        <v>0</v>
      </c>
      <c r="R21" s="43">
        <f t="shared" si="7"/>
        <v>0</v>
      </c>
      <c r="S21" s="43">
        <f t="shared" si="7"/>
        <v>0</v>
      </c>
      <c r="T21" s="43">
        <f t="shared" si="7"/>
        <v>4770</v>
      </c>
      <c r="U21" s="43">
        <f t="shared" si="7"/>
        <v>0</v>
      </c>
      <c r="V21" s="43">
        <f t="shared" si="7"/>
        <v>1014.32</v>
      </c>
      <c r="W21" s="43">
        <f t="shared" si="7"/>
        <v>0</v>
      </c>
      <c r="X21" s="43">
        <f t="shared" si="7"/>
        <v>0</v>
      </c>
      <c r="Y21" s="43">
        <f t="shared" si="7"/>
        <v>0</v>
      </c>
      <c r="Z21" s="43">
        <f t="shared" si="7"/>
        <v>0</v>
      </c>
      <c r="AA21" s="43">
        <f t="shared" si="7"/>
        <v>0</v>
      </c>
      <c r="AB21" s="43">
        <f t="shared" si="7"/>
        <v>0</v>
      </c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3"/>
      <c r="AP21" s="43"/>
      <c r="AQ21" s="43"/>
      <c r="AR21" s="43"/>
      <c r="AS21" s="43"/>
      <c r="AT21" s="43"/>
      <c r="AU21" s="43"/>
      <c r="AV21" s="43"/>
      <c r="AW21" s="46">
        <f>SUM(AW18:AW19)</f>
        <v>4770</v>
      </c>
    </row>
    <row r="22" spans="1:49" s="16" customFormat="1" ht="12" x14ac:dyDescent="0.2">
      <c r="A22" s="89"/>
      <c r="B22" s="26"/>
      <c r="C22" s="27"/>
      <c r="D22" s="26">
        <v>600723</v>
      </c>
      <c r="E22" s="28"/>
      <c r="F22" s="29"/>
      <c r="G22" s="28"/>
      <c r="H22" s="29"/>
      <c r="I22" s="28"/>
      <c r="J22" s="29"/>
      <c r="K22" s="28"/>
      <c r="L22" s="29"/>
      <c r="M22" s="28"/>
      <c r="N22" s="29"/>
      <c r="O22" s="28"/>
      <c r="P22" s="29">
        <v>13185</v>
      </c>
      <c r="Q22" s="28"/>
      <c r="R22" s="29"/>
      <c r="S22" s="28"/>
      <c r="T22" s="29"/>
      <c r="U22" s="30"/>
      <c r="V22" s="29"/>
      <c r="W22" s="30"/>
      <c r="X22" s="29"/>
      <c r="Y22" s="31"/>
      <c r="Z22" s="29"/>
      <c r="AA22" s="30"/>
      <c r="AB22" s="29"/>
      <c r="AC22" s="30"/>
      <c r="AD22" s="29"/>
      <c r="AE22" s="30"/>
      <c r="AF22" s="29"/>
      <c r="AG22" s="30"/>
      <c r="AH22" s="29"/>
      <c r="AI22" s="30"/>
      <c r="AJ22" s="29"/>
      <c r="AK22" s="30"/>
      <c r="AL22" s="29"/>
      <c r="AM22" s="30"/>
      <c r="AN22" s="29"/>
      <c r="AO22" s="30"/>
      <c r="AP22" s="29"/>
      <c r="AQ22" s="30"/>
      <c r="AR22" s="29"/>
      <c r="AS22" s="30"/>
      <c r="AT22" s="29"/>
      <c r="AU22" s="30"/>
      <c r="AV22" s="29"/>
      <c r="AW22" s="34">
        <f>F22+H22+J22+L22+N22+R22+T22+V22+X22+Z22+AB22</f>
        <v>0</v>
      </c>
    </row>
    <row r="23" spans="1:49" s="16" customFormat="1" ht="12" x14ac:dyDescent="0.2">
      <c r="A23" s="95"/>
      <c r="B23" s="96"/>
      <c r="C23" s="97"/>
      <c r="D23" s="35">
        <v>600723</v>
      </c>
      <c r="E23" s="36"/>
      <c r="F23" s="20"/>
      <c r="G23" s="36"/>
      <c r="H23" s="20"/>
      <c r="I23" s="36"/>
      <c r="J23" s="20"/>
      <c r="K23" s="36"/>
      <c r="L23" s="20"/>
      <c r="M23" s="36"/>
      <c r="N23" s="20"/>
      <c r="O23" s="36"/>
      <c r="P23" s="20"/>
      <c r="Q23" s="36"/>
      <c r="R23" s="20"/>
      <c r="S23" s="36"/>
      <c r="T23" s="20"/>
      <c r="U23" s="37"/>
      <c r="V23" s="20"/>
      <c r="W23" s="37"/>
      <c r="X23" s="20"/>
      <c r="Y23" s="38"/>
      <c r="Z23" s="20"/>
      <c r="AA23" s="37"/>
      <c r="AB23" s="20"/>
      <c r="AC23" s="37"/>
      <c r="AD23" s="20"/>
      <c r="AE23" s="37"/>
      <c r="AF23" s="20"/>
      <c r="AG23" s="37"/>
      <c r="AH23" s="20"/>
      <c r="AI23" s="37"/>
      <c r="AJ23" s="20"/>
      <c r="AK23" s="37"/>
      <c r="AL23" s="20"/>
      <c r="AM23" s="37"/>
      <c r="AN23" s="20"/>
      <c r="AO23" s="37"/>
      <c r="AP23" s="20"/>
      <c r="AQ23" s="37"/>
      <c r="AR23" s="20"/>
      <c r="AS23" s="37"/>
      <c r="AT23" s="20"/>
      <c r="AU23" s="37"/>
      <c r="AV23" s="20"/>
      <c r="AW23" s="34">
        <f>F23+H23+J23+L23+N23+R23+T23+V23+X23+Z23+AB23</f>
        <v>0</v>
      </c>
    </row>
    <row r="24" spans="1:49" s="47" customFormat="1" ht="12" x14ac:dyDescent="0.2">
      <c r="A24" s="41"/>
      <c r="B24" s="39"/>
      <c r="C24" s="40"/>
      <c r="D24" s="41"/>
      <c r="E24" s="42"/>
      <c r="F24" s="43"/>
      <c r="G24" s="42"/>
      <c r="H24" s="43">
        <f t="shared" ref="H24:AB24" si="8">SUM(H22:H23)</f>
        <v>0</v>
      </c>
      <c r="I24" s="43">
        <f t="shared" si="8"/>
        <v>0</v>
      </c>
      <c r="J24" s="43">
        <f t="shared" si="8"/>
        <v>0</v>
      </c>
      <c r="K24" s="43">
        <f t="shared" si="8"/>
        <v>0</v>
      </c>
      <c r="L24" s="43">
        <f t="shared" si="8"/>
        <v>0</v>
      </c>
      <c r="M24" s="43">
        <f t="shared" si="8"/>
        <v>0</v>
      </c>
      <c r="N24" s="43">
        <f t="shared" si="8"/>
        <v>0</v>
      </c>
      <c r="O24" s="43">
        <f t="shared" si="8"/>
        <v>0</v>
      </c>
      <c r="P24" s="43">
        <f t="shared" si="8"/>
        <v>13185</v>
      </c>
      <c r="Q24" s="43">
        <f t="shared" si="8"/>
        <v>0</v>
      </c>
      <c r="R24" s="43">
        <f t="shared" si="8"/>
        <v>0</v>
      </c>
      <c r="S24" s="43">
        <f t="shared" si="8"/>
        <v>0</v>
      </c>
      <c r="T24" s="43">
        <f t="shared" si="8"/>
        <v>0</v>
      </c>
      <c r="U24" s="43">
        <f t="shared" si="8"/>
        <v>0</v>
      </c>
      <c r="V24" s="43">
        <f t="shared" si="8"/>
        <v>0</v>
      </c>
      <c r="W24" s="43">
        <f t="shared" si="8"/>
        <v>0</v>
      </c>
      <c r="X24" s="43">
        <f t="shared" si="8"/>
        <v>0</v>
      </c>
      <c r="Y24" s="43">
        <f t="shared" si="8"/>
        <v>0</v>
      </c>
      <c r="Z24" s="43">
        <f t="shared" si="8"/>
        <v>0</v>
      </c>
      <c r="AA24" s="43">
        <f t="shared" si="8"/>
        <v>0</v>
      </c>
      <c r="AB24" s="43">
        <f t="shared" si="8"/>
        <v>0</v>
      </c>
      <c r="AC24" s="43"/>
      <c r="AD24" s="43"/>
      <c r="AE24" s="43"/>
      <c r="AF24" s="43"/>
      <c r="AG24" s="43"/>
      <c r="AH24" s="43"/>
      <c r="AI24" s="43"/>
      <c r="AJ24" s="43"/>
      <c r="AK24" s="43"/>
      <c r="AL24" s="43"/>
      <c r="AM24" s="43"/>
      <c r="AN24" s="43"/>
      <c r="AO24" s="43"/>
      <c r="AP24" s="43"/>
      <c r="AQ24" s="43"/>
      <c r="AR24" s="43"/>
      <c r="AS24" s="43"/>
      <c r="AT24" s="43"/>
      <c r="AU24" s="43"/>
      <c r="AV24" s="43"/>
      <c r="AW24" s="46">
        <f>SUM(AW22:AW23)</f>
        <v>0</v>
      </c>
    </row>
    <row r="25" spans="1:49" s="16" customFormat="1" ht="12" x14ac:dyDescent="0.2">
      <c r="A25" s="89"/>
      <c r="B25" s="26"/>
      <c r="C25" s="27"/>
      <c r="D25" s="26">
        <v>600724</v>
      </c>
      <c r="E25" s="28"/>
      <c r="F25" s="29"/>
      <c r="G25" s="28"/>
      <c r="H25" s="29"/>
      <c r="I25" s="28"/>
      <c r="J25" s="29"/>
      <c r="K25" s="28"/>
      <c r="L25" s="29"/>
      <c r="M25" s="28"/>
      <c r="N25" s="29"/>
      <c r="O25" s="28"/>
      <c r="P25" s="29"/>
      <c r="Q25" s="28"/>
      <c r="R25" s="29"/>
      <c r="S25" s="28"/>
      <c r="T25" s="29"/>
      <c r="U25" s="30"/>
      <c r="V25" s="29">
        <v>16290</v>
      </c>
      <c r="W25" s="30"/>
      <c r="X25" s="29"/>
      <c r="Y25" s="31"/>
      <c r="Z25" s="29"/>
      <c r="AA25" s="30"/>
      <c r="AB25" s="29"/>
      <c r="AC25" s="30"/>
      <c r="AD25" s="29"/>
      <c r="AE25" s="30"/>
      <c r="AF25" s="29"/>
      <c r="AG25" s="30"/>
      <c r="AH25" s="29"/>
      <c r="AI25" s="30"/>
      <c r="AJ25" s="29"/>
      <c r="AK25" s="30"/>
      <c r="AL25" s="29"/>
      <c r="AM25" s="30"/>
      <c r="AN25" s="29"/>
      <c r="AO25" s="30"/>
      <c r="AP25" s="29"/>
      <c r="AQ25" s="30"/>
      <c r="AR25" s="29"/>
      <c r="AS25" s="30"/>
      <c r="AT25" s="29"/>
      <c r="AU25" s="30"/>
      <c r="AV25" s="29"/>
      <c r="AW25" s="34">
        <f>F25+H25+J25+L25+N25+P25+R25+T25+V25+X25+Z25+AB25</f>
        <v>16290</v>
      </c>
    </row>
    <row r="26" spans="1:49" s="16" customFormat="1" ht="12" x14ac:dyDescent="0.2">
      <c r="A26" s="88"/>
      <c r="B26" s="17"/>
      <c r="C26" s="18"/>
      <c r="D26" s="35">
        <v>600724</v>
      </c>
      <c r="E26" s="36"/>
      <c r="F26" s="20"/>
      <c r="G26" s="36"/>
      <c r="H26" s="20"/>
      <c r="I26" s="36"/>
      <c r="J26" s="20"/>
      <c r="K26" s="36"/>
      <c r="L26" s="20"/>
      <c r="M26" s="36"/>
      <c r="N26" s="20"/>
      <c r="O26" s="36"/>
      <c r="P26" s="20"/>
      <c r="Q26" s="36"/>
      <c r="R26" s="20"/>
      <c r="S26" s="36"/>
      <c r="T26" s="20"/>
      <c r="U26" s="37"/>
      <c r="V26" s="20"/>
      <c r="W26" s="37"/>
      <c r="X26" s="20"/>
      <c r="Y26" s="38"/>
      <c r="Z26" s="20"/>
      <c r="AA26" s="37"/>
      <c r="AB26" s="20"/>
      <c r="AC26" s="37"/>
      <c r="AD26" s="20"/>
      <c r="AE26" s="37"/>
      <c r="AF26" s="20"/>
      <c r="AG26" s="37"/>
      <c r="AH26" s="20"/>
      <c r="AI26" s="37"/>
      <c r="AJ26" s="20"/>
      <c r="AK26" s="37"/>
      <c r="AL26" s="20"/>
      <c r="AM26" s="37"/>
      <c r="AN26" s="20"/>
      <c r="AO26" s="37"/>
      <c r="AP26" s="20"/>
      <c r="AQ26" s="37"/>
      <c r="AR26" s="20"/>
      <c r="AS26" s="37"/>
      <c r="AT26" s="20"/>
      <c r="AU26" s="37"/>
      <c r="AV26" s="20"/>
      <c r="AW26" s="34">
        <f>F26+H26+J26+L26+N26+P26+R26+T26+V26+X26+Z26+AB26</f>
        <v>0</v>
      </c>
    </row>
    <row r="27" spans="1:49" s="47" customFormat="1" ht="12" x14ac:dyDescent="0.2">
      <c r="A27" s="41"/>
      <c r="B27" s="39"/>
      <c r="C27" s="40"/>
      <c r="D27" s="41"/>
      <c r="E27" s="42"/>
      <c r="F27" s="43"/>
      <c r="G27" s="42"/>
      <c r="H27" s="43">
        <f t="shared" ref="H27:K27" si="9">SUM(H25:H26)</f>
        <v>0</v>
      </c>
      <c r="I27" s="43">
        <f t="shared" si="9"/>
        <v>0</v>
      </c>
      <c r="J27" s="43">
        <f t="shared" si="9"/>
        <v>0</v>
      </c>
      <c r="K27" s="43">
        <f t="shared" si="9"/>
        <v>0</v>
      </c>
      <c r="L27" s="43">
        <f>SUM(L25:L26)</f>
        <v>0</v>
      </c>
      <c r="M27" s="43">
        <f t="shared" ref="M27:AB27" si="10">SUM(M25:M26)</f>
        <v>0</v>
      </c>
      <c r="N27" s="43">
        <f t="shared" si="10"/>
        <v>0</v>
      </c>
      <c r="O27" s="43">
        <f t="shared" si="10"/>
        <v>0</v>
      </c>
      <c r="P27" s="43">
        <f t="shared" si="10"/>
        <v>0</v>
      </c>
      <c r="Q27" s="43">
        <f t="shared" si="10"/>
        <v>0</v>
      </c>
      <c r="R27" s="43">
        <f t="shared" si="10"/>
        <v>0</v>
      </c>
      <c r="S27" s="43">
        <f t="shared" si="10"/>
        <v>0</v>
      </c>
      <c r="T27" s="43">
        <f t="shared" si="10"/>
        <v>0</v>
      </c>
      <c r="U27" s="43">
        <f t="shared" si="10"/>
        <v>0</v>
      </c>
      <c r="V27" s="43">
        <f t="shared" si="10"/>
        <v>16290</v>
      </c>
      <c r="W27" s="43">
        <f t="shared" si="10"/>
        <v>0</v>
      </c>
      <c r="X27" s="43">
        <f t="shared" si="10"/>
        <v>0</v>
      </c>
      <c r="Y27" s="43">
        <f t="shared" si="10"/>
        <v>0</v>
      </c>
      <c r="Z27" s="43">
        <f t="shared" si="10"/>
        <v>0</v>
      </c>
      <c r="AA27" s="43">
        <f t="shared" si="10"/>
        <v>0</v>
      </c>
      <c r="AB27" s="43">
        <f t="shared" si="10"/>
        <v>0</v>
      </c>
      <c r="AC27" s="43"/>
      <c r="AD27" s="43"/>
      <c r="AE27" s="43"/>
      <c r="AF27" s="43"/>
      <c r="AG27" s="43"/>
      <c r="AH27" s="43"/>
      <c r="AI27" s="43"/>
      <c r="AJ27" s="43"/>
      <c r="AK27" s="43"/>
      <c r="AL27" s="43"/>
      <c r="AM27" s="43"/>
      <c r="AN27" s="43"/>
      <c r="AO27" s="43"/>
      <c r="AP27" s="43"/>
      <c r="AQ27" s="43"/>
      <c r="AR27" s="43"/>
      <c r="AS27" s="43"/>
      <c r="AT27" s="43"/>
      <c r="AU27" s="43"/>
      <c r="AV27" s="43"/>
      <c r="AW27" s="46">
        <f>SUM(AW25:AW26)</f>
        <v>16290</v>
      </c>
    </row>
    <row r="28" spans="1:49" s="16" customFormat="1" ht="12" x14ac:dyDescent="0.2">
      <c r="A28" s="89"/>
      <c r="B28" s="26"/>
      <c r="C28" s="27"/>
      <c r="D28" s="26">
        <v>600728</v>
      </c>
      <c r="E28" s="19"/>
      <c r="F28" s="20"/>
      <c r="G28" s="19"/>
      <c r="H28" s="20"/>
      <c r="I28" s="19"/>
      <c r="J28" s="20"/>
      <c r="K28" s="19"/>
      <c r="L28" s="20"/>
      <c r="M28" s="19"/>
      <c r="N28" s="20">
        <v>19353.150000000001</v>
      </c>
      <c r="O28" s="19"/>
      <c r="P28" s="20">
        <v>11984.53</v>
      </c>
      <c r="Q28" s="19"/>
      <c r="R28" s="20">
        <v>20047.47</v>
      </c>
      <c r="S28" s="19"/>
      <c r="T28" s="20"/>
      <c r="U28" s="21"/>
      <c r="V28" s="20"/>
      <c r="W28" s="21"/>
      <c r="X28" s="20">
        <v>3125</v>
      </c>
      <c r="Y28" s="31"/>
      <c r="Z28" s="29"/>
      <c r="AA28" s="30"/>
      <c r="AB28" s="29"/>
      <c r="AC28" s="30"/>
      <c r="AD28" s="29"/>
      <c r="AE28" s="30"/>
      <c r="AF28" s="29"/>
      <c r="AG28" s="30"/>
      <c r="AH28" s="29"/>
      <c r="AI28" s="30"/>
      <c r="AJ28" s="29"/>
      <c r="AK28" s="30"/>
      <c r="AL28" s="29"/>
      <c r="AM28" s="30"/>
      <c r="AN28" s="29"/>
      <c r="AO28" s="30"/>
      <c r="AP28" s="29"/>
      <c r="AQ28" s="30"/>
      <c r="AR28" s="29"/>
      <c r="AS28" s="30"/>
      <c r="AT28" s="29"/>
      <c r="AU28" s="30"/>
      <c r="AV28" s="29"/>
      <c r="AW28" s="34">
        <f>F28+H28+J28+L28+N28+P28+R28+T28+V28+X28+Z28+AB28</f>
        <v>54510.15</v>
      </c>
    </row>
    <row r="29" spans="1:49" s="16" customFormat="1" ht="12" x14ac:dyDescent="0.2">
      <c r="A29" s="99"/>
      <c r="B29" s="100"/>
      <c r="C29" s="101"/>
      <c r="D29" s="26">
        <v>600728</v>
      </c>
      <c r="E29" s="28"/>
      <c r="F29" s="29"/>
      <c r="G29" s="28"/>
      <c r="H29" s="29"/>
      <c r="I29" s="28"/>
      <c r="J29" s="29"/>
      <c r="K29" s="28"/>
      <c r="L29" s="29"/>
      <c r="M29" s="28"/>
      <c r="N29" s="29"/>
      <c r="O29" s="28"/>
      <c r="P29" s="29"/>
      <c r="Q29" s="28"/>
      <c r="R29" s="29"/>
      <c r="S29" s="28"/>
      <c r="T29" s="29"/>
      <c r="U29" s="30"/>
      <c r="V29" s="29">
        <v>250</v>
      </c>
      <c r="W29" s="30"/>
      <c r="X29" s="29"/>
      <c r="Y29" s="81"/>
      <c r="Z29" s="98"/>
      <c r="AA29" s="81"/>
      <c r="AB29" s="98"/>
      <c r="AC29" s="81"/>
      <c r="AD29" s="98"/>
      <c r="AE29" s="81"/>
      <c r="AF29" s="98"/>
      <c r="AG29" s="81"/>
      <c r="AH29" s="98"/>
      <c r="AI29" s="81"/>
      <c r="AJ29" s="98"/>
      <c r="AK29" s="81"/>
      <c r="AL29" s="98"/>
      <c r="AM29" s="81"/>
      <c r="AN29" s="98"/>
      <c r="AO29" s="81"/>
      <c r="AP29" s="98"/>
      <c r="AQ29" s="81"/>
      <c r="AR29" s="98"/>
      <c r="AS29" s="81"/>
      <c r="AT29" s="98"/>
      <c r="AU29" s="81"/>
      <c r="AV29" s="98"/>
      <c r="AW29" s="34">
        <f>F29+H29+J29+L29+N29+P29+R29+T29+V29+X29+Z29+AB29</f>
        <v>250</v>
      </c>
    </row>
    <row r="30" spans="1:49" s="47" customFormat="1" ht="12" x14ac:dyDescent="0.2">
      <c r="A30" s="41"/>
      <c r="B30" s="39"/>
      <c r="C30" s="40"/>
      <c r="D30" s="41"/>
      <c r="E30" s="42"/>
      <c r="F30" s="43"/>
      <c r="G30" s="42"/>
      <c r="H30" s="43"/>
      <c r="I30" s="43"/>
      <c r="J30" s="43"/>
      <c r="K30" s="43"/>
      <c r="L30" s="43"/>
      <c r="M30" s="43"/>
      <c r="N30" s="43">
        <f>SUM(N28:N29)</f>
        <v>19353.150000000001</v>
      </c>
      <c r="O30" s="43">
        <f t="shared" ref="O30:Z30" si="11">SUM(O28:O29)</f>
        <v>0</v>
      </c>
      <c r="P30" s="43">
        <f t="shared" si="11"/>
        <v>11984.53</v>
      </c>
      <c r="Q30" s="43">
        <f t="shared" si="11"/>
        <v>0</v>
      </c>
      <c r="R30" s="43">
        <f t="shared" si="11"/>
        <v>20047.47</v>
      </c>
      <c r="S30" s="43">
        <f t="shared" si="11"/>
        <v>0</v>
      </c>
      <c r="T30" s="43">
        <f t="shared" si="11"/>
        <v>0</v>
      </c>
      <c r="U30" s="43">
        <f t="shared" si="11"/>
        <v>0</v>
      </c>
      <c r="V30" s="43">
        <f t="shared" si="11"/>
        <v>250</v>
      </c>
      <c r="W30" s="43">
        <f t="shared" si="11"/>
        <v>0</v>
      </c>
      <c r="X30" s="43">
        <f t="shared" si="11"/>
        <v>3125</v>
      </c>
      <c r="Y30" s="43">
        <f t="shared" si="11"/>
        <v>0</v>
      </c>
      <c r="Z30" s="43">
        <f t="shared" si="11"/>
        <v>0</v>
      </c>
      <c r="AA30" s="43"/>
      <c r="AB30" s="43"/>
      <c r="AC30" s="43"/>
      <c r="AD30" s="43"/>
      <c r="AE30" s="43"/>
      <c r="AF30" s="43"/>
      <c r="AG30" s="43"/>
      <c r="AH30" s="43"/>
      <c r="AI30" s="43"/>
      <c r="AJ30" s="43"/>
      <c r="AK30" s="43"/>
      <c r="AL30" s="43"/>
      <c r="AM30" s="43"/>
      <c r="AN30" s="43"/>
      <c r="AO30" s="43"/>
      <c r="AP30" s="43"/>
      <c r="AQ30" s="43"/>
      <c r="AR30" s="43"/>
      <c r="AS30" s="43"/>
      <c r="AT30" s="43"/>
      <c r="AU30" s="43"/>
      <c r="AV30" s="43"/>
      <c r="AW30" s="46">
        <f>SUM(AW28:AW29)</f>
        <v>54760.15</v>
      </c>
    </row>
    <row r="31" spans="1:49" s="16" customFormat="1" ht="12" x14ac:dyDescent="0.2">
      <c r="A31" s="88"/>
      <c r="B31" s="17"/>
      <c r="C31" s="18"/>
      <c r="D31" s="17">
        <v>601000</v>
      </c>
      <c r="E31" s="19"/>
      <c r="F31" s="20"/>
      <c r="G31" s="19"/>
      <c r="H31" s="20"/>
      <c r="I31" s="19"/>
      <c r="J31" s="20"/>
      <c r="K31" s="19"/>
      <c r="L31" s="20"/>
      <c r="M31" s="19"/>
      <c r="N31" s="20"/>
      <c r="O31" s="19"/>
      <c r="P31" s="20"/>
      <c r="Q31" s="19"/>
      <c r="R31" s="20"/>
      <c r="S31" s="19"/>
      <c r="T31" s="20"/>
      <c r="U31" s="21">
        <f>0.5*C31</f>
        <v>0</v>
      </c>
      <c r="V31" s="20">
        <f>0.5*C31</f>
        <v>0</v>
      </c>
      <c r="W31" s="21">
        <f>4.5*$C$31</f>
        <v>0</v>
      </c>
      <c r="X31" s="20">
        <f>3.5*$C$31</f>
        <v>0</v>
      </c>
      <c r="Y31" s="22">
        <f>4.5*$C$31</f>
        <v>0</v>
      </c>
      <c r="Z31" s="20"/>
      <c r="AA31" s="21">
        <f>4.5*C31</f>
        <v>0</v>
      </c>
      <c r="AB31" s="20"/>
      <c r="AC31" s="21"/>
      <c r="AD31" s="20"/>
      <c r="AE31" s="21"/>
      <c r="AF31" s="20"/>
      <c r="AG31" s="21"/>
      <c r="AH31" s="20"/>
      <c r="AI31" s="21"/>
      <c r="AJ31" s="20"/>
      <c r="AK31" s="21"/>
      <c r="AL31" s="20"/>
      <c r="AM31" s="21"/>
      <c r="AN31" s="20"/>
      <c r="AO31" s="21"/>
      <c r="AP31" s="20"/>
      <c r="AQ31" s="21"/>
      <c r="AR31" s="20"/>
      <c r="AS31" s="21"/>
      <c r="AT31" s="20"/>
      <c r="AU31" s="21"/>
      <c r="AV31" s="20"/>
      <c r="AW31" s="25">
        <f>F31+H31+J31+L31+N31+P31+R31+T31+V31+X31+Z31+AB31</f>
        <v>0</v>
      </c>
    </row>
    <row r="32" spans="1:49" s="16" customFormat="1" ht="12" x14ac:dyDescent="0.2">
      <c r="A32" s="89"/>
      <c r="B32" s="26"/>
      <c r="C32" s="27"/>
      <c r="D32" s="26">
        <v>601000</v>
      </c>
      <c r="E32" s="28"/>
      <c r="F32" s="29"/>
      <c r="G32" s="28"/>
      <c r="H32" s="29"/>
      <c r="I32" s="28"/>
      <c r="J32" s="29"/>
      <c r="K32" s="28"/>
      <c r="L32" s="29"/>
      <c r="M32" s="28"/>
      <c r="N32" s="29"/>
      <c r="O32" s="28"/>
      <c r="P32" s="29"/>
      <c r="Q32" s="28"/>
      <c r="R32" s="29"/>
      <c r="S32" s="28"/>
      <c r="T32" s="29"/>
      <c r="U32" s="30"/>
      <c r="V32" s="29">
        <f>14*C32</f>
        <v>0</v>
      </c>
      <c r="W32" s="30"/>
      <c r="X32" s="29">
        <f>19*C32</f>
        <v>0</v>
      </c>
      <c r="Y32" s="31"/>
      <c r="Z32" s="29"/>
      <c r="AA32" s="30"/>
      <c r="AB32" s="29"/>
      <c r="AC32" s="30"/>
      <c r="AD32" s="29"/>
      <c r="AE32" s="30"/>
      <c r="AF32" s="29"/>
      <c r="AG32" s="30"/>
      <c r="AH32" s="29"/>
      <c r="AI32" s="30"/>
      <c r="AJ32" s="29"/>
      <c r="AK32" s="30"/>
      <c r="AL32" s="29"/>
      <c r="AM32" s="30"/>
      <c r="AN32" s="29"/>
      <c r="AO32" s="30"/>
      <c r="AP32" s="29"/>
      <c r="AQ32" s="30"/>
      <c r="AR32" s="29"/>
      <c r="AS32" s="30"/>
      <c r="AT32" s="29"/>
      <c r="AU32" s="30"/>
      <c r="AV32" s="29"/>
      <c r="AW32" s="25">
        <f t="shared" ref="AW32:AW33" si="12">F32+H32+J32+L32+N32+P32+R32+T32+V32+X32+Z32+AB32</f>
        <v>0</v>
      </c>
    </row>
    <row r="33" spans="1:49" s="16" customFormat="1" ht="12" x14ac:dyDescent="0.2">
      <c r="A33" s="88"/>
      <c r="B33" s="17"/>
      <c r="C33" s="18"/>
      <c r="D33" s="17">
        <v>601000</v>
      </c>
      <c r="E33" s="19"/>
      <c r="F33" s="20"/>
      <c r="G33" s="19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2"/>
      <c r="Z33" s="20"/>
      <c r="AA33" s="21"/>
      <c r="AB33" s="20"/>
      <c r="AC33" s="21"/>
      <c r="AD33" s="20"/>
      <c r="AE33" s="21"/>
      <c r="AF33" s="20"/>
      <c r="AG33" s="21"/>
      <c r="AH33" s="20"/>
      <c r="AI33" s="21"/>
      <c r="AJ33" s="20"/>
      <c r="AK33" s="21"/>
      <c r="AL33" s="20"/>
      <c r="AM33" s="21"/>
      <c r="AN33" s="20"/>
      <c r="AO33" s="21"/>
      <c r="AP33" s="20"/>
      <c r="AQ33" s="21"/>
      <c r="AR33" s="20"/>
      <c r="AS33" s="21"/>
      <c r="AT33" s="20"/>
      <c r="AU33" s="21"/>
      <c r="AV33" s="20"/>
      <c r="AW33" s="25">
        <f t="shared" si="12"/>
        <v>0</v>
      </c>
    </row>
    <row r="34" spans="1:49" s="16" customFormat="1" ht="12" x14ac:dyDescent="0.2">
      <c r="A34" s="102"/>
      <c r="B34" s="60"/>
      <c r="C34" s="61"/>
      <c r="D34" s="41"/>
      <c r="E34" s="42"/>
      <c r="F34" s="62"/>
      <c r="G34" s="42"/>
      <c r="H34" s="63">
        <f>SUM(H31:H33)</f>
        <v>0</v>
      </c>
      <c r="I34" s="63">
        <f t="shared" ref="I34:X34" si="13">SUM(I31:I33)</f>
        <v>0</v>
      </c>
      <c r="J34" s="63">
        <f t="shared" si="13"/>
        <v>0</v>
      </c>
      <c r="K34" s="63">
        <f t="shared" si="13"/>
        <v>0</v>
      </c>
      <c r="L34" s="63">
        <f t="shared" si="13"/>
        <v>0</v>
      </c>
      <c r="M34" s="63">
        <f t="shared" si="13"/>
        <v>0</v>
      </c>
      <c r="N34" s="63">
        <f t="shared" si="13"/>
        <v>0</v>
      </c>
      <c r="O34" s="63">
        <f t="shared" si="13"/>
        <v>0</v>
      </c>
      <c r="P34" s="63">
        <f t="shared" si="13"/>
        <v>0</v>
      </c>
      <c r="Q34" s="63">
        <f t="shared" si="13"/>
        <v>0</v>
      </c>
      <c r="R34" s="63">
        <f t="shared" si="13"/>
        <v>0</v>
      </c>
      <c r="S34" s="63">
        <f t="shared" si="13"/>
        <v>0</v>
      </c>
      <c r="T34" s="63">
        <f t="shared" si="13"/>
        <v>0</v>
      </c>
      <c r="U34" s="63">
        <f t="shared" si="13"/>
        <v>0</v>
      </c>
      <c r="V34" s="63">
        <f t="shared" si="13"/>
        <v>0</v>
      </c>
      <c r="W34" s="63">
        <f t="shared" si="13"/>
        <v>0</v>
      </c>
      <c r="X34" s="63">
        <f t="shared" si="13"/>
        <v>0</v>
      </c>
      <c r="Y34" s="64">
        <f>SUM(Y28:Y33)</f>
        <v>0</v>
      </c>
      <c r="Z34" s="62">
        <f>SUM(Z28:Z33)</f>
        <v>0</v>
      </c>
      <c r="AA34" s="63">
        <f>SUM(AA28:AA33)</f>
        <v>0</v>
      </c>
      <c r="AB34" s="62">
        <f>SUM(AB28:AB33)</f>
        <v>0</v>
      </c>
      <c r="AC34" s="63"/>
      <c r="AD34" s="62"/>
      <c r="AE34" s="63"/>
      <c r="AF34" s="62"/>
      <c r="AG34" s="63"/>
      <c r="AH34" s="62"/>
      <c r="AI34" s="63"/>
      <c r="AJ34" s="62"/>
      <c r="AK34" s="63"/>
      <c r="AL34" s="62"/>
      <c r="AM34" s="63"/>
      <c r="AN34" s="62"/>
      <c r="AO34" s="63"/>
      <c r="AP34" s="62"/>
      <c r="AQ34" s="63"/>
      <c r="AR34" s="62"/>
      <c r="AS34" s="63"/>
      <c r="AT34" s="62"/>
      <c r="AU34" s="63"/>
      <c r="AV34" s="62"/>
      <c r="AW34" s="67">
        <f>SUM(AW31:AW33)</f>
        <v>0</v>
      </c>
    </row>
    <row r="35" spans="1:49" s="16" customFormat="1" ht="12" x14ac:dyDescent="0.2">
      <c r="A35" s="103"/>
      <c r="B35" s="68"/>
      <c r="C35" s="69"/>
      <c r="D35" s="68">
        <v>601002</v>
      </c>
      <c r="E35" s="70"/>
      <c r="F35" s="20"/>
      <c r="G35" s="70"/>
      <c r="H35" s="20"/>
      <c r="I35" s="20"/>
      <c r="J35" s="20"/>
      <c r="K35" s="20"/>
      <c r="L35" s="20"/>
      <c r="M35" s="20"/>
      <c r="N35" s="20"/>
      <c r="O35" s="70"/>
      <c r="P35" s="20">
        <v>196992.05</v>
      </c>
      <c r="Q35" s="70"/>
      <c r="R35" s="20"/>
      <c r="S35" s="70"/>
      <c r="T35" s="20"/>
      <c r="U35" s="71"/>
      <c r="V35" s="20"/>
      <c r="W35" s="71"/>
      <c r="X35" s="20"/>
      <c r="Y35" s="72"/>
      <c r="Z35" s="20"/>
      <c r="AA35" s="71"/>
      <c r="AB35" s="20"/>
      <c r="AC35" s="71"/>
      <c r="AD35" s="20"/>
      <c r="AE35" s="71"/>
      <c r="AF35" s="20"/>
      <c r="AG35" s="71"/>
      <c r="AH35" s="20"/>
      <c r="AI35" s="71"/>
      <c r="AJ35" s="20"/>
      <c r="AK35" s="71"/>
      <c r="AL35" s="20"/>
      <c r="AM35" s="71"/>
      <c r="AN35" s="20"/>
      <c r="AO35" s="71"/>
      <c r="AP35" s="20"/>
      <c r="AQ35" s="71"/>
      <c r="AR35" s="20"/>
      <c r="AS35" s="71"/>
      <c r="AT35" s="20"/>
      <c r="AU35" s="71"/>
      <c r="AV35" s="20"/>
      <c r="AW35" s="74">
        <f>F35+H35+J35+L35+N35+P35+R35+T35+V35+X35+Z35+AB35</f>
        <v>196992.05</v>
      </c>
    </row>
    <row r="36" spans="1:49" s="47" customFormat="1" ht="12" x14ac:dyDescent="0.2">
      <c r="A36" s="123"/>
      <c r="B36" s="124"/>
      <c r="C36" s="125"/>
      <c r="D36" s="123"/>
      <c r="E36" s="118"/>
      <c r="F36" s="118"/>
      <c r="G36" s="118"/>
      <c r="H36" s="118"/>
      <c r="I36" s="118"/>
      <c r="J36" s="118"/>
      <c r="K36" s="118"/>
      <c r="L36" s="118"/>
      <c r="M36" s="118"/>
      <c r="N36" s="118"/>
      <c r="O36" s="118"/>
      <c r="P36" s="118">
        <v>196992.05</v>
      </c>
      <c r="Q36" s="118"/>
      <c r="R36" s="118"/>
      <c r="S36" s="118"/>
      <c r="T36" s="118"/>
      <c r="U36" s="118"/>
      <c r="V36" s="118"/>
      <c r="W36" s="118"/>
      <c r="X36" s="118"/>
      <c r="Y36" s="118"/>
      <c r="Z36" s="118"/>
      <c r="AA36" s="118"/>
      <c r="AB36" s="118"/>
      <c r="AC36" s="118"/>
      <c r="AD36" s="118"/>
      <c r="AE36" s="118"/>
      <c r="AF36" s="118"/>
      <c r="AG36" s="118"/>
      <c r="AH36" s="118"/>
      <c r="AI36" s="118"/>
      <c r="AJ36" s="118"/>
      <c r="AK36" s="118"/>
      <c r="AL36" s="118"/>
      <c r="AM36" s="118"/>
      <c r="AN36" s="118"/>
      <c r="AO36" s="118"/>
      <c r="AP36" s="118"/>
      <c r="AQ36" s="118"/>
      <c r="AR36" s="118"/>
      <c r="AS36" s="118"/>
      <c r="AT36" s="118"/>
      <c r="AU36" s="118"/>
      <c r="AV36" s="118"/>
      <c r="AW36" s="118">
        <f>AW35</f>
        <v>196992.05</v>
      </c>
    </row>
    <row r="37" spans="1:49" s="16" customFormat="1" ht="12" x14ac:dyDescent="0.2">
      <c r="A37" s="89"/>
      <c r="B37" s="26"/>
      <c r="C37" s="27"/>
      <c r="D37" s="26">
        <v>601003</v>
      </c>
      <c r="E37" s="28"/>
      <c r="F37" s="29"/>
      <c r="G37" s="28"/>
      <c r="H37" s="29"/>
      <c r="I37" s="28"/>
      <c r="J37" s="29"/>
      <c r="K37" s="28"/>
      <c r="L37" s="29"/>
      <c r="M37" s="28"/>
      <c r="N37" s="29"/>
      <c r="O37" s="28"/>
      <c r="P37" s="29"/>
      <c r="Q37" s="28"/>
      <c r="R37" s="29"/>
      <c r="S37" s="28"/>
      <c r="T37" s="29">
        <v>64640</v>
      </c>
      <c r="U37" s="30"/>
      <c r="V37" s="29"/>
      <c r="W37" s="30"/>
      <c r="X37" s="29"/>
      <c r="Y37" s="31"/>
      <c r="Z37" s="29"/>
      <c r="AA37" s="30"/>
      <c r="AB37" s="29"/>
      <c r="AC37" s="30"/>
      <c r="AD37" s="29"/>
      <c r="AE37" s="30"/>
      <c r="AF37" s="29"/>
      <c r="AG37" s="30"/>
      <c r="AH37" s="29"/>
      <c r="AI37" s="30"/>
      <c r="AJ37" s="29"/>
      <c r="AK37" s="30"/>
      <c r="AL37" s="29"/>
      <c r="AM37" s="30"/>
      <c r="AN37" s="29"/>
      <c r="AO37" s="30"/>
      <c r="AP37" s="29"/>
      <c r="AQ37" s="30"/>
      <c r="AR37" s="29"/>
      <c r="AS37" s="30"/>
      <c r="AT37" s="29"/>
      <c r="AU37" s="30"/>
      <c r="AV37" s="29"/>
      <c r="AW37" s="34">
        <f>F37+H37+J37+L37+N37+P37+R37+T37+V37+X37+Z37+AB37</f>
        <v>64640</v>
      </c>
    </row>
    <row r="38" spans="1:49" s="47" customFormat="1" ht="12" x14ac:dyDescent="0.2">
      <c r="A38" s="123"/>
      <c r="B38" s="124"/>
      <c r="C38" s="125"/>
      <c r="D38" s="123"/>
      <c r="E38" s="118"/>
      <c r="F38" s="118"/>
      <c r="G38" s="118"/>
      <c r="H38" s="118"/>
      <c r="I38" s="118"/>
      <c r="J38" s="118"/>
      <c r="K38" s="118"/>
      <c r="L38" s="118"/>
      <c r="M38" s="118"/>
      <c r="N38" s="118"/>
      <c r="O38" s="118"/>
      <c r="P38" s="118"/>
      <c r="Q38" s="118"/>
      <c r="R38" s="118"/>
      <c r="S38" s="118"/>
      <c r="T38" s="118">
        <v>64640</v>
      </c>
      <c r="U38" s="118"/>
      <c r="V38" s="118"/>
      <c r="W38" s="118"/>
      <c r="X38" s="118"/>
      <c r="Y38" s="118"/>
      <c r="Z38" s="118"/>
      <c r="AA38" s="118"/>
      <c r="AB38" s="118"/>
      <c r="AC38" s="118"/>
      <c r="AD38" s="118"/>
      <c r="AE38" s="118"/>
      <c r="AF38" s="118"/>
      <c r="AG38" s="118"/>
      <c r="AH38" s="118"/>
      <c r="AI38" s="118"/>
      <c r="AJ38" s="118"/>
      <c r="AK38" s="118"/>
      <c r="AL38" s="118"/>
      <c r="AM38" s="118"/>
      <c r="AN38" s="118"/>
      <c r="AO38" s="118"/>
      <c r="AP38" s="118"/>
      <c r="AQ38" s="118"/>
      <c r="AR38" s="118"/>
      <c r="AS38" s="118"/>
      <c r="AT38" s="118"/>
      <c r="AU38" s="118"/>
      <c r="AV38" s="118"/>
      <c r="AW38" s="118">
        <f>AW37</f>
        <v>64640</v>
      </c>
    </row>
    <row r="39" spans="1:49" s="16" customFormat="1" ht="12" x14ac:dyDescent="0.2">
      <c r="A39" s="89"/>
      <c r="B39" s="26"/>
      <c r="C39" s="27"/>
      <c r="D39" s="17">
        <v>601004</v>
      </c>
      <c r="E39" s="36"/>
      <c r="F39" s="20"/>
      <c r="G39" s="36"/>
      <c r="H39" s="20"/>
      <c r="I39" s="36"/>
      <c r="J39" s="20"/>
      <c r="K39" s="36"/>
      <c r="L39" s="20"/>
      <c r="M39" s="36"/>
      <c r="N39" s="20"/>
      <c r="O39" s="36"/>
      <c r="P39" s="20"/>
      <c r="Q39" s="36"/>
      <c r="R39" s="20"/>
      <c r="S39" s="36"/>
      <c r="T39" s="20"/>
      <c r="U39" s="21"/>
      <c r="V39" s="20"/>
      <c r="W39" s="21"/>
      <c r="X39" s="20">
        <v>16170</v>
      </c>
      <c r="Y39" s="114">
        <v>37730</v>
      </c>
      <c r="Z39" s="62"/>
      <c r="AA39" s="115"/>
      <c r="AB39" s="20"/>
      <c r="AC39" s="21"/>
      <c r="AD39" s="20"/>
      <c r="AE39" s="21"/>
      <c r="AF39" s="20"/>
      <c r="AG39" s="21"/>
      <c r="AH39" s="20"/>
      <c r="AI39" s="21"/>
      <c r="AJ39" s="20"/>
      <c r="AK39" s="21"/>
      <c r="AL39" s="20"/>
      <c r="AM39" s="21"/>
      <c r="AN39" s="20"/>
      <c r="AO39" s="21"/>
      <c r="AP39" s="20"/>
      <c r="AQ39" s="21"/>
      <c r="AR39" s="20"/>
      <c r="AS39" s="21"/>
      <c r="AT39" s="20"/>
      <c r="AU39" s="117">
        <f t="shared" ref="AU39:AU43" si="14">Y39+AA39+AC39+AE39+AG39+AI39+AK39+AM39+AO39+AQ39+AS39</f>
        <v>37730</v>
      </c>
      <c r="AV39" s="119">
        <f>F39+H39+J39+L39+N39+P39+R39+T39+V39+X39+Z39+AB39+AD39+AF39+AH39+AJ39+AL39+AN39+AP39+AR39+AT39</f>
        <v>16170</v>
      </c>
      <c r="AW39" s="36">
        <f>SUM(AU39:AV39)</f>
        <v>53900</v>
      </c>
    </row>
    <row r="40" spans="1:49" s="16" customFormat="1" ht="12" x14ac:dyDescent="0.2">
      <c r="A40" s="88"/>
      <c r="B40" s="17"/>
      <c r="C40" s="18"/>
      <c r="D40" s="17">
        <v>601004</v>
      </c>
      <c r="E40" s="36"/>
      <c r="F40" s="20"/>
      <c r="G40" s="36"/>
      <c r="H40" s="20"/>
      <c r="I40" s="36"/>
      <c r="J40" s="20"/>
      <c r="K40" s="36"/>
      <c r="L40" s="20"/>
      <c r="M40" s="36"/>
      <c r="N40" s="20"/>
      <c r="O40" s="36"/>
      <c r="P40" s="20"/>
      <c r="Q40" s="36"/>
      <c r="R40" s="20"/>
      <c r="S40" s="36"/>
      <c r="T40" s="20"/>
      <c r="U40" s="21"/>
      <c r="V40" s="20"/>
      <c r="W40" s="21"/>
      <c r="X40" s="20"/>
      <c r="Y40" s="114">
        <v>500</v>
      </c>
      <c r="Z40" s="62"/>
      <c r="AA40" s="115"/>
      <c r="AB40" s="20"/>
      <c r="AC40" s="21"/>
      <c r="AD40" s="20"/>
      <c r="AE40" s="21"/>
      <c r="AF40" s="20"/>
      <c r="AG40" s="21"/>
      <c r="AH40" s="20"/>
      <c r="AI40" s="21"/>
      <c r="AJ40" s="20"/>
      <c r="AK40" s="21"/>
      <c r="AL40" s="20"/>
      <c r="AM40" s="21"/>
      <c r="AN40" s="20"/>
      <c r="AO40" s="21"/>
      <c r="AP40" s="20"/>
      <c r="AQ40" s="21"/>
      <c r="AR40" s="20"/>
      <c r="AS40" s="21"/>
      <c r="AT40" s="20"/>
      <c r="AU40" s="117">
        <f t="shared" si="14"/>
        <v>500</v>
      </c>
      <c r="AV40" s="119">
        <f t="shared" ref="AV40:AV45" si="15">F40+H40+J40+L40+N40+P40+R40+T40+V40+X40+Z40+AB40+AD40+AF40+AH40+AJ40+AL40+AN40+AP40+AR40+AT40</f>
        <v>0</v>
      </c>
      <c r="AW40" s="36">
        <f t="shared" ref="AW40:AW45" si="16">SUM(AU40:AV40)</f>
        <v>500</v>
      </c>
    </row>
    <row r="41" spans="1:49" s="16" customFormat="1" ht="12" x14ac:dyDescent="0.2">
      <c r="A41" s="89"/>
      <c r="B41" s="26"/>
      <c r="C41" s="27"/>
      <c r="D41" s="17">
        <v>601004</v>
      </c>
      <c r="E41" s="36"/>
      <c r="F41" s="20"/>
      <c r="G41" s="36"/>
      <c r="H41" s="20"/>
      <c r="I41" s="36"/>
      <c r="J41" s="20"/>
      <c r="K41" s="36"/>
      <c r="L41" s="20"/>
      <c r="M41" s="36"/>
      <c r="N41" s="20"/>
      <c r="O41" s="36"/>
      <c r="P41" s="20">
        <v>11310</v>
      </c>
      <c r="Q41" s="36"/>
      <c r="R41" s="20">
        <v>2880</v>
      </c>
      <c r="S41" s="36"/>
      <c r="T41" s="20"/>
      <c r="U41" s="21"/>
      <c r="V41" s="20"/>
      <c r="W41" s="21"/>
      <c r="X41" s="20"/>
      <c r="Y41" s="116"/>
      <c r="Z41" s="62"/>
      <c r="AA41" s="115"/>
      <c r="AB41" s="20"/>
      <c r="AC41" s="21"/>
      <c r="AD41" s="20"/>
      <c r="AE41" s="21"/>
      <c r="AF41" s="20"/>
      <c r="AG41" s="21"/>
      <c r="AH41" s="20"/>
      <c r="AI41" s="21"/>
      <c r="AJ41" s="20"/>
      <c r="AK41" s="21"/>
      <c r="AL41" s="20"/>
      <c r="AM41" s="21"/>
      <c r="AN41" s="20"/>
      <c r="AO41" s="21"/>
      <c r="AP41" s="20"/>
      <c r="AQ41" s="21"/>
      <c r="AR41" s="20"/>
      <c r="AS41" s="21"/>
      <c r="AT41" s="20"/>
      <c r="AU41" s="117">
        <f t="shared" si="14"/>
        <v>0</v>
      </c>
      <c r="AV41" s="119">
        <f t="shared" si="15"/>
        <v>14190</v>
      </c>
      <c r="AW41" s="36">
        <f t="shared" si="16"/>
        <v>14190</v>
      </c>
    </row>
    <row r="42" spans="1:49" s="16" customFormat="1" ht="12" x14ac:dyDescent="0.2">
      <c r="A42" s="88"/>
      <c r="B42" s="17"/>
      <c r="C42" s="18"/>
      <c r="D42" s="17">
        <v>601004</v>
      </c>
      <c r="E42" s="36"/>
      <c r="F42" s="20"/>
      <c r="G42" s="36"/>
      <c r="H42" s="20"/>
      <c r="I42" s="36"/>
      <c r="J42" s="20"/>
      <c r="K42" s="36"/>
      <c r="L42" s="20"/>
      <c r="M42" s="36"/>
      <c r="N42" s="20"/>
      <c r="O42" s="36"/>
      <c r="P42" s="20"/>
      <c r="Q42" s="36"/>
      <c r="R42" s="20"/>
      <c r="S42" s="36"/>
      <c r="T42" s="20"/>
      <c r="U42" s="21"/>
      <c r="V42" s="20"/>
      <c r="W42" s="21"/>
      <c r="X42" s="20"/>
      <c r="Y42" s="116"/>
      <c r="Z42" s="62"/>
      <c r="AA42" s="115"/>
      <c r="AB42" s="20"/>
      <c r="AC42" s="21"/>
      <c r="AD42" s="20"/>
      <c r="AE42" s="21"/>
      <c r="AF42" s="20"/>
      <c r="AG42" s="21"/>
      <c r="AH42" s="20"/>
      <c r="AI42" s="21"/>
      <c r="AJ42" s="20"/>
      <c r="AK42" s="21"/>
      <c r="AL42" s="20"/>
      <c r="AM42" s="21"/>
      <c r="AN42" s="20"/>
      <c r="AO42" s="21"/>
      <c r="AP42" s="20"/>
      <c r="AQ42" s="21"/>
      <c r="AR42" s="20"/>
      <c r="AS42" s="21"/>
      <c r="AT42" s="20"/>
      <c r="AU42" s="117">
        <f t="shared" si="14"/>
        <v>0</v>
      </c>
      <c r="AV42" s="119">
        <f t="shared" si="15"/>
        <v>0</v>
      </c>
      <c r="AW42" s="36">
        <f t="shared" si="16"/>
        <v>0</v>
      </c>
    </row>
    <row r="43" spans="1:49" s="16" customFormat="1" ht="12" x14ac:dyDescent="0.2">
      <c r="A43" s="89"/>
      <c r="B43" s="26"/>
      <c r="C43" s="27"/>
      <c r="D43" s="17">
        <v>601004</v>
      </c>
      <c r="E43" s="36"/>
      <c r="F43" s="20"/>
      <c r="G43" s="36"/>
      <c r="H43" s="20"/>
      <c r="I43" s="36"/>
      <c r="J43" s="20"/>
      <c r="K43" s="36"/>
      <c r="L43" s="20"/>
      <c r="M43" s="36"/>
      <c r="N43" s="20"/>
      <c r="O43" s="36"/>
      <c r="P43" s="20"/>
      <c r="Q43" s="36"/>
      <c r="R43" s="20"/>
      <c r="S43" s="36"/>
      <c r="T43" s="20"/>
      <c r="U43" s="21"/>
      <c r="V43" s="20"/>
      <c r="W43" s="21"/>
      <c r="X43" s="20">
        <v>7650</v>
      </c>
      <c r="Y43" s="116"/>
      <c r="Z43" s="62"/>
      <c r="AA43" s="115"/>
      <c r="AB43" s="20"/>
      <c r="AC43" s="21"/>
      <c r="AD43" s="20"/>
      <c r="AE43" s="21"/>
      <c r="AF43" s="20"/>
      <c r="AG43" s="21"/>
      <c r="AH43" s="20"/>
      <c r="AI43" s="21"/>
      <c r="AJ43" s="20"/>
      <c r="AK43" s="21"/>
      <c r="AL43" s="20"/>
      <c r="AM43" s="21"/>
      <c r="AN43" s="20"/>
      <c r="AO43" s="21"/>
      <c r="AP43" s="20"/>
      <c r="AQ43" s="21"/>
      <c r="AR43" s="20"/>
      <c r="AS43" s="21"/>
      <c r="AT43" s="20"/>
      <c r="AU43" s="117">
        <f t="shared" si="14"/>
        <v>0</v>
      </c>
      <c r="AV43" s="119">
        <f t="shared" si="15"/>
        <v>7650</v>
      </c>
      <c r="AW43" s="36">
        <f t="shared" si="16"/>
        <v>7650</v>
      </c>
    </row>
    <row r="44" spans="1:49" s="16" customFormat="1" ht="12" x14ac:dyDescent="0.2">
      <c r="A44" s="89"/>
      <c r="B44" s="26"/>
      <c r="C44" s="27"/>
      <c r="D44" s="17">
        <v>601004</v>
      </c>
      <c r="E44" s="36"/>
      <c r="F44" s="20"/>
      <c r="G44" s="36"/>
      <c r="H44" s="20"/>
      <c r="I44" s="36"/>
      <c r="J44" s="20"/>
      <c r="K44" s="36"/>
      <c r="L44" s="20"/>
      <c r="M44" s="36"/>
      <c r="N44" s="20"/>
      <c r="O44" s="36"/>
      <c r="P44" s="20"/>
      <c r="Q44" s="36"/>
      <c r="R44" s="20"/>
      <c r="S44" s="36"/>
      <c r="T44" s="20"/>
      <c r="U44" s="21"/>
      <c r="V44" s="20"/>
      <c r="W44" s="21"/>
      <c r="X44" s="20"/>
      <c r="Y44" s="114">
        <v>14714.44</v>
      </c>
      <c r="Z44" s="62"/>
      <c r="AA44" s="122">
        <v>14714.44</v>
      </c>
      <c r="AB44" s="20"/>
      <c r="AC44" s="122">
        <v>14714.44</v>
      </c>
      <c r="AD44" s="20"/>
      <c r="AE44" s="122">
        <v>14714.44</v>
      </c>
      <c r="AF44" s="20"/>
      <c r="AG44" s="122">
        <v>14714.44</v>
      </c>
      <c r="AH44" s="20"/>
      <c r="AI44" s="122">
        <v>14714.44</v>
      </c>
      <c r="AJ44" s="20"/>
      <c r="AK44" s="122">
        <v>14714.44</v>
      </c>
      <c r="AL44" s="20"/>
      <c r="AM44" s="122">
        <v>14714.44</v>
      </c>
      <c r="AN44" s="20"/>
      <c r="AO44" s="122">
        <v>14714.44</v>
      </c>
      <c r="AP44" s="20"/>
      <c r="AQ44" s="21"/>
      <c r="AR44" s="20"/>
      <c r="AS44" s="21"/>
      <c r="AT44" s="20"/>
      <c r="AU44" s="117">
        <f>Y44+AA44+AC44+AE44+AG44+AI44+AK44+AM44+AO44+AQ44+AS44</f>
        <v>132429.96</v>
      </c>
      <c r="AV44" s="119">
        <f t="shared" si="15"/>
        <v>0</v>
      </c>
      <c r="AW44" s="36">
        <f t="shared" si="16"/>
        <v>132429.96</v>
      </c>
    </row>
    <row r="45" spans="1:49" s="16" customFormat="1" ht="12" x14ac:dyDescent="0.2">
      <c r="A45" s="89"/>
      <c r="B45" s="26"/>
      <c r="C45" s="27"/>
      <c r="D45" s="17">
        <v>601004</v>
      </c>
      <c r="E45" s="36"/>
      <c r="F45" s="20"/>
      <c r="G45" s="36"/>
      <c r="H45" s="20"/>
      <c r="I45" s="36"/>
      <c r="J45" s="20"/>
      <c r="K45" s="36"/>
      <c r="L45" s="20"/>
      <c r="M45" s="36"/>
      <c r="N45" s="20"/>
      <c r="O45" s="36"/>
      <c r="P45" s="20"/>
      <c r="Q45" s="36"/>
      <c r="R45" s="20"/>
      <c r="S45" s="36"/>
      <c r="T45" s="20"/>
      <c r="U45" s="21"/>
      <c r="V45" s="20"/>
      <c r="W45" s="21"/>
      <c r="X45" s="20"/>
      <c r="Y45" s="116"/>
      <c r="Z45" s="62"/>
      <c r="AA45" s="115"/>
      <c r="AB45" s="20"/>
      <c r="AC45" s="122">
        <v>16683.330000000002</v>
      </c>
      <c r="AD45" s="20"/>
      <c r="AE45" s="122">
        <v>16683.330000000002</v>
      </c>
      <c r="AF45" s="20"/>
      <c r="AG45" s="122">
        <v>16683.330000000002</v>
      </c>
      <c r="AH45" s="20"/>
      <c r="AI45" s="122">
        <v>16683.330000000002</v>
      </c>
      <c r="AJ45" s="20"/>
      <c r="AK45" s="122">
        <v>16683.330000000002</v>
      </c>
      <c r="AL45" s="20"/>
      <c r="AM45" s="122">
        <v>16683.330000000002</v>
      </c>
      <c r="AN45" s="20"/>
      <c r="AO45" s="122">
        <v>16683.330000000002</v>
      </c>
      <c r="AP45" s="20"/>
      <c r="AQ45" s="122">
        <v>16683.330000000002</v>
      </c>
      <c r="AR45" s="20"/>
      <c r="AS45" s="122">
        <v>16683.330000000002</v>
      </c>
      <c r="AT45" s="20"/>
      <c r="AU45" s="117">
        <f>AC45+AE45+AG45+AI45+AK45+AM45+AO45+AQ45+AS45</f>
        <v>150149.97000000003</v>
      </c>
      <c r="AV45" s="119">
        <f t="shared" si="15"/>
        <v>0</v>
      </c>
      <c r="AW45" s="36">
        <f t="shared" si="16"/>
        <v>150149.97000000003</v>
      </c>
    </row>
    <row r="46" spans="1:49" s="47" customFormat="1" ht="12" x14ac:dyDescent="0.2">
      <c r="A46" s="123"/>
      <c r="B46" s="124"/>
      <c r="C46" s="125"/>
      <c r="D46" s="123"/>
      <c r="E46" s="118"/>
      <c r="F46" s="118">
        <f t="shared" ref="F46:Q46" si="17">SUM(F39:F44)</f>
        <v>0</v>
      </c>
      <c r="G46" s="118">
        <f t="shared" si="17"/>
        <v>0</v>
      </c>
      <c r="H46" s="118">
        <f t="shared" si="17"/>
        <v>0</v>
      </c>
      <c r="I46" s="118">
        <f t="shared" si="17"/>
        <v>0</v>
      </c>
      <c r="J46" s="118">
        <f t="shared" si="17"/>
        <v>0</v>
      </c>
      <c r="K46" s="118">
        <f t="shared" si="17"/>
        <v>0</v>
      </c>
      <c r="L46" s="118">
        <f t="shared" si="17"/>
        <v>0</v>
      </c>
      <c r="M46" s="118">
        <f t="shared" si="17"/>
        <v>0</v>
      </c>
      <c r="N46" s="118">
        <f t="shared" si="17"/>
        <v>0</v>
      </c>
      <c r="O46" s="118">
        <f t="shared" si="17"/>
        <v>0</v>
      </c>
      <c r="P46" s="118">
        <f t="shared" si="17"/>
        <v>11310</v>
      </c>
      <c r="Q46" s="118">
        <f t="shared" si="17"/>
        <v>0</v>
      </c>
      <c r="R46" s="118">
        <f>SUM(R39:R44)</f>
        <v>2880</v>
      </c>
      <c r="S46" s="118">
        <f t="shared" ref="S46:AB46" si="18">SUM(S39:S44)</f>
        <v>0</v>
      </c>
      <c r="T46" s="118">
        <f t="shared" si="18"/>
        <v>0</v>
      </c>
      <c r="U46" s="118">
        <f t="shared" si="18"/>
        <v>0</v>
      </c>
      <c r="V46" s="118">
        <f t="shared" si="18"/>
        <v>0</v>
      </c>
      <c r="W46" s="118">
        <f t="shared" si="18"/>
        <v>0</v>
      </c>
      <c r="X46" s="118">
        <f t="shared" si="18"/>
        <v>23820</v>
      </c>
      <c r="Y46" s="118">
        <f t="shared" si="18"/>
        <v>52944.44</v>
      </c>
      <c r="Z46" s="118">
        <f t="shared" si="18"/>
        <v>0</v>
      </c>
      <c r="AA46" s="118">
        <f t="shared" si="18"/>
        <v>14714.44</v>
      </c>
      <c r="AB46" s="118">
        <f t="shared" si="18"/>
        <v>0</v>
      </c>
      <c r="AC46" s="118">
        <f t="shared" ref="AC46:AU46" si="19">SUM(AC39:AC45)</f>
        <v>31397.770000000004</v>
      </c>
      <c r="AD46" s="118">
        <f t="shared" si="19"/>
        <v>0</v>
      </c>
      <c r="AE46" s="118">
        <f t="shared" si="19"/>
        <v>31397.770000000004</v>
      </c>
      <c r="AF46" s="118">
        <f t="shared" si="19"/>
        <v>0</v>
      </c>
      <c r="AG46" s="118">
        <f t="shared" si="19"/>
        <v>31397.770000000004</v>
      </c>
      <c r="AH46" s="118">
        <f t="shared" si="19"/>
        <v>0</v>
      </c>
      <c r="AI46" s="118">
        <f t="shared" si="19"/>
        <v>31397.770000000004</v>
      </c>
      <c r="AJ46" s="118">
        <f t="shared" si="19"/>
        <v>0</v>
      </c>
      <c r="AK46" s="118">
        <f t="shared" si="19"/>
        <v>31397.770000000004</v>
      </c>
      <c r="AL46" s="118">
        <f t="shared" si="19"/>
        <v>0</v>
      </c>
      <c r="AM46" s="118">
        <f t="shared" si="19"/>
        <v>31397.770000000004</v>
      </c>
      <c r="AN46" s="118">
        <f t="shared" si="19"/>
        <v>0</v>
      </c>
      <c r="AO46" s="118">
        <f t="shared" si="19"/>
        <v>31397.770000000004</v>
      </c>
      <c r="AP46" s="118">
        <f t="shared" si="19"/>
        <v>0</v>
      </c>
      <c r="AQ46" s="118">
        <f t="shared" si="19"/>
        <v>16683.330000000002</v>
      </c>
      <c r="AR46" s="118">
        <f t="shared" si="19"/>
        <v>0</v>
      </c>
      <c r="AS46" s="118">
        <f t="shared" si="19"/>
        <v>16683.330000000002</v>
      </c>
      <c r="AT46" s="118">
        <f t="shared" si="19"/>
        <v>0</v>
      </c>
      <c r="AU46" s="118">
        <f t="shared" si="19"/>
        <v>320809.93000000005</v>
      </c>
      <c r="AV46" s="118">
        <f>SUM(AV39:AV45)</f>
        <v>38010</v>
      </c>
      <c r="AW46" s="118">
        <f>SUM(AW39:AW45)</f>
        <v>358819.93000000005</v>
      </c>
    </row>
    <row r="47" spans="1:49" s="16" customFormat="1" ht="12" x14ac:dyDescent="0.2">
      <c r="A47" s="88"/>
      <c r="B47" s="17"/>
      <c r="C47" s="18"/>
      <c r="D47" s="17">
        <v>601005</v>
      </c>
      <c r="E47" s="19"/>
      <c r="F47" s="20"/>
      <c r="G47" s="19"/>
      <c r="H47" s="20"/>
      <c r="I47" s="19"/>
      <c r="J47" s="20"/>
      <c r="K47" s="19"/>
      <c r="L47" s="20"/>
      <c r="M47" s="19"/>
      <c r="N47" s="20"/>
      <c r="O47" s="19"/>
      <c r="P47" s="20"/>
      <c r="Q47" s="19"/>
      <c r="R47" s="20"/>
      <c r="S47" s="19"/>
      <c r="T47" s="20"/>
      <c r="U47" s="21"/>
      <c r="V47" s="20"/>
      <c r="W47" s="21"/>
      <c r="X47" s="20">
        <f>58493+48224</f>
        <v>106717</v>
      </c>
      <c r="Y47" s="22"/>
      <c r="Z47" s="20">
        <v>4500</v>
      </c>
      <c r="AA47" s="21"/>
      <c r="AB47" s="20"/>
      <c r="AC47" s="21"/>
      <c r="AD47" s="20"/>
      <c r="AE47" s="21"/>
      <c r="AF47" s="20"/>
      <c r="AG47" s="21"/>
      <c r="AH47" s="20"/>
      <c r="AI47" s="21"/>
      <c r="AJ47" s="20"/>
      <c r="AK47" s="21"/>
      <c r="AL47" s="20"/>
      <c r="AM47" s="21"/>
      <c r="AN47" s="20"/>
      <c r="AO47" s="21"/>
      <c r="AP47" s="20"/>
      <c r="AQ47" s="21"/>
      <c r="AR47" s="20"/>
      <c r="AS47" s="21"/>
      <c r="AT47" s="20"/>
      <c r="AU47" s="21"/>
      <c r="AV47" s="20"/>
      <c r="AW47" s="25">
        <f>F47+H47+J47+L47+N47+P47+R47+T47+V47+X47+Z47+AB47</f>
        <v>111217</v>
      </c>
    </row>
    <row r="48" spans="1:49" s="16" customFormat="1" ht="12" x14ac:dyDescent="0.2">
      <c r="A48" s="89"/>
      <c r="B48" s="26"/>
      <c r="C48" s="27"/>
      <c r="D48" s="17">
        <v>601005</v>
      </c>
      <c r="E48" s="28"/>
      <c r="F48" s="29"/>
      <c r="G48" s="28"/>
      <c r="H48" s="29"/>
      <c r="I48" s="28"/>
      <c r="J48" s="29"/>
      <c r="K48" s="28"/>
      <c r="L48" s="29"/>
      <c r="M48" s="28"/>
      <c r="N48" s="29"/>
      <c r="O48" s="28"/>
      <c r="P48" s="29"/>
      <c r="Q48" s="28"/>
      <c r="R48" s="29"/>
      <c r="S48" s="28"/>
      <c r="T48" s="29"/>
      <c r="U48" s="30"/>
      <c r="V48" s="29"/>
      <c r="W48" s="30"/>
      <c r="X48" s="29"/>
      <c r="Y48" s="31"/>
      <c r="Z48" s="29"/>
      <c r="AA48" s="30"/>
      <c r="AB48" s="29"/>
      <c r="AC48" s="30"/>
      <c r="AD48" s="29"/>
      <c r="AE48" s="30"/>
      <c r="AF48" s="29"/>
      <c r="AG48" s="30"/>
      <c r="AH48" s="29"/>
      <c r="AI48" s="30"/>
      <c r="AJ48" s="29"/>
      <c r="AK48" s="30"/>
      <c r="AL48" s="29"/>
      <c r="AM48" s="30"/>
      <c r="AN48" s="29"/>
      <c r="AO48" s="30"/>
      <c r="AP48" s="29"/>
      <c r="AQ48" s="30"/>
      <c r="AR48" s="29"/>
      <c r="AS48" s="30"/>
      <c r="AT48" s="29"/>
      <c r="AU48" s="30"/>
      <c r="AV48" s="29"/>
      <c r="AW48" s="25">
        <f t="shared" ref="AW48:AW52" si="20">F48+H48+J48+L48+N48+P48+R48+T48+V48+X48+Z48+AB48</f>
        <v>0</v>
      </c>
    </row>
    <row r="49" spans="1:49" s="16" customFormat="1" ht="12" x14ac:dyDescent="0.2">
      <c r="A49" s="88"/>
      <c r="B49" s="17"/>
      <c r="C49" s="18"/>
      <c r="D49" s="17">
        <v>601005</v>
      </c>
      <c r="E49" s="19"/>
      <c r="F49" s="20"/>
      <c r="G49" s="19"/>
      <c r="H49" s="20"/>
      <c r="I49" s="19"/>
      <c r="J49" s="20"/>
      <c r="K49" s="19"/>
      <c r="L49" s="20"/>
      <c r="M49" s="19"/>
      <c r="N49" s="20"/>
      <c r="O49" s="19"/>
      <c r="P49" s="20"/>
      <c r="Q49" s="19"/>
      <c r="R49" s="20">
        <v>4285</v>
      </c>
      <c r="S49" s="19"/>
      <c r="T49" s="20"/>
      <c r="U49" s="21"/>
      <c r="V49" s="20"/>
      <c r="W49" s="21"/>
      <c r="X49" s="20">
        <v>4285</v>
      </c>
      <c r="Y49" s="22"/>
      <c r="Z49" s="20"/>
      <c r="AA49" s="21"/>
      <c r="AB49" s="20"/>
      <c r="AC49" s="21"/>
      <c r="AD49" s="20"/>
      <c r="AE49" s="21"/>
      <c r="AF49" s="20"/>
      <c r="AG49" s="21"/>
      <c r="AH49" s="20"/>
      <c r="AI49" s="21"/>
      <c r="AJ49" s="20"/>
      <c r="AK49" s="21"/>
      <c r="AL49" s="20"/>
      <c r="AM49" s="21"/>
      <c r="AN49" s="20"/>
      <c r="AO49" s="21"/>
      <c r="AP49" s="20"/>
      <c r="AQ49" s="21"/>
      <c r="AR49" s="20"/>
      <c r="AS49" s="21"/>
      <c r="AT49" s="20"/>
      <c r="AU49" s="21"/>
      <c r="AV49" s="20"/>
      <c r="AW49" s="25">
        <f t="shared" si="20"/>
        <v>8570</v>
      </c>
    </row>
    <row r="50" spans="1:49" s="16" customFormat="1" ht="12" x14ac:dyDescent="0.2">
      <c r="A50" s="89"/>
      <c r="B50" s="26"/>
      <c r="C50" s="27"/>
      <c r="D50" s="17">
        <v>601005</v>
      </c>
      <c r="E50" s="28"/>
      <c r="F50" s="29"/>
      <c r="G50" s="28"/>
      <c r="H50" s="29"/>
      <c r="I50" s="28"/>
      <c r="J50" s="29"/>
      <c r="K50" s="28"/>
      <c r="L50" s="29"/>
      <c r="M50" s="28"/>
      <c r="N50" s="29"/>
      <c r="O50" s="28"/>
      <c r="P50" s="29"/>
      <c r="Q50" s="28"/>
      <c r="R50" s="29">
        <v>90505</v>
      </c>
      <c r="S50" s="28"/>
      <c r="T50" s="29"/>
      <c r="U50" s="30"/>
      <c r="V50" s="29"/>
      <c r="W50" s="30"/>
      <c r="X50" s="29"/>
      <c r="Y50" s="31"/>
      <c r="Z50" s="29"/>
      <c r="AA50" s="30"/>
      <c r="AB50" s="29"/>
      <c r="AC50" s="30"/>
      <c r="AD50" s="29"/>
      <c r="AE50" s="30"/>
      <c r="AF50" s="29"/>
      <c r="AG50" s="30"/>
      <c r="AH50" s="29"/>
      <c r="AI50" s="30"/>
      <c r="AJ50" s="29"/>
      <c r="AK50" s="30"/>
      <c r="AL50" s="29"/>
      <c r="AM50" s="30"/>
      <c r="AN50" s="29"/>
      <c r="AO50" s="30"/>
      <c r="AP50" s="29"/>
      <c r="AQ50" s="30"/>
      <c r="AR50" s="29"/>
      <c r="AS50" s="30"/>
      <c r="AT50" s="29"/>
      <c r="AU50" s="30"/>
      <c r="AV50" s="29"/>
      <c r="AW50" s="25">
        <f t="shared" si="20"/>
        <v>90505</v>
      </c>
    </row>
    <row r="51" spans="1:49" s="16" customFormat="1" ht="12" x14ac:dyDescent="0.2">
      <c r="A51" s="88"/>
      <c r="B51" s="17"/>
      <c r="C51" s="18"/>
      <c r="D51" s="17">
        <v>601005</v>
      </c>
      <c r="E51" s="19"/>
      <c r="F51" s="20"/>
      <c r="G51" s="19"/>
      <c r="H51" s="20"/>
      <c r="I51" s="19"/>
      <c r="J51" s="20"/>
      <c r="K51" s="19"/>
      <c r="L51" s="20"/>
      <c r="M51" s="19"/>
      <c r="N51" s="20"/>
      <c r="O51" s="19"/>
      <c r="P51" s="20"/>
      <c r="Q51" s="19"/>
      <c r="R51" s="20"/>
      <c r="S51" s="19"/>
      <c r="T51" s="20"/>
      <c r="U51" s="21"/>
      <c r="V51" s="20"/>
      <c r="W51" s="21"/>
      <c r="X51" s="20"/>
      <c r="Y51" s="22"/>
      <c r="Z51" s="20">
        <v>17314.759999999998</v>
      </c>
      <c r="AA51" s="21"/>
      <c r="AB51" s="20"/>
      <c r="AC51" s="21"/>
      <c r="AD51" s="20"/>
      <c r="AE51" s="21"/>
      <c r="AF51" s="20"/>
      <c r="AG51" s="21"/>
      <c r="AH51" s="20"/>
      <c r="AI51" s="21"/>
      <c r="AJ51" s="20"/>
      <c r="AK51" s="21"/>
      <c r="AL51" s="20"/>
      <c r="AM51" s="21"/>
      <c r="AN51" s="20"/>
      <c r="AO51" s="21"/>
      <c r="AP51" s="20"/>
      <c r="AQ51" s="21"/>
      <c r="AR51" s="20"/>
      <c r="AS51" s="21"/>
      <c r="AT51" s="20"/>
      <c r="AU51" s="21"/>
      <c r="AV51" s="20"/>
      <c r="AW51" s="25">
        <f t="shared" si="20"/>
        <v>17314.759999999998</v>
      </c>
    </row>
    <row r="52" spans="1:49" s="16" customFormat="1" ht="12" x14ac:dyDescent="0.2">
      <c r="A52" s="89"/>
      <c r="B52" s="26"/>
      <c r="C52" s="27"/>
      <c r="D52" s="17">
        <v>601005</v>
      </c>
      <c r="E52" s="28"/>
      <c r="F52" s="29"/>
      <c r="G52" s="28"/>
      <c r="H52" s="29"/>
      <c r="I52" s="28"/>
      <c r="J52" s="29"/>
      <c r="K52" s="28"/>
      <c r="L52" s="29"/>
      <c r="M52" s="28"/>
      <c r="N52" s="29"/>
      <c r="O52" s="28"/>
      <c r="P52" s="29"/>
      <c r="Q52" s="28"/>
      <c r="R52" s="29"/>
      <c r="S52" s="28"/>
      <c r="T52" s="29"/>
      <c r="U52" s="30"/>
      <c r="V52" s="29"/>
      <c r="W52" s="30"/>
      <c r="X52" s="29"/>
      <c r="Y52" s="31"/>
      <c r="Z52" s="29"/>
      <c r="AA52" s="30"/>
      <c r="AB52" s="29"/>
      <c r="AC52" s="30"/>
      <c r="AD52" s="29"/>
      <c r="AE52" s="30"/>
      <c r="AF52" s="29"/>
      <c r="AG52" s="30"/>
      <c r="AH52" s="29"/>
      <c r="AI52" s="30"/>
      <c r="AJ52" s="29"/>
      <c r="AK52" s="30"/>
      <c r="AL52" s="29"/>
      <c r="AM52" s="30"/>
      <c r="AN52" s="29"/>
      <c r="AO52" s="30"/>
      <c r="AP52" s="29"/>
      <c r="AQ52" s="30"/>
      <c r="AR52" s="29"/>
      <c r="AS52" s="30"/>
      <c r="AT52" s="29"/>
      <c r="AU52" s="30"/>
      <c r="AV52" s="29"/>
      <c r="AW52" s="25">
        <f t="shared" si="20"/>
        <v>0</v>
      </c>
    </row>
    <row r="53" spans="1:49" s="47" customFormat="1" ht="12" x14ac:dyDescent="0.2">
      <c r="A53" s="41"/>
      <c r="B53" s="39"/>
      <c r="C53" s="40"/>
      <c r="D53" s="41"/>
      <c r="E53" s="42"/>
      <c r="F53" s="43"/>
      <c r="G53" s="42"/>
      <c r="H53" s="43">
        <f t="shared" ref="H53:AB53" si="21">SUM(H47:H52)</f>
        <v>0</v>
      </c>
      <c r="I53" s="43">
        <f t="shared" si="21"/>
        <v>0</v>
      </c>
      <c r="J53" s="43">
        <f t="shared" si="21"/>
        <v>0</v>
      </c>
      <c r="K53" s="43">
        <f t="shared" si="21"/>
        <v>0</v>
      </c>
      <c r="L53" s="43">
        <f t="shared" si="21"/>
        <v>0</v>
      </c>
      <c r="M53" s="43">
        <f t="shared" si="21"/>
        <v>0</v>
      </c>
      <c r="N53" s="43">
        <f t="shared" si="21"/>
        <v>0</v>
      </c>
      <c r="O53" s="43">
        <f t="shared" si="21"/>
        <v>0</v>
      </c>
      <c r="P53" s="43">
        <f t="shared" si="21"/>
        <v>0</v>
      </c>
      <c r="Q53" s="43">
        <f t="shared" si="21"/>
        <v>0</v>
      </c>
      <c r="R53" s="43">
        <f t="shared" si="21"/>
        <v>94790</v>
      </c>
      <c r="S53" s="43">
        <f t="shared" si="21"/>
        <v>0</v>
      </c>
      <c r="T53" s="43">
        <f t="shared" si="21"/>
        <v>0</v>
      </c>
      <c r="U53" s="43">
        <f t="shared" si="21"/>
        <v>0</v>
      </c>
      <c r="V53" s="43">
        <f t="shared" si="21"/>
        <v>0</v>
      </c>
      <c r="W53" s="43">
        <f t="shared" si="21"/>
        <v>0</v>
      </c>
      <c r="X53" s="43">
        <f t="shared" si="21"/>
        <v>111002</v>
      </c>
      <c r="Y53" s="43">
        <f t="shared" si="21"/>
        <v>0</v>
      </c>
      <c r="Z53" s="43">
        <f t="shared" si="21"/>
        <v>21814.76</v>
      </c>
      <c r="AA53" s="43">
        <f t="shared" si="21"/>
        <v>0</v>
      </c>
      <c r="AB53" s="43">
        <f t="shared" si="21"/>
        <v>0</v>
      </c>
      <c r="AC53" s="43"/>
      <c r="AD53" s="43"/>
      <c r="AE53" s="43"/>
      <c r="AF53" s="43"/>
      <c r="AG53" s="43"/>
      <c r="AH53" s="43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6">
        <f>SUM(AW47:AW52)</f>
        <v>227606.76</v>
      </c>
    </row>
    <row r="54" spans="1:49" s="16" customFormat="1" ht="12" x14ac:dyDescent="0.2">
      <c r="A54" s="88"/>
      <c r="B54" s="17"/>
      <c r="C54" s="18"/>
      <c r="D54" s="17">
        <v>601006</v>
      </c>
      <c r="E54" s="19"/>
      <c r="F54" s="20"/>
      <c r="G54" s="19"/>
      <c r="H54" s="20"/>
      <c r="I54" s="19"/>
      <c r="J54" s="20"/>
      <c r="K54" s="19"/>
      <c r="L54" s="20"/>
      <c r="M54" s="19"/>
      <c r="N54" s="20"/>
      <c r="O54" s="19"/>
      <c r="P54" s="20"/>
      <c r="Q54" s="19"/>
      <c r="R54" s="20"/>
      <c r="S54" s="19"/>
      <c r="T54" s="20">
        <v>5600</v>
      </c>
      <c r="U54" s="21"/>
      <c r="V54" s="20"/>
      <c r="W54" s="21"/>
      <c r="X54" s="20"/>
      <c r="Y54" s="22"/>
      <c r="Z54" s="20"/>
      <c r="AA54" s="21"/>
      <c r="AB54" s="20"/>
      <c r="AC54" s="21"/>
      <c r="AD54" s="20"/>
      <c r="AE54" s="21"/>
      <c r="AF54" s="20"/>
      <c r="AG54" s="21"/>
      <c r="AH54" s="20"/>
      <c r="AI54" s="21"/>
      <c r="AJ54" s="20"/>
      <c r="AK54" s="21"/>
      <c r="AL54" s="20"/>
      <c r="AM54" s="21"/>
      <c r="AN54" s="20"/>
      <c r="AO54" s="21"/>
      <c r="AP54" s="20"/>
      <c r="AQ54" s="21"/>
      <c r="AR54" s="20"/>
      <c r="AS54" s="21"/>
      <c r="AT54" s="20"/>
      <c r="AU54" s="129">
        <f>AS54+AQ54+AO54+AM54+AK54+AI54+AG54+AE54+AC54+AA54+Y54+W54</f>
        <v>0</v>
      </c>
      <c r="AV54" s="20"/>
      <c r="AW54" s="25">
        <f>F54+H54+J54+L54+N54+P54+R54+T54+V54+X54+Z54+AB54</f>
        <v>5600</v>
      </c>
    </row>
    <row r="55" spans="1:49" s="16" customFormat="1" ht="12" x14ac:dyDescent="0.2">
      <c r="A55" s="89"/>
      <c r="B55" s="26"/>
      <c r="C55" s="27"/>
      <c r="D55" s="17">
        <v>601006</v>
      </c>
      <c r="E55" s="28"/>
      <c r="F55" s="29"/>
      <c r="G55" s="28"/>
      <c r="H55" s="29"/>
      <c r="I55" s="28"/>
      <c r="J55" s="29"/>
      <c r="K55" s="28"/>
      <c r="L55" s="29"/>
      <c r="M55" s="28"/>
      <c r="N55" s="29"/>
      <c r="O55" s="28"/>
      <c r="P55" s="29"/>
      <c r="Q55" s="28"/>
      <c r="R55" s="29"/>
      <c r="S55" s="28"/>
      <c r="T55" s="29"/>
      <c r="U55" s="30"/>
      <c r="V55" s="29"/>
      <c r="W55" s="30"/>
      <c r="X55" s="29"/>
      <c r="Y55" s="131">
        <v>9374.5</v>
      </c>
      <c r="Z55" s="29"/>
      <c r="AA55" s="30"/>
      <c r="AB55" s="29"/>
      <c r="AC55" s="30"/>
      <c r="AD55" s="29"/>
      <c r="AE55" s="30"/>
      <c r="AF55" s="29"/>
      <c r="AG55" s="30"/>
      <c r="AH55" s="29"/>
      <c r="AI55" s="30"/>
      <c r="AJ55" s="29"/>
      <c r="AK55" s="30"/>
      <c r="AL55" s="29"/>
      <c r="AM55" s="30"/>
      <c r="AN55" s="29"/>
      <c r="AO55" s="30"/>
      <c r="AP55" s="29"/>
      <c r="AQ55" s="30"/>
      <c r="AR55" s="29"/>
      <c r="AS55" s="30"/>
      <c r="AT55" s="29"/>
      <c r="AU55" s="129">
        <f t="shared" ref="AU55:AU56" si="22">AS55+AQ55+AO55+AM55+AK55+AI55+AG55+AE55+AC55+AA55+Y55+W55</f>
        <v>9374.5</v>
      </c>
      <c r="AV55" s="29"/>
      <c r="AW55" s="25">
        <f t="shared" ref="AW55:AW56" si="23">F55+H55+J55+L55+N55+P55+R55+T55+V55+X55+Z55+AB55</f>
        <v>0</v>
      </c>
    </row>
    <row r="56" spans="1:49" s="16" customFormat="1" ht="12" x14ac:dyDescent="0.2">
      <c r="A56" s="88"/>
      <c r="B56" s="17"/>
      <c r="C56" s="18"/>
      <c r="D56" s="17">
        <v>601006</v>
      </c>
      <c r="E56" s="19"/>
      <c r="F56" s="20"/>
      <c r="G56" s="19"/>
      <c r="H56" s="20"/>
      <c r="I56" s="19"/>
      <c r="J56" s="20"/>
      <c r="K56" s="19"/>
      <c r="L56" s="20"/>
      <c r="M56" s="19"/>
      <c r="N56" s="20"/>
      <c r="O56" s="19"/>
      <c r="P56" s="20"/>
      <c r="Q56" s="19"/>
      <c r="R56" s="20"/>
      <c r="S56" s="19"/>
      <c r="T56" s="20"/>
      <c r="U56" s="21"/>
      <c r="V56" s="20"/>
      <c r="W56" s="21"/>
      <c r="X56" s="20"/>
      <c r="Y56" s="22"/>
      <c r="Z56" s="20"/>
      <c r="AA56" s="21"/>
      <c r="AB56" s="20"/>
      <c r="AC56" s="21"/>
      <c r="AD56" s="20"/>
      <c r="AE56" s="21"/>
      <c r="AF56" s="20"/>
      <c r="AG56" s="21"/>
      <c r="AH56" s="20"/>
      <c r="AI56" s="21"/>
      <c r="AJ56" s="20"/>
      <c r="AK56" s="21"/>
      <c r="AL56" s="20"/>
      <c r="AM56" s="21"/>
      <c r="AN56" s="20"/>
      <c r="AO56" s="21"/>
      <c r="AP56" s="20"/>
      <c r="AQ56" s="21"/>
      <c r="AR56" s="20"/>
      <c r="AS56" s="21"/>
      <c r="AT56" s="20"/>
      <c r="AU56" s="129">
        <f t="shared" si="22"/>
        <v>0</v>
      </c>
      <c r="AV56" s="20"/>
      <c r="AW56" s="25">
        <f t="shared" si="23"/>
        <v>0</v>
      </c>
    </row>
    <row r="57" spans="1:49" s="47" customFormat="1" ht="12" x14ac:dyDescent="0.2">
      <c r="A57" s="41"/>
      <c r="B57" s="39"/>
      <c r="C57" s="40"/>
      <c r="D57" s="41"/>
      <c r="E57" s="42"/>
      <c r="F57" s="43"/>
      <c r="G57" s="42"/>
      <c r="H57" s="43"/>
      <c r="I57" s="42"/>
      <c r="J57" s="43"/>
      <c r="K57" s="42"/>
      <c r="L57" s="43">
        <f t="shared" ref="L57:AB57" si="24">SUM(L54:L56)</f>
        <v>0</v>
      </c>
      <c r="M57" s="43">
        <f t="shared" si="24"/>
        <v>0</v>
      </c>
      <c r="N57" s="43">
        <f t="shared" si="24"/>
        <v>0</v>
      </c>
      <c r="O57" s="43">
        <f t="shared" si="24"/>
        <v>0</v>
      </c>
      <c r="P57" s="43">
        <f t="shared" si="24"/>
        <v>0</v>
      </c>
      <c r="Q57" s="43">
        <f t="shared" si="24"/>
        <v>0</v>
      </c>
      <c r="R57" s="43">
        <f t="shared" si="24"/>
        <v>0</v>
      </c>
      <c r="S57" s="43">
        <f t="shared" si="24"/>
        <v>0</v>
      </c>
      <c r="T57" s="43">
        <f t="shared" si="24"/>
        <v>5600</v>
      </c>
      <c r="U57" s="43">
        <f t="shared" si="24"/>
        <v>0</v>
      </c>
      <c r="V57" s="43">
        <f t="shared" si="24"/>
        <v>0</v>
      </c>
      <c r="W57" s="43">
        <f t="shared" si="24"/>
        <v>0</v>
      </c>
      <c r="X57" s="43">
        <f t="shared" si="24"/>
        <v>0</v>
      </c>
      <c r="Y57" s="43">
        <f t="shared" si="24"/>
        <v>9374.5</v>
      </c>
      <c r="Z57" s="43">
        <f t="shared" si="24"/>
        <v>0</v>
      </c>
      <c r="AA57" s="43">
        <f t="shared" si="24"/>
        <v>0</v>
      </c>
      <c r="AB57" s="43">
        <f t="shared" si="24"/>
        <v>0</v>
      </c>
      <c r="AC57" s="43"/>
      <c r="AD57" s="43"/>
      <c r="AE57" s="43"/>
      <c r="AF57" s="43"/>
      <c r="AG57" s="43"/>
      <c r="AH57" s="43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>
        <f>SUM(AU54:AU56)</f>
        <v>9374.5</v>
      </c>
      <c r="AV57" s="43"/>
      <c r="AW57" s="46">
        <f>SUM(AW54:AW56)</f>
        <v>5600</v>
      </c>
    </row>
    <row r="58" spans="1:49" s="16" customFormat="1" ht="12" x14ac:dyDescent="0.2">
      <c r="A58" s="89"/>
      <c r="B58" s="26"/>
      <c r="C58" s="27"/>
      <c r="D58" s="26">
        <v>601007</v>
      </c>
      <c r="E58" s="28"/>
      <c r="F58" s="29"/>
      <c r="G58" s="28"/>
      <c r="H58" s="29"/>
      <c r="I58" s="28"/>
      <c r="J58" s="29"/>
      <c r="K58" s="28"/>
      <c r="L58" s="29"/>
      <c r="M58" s="28"/>
      <c r="N58" s="29"/>
      <c r="O58" s="28"/>
      <c r="P58" s="29"/>
      <c r="Q58" s="28"/>
      <c r="R58" s="29"/>
      <c r="S58" s="28"/>
      <c r="T58" s="29"/>
      <c r="U58" s="30"/>
      <c r="V58" s="29"/>
      <c r="W58" s="30"/>
      <c r="X58" s="29"/>
      <c r="Y58" s="31"/>
      <c r="Z58" s="29"/>
      <c r="AA58" s="30"/>
      <c r="AB58" s="29"/>
      <c r="AC58" s="30"/>
      <c r="AD58" s="29"/>
      <c r="AE58" s="30"/>
      <c r="AF58" s="29"/>
      <c r="AG58" s="30"/>
      <c r="AH58" s="29"/>
      <c r="AI58" s="30"/>
      <c r="AJ58" s="29"/>
      <c r="AK58" s="30"/>
      <c r="AL58" s="29"/>
      <c r="AM58" s="30"/>
      <c r="AN58" s="29"/>
      <c r="AO58" s="30"/>
      <c r="AP58" s="29"/>
      <c r="AQ58" s="30"/>
      <c r="AR58" s="29"/>
      <c r="AS58" s="30"/>
      <c r="AT58" s="29"/>
      <c r="AU58" s="30"/>
      <c r="AV58" s="29"/>
      <c r="AW58" s="34">
        <f>F58+H58+J58+L58+N58+P58+R58+T58+V58+X58+Z58+AB58</f>
        <v>0</v>
      </c>
    </row>
    <row r="59" spans="1:49" s="16" customFormat="1" ht="12" x14ac:dyDescent="0.2">
      <c r="A59" s="88"/>
      <c r="B59" s="17"/>
      <c r="C59" s="18"/>
      <c r="D59" s="26">
        <v>601007</v>
      </c>
      <c r="E59" s="19"/>
      <c r="F59" s="20"/>
      <c r="G59" s="19"/>
      <c r="H59" s="20"/>
      <c r="I59" s="19"/>
      <c r="J59" s="20"/>
      <c r="K59" s="19"/>
      <c r="L59" s="20"/>
      <c r="M59" s="19"/>
      <c r="N59" s="20"/>
      <c r="O59" s="19"/>
      <c r="P59" s="20"/>
      <c r="Q59" s="19"/>
      <c r="R59" s="20"/>
      <c r="S59" s="19"/>
      <c r="T59" s="20"/>
      <c r="U59" s="21"/>
      <c r="V59" s="20"/>
      <c r="W59" s="21"/>
      <c r="X59" s="20"/>
      <c r="Y59" s="22"/>
      <c r="Z59" s="20"/>
      <c r="AA59" s="21"/>
      <c r="AB59" s="20"/>
      <c r="AC59" s="21"/>
      <c r="AD59" s="20"/>
      <c r="AE59" s="21"/>
      <c r="AF59" s="20"/>
      <c r="AG59" s="21"/>
      <c r="AH59" s="20"/>
      <c r="AI59" s="21"/>
      <c r="AJ59" s="20"/>
      <c r="AK59" s="21"/>
      <c r="AL59" s="20"/>
      <c r="AM59" s="21"/>
      <c r="AN59" s="20"/>
      <c r="AO59" s="21"/>
      <c r="AP59" s="20"/>
      <c r="AQ59" s="21"/>
      <c r="AR59" s="20"/>
      <c r="AS59" s="21"/>
      <c r="AT59" s="20"/>
      <c r="AU59" s="21"/>
      <c r="AV59" s="20"/>
      <c r="AW59" s="34">
        <f t="shared" ref="AW59:AW61" si="25">F59+H59+J59+L59+N59+P59+R59+T59+V59+X59+Z59+AB59</f>
        <v>0</v>
      </c>
    </row>
    <row r="60" spans="1:49" s="16" customFormat="1" ht="12" x14ac:dyDescent="0.2">
      <c r="A60" s="89"/>
      <c r="B60" s="26"/>
      <c r="C60" s="27"/>
      <c r="D60" s="26">
        <v>601007</v>
      </c>
      <c r="E60" s="28"/>
      <c r="F60" s="29"/>
      <c r="G60" s="28"/>
      <c r="H60" s="29"/>
      <c r="I60" s="28"/>
      <c r="J60" s="29"/>
      <c r="K60" s="28"/>
      <c r="L60" s="29"/>
      <c r="M60" s="28"/>
      <c r="N60" s="29"/>
      <c r="O60" s="28"/>
      <c r="P60" s="29"/>
      <c r="Q60" s="28"/>
      <c r="R60" s="29"/>
      <c r="S60" s="28"/>
      <c r="T60" s="29"/>
      <c r="U60" s="30"/>
      <c r="V60" s="29"/>
      <c r="W60" s="30"/>
      <c r="X60" s="29"/>
      <c r="Y60" s="31"/>
      <c r="Z60" s="29"/>
      <c r="AA60" s="30"/>
      <c r="AB60" s="29"/>
      <c r="AC60" s="30"/>
      <c r="AD60" s="29"/>
      <c r="AE60" s="30"/>
      <c r="AF60" s="29"/>
      <c r="AG60" s="30"/>
      <c r="AH60" s="29"/>
      <c r="AI60" s="30"/>
      <c r="AJ60" s="29"/>
      <c r="AK60" s="30"/>
      <c r="AL60" s="29"/>
      <c r="AM60" s="30"/>
      <c r="AN60" s="29"/>
      <c r="AO60" s="30"/>
      <c r="AP60" s="29"/>
      <c r="AQ60" s="30"/>
      <c r="AR60" s="29"/>
      <c r="AS60" s="30"/>
      <c r="AT60" s="29"/>
      <c r="AU60" s="30"/>
      <c r="AV60" s="29"/>
      <c r="AW60" s="34">
        <f t="shared" si="25"/>
        <v>0</v>
      </c>
    </row>
    <row r="61" spans="1:49" s="16" customFormat="1" ht="12" x14ac:dyDescent="0.2">
      <c r="A61" s="88"/>
      <c r="B61" s="17"/>
      <c r="C61" s="18"/>
      <c r="D61" s="26">
        <v>601007</v>
      </c>
      <c r="E61" s="19"/>
      <c r="F61" s="20"/>
      <c r="G61" s="19"/>
      <c r="H61" s="20"/>
      <c r="I61" s="19"/>
      <c r="J61" s="20"/>
      <c r="K61" s="19"/>
      <c r="L61" s="20"/>
      <c r="M61" s="19"/>
      <c r="N61" s="20"/>
      <c r="O61" s="19"/>
      <c r="P61" s="20"/>
      <c r="Q61" s="19"/>
      <c r="R61" s="20"/>
      <c r="S61" s="19"/>
      <c r="T61" s="20"/>
      <c r="U61" s="21"/>
      <c r="V61" s="20"/>
      <c r="W61" s="21"/>
      <c r="X61" s="20"/>
      <c r="Y61" s="22"/>
      <c r="Z61" s="20"/>
      <c r="AA61" s="21"/>
      <c r="AB61" s="20"/>
      <c r="AC61" s="21"/>
      <c r="AD61" s="20"/>
      <c r="AE61" s="21"/>
      <c r="AF61" s="20"/>
      <c r="AG61" s="21"/>
      <c r="AH61" s="20"/>
      <c r="AI61" s="21"/>
      <c r="AJ61" s="20"/>
      <c r="AK61" s="21"/>
      <c r="AL61" s="20"/>
      <c r="AM61" s="21"/>
      <c r="AN61" s="20"/>
      <c r="AO61" s="21"/>
      <c r="AP61" s="20"/>
      <c r="AQ61" s="21"/>
      <c r="AR61" s="20"/>
      <c r="AS61" s="21"/>
      <c r="AT61" s="20"/>
      <c r="AU61" s="21"/>
      <c r="AV61" s="20"/>
      <c r="AW61" s="34">
        <f t="shared" si="25"/>
        <v>0</v>
      </c>
    </row>
    <row r="62" spans="1:49" s="47" customFormat="1" ht="12" x14ac:dyDescent="0.2">
      <c r="A62" s="41"/>
      <c r="B62" s="39"/>
      <c r="C62" s="40"/>
      <c r="D62" s="41"/>
      <c r="E62" s="42"/>
      <c r="F62" s="43"/>
      <c r="G62" s="42"/>
      <c r="H62" s="43"/>
      <c r="I62" s="42"/>
      <c r="J62" s="43"/>
      <c r="K62" s="42"/>
      <c r="L62" s="43">
        <f t="shared" ref="L62:AB62" si="26">SUM(L58:L61)</f>
        <v>0</v>
      </c>
      <c r="M62" s="43">
        <f t="shared" si="26"/>
        <v>0</v>
      </c>
      <c r="N62" s="43">
        <f t="shared" si="26"/>
        <v>0</v>
      </c>
      <c r="O62" s="43">
        <f t="shared" si="26"/>
        <v>0</v>
      </c>
      <c r="P62" s="43">
        <f t="shared" si="26"/>
        <v>0</v>
      </c>
      <c r="Q62" s="43">
        <f t="shared" si="26"/>
        <v>0</v>
      </c>
      <c r="R62" s="43">
        <f t="shared" si="26"/>
        <v>0</v>
      </c>
      <c r="S62" s="43">
        <f t="shared" si="26"/>
        <v>0</v>
      </c>
      <c r="T62" s="43">
        <f t="shared" si="26"/>
        <v>0</v>
      </c>
      <c r="U62" s="43">
        <f t="shared" si="26"/>
        <v>0</v>
      </c>
      <c r="V62" s="43">
        <f t="shared" si="26"/>
        <v>0</v>
      </c>
      <c r="W62" s="43">
        <f t="shared" si="26"/>
        <v>0</v>
      </c>
      <c r="X62" s="43">
        <f t="shared" si="26"/>
        <v>0</v>
      </c>
      <c r="Y62" s="43">
        <f t="shared" si="26"/>
        <v>0</v>
      </c>
      <c r="Z62" s="43">
        <f t="shared" si="26"/>
        <v>0</v>
      </c>
      <c r="AA62" s="43">
        <f t="shared" si="26"/>
        <v>0</v>
      </c>
      <c r="AB62" s="43">
        <f t="shared" si="26"/>
        <v>0</v>
      </c>
      <c r="AC62" s="43"/>
      <c r="AD62" s="43"/>
      <c r="AE62" s="43"/>
      <c r="AF62" s="43"/>
      <c r="AG62" s="43"/>
      <c r="AH62" s="43"/>
      <c r="AI62" s="43"/>
      <c r="AJ62" s="43"/>
      <c r="AK62" s="43"/>
      <c r="AL62" s="43"/>
      <c r="AM62" s="43"/>
      <c r="AN62" s="43"/>
      <c r="AO62" s="43"/>
      <c r="AP62" s="43"/>
      <c r="AQ62" s="43"/>
      <c r="AR62" s="43"/>
      <c r="AS62" s="43"/>
      <c r="AT62" s="43"/>
      <c r="AU62" s="43"/>
      <c r="AV62" s="43"/>
      <c r="AW62" s="46">
        <f>SUM(AW58:AW61)</f>
        <v>0</v>
      </c>
    </row>
    <row r="63" spans="1:49" s="16" customFormat="1" ht="12" x14ac:dyDescent="0.2">
      <c r="A63" s="89"/>
      <c r="B63" s="26"/>
      <c r="C63" s="27"/>
      <c r="D63" s="26">
        <v>601008</v>
      </c>
      <c r="E63" s="28"/>
      <c r="F63" s="29"/>
      <c r="G63" s="28"/>
      <c r="H63" s="29"/>
      <c r="I63" s="28"/>
      <c r="J63" s="29"/>
      <c r="K63" s="28"/>
      <c r="L63" s="29"/>
      <c r="M63" s="28"/>
      <c r="N63" s="29"/>
      <c r="O63" s="28"/>
      <c r="P63" s="29"/>
      <c r="Q63" s="28"/>
      <c r="R63" s="29">
        <f>62976.9+297307.4</f>
        <v>360284.30000000005</v>
      </c>
      <c r="S63" s="28"/>
      <c r="T63" s="29"/>
      <c r="U63" s="30"/>
      <c r="V63" s="29"/>
      <c r="W63" s="30"/>
      <c r="X63" s="29"/>
      <c r="Y63" s="31"/>
      <c r="Z63" s="29"/>
      <c r="AA63" s="30"/>
      <c r="AB63" s="29"/>
      <c r="AC63" s="30"/>
      <c r="AD63" s="29"/>
      <c r="AE63" s="30"/>
      <c r="AF63" s="29"/>
      <c r="AG63" s="30"/>
      <c r="AH63" s="29"/>
      <c r="AI63" s="30"/>
      <c r="AJ63" s="29"/>
      <c r="AK63" s="30"/>
      <c r="AL63" s="29"/>
      <c r="AM63" s="30"/>
      <c r="AN63" s="29"/>
      <c r="AO63" s="30"/>
      <c r="AP63" s="29"/>
      <c r="AQ63" s="30"/>
      <c r="AR63" s="29"/>
      <c r="AS63" s="30"/>
      <c r="AT63" s="29"/>
      <c r="AU63" s="30"/>
      <c r="AV63" s="29"/>
      <c r="AW63" s="34">
        <f>F63+H63+J63+L63+N63+P63+R63+T63+V63+X63+Z63+AB63</f>
        <v>360284.30000000005</v>
      </c>
    </row>
    <row r="64" spans="1:49" s="16" customFormat="1" ht="12" x14ac:dyDescent="0.2">
      <c r="A64" s="88"/>
      <c r="B64" s="17"/>
      <c r="C64" s="18"/>
      <c r="D64" s="26">
        <v>601008</v>
      </c>
      <c r="E64" s="19"/>
      <c r="F64" s="20"/>
      <c r="G64" s="19"/>
      <c r="H64" s="20"/>
      <c r="I64" s="19"/>
      <c r="J64" s="20"/>
      <c r="K64" s="19"/>
      <c r="L64" s="20"/>
      <c r="M64" s="19"/>
      <c r="N64" s="20"/>
      <c r="O64" s="19"/>
      <c r="P64" s="20"/>
      <c r="Q64" s="19"/>
      <c r="R64" s="20"/>
      <c r="S64" s="19"/>
      <c r="T64" s="20"/>
      <c r="U64" s="21"/>
      <c r="V64" s="20"/>
      <c r="W64" s="21"/>
      <c r="X64" s="20"/>
      <c r="Y64" s="22"/>
      <c r="Z64" s="20"/>
      <c r="AA64" s="21"/>
      <c r="AB64" s="20"/>
      <c r="AC64" s="21"/>
      <c r="AD64" s="20"/>
      <c r="AE64" s="21"/>
      <c r="AF64" s="20"/>
      <c r="AG64" s="21"/>
      <c r="AH64" s="20"/>
      <c r="AI64" s="21"/>
      <c r="AJ64" s="20"/>
      <c r="AK64" s="21"/>
      <c r="AL64" s="20"/>
      <c r="AM64" s="21"/>
      <c r="AN64" s="20"/>
      <c r="AO64" s="21"/>
      <c r="AP64" s="20"/>
      <c r="AQ64" s="21"/>
      <c r="AR64" s="20"/>
      <c r="AS64" s="21"/>
      <c r="AT64" s="20"/>
      <c r="AU64" s="21"/>
      <c r="AV64" s="20"/>
      <c r="AW64" s="34">
        <f>F64+H64+J64+L64+N64+P64+R64+T64+V64+X64+Z64+AB64</f>
        <v>0</v>
      </c>
    </row>
    <row r="65" spans="1:49" s="47" customFormat="1" ht="12" x14ac:dyDescent="0.2">
      <c r="A65" s="41"/>
      <c r="B65" s="39"/>
      <c r="C65" s="40"/>
      <c r="D65" s="41"/>
      <c r="E65" s="42"/>
      <c r="F65" s="43"/>
      <c r="G65" s="42"/>
      <c r="H65" s="43"/>
      <c r="I65" s="42"/>
      <c r="J65" s="43"/>
      <c r="K65" s="42"/>
      <c r="L65" s="43">
        <f t="shared" ref="L65:AB65" si="27">SUM(L63:L64)</f>
        <v>0</v>
      </c>
      <c r="M65" s="43">
        <f t="shared" si="27"/>
        <v>0</v>
      </c>
      <c r="N65" s="43">
        <f t="shared" si="27"/>
        <v>0</v>
      </c>
      <c r="O65" s="43">
        <f t="shared" si="27"/>
        <v>0</v>
      </c>
      <c r="P65" s="43">
        <f t="shared" si="27"/>
        <v>0</v>
      </c>
      <c r="Q65" s="43">
        <f t="shared" si="27"/>
        <v>0</v>
      </c>
      <c r="R65" s="43">
        <f t="shared" si="27"/>
        <v>360284.30000000005</v>
      </c>
      <c r="S65" s="43">
        <f t="shared" si="27"/>
        <v>0</v>
      </c>
      <c r="T65" s="43">
        <f t="shared" si="27"/>
        <v>0</v>
      </c>
      <c r="U65" s="43">
        <f t="shared" si="27"/>
        <v>0</v>
      </c>
      <c r="V65" s="43">
        <f t="shared" si="27"/>
        <v>0</v>
      </c>
      <c r="W65" s="43">
        <f t="shared" si="27"/>
        <v>0</v>
      </c>
      <c r="X65" s="43">
        <f t="shared" si="27"/>
        <v>0</v>
      </c>
      <c r="Y65" s="43">
        <f t="shared" si="27"/>
        <v>0</v>
      </c>
      <c r="Z65" s="43">
        <f t="shared" si="27"/>
        <v>0</v>
      </c>
      <c r="AA65" s="43">
        <f t="shared" si="27"/>
        <v>0</v>
      </c>
      <c r="AB65" s="43">
        <f t="shared" si="27"/>
        <v>0</v>
      </c>
      <c r="AC65" s="43"/>
      <c r="AD65" s="43"/>
      <c r="AE65" s="43"/>
      <c r="AF65" s="43"/>
      <c r="AG65" s="43"/>
      <c r="AH65" s="43"/>
      <c r="AI65" s="43"/>
      <c r="AJ65" s="43"/>
      <c r="AK65" s="43"/>
      <c r="AL65" s="43"/>
      <c r="AM65" s="43"/>
      <c r="AN65" s="43"/>
      <c r="AO65" s="43"/>
      <c r="AP65" s="43"/>
      <c r="AQ65" s="43"/>
      <c r="AR65" s="43"/>
      <c r="AS65" s="43"/>
      <c r="AT65" s="43"/>
      <c r="AU65" s="43"/>
      <c r="AV65" s="43"/>
      <c r="AW65" s="46">
        <f>SUM(AW63:AW64)</f>
        <v>360284.30000000005</v>
      </c>
    </row>
    <row r="66" spans="1:49" s="16" customFormat="1" ht="12" x14ac:dyDescent="0.2">
      <c r="A66" s="89"/>
      <c r="B66" s="26"/>
      <c r="C66" s="27"/>
      <c r="D66" s="26"/>
      <c r="E66" s="28"/>
      <c r="F66" s="29"/>
      <c r="G66" s="28"/>
      <c r="H66" s="29"/>
      <c r="I66" s="28"/>
      <c r="J66" s="29"/>
      <c r="K66" s="28"/>
      <c r="L66" s="29"/>
      <c r="M66" s="28"/>
      <c r="N66" s="29"/>
      <c r="O66" s="28"/>
      <c r="P66" s="29"/>
      <c r="Q66" s="28"/>
      <c r="R66" s="29">
        <f>33964.55+30690</f>
        <v>64654.55</v>
      </c>
      <c r="S66" s="28"/>
      <c r="T66" s="29"/>
      <c r="U66" s="30"/>
      <c r="V66" s="29"/>
      <c r="W66" s="30"/>
      <c r="X66" s="29">
        <v>8145</v>
      </c>
      <c r="Y66" s="31"/>
      <c r="Z66" s="29"/>
      <c r="AA66" s="30"/>
      <c r="AB66" s="29"/>
      <c r="AC66" s="30"/>
      <c r="AD66" s="29"/>
      <c r="AE66" s="30"/>
      <c r="AF66" s="29"/>
      <c r="AG66" s="30"/>
      <c r="AH66" s="29"/>
      <c r="AI66" s="30"/>
      <c r="AJ66" s="29"/>
      <c r="AK66" s="30"/>
      <c r="AL66" s="29"/>
      <c r="AM66" s="30"/>
      <c r="AN66" s="29"/>
      <c r="AO66" s="30"/>
      <c r="AP66" s="29"/>
      <c r="AQ66" s="30"/>
      <c r="AR66" s="29"/>
      <c r="AS66" s="30"/>
      <c r="AT66" s="29"/>
      <c r="AU66" s="30"/>
      <c r="AV66" s="29"/>
      <c r="AW66" s="34">
        <f>F66+H66+J66+L66+N66+P66+R66+T66+V66+X66+Z66+AB66</f>
        <v>72799.55</v>
      </c>
    </row>
  </sheetData>
  <autoFilter ref="B4:AW22" xr:uid="{6D69F3AE-0727-45B2-8531-A510CA9F24A4}"/>
  <mergeCells count="24">
    <mergeCell ref="AM3:AN3"/>
    <mergeCell ref="AO3:AP3"/>
    <mergeCell ref="AQ3:AR3"/>
    <mergeCell ref="AS3:AT3"/>
    <mergeCell ref="AC3:AD3"/>
    <mergeCell ref="AE3:AF3"/>
    <mergeCell ref="AG3:AH3"/>
    <mergeCell ref="AI3:AJ3"/>
    <mergeCell ref="AK3:AL3"/>
    <mergeCell ref="W3:X3"/>
    <mergeCell ref="Y3:Z3"/>
    <mergeCell ref="AA3:AB3"/>
    <mergeCell ref="K3:L3"/>
    <mergeCell ref="M3:N3"/>
    <mergeCell ref="O3:P3"/>
    <mergeCell ref="Q3:R3"/>
    <mergeCell ref="S3:T3"/>
    <mergeCell ref="U3:V3"/>
    <mergeCell ref="I3:J3"/>
    <mergeCell ref="B2:D2"/>
    <mergeCell ref="A3:A4"/>
    <mergeCell ref="B3:B4"/>
    <mergeCell ref="E3:F3"/>
    <mergeCell ref="G3:H3"/>
  </mergeCells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89D674-1422-4D8C-9B81-94754DBEDDE4}">
  <dimension ref="A1:L32"/>
  <sheetViews>
    <sheetView tabSelected="1" workbookViewId="0">
      <selection activeCell="B12" sqref="B12"/>
    </sheetView>
  </sheetViews>
  <sheetFormatPr baseColWidth="10" defaultRowHeight="15" x14ac:dyDescent="0.25"/>
  <cols>
    <col min="1" max="1" width="18.5703125" style="172" customWidth="1"/>
    <col min="2" max="2" width="32.85546875" style="84" bestFit="1" customWidth="1"/>
    <col min="3" max="4" width="14.42578125" style="84" bestFit="1" customWidth="1"/>
    <col min="5" max="5" width="14.42578125" style="84" customWidth="1"/>
    <col min="6" max="6" width="18.28515625" style="84" customWidth="1"/>
    <col min="7" max="7" width="29.28515625" customWidth="1"/>
    <col min="8" max="8" width="22.5703125" customWidth="1"/>
    <col min="9" max="9" width="29.85546875" customWidth="1"/>
    <col min="11" max="11" width="19.42578125" customWidth="1"/>
    <col min="12" max="12" width="21.85546875" customWidth="1"/>
  </cols>
  <sheetData>
    <row r="1" spans="1:12" ht="20.25" thickBot="1" x14ac:dyDescent="0.35">
      <c r="A1" s="170"/>
      <c r="B1" s="143"/>
      <c r="G1" s="189" t="s">
        <v>33</v>
      </c>
      <c r="H1" s="189"/>
      <c r="I1" s="189"/>
      <c r="J1" s="190">
        <v>44531</v>
      </c>
      <c r="K1" s="191"/>
      <c r="L1" s="191"/>
    </row>
    <row r="2" spans="1:12" ht="80.25" customHeight="1" thickTop="1" x14ac:dyDescent="0.25">
      <c r="A2" s="171"/>
      <c r="B2" s="144" t="s">
        <v>48</v>
      </c>
      <c r="C2" s="144" t="s">
        <v>31</v>
      </c>
      <c r="D2" s="150" t="s">
        <v>22</v>
      </c>
      <c r="E2" s="151" t="s">
        <v>30</v>
      </c>
      <c r="F2" s="152" t="s">
        <v>29</v>
      </c>
      <c r="G2" s="142" t="s">
        <v>34</v>
      </c>
      <c r="H2" s="142" t="s">
        <v>32</v>
      </c>
      <c r="I2" s="142" t="s">
        <v>35</v>
      </c>
      <c r="J2" s="142" t="s">
        <v>36</v>
      </c>
      <c r="K2" s="142" t="s">
        <v>37</v>
      </c>
      <c r="L2" s="142" t="s">
        <v>38</v>
      </c>
    </row>
    <row r="3" spans="1:12" x14ac:dyDescent="0.25">
      <c r="A3" s="172">
        <v>600727</v>
      </c>
      <c r="B3" s="145">
        <v>1825000</v>
      </c>
      <c r="C3" s="145">
        <f>'[1]SUIVI COMMANDES'!$E$3</f>
        <v>716835.48</v>
      </c>
      <c r="D3" s="153">
        <f>B3-C3</f>
        <v>1108164.52</v>
      </c>
      <c r="E3" s="154"/>
      <c r="F3" s="155"/>
      <c r="G3" s="178" t="s">
        <v>42</v>
      </c>
    </row>
    <row r="4" spans="1:12" x14ac:dyDescent="0.25">
      <c r="A4" s="173">
        <v>601000</v>
      </c>
      <c r="B4" s="146">
        <v>5517700</v>
      </c>
      <c r="C4" s="156">
        <f>'Coût annuel T'!AW59</f>
        <v>1972928.5</v>
      </c>
      <c r="D4" s="157">
        <f>B4-C4</f>
        <v>3544771.5</v>
      </c>
      <c r="E4" s="158">
        <f>'[1]SUIVI COMMANDES'!$G$5</f>
        <v>1778439.6466666667</v>
      </c>
      <c r="F4" s="155"/>
    </row>
    <row r="5" spans="1:12" ht="15.75" x14ac:dyDescent="0.25">
      <c r="A5" s="174" t="s">
        <v>41</v>
      </c>
      <c r="B5" s="147">
        <f>SUM(B4)</f>
        <v>5517700</v>
      </c>
      <c r="C5" s="147">
        <f>SUM(C4)</f>
        <v>1972928.5</v>
      </c>
      <c r="D5" s="159">
        <f>SUM(D4)</f>
        <v>3544771.5</v>
      </c>
      <c r="E5" s="160"/>
      <c r="F5" s="161">
        <f t="shared" ref="F5" si="0">SUM(F4)</f>
        <v>0</v>
      </c>
    </row>
    <row r="6" spans="1:12" x14ac:dyDescent="0.25">
      <c r="A6" s="172">
        <v>601006</v>
      </c>
      <c r="B6" s="148">
        <v>367960</v>
      </c>
      <c r="C6" s="148">
        <f>'[1]SUIVI COMMANDES'!$E$8</f>
        <v>257166.7</v>
      </c>
      <c r="D6" s="162">
        <f>B6-C6</f>
        <v>110793.29999999999</v>
      </c>
      <c r="E6" s="163">
        <f>'[1]SUIVI COMMANDES'!$G$8</f>
        <v>167262.66333333333</v>
      </c>
      <c r="F6" s="155">
        <f>'Coût annuel T'!AU87+'Coût annuel Matériels '!AU57</f>
        <v>109485.5</v>
      </c>
    </row>
    <row r="7" spans="1:12" x14ac:dyDescent="0.25">
      <c r="A7" s="172">
        <v>600728</v>
      </c>
      <c r="B7" s="148">
        <v>368640</v>
      </c>
      <c r="C7" s="148">
        <f>'[1]SUIVI COMMANDES'!$E$9</f>
        <v>310506.25</v>
      </c>
      <c r="D7" s="162">
        <f t="shared" ref="D7:D9" si="1">B7-C7</f>
        <v>58133.75</v>
      </c>
      <c r="E7" s="130">
        <f>'[1]SUIVI COMMANDES'!$G$9</f>
        <v>284771.40000000002</v>
      </c>
      <c r="F7" s="155"/>
    </row>
    <row r="8" spans="1:12" x14ac:dyDescent="0.25">
      <c r="A8" s="172">
        <v>600724</v>
      </c>
      <c r="B8" s="148">
        <v>50300</v>
      </c>
      <c r="C8" s="148">
        <f>'[1]SUIVI COMMANDES'!$E$10</f>
        <v>130731.25</v>
      </c>
      <c r="D8" s="164">
        <f t="shared" si="1"/>
        <v>-80431.25</v>
      </c>
      <c r="E8" s="130">
        <f>'[1]SUIVI COMMANDES'!$G$10</f>
        <v>120951.25</v>
      </c>
      <c r="F8" s="155"/>
    </row>
    <row r="9" spans="1:12" x14ac:dyDescent="0.25">
      <c r="A9" s="172">
        <v>600723</v>
      </c>
      <c r="B9" s="148">
        <v>45300</v>
      </c>
      <c r="C9" s="148">
        <f>'[1]SUIVI COMMANDES'!$E$11</f>
        <v>154363.85</v>
      </c>
      <c r="D9" s="164">
        <f t="shared" si="1"/>
        <v>-109063.85</v>
      </c>
      <c r="E9" s="130">
        <f>'[1]SUIVI COMMANDES'!$G$11</f>
        <v>151697.85</v>
      </c>
      <c r="F9" s="155"/>
    </row>
    <row r="10" spans="1:12" ht="15.75" x14ac:dyDescent="0.25">
      <c r="A10" s="174" t="s">
        <v>41</v>
      </c>
      <c r="B10" s="149">
        <f>SUM(B6:B9)</f>
        <v>832200</v>
      </c>
      <c r="C10" s="149">
        <f>SUM(C6:C9)</f>
        <v>852768.04999999993</v>
      </c>
      <c r="D10" s="165">
        <f>SUM(D6:D9)</f>
        <v>-20568.050000000017</v>
      </c>
      <c r="E10" s="166"/>
      <c r="F10" s="167">
        <f t="shared" ref="F10" si="2">SUM(F6:F9)</f>
        <v>109485.5</v>
      </c>
    </row>
    <row r="11" spans="1:12" x14ac:dyDescent="0.25">
      <c r="A11" s="172">
        <v>601004</v>
      </c>
      <c r="B11" s="148">
        <v>523250</v>
      </c>
      <c r="C11" s="148">
        <f>'[1]SUIVI COMMANDES'!$E$14</f>
        <v>323365</v>
      </c>
      <c r="D11" s="162">
        <f>B11-C11</f>
        <v>199885</v>
      </c>
      <c r="E11" s="163">
        <f>'[1]SUIVI COMMANDES'!$G$14</f>
        <v>95671.63</v>
      </c>
      <c r="F11" s="155">
        <f>'Coût annuel T'!AU64+'Coût annuel Matériels '!AU46</f>
        <v>423489.93000000005</v>
      </c>
    </row>
    <row r="12" spans="1:12" x14ac:dyDescent="0.25">
      <c r="A12" s="172">
        <v>601003</v>
      </c>
      <c r="B12" s="148">
        <v>220750</v>
      </c>
      <c r="C12" s="148">
        <f>'[1]SUIVI COMMANDES'!$E$15</f>
        <v>208210</v>
      </c>
      <c r="D12" s="162">
        <f t="shared" ref="D12:D15" si="3">B12-C12</f>
        <v>12540</v>
      </c>
      <c r="E12" s="163">
        <f>'[1]SUIVI COMMANDES'!$G$15</f>
        <v>111250</v>
      </c>
      <c r="F12" s="155"/>
    </row>
    <row r="13" spans="1:12" x14ac:dyDescent="0.25">
      <c r="A13" s="172">
        <v>601002</v>
      </c>
      <c r="B13" s="148">
        <v>289750</v>
      </c>
      <c r="C13" s="148">
        <f>'[1]SUIVI COMMANDES'!$E$16</f>
        <v>262850</v>
      </c>
      <c r="D13" s="162">
        <f t="shared" si="3"/>
        <v>26900</v>
      </c>
      <c r="E13" s="163">
        <f>'[1]SUIVI COMMANDES'!$G$16</f>
        <v>266750</v>
      </c>
      <c r="F13" s="155"/>
    </row>
    <row r="14" spans="1:12" x14ac:dyDescent="0.25">
      <c r="A14" s="172" t="s">
        <v>39</v>
      </c>
      <c r="B14" s="148">
        <v>119500</v>
      </c>
      <c r="C14" s="148">
        <v>0</v>
      </c>
      <c r="D14" s="162">
        <f t="shared" si="3"/>
        <v>119500</v>
      </c>
      <c r="E14" s="163"/>
      <c r="F14" s="155"/>
    </row>
    <row r="15" spans="1:12" x14ac:dyDescent="0.25">
      <c r="A15" s="172" t="s">
        <v>40</v>
      </c>
      <c r="B15" s="148">
        <v>125700</v>
      </c>
      <c r="C15" s="148">
        <v>0</v>
      </c>
      <c r="D15" s="162">
        <f t="shared" si="3"/>
        <v>125700</v>
      </c>
      <c r="E15" s="163"/>
      <c r="F15" s="155"/>
    </row>
    <row r="16" spans="1:12" ht="15.75" x14ac:dyDescent="0.25">
      <c r="A16" s="174" t="s">
        <v>41</v>
      </c>
      <c r="B16" s="149">
        <f>SUM(B11:B15)</f>
        <v>1278950</v>
      </c>
      <c r="C16" s="149">
        <f>SUM(C11:C15)</f>
        <v>794425</v>
      </c>
      <c r="D16" s="165">
        <f>SUM(D11:D15)</f>
        <v>484525</v>
      </c>
      <c r="E16" s="166"/>
      <c r="F16" s="167"/>
    </row>
    <row r="17" spans="1:6" x14ac:dyDescent="0.25">
      <c r="A17" s="172">
        <v>601007</v>
      </c>
      <c r="B17" s="148">
        <v>781750</v>
      </c>
      <c r="C17" s="148">
        <f>'[1]SUIVI COMMANDES'!$E$18</f>
        <v>563749.13199999998</v>
      </c>
      <c r="D17" s="162">
        <f>B17-C17</f>
        <v>218000.86800000002</v>
      </c>
      <c r="E17" s="163">
        <f>'[1]SUIVI COMMANDES'!$G$18</f>
        <v>337833.45199999999</v>
      </c>
      <c r="F17" s="155"/>
    </row>
    <row r="18" spans="1:6" x14ac:dyDescent="0.25">
      <c r="A18" s="172">
        <v>601008</v>
      </c>
      <c r="B18" s="148">
        <v>775387</v>
      </c>
      <c r="C18" s="148">
        <f>'[1]SUIVI COMMANDES'!$E$19</f>
        <v>607730.64599999995</v>
      </c>
      <c r="D18" s="162">
        <f>B18-C18</f>
        <v>167656.35400000005</v>
      </c>
      <c r="E18" s="163">
        <f>'[1]SUIVI COMMANDES'!$G$19</f>
        <v>432426.25599999999</v>
      </c>
      <c r="F18" s="155"/>
    </row>
    <row r="19" spans="1:6" ht="15.75" x14ac:dyDescent="0.25">
      <c r="A19" s="174" t="s">
        <v>41</v>
      </c>
      <c r="B19" s="149">
        <f>SUM(B17:B18)</f>
        <v>1557137</v>
      </c>
      <c r="C19" s="149">
        <f>SUM(C17:C18)</f>
        <v>1171479.7779999999</v>
      </c>
      <c r="D19" s="165">
        <f>SUM(D17:D18)</f>
        <v>385657.22200000007</v>
      </c>
      <c r="E19" s="166"/>
      <c r="F19" s="167"/>
    </row>
    <row r="20" spans="1:6" x14ac:dyDescent="0.25">
      <c r="A20" s="172">
        <v>601009</v>
      </c>
      <c r="B20" s="148">
        <v>254300</v>
      </c>
      <c r="C20" s="148">
        <f>'[1]SUIVI COMMANDES'!$E$17</f>
        <v>131800</v>
      </c>
      <c r="D20" s="162">
        <f>B20-C20</f>
        <v>122500</v>
      </c>
      <c r="E20" s="163">
        <f>'[1]SUIVI COMMANDES'!$G$17</f>
        <v>91074.1</v>
      </c>
      <c r="F20" s="155"/>
    </row>
    <row r="21" spans="1:6" x14ac:dyDescent="0.25">
      <c r="A21" s="172" t="s">
        <v>39</v>
      </c>
      <c r="B21" s="148">
        <v>827400</v>
      </c>
      <c r="C21" s="148">
        <v>0</v>
      </c>
      <c r="D21" s="162">
        <f t="shared" ref="D21:D30" si="4">B21-C21</f>
        <v>827400</v>
      </c>
      <c r="E21" s="163"/>
      <c r="F21" s="155"/>
    </row>
    <row r="22" spans="1:6" x14ac:dyDescent="0.25">
      <c r="A22" s="172" t="s">
        <v>39</v>
      </c>
      <c r="B22" s="148">
        <v>152400</v>
      </c>
      <c r="C22" s="148">
        <v>0</v>
      </c>
      <c r="D22" s="162">
        <f t="shared" si="4"/>
        <v>152400</v>
      </c>
      <c r="E22" s="163"/>
      <c r="F22" s="155"/>
    </row>
    <row r="23" spans="1:6" x14ac:dyDescent="0.25">
      <c r="A23" s="172" t="s">
        <v>40</v>
      </c>
      <c r="B23" s="148">
        <v>73400</v>
      </c>
      <c r="C23" s="148">
        <v>0</v>
      </c>
      <c r="D23" s="162">
        <f t="shared" si="4"/>
        <v>73400</v>
      </c>
      <c r="E23" s="163"/>
      <c r="F23" s="155"/>
    </row>
    <row r="24" spans="1:6" ht="15.75" x14ac:dyDescent="0.25">
      <c r="A24" s="174" t="s">
        <v>41</v>
      </c>
      <c r="B24" s="149">
        <f>SUM(B20:B23)</f>
        <v>1307500</v>
      </c>
      <c r="C24" s="149">
        <f>SUM(C20:C23)</f>
        <v>131800</v>
      </c>
      <c r="D24" s="165">
        <f>SUM(D20:D23)</f>
        <v>1175700</v>
      </c>
      <c r="E24" s="166"/>
      <c r="F24" s="167"/>
    </row>
    <row r="25" spans="1:6" x14ac:dyDescent="0.25">
      <c r="A25" s="172">
        <v>601005</v>
      </c>
      <c r="B25" s="148">
        <v>2300000</v>
      </c>
      <c r="C25" s="148">
        <f>'[1]SUIVI COMMANDES'!$E$20</f>
        <v>1001022.3759999999</v>
      </c>
      <c r="D25" s="162">
        <f t="shared" si="4"/>
        <v>1298977.6240000001</v>
      </c>
      <c r="E25" s="163">
        <f>'[1]SUIVI COMMANDES'!$G$20</f>
        <v>736342.98200000008</v>
      </c>
      <c r="F25" s="155"/>
    </row>
    <row r="26" spans="1:6" ht="15.75" x14ac:dyDescent="0.25">
      <c r="A26" s="174" t="s">
        <v>41</v>
      </c>
      <c r="B26" s="149">
        <f>SUM(B25)</f>
        <v>2300000</v>
      </c>
      <c r="C26" s="149">
        <f>SUM(C25)</f>
        <v>1001022.3759999999</v>
      </c>
      <c r="D26" s="165">
        <f>SUM(D25)</f>
        <v>1298977.6240000001</v>
      </c>
      <c r="E26" s="166"/>
      <c r="F26" s="167"/>
    </row>
    <row r="27" spans="1:6" x14ac:dyDescent="0.25">
      <c r="A27" s="172" t="s">
        <v>39</v>
      </c>
      <c r="B27" s="148">
        <v>33600</v>
      </c>
      <c r="C27" s="148">
        <v>0</v>
      </c>
      <c r="D27" s="162">
        <f t="shared" si="4"/>
        <v>33600</v>
      </c>
      <c r="E27" s="163"/>
      <c r="F27" s="155"/>
    </row>
    <row r="28" spans="1:6" x14ac:dyDescent="0.25">
      <c r="A28" s="172" t="s">
        <v>39</v>
      </c>
      <c r="B28" s="148">
        <v>30100</v>
      </c>
      <c r="C28" s="148">
        <v>0</v>
      </c>
      <c r="D28" s="162">
        <f t="shared" si="4"/>
        <v>30100</v>
      </c>
      <c r="E28" s="163"/>
      <c r="F28" s="155"/>
    </row>
    <row r="29" spans="1:6" ht="15.75" x14ac:dyDescent="0.25">
      <c r="A29" s="174" t="s">
        <v>41</v>
      </c>
      <c r="B29" s="149">
        <f>SUM(B27:B28)</f>
        <v>63700</v>
      </c>
      <c r="C29" s="149">
        <f>SUM(C27:C28)</f>
        <v>0</v>
      </c>
      <c r="D29" s="165">
        <f>SUM(D27:D28)</f>
        <v>63700</v>
      </c>
      <c r="E29" s="166"/>
      <c r="F29" s="167"/>
    </row>
    <row r="30" spans="1:6" x14ac:dyDescent="0.25">
      <c r="A30" s="172" t="s">
        <v>39</v>
      </c>
      <c r="B30" s="148">
        <v>689900</v>
      </c>
      <c r="C30" s="148">
        <v>0</v>
      </c>
      <c r="D30" s="162">
        <f t="shared" si="4"/>
        <v>689900</v>
      </c>
      <c r="E30" s="163"/>
      <c r="F30" s="155"/>
    </row>
    <row r="31" spans="1:6" ht="15.75" x14ac:dyDescent="0.25">
      <c r="A31" s="174" t="s">
        <v>41</v>
      </c>
      <c r="B31" s="149">
        <f>SUM(B30)</f>
        <v>689900</v>
      </c>
      <c r="C31" s="149">
        <f>SUM(C30)</f>
        <v>0</v>
      </c>
      <c r="D31" s="165">
        <f>SUM(D30)</f>
        <v>689900</v>
      </c>
      <c r="E31" s="166"/>
      <c r="F31" s="167"/>
    </row>
    <row r="32" spans="1:6" ht="19.5" thickBot="1" x14ac:dyDescent="0.35">
      <c r="A32" s="175" t="s">
        <v>23</v>
      </c>
      <c r="B32" s="176">
        <f>B5+B10+B16+B19+B24+B26+B29+B31</f>
        <v>13547087</v>
      </c>
      <c r="C32" s="176">
        <f>C5+C10+C16+C19+C24+C26+C29+C31</f>
        <v>5924423.7039999999</v>
      </c>
      <c r="D32" s="177">
        <f>D5+D10+D16+D19+D24+D26+D29+D31</f>
        <v>7622663.2960000001</v>
      </c>
      <c r="E32" s="168"/>
      <c r="F32" s="169"/>
    </row>
  </sheetData>
  <mergeCells count="2">
    <mergeCell ref="G1:I1"/>
    <mergeCell ref="J1:L1"/>
  </mergeCells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Coût annuel T</vt:lpstr>
      <vt:lpstr>Coût annuel Matériels 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2021-11-24T09:30:18Z</dcterms:created>
  <dcterms:modified xsi:type="dcterms:W3CDTF">2021-11-26T09:51:59Z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2021-11-26T09:51:59Z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5b17d078-f057-47a4-8e8d-2b6e981fd254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</Properties>
</file>