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nezha.belkasmi\Desktop\"/>
    </mc:Choice>
  </mc:AlternateContent>
  <xr:revisionPtr revIDLastSave="0" documentId="13_ncr:1_{6389CCD9-624E-40E2-8A78-3A018390CF3E}" xr6:coauthVersionLast="47" xr6:coauthVersionMax="47" xr10:uidLastSave="{00000000-0000-0000-0000-000000000000}"/>
  <bookViews>
    <workbookView xWindow="-28920" yWindow="-120" windowWidth="29040" windowHeight="15720" xr2:uid="{AAC23F65-85E7-4D66-B46C-8518FB6B36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  <c r="O7" i="1"/>
  <c r="O33" i="1"/>
  <c r="O34" i="1"/>
  <c r="O35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2" i="1"/>
  <c r="O13" i="1"/>
  <c r="O11" i="1"/>
  <c r="O10" i="1"/>
  <c r="O9" i="1"/>
  <c r="M6" i="1"/>
  <c r="M33" i="1" s="1"/>
  <c r="M15" i="1" l="1"/>
  <c r="M24" i="1"/>
  <c r="M10" i="1"/>
  <c r="M13" i="1"/>
  <c r="M29" i="1"/>
  <c r="M31" i="1"/>
  <c r="M21" i="1"/>
  <c r="M18" i="1"/>
  <c r="M19" i="1"/>
  <c r="M12" i="1"/>
  <c r="G28" i="1" s="1"/>
  <c r="M32" i="1"/>
  <c r="H25" i="1" s="1"/>
  <c r="M26" i="1"/>
  <c r="M20" i="1"/>
  <c r="M34" i="1"/>
  <c r="M27" i="1"/>
  <c r="M22" i="1"/>
  <c r="M35" i="1"/>
  <c r="M25" i="1"/>
  <c r="M30" i="1"/>
  <c r="M8" i="1"/>
  <c r="M11" i="1"/>
  <c r="M28" i="1"/>
  <c r="M16" i="1"/>
  <c r="M7" i="1"/>
  <c r="M17" i="1"/>
  <c r="M9" i="1"/>
  <c r="M14" i="1"/>
  <c r="M23" i="1"/>
  <c r="G12" i="1" l="1"/>
  <c r="H24" i="1"/>
  <c r="I11" i="1"/>
  <c r="H30" i="1"/>
  <c r="I29" i="1"/>
  <c r="H22" i="1"/>
  <c r="H11" i="1"/>
  <c r="H15" i="1"/>
  <c r="H19" i="1"/>
  <c r="H26" i="1"/>
  <c r="H5" i="1"/>
  <c r="H9" i="1"/>
  <c r="H14" i="1"/>
  <c r="H23" i="1"/>
  <c r="H12" i="1"/>
  <c r="H16" i="1"/>
  <c r="H20" i="1"/>
  <c r="H27" i="1"/>
  <c r="I5" i="1"/>
  <c r="H10" i="1"/>
  <c r="H29" i="1"/>
  <c r="H13" i="1"/>
  <c r="H17" i="1"/>
  <c r="H21" i="1"/>
  <c r="H28" i="1"/>
  <c r="H7" i="1"/>
  <c r="H18" i="1"/>
  <c r="H8" i="1"/>
  <c r="H6" i="1"/>
  <c r="I10" i="1"/>
  <c r="G9" i="1"/>
  <c r="I23" i="1"/>
  <c r="G16" i="1"/>
  <c r="G19" i="1"/>
  <c r="I9" i="1"/>
  <c r="G5" i="1"/>
  <c r="I21" i="1"/>
  <c r="G10" i="1"/>
  <c r="I28" i="1"/>
  <c r="G8" i="1"/>
  <c r="G15" i="1"/>
  <c r="I12" i="1"/>
  <c r="G23" i="1"/>
  <c r="I24" i="1"/>
  <c r="G29" i="1"/>
  <c r="I19" i="1"/>
  <c r="I8" i="1"/>
  <c r="G7" i="1"/>
  <c r="G11" i="1"/>
  <c r="G30" i="1"/>
  <c r="I15" i="1"/>
  <c r="G20" i="1"/>
  <c r="G13" i="1"/>
  <c r="G27" i="1"/>
  <c r="I16" i="1"/>
  <c r="I27" i="1"/>
  <c r="I22" i="1"/>
  <c r="G6" i="1"/>
  <c r="G21" i="1"/>
  <c r="I25" i="1"/>
  <c r="I17" i="1"/>
  <c r="I18" i="1"/>
  <c r="I20" i="1"/>
  <c r="I26" i="1"/>
  <c r="G26" i="1"/>
  <c r="G22" i="1"/>
  <c r="I14" i="1"/>
  <c r="G17" i="1"/>
  <c r="I7" i="1"/>
  <c r="G14" i="1"/>
  <c r="G24" i="1"/>
  <c r="I13" i="1"/>
  <c r="G18" i="1"/>
  <c r="G25" i="1"/>
  <c r="I6" i="1"/>
  <c r="I30" i="1"/>
</calcChain>
</file>

<file path=xl/sharedStrings.xml><?xml version="1.0" encoding="utf-8"?>
<sst xmlns="http://schemas.openxmlformats.org/spreadsheetml/2006/main" count="70" uniqueCount="38">
  <si>
    <t>brut annuel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</si>
  <si>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</si>
  <si>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</si>
  <si>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</si>
  <si>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</si>
  <si>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</si>
  <si>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</si>
  <si>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</si>
  <si>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</si>
  <si>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</si>
  <si>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</si>
  <si>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</si>
  <si>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</si>
  <si>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</si>
  <si>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</si>
  <si>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</si>
  <si>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</si>
  <si>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</si>
  <si>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S</t>
  </si>
  <si>
    <t>T</t>
  </si>
  <si>
    <t>U</t>
  </si>
  <si>
    <t>V</t>
  </si>
  <si>
    <t>W</t>
  </si>
  <si>
    <t>X</t>
  </si>
  <si>
    <t>Y</t>
  </si>
  <si>
    <t>Z</t>
  </si>
  <si>
    <t>pas de changement</t>
  </si>
  <si>
    <t>moins favorable</t>
  </si>
  <si>
    <t>plus favorable</t>
  </si>
  <si>
    <t>Coef</t>
  </si>
  <si>
    <t>Montant</t>
  </si>
  <si>
    <t>Résultat</t>
  </si>
  <si>
    <t>Evolution</t>
  </si>
  <si>
    <t>Matricule</t>
  </si>
  <si>
    <t>Nom, Prénom</t>
  </si>
  <si>
    <t>Entreprise</t>
  </si>
  <si>
    <t>Société</t>
  </si>
  <si>
    <t>Source RF paye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</si>
</sst>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0.0000"/>
    <numFmt numFmtId="166" formatCode="0.000%"/>
    <numFmt numFmtId="167" formatCode="0.000%;[Red]\-0.000%"/>
  </numFmts>
  <fonts count="3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0" tint="-0.499984740745262"/>
      </right>
      <top/>
      <bottom style="thin">
        <color theme="0" tint="-0.2499465926084170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24994659260841701"/>
      </bottom>
      <diagonal/>
    </border>
    <border>
      <left style="thin">
        <color theme="0" tint="-0.499984740745262"/>
      </left>
      <right/>
      <top/>
      <bottom style="thin">
        <color theme="0" tint="-0.24994659260841701"/>
      </bottom>
      <diagonal/>
    </border>
    <border>
      <left/>
      <right style="thin">
        <color theme="0" tint="-0.499984740745262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499984740745262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499984740745262"/>
      </right>
      <top style="thin">
        <color theme="0" tint="-0.24994659260841701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24994659260841701"/>
      </top>
      <bottom/>
      <diagonal/>
    </border>
    <border>
      <left style="thin">
        <color theme="0" tint="-0.499984740745262"/>
      </left>
      <right/>
      <top style="thin">
        <color theme="0" tint="-0.24994659260841701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right" vertical="center" wrapText="1" indent="1"/>
    </xf>
    <xf numFmtId="164" fontId="0" fillId="0" borderId="0" xfId="0" applyNumberFormat="1" applyAlignment="1">
      <alignment horizontal="right" indent="1"/>
    </xf>
    <xf numFmtId="0" fontId="0" fillId="0" borderId="0" xfId="0" applyAlignment="1">
      <alignment horizontal="right" indent="1"/>
    </xf>
    <xf numFmtId="165" fontId="0" fillId="0" borderId="0" xfId="0" applyNumberFormat="1" applyAlignment="1">
      <alignment horizontal="right" indent="1"/>
    </xf>
    <xf numFmtId="0" fontId="0" fillId="0" borderId="0" xfId="0" applyAlignment="1">
      <alignment horizontal="left" indent="1"/>
    </xf>
    <xf numFmtId="167" fontId="0" fillId="0" borderId="0" xfId="1" applyNumberFormat="1" applyFont="1" applyAlignment="1">
      <alignment horizontal="right" indent="1"/>
    </xf>
    <xf numFmtId="165" fontId="0" fillId="0" borderId="1" xfId="0" applyNumberFormat="1" applyBorder="1" applyAlignment="1">
      <alignment horizontal="right" indent="1"/>
    </xf>
    <xf numFmtId="0" fontId="0" fillId="0" borderId="2" xfId="0" applyBorder="1" applyAlignment="1">
      <alignment horizontal="right" indent="1"/>
    </xf>
    <xf numFmtId="0" fontId="0" fillId="0" borderId="2" xfId="0" applyBorder="1" applyAlignment="1">
      <alignment horizontal="left" indent="1"/>
    </xf>
    <xf numFmtId="0" fontId="0" fillId="0" borderId="3" xfId="0" applyBorder="1" applyAlignment="1">
      <alignment horizontal="right" indent="1"/>
    </xf>
    <xf numFmtId="165" fontId="1" fillId="0" borderId="4" xfId="0" applyNumberFormat="1" applyFont="1" applyBorder="1" applyAlignment="1">
      <alignment horizontal="right" indent="1"/>
    </xf>
    <xf numFmtId="164" fontId="0" fillId="0" borderId="5" xfId="0" applyNumberFormat="1" applyBorder="1" applyAlignment="1">
      <alignment horizontal="right" indent="1"/>
    </xf>
    <xf numFmtId="0" fontId="0" fillId="0" borderId="5" xfId="0" applyBorder="1" applyAlignment="1">
      <alignment horizontal="left" indent="1"/>
    </xf>
    <xf numFmtId="166" fontId="0" fillId="0" borderId="6" xfId="0" applyNumberFormat="1" applyBorder="1" applyAlignment="1">
      <alignment horizontal="right" indent="1"/>
    </xf>
    <xf numFmtId="165" fontId="0" fillId="0" borderId="4" xfId="0" applyNumberFormat="1" applyBorder="1" applyAlignment="1">
      <alignment horizontal="right" indent="1"/>
    </xf>
    <xf numFmtId="0" fontId="1" fillId="0" borderId="5" xfId="0" applyFont="1" applyBorder="1" applyAlignment="1">
      <alignment horizontal="left" indent="1"/>
    </xf>
    <xf numFmtId="165" fontId="1" fillId="0" borderId="7" xfId="0" applyNumberFormat="1" applyFont="1" applyBorder="1" applyAlignment="1">
      <alignment horizontal="right" indent="1"/>
    </xf>
    <xf numFmtId="164" fontId="0" fillId="0" borderId="8" xfId="0" applyNumberFormat="1" applyBorder="1" applyAlignment="1">
      <alignment horizontal="right" indent="1"/>
    </xf>
    <xf numFmtId="0" fontId="1" fillId="0" borderId="8" xfId="0" applyFont="1" applyBorder="1" applyAlignment="1">
      <alignment horizontal="left" indent="1"/>
    </xf>
    <xf numFmtId="165" fontId="1" fillId="2" borderId="4" xfId="0" applyNumberFormat="1" applyFont="1" applyFill="1" applyBorder="1" applyAlignment="1">
      <alignment horizontal="right" indent="1"/>
    </xf>
    <xf numFmtId="0" fontId="1" fillId="3" borderId="5" xfId="0" applyFont="1" applyFill="1" applyBorder="1" applyAlignment="1">
      <alignment horizontal="left" indent="1"/>
    </xf>
    <xf numFmtId="166" fontId="0" fillId="0" borderId="9" xfId="0" applyNumberFormat="1" applyBorder="1" applyAlignment="1">
      <alignment horizontal="right" indent="1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17">
    <dxf>
      <alignment horizontal="center" vertical="bottom" textRotation="0" wrapText="0" indent="0" justifyLastLine="0" shrinkToFit="0" readingOrder="0"/>
    </dxf>
    <dxf>
      <font>
        <color rgb="FFFF000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relativeIndent="1" justifyLastLine="0" shrinkToFit="0" readingOrder="0"/>
    </dxf>
    <dxf>
      <numFmt numFmtId="167" formatCode="0.000%;[Red]\-0.000%"/>
      <alignment horizontal="right" vertical="bottom" textRotation="0" wrapText="0" indent="1" justifyLastLine="0" shrinkToFit="0" readingOrder="0"/>
    </dxf>
    <dxf>
      <numFmt numFmtId="165" formatCode="0.0000"/>
      <alignment horizontal="right" vertical="bottom" textRotation="0" wrapText="0" relativeIndent="1" justifyLastLine="0" shrinkToFit="0" readingOrder="0"/>
    </dxf>
    <dxf>
      <numFmt numFmtId="164" formatCode="#,##0.00\ &quot;€&quot;"/>
      <alignment horizontal="right" textRotation="0" relative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0.000%"/>
      <alignment horizontal="right" vertical="bottom" textRotation="0" wrapText="0" relativeIndent="1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24994659260841701"/>
        </top>
        <bottom style="thin">
          <color theme="0" tint="-0.24994659260841701"/>
        </bottom>
        <vertical style="thin">
          <color theme="0" tint="-0.499984740745262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left" vertical="bottom" textRotation="0" wrapText="0" relativeIndent="1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499984740745262"/>
        </vertical>
        <horizontal style="thin">
          <color theme="0" tint="-0.24994659260841701"/>
        </horizontal>
      </border>
    </dxf>
    <dxf>
      <numFmt numFmtId="164" formatCode="#,##0.00\ &quot;€&quot;"/>
      <alignment horizontal="right" vertical="bottom" textRotation="0" wrapText="0" relativeIndent="1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499984740745262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numFmt numFmtId="165" formatCode="0.0000"/>
      <fill>
        <patternFill patternType="solid">
          <fgColor indexed="64"/>
          <bgColor theme="4" tint="0.79998168889431442"/>
        </patternFill>
      </fill>
      <alignment horizontal="right" vertical="bottom" textRotation="0" wrapText="0" relativeIndent="1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499984740745262"/>
        </vertical>
        <horizontal style="thin">
          <color theme="0" tint="-0.24994659260841701"/>
        </horizontal>
      </border>
    </dxf>
    <dxf>
      <border>
        <top style="thin">
          <color theme="0" tint="-0.24994659260841701"/>
        </top>
      </border>
    </dxf>
    <dxf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>
        <bottom style="thin">
          <color theme="0" tint="-0.24994659260841701"/>
        </bottom>
      </border>
    </dxf>
    <dxf>
      <border diagonalUp="0" diagonalDown="0">
        <left style="thin">
          <color theme="0" tint="-0.499984740745262"/>
        </left>
        <right style="thin">
          <color theme="0" tint="-0.499984740745262"/>
        </right>
        <top/>
        <bottom/>
        <vertical style="thin">
          <color theme="0" tint="-0.499984740745262"/>
        </vertical>
        <horizontal style="thin">
          <color theme="0" tint="-0.2499465926084170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951E4C-4CD1-4736-9B5D-913C269A6CF4}" name="t_Comparatif" displayName="t_Comparatif" ref="L4:O36" totalsRowShown="0" headerRowDxfId="16" headerRowBorderDxfId="15" tableBorderDxfId="14" totalsRowBorderDxfId="13">
  <autoFilter ref="L4:O36" xr:uid="{F6951E4C-4CD1-4736-9B5D-913C269A6CF4}">
    <filterColumn colId="0" hiddenButton="1"/>
    <filterColumn colId="1" hiddenButton="1"/>
    <filterColumn colId="2" hiddenButton="1"/>
    <filterColumn colId="3" hiddenButton="1"/>
  </autoFilter>
  <tableColumns count="4">
    <tableColumn id="1" xr3:uid="{E6281116-446F-48EF-BCDC-81EC1FD7D001}" name="Coef" dataDxfId="12"/>
    <tableColumn id="2" xr3:uid="{94A76095-4EFE-43E3-B3CA-1EC8CFBC7D91}" name="Montant" dataDxfId="11"/>
    <tableColumn id="3" xr3:uid="{CE7C9FC6-A928-4881-BD90-F130BC0E59CD}" name="Résultat" dataDxfId="10"/>
    <tableColumn id="4" xr3:uid="{3D1CB56C-FA60-4429-91A5-94D27DB2D2F5}" name="Evolution" dataDxfId="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7ED169-CAD1-4125-8095-9F3C04F98197}" name="t_Salaire" displayName="t_Salaire" ref="B4:I30" totalsRowShown="0">
  <autoFilter ref="B4:I30" xr:uid="{657ED169-CAD1-4125-8095-9F3C04F9819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1C3F6EB5-37EB-4182-99D5-F0A2DC624D6C}" name="Matricule" dataDxfId="8"/>
    <tableColumn id="7" xr3:uid="{98EF2D8B-61C2-41AF-953E-922D141537B9}" name="Nom, Prénom" dataDxfId="2"/>
    <tableColumn id="6" xr3:uid="{5DBDB1EA-AA20-4C17-A412-32D883E33046}" name="Entreprise" dataDxfId="3"/>
    <tableColumn id="8" xr3:uid="{F1163844-0E8D-4656-B344-FFF756BCD0ED}" name="Société" dataDxfId="0"/>
    <tableColumn id="2" xr3:uid="{F222E7CD-5CD9-40EE-95A7-66634B5897DF}" name="brut annuel" dataDxfId="7"/>
    <tableColumn id="3" xr3:uid="{30D6616C-BA3C-46DB-A32A-453CEE203783}" name="Coef" dataDxfId="6">
      <calculatedColumnFormula>INDEX(t_Comparatif[Coef],MATCH(t_Salaire[[#This Row],[brut annuel]],t_Comparatif[Montant],1))</calculatedColumnFormula>
    </tableColumn>
    <tableColumn id="5" xr3:uid="{16CE1658-8422-4E72-817F-9F26DD78405D}" name="Evolution" dataDxfId="5"/>
    <tableColumn id="4" xr3:uid="{B0DEC18A-981D-4C56-B81D-68F2023F452C}" name="Résultat" dataDxfId="4">
      <calculatedColumnFormula>INDEX(t_Comparatif[Résultat],MATCH(t_Salaire[[#This Row],[brut annuel]],t_Comparatif[Montant],1))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EE896-AE14-4E1E-8887-A458496FA9CD}">
  <dimension ref="B3:O36"/>
  <sheetViews>
    <sheetView showGridLines="0" tabSelected="1" workbookViewId="0">
      <selection activeCell="K18" sqref="K18"/>
    </sheetView>
  </sheetViews>
  <sheetFormatPr baseColWidth="10" defaultRowHeight="14.5" x14ac:dyDescent="0.35"/>
  <cols>
    <col min="1" max="1" width="3.81640625" customWidth="1"/>
    <col min="2" max="2" width="9" bestFit="1" customWidth="1"/>
    <col min="3" max="3" width="12.6328125" bestFit="1" customWidth="1"/>
    <col min="4" max="4" width="9.90625" bestFit="1" customWidth="1"/>
    <col min="5" max="5" width="9.90625" customWidth="1"/>
    <col min="6" max="6" width="11.90625" customWidth="1"/>
    <col min="8" max="8" width="11.54296875" customWidth="1"/>
    <col min="9" max="9" width="20.36328125" customWidth="1"/>
    <col min="10" max="10" width="3.81640625" customWidth="1"/>
    <col min="12" max="12" width="10.90625" customWidth="1"/>
    <col min="13" max="13" width="12.1796875" customWidth="1"/>
    <col min="14" max="14" width="24.453125" customWidth="1"/>
    <col min="15" max="15" width="12.81640625" customWidth="1"/>
  </cols>
  <sheetData>
    <row r="3" spans="2:15" x14ac:dyDescent="0.35">
      <c r="L3" s="24" t="s">
        <v>37</v>
      </c>
      <c r="M3" s="24"/>
      <c r="N3" s="24"/>
      <c r="O3" s="24"/>
    </row>
    <row r="4" spans="2:15" x14ac:dyDescent="0.35">
      <c r="B4" s="1" t="s">
        <v>33</v>
      </c>
      <c r="C4" s="1" t="s">
        <v>34</v>
      </c>
      <c r="D4" s="1" t="s">
        <v>35</v>
      </c>
      <c r="E4" s="1" t="s">
        <v>36</v>
      </c>
      <c r="F4" s="2" t="s">
        <v>0</v>
      </c>
      <c r="G4" s="4" t="s">
        <v>29</v>
      </c>
      <c r="H4" s="4" t="s">
        <v>32</v>
      </c>
      <c r="I4" s="6" t="s">
        <v>31</v>
      </c>
      <c r="L4" s="8" t="s">
        <v>29</v>
      </c>
      <c r="M4" s="9" t="s">
        <v>30</v>
      </c>
      <c r="N4" s="10" t="s">
        <v>31</v>
      </c>
      <c r="O4" s="11" t="s">
        <v>32</v>
      </c>
    </row>
    <row r="5" spans="2:15" x14ac:dyDescent="0.35">
      <c r="B5" s="1" t="s">
        <v>1</v>
      </c>
      <c r="C5" s="1"/>
      <c r="D5" s="1"/>
      <c r="E5" s="1"/>
      <c r="F5" s="3">
        <v>35237.85</v>
      </c>
      <c r="G5" s="5">
        <f>INDEX(t_Comparatif[Coef],MATCH(t_Salaire[[#This Row],[brut annuel]],t_Comparatif[Montant],1))</f>
        <v>1.6</v>
      </c>
      <c r="H5" s="7">
        <f>INDEX(t_Comparatif[Evolution],MATCH(t_Salaire[[#This Row],[brut annuel]],t_Comparatif[Montant],1))</f>
        <v>3.1700000000000006E-2</v>
      </c>
      <c r="I5" s="6" t="str">
        <f>INDEX(t_Comparatif[Résultat],MATCH(t_Salaire[[#This Row],[brut annuel]],t_Comparatif[Montant],1))</f>
        <v>plus favorable</v>
      </c>
      <c r="L5" s="12">
        <v>0</v>
      </c>
      <c r="M5" s="13">
        <v>0</v>
      </c>
      <c r="N5" s="14" t="s">
        <v>26</v>
      </c>
      <c r="O5" s="15">
        <v>0</v>
      </c>
    </row>
    <row r="6" spans="2:15" x14ac:dyDescent="0.35">
      <c r="B6" s="1" t="s">
        <v>2</v>
      </c>
      <c r="C6" s="1"/>
      <c r="D6" s="1"/>
      <c r="E6" s="1"/>
      <c r="F6" s="3">
        <v>47061.120000000003</v>
      </c>
      <c r="G6" s="5">
        <f>INDEX(t_Comparatif[Coef],MATCH(t_Salaire[[#This Row],[brut annuel]],t_Comparatif[Montant],1))</f>
        <v>2.1</v>
      </c>
      <c r="H6" s="7">
        <f>INDEX(t_Comparatif[Evolution],MATCH(t_Salaire[[#This Row],[brut annuel]],t_Comparatif[Montant],1))</f>
        <v>-3.2299999999999995E-2</v>
      </c>
      <c r="I6" s="6" t="str">
        <f>INDEX(t_Comparatif[Résultat],MATCH(t_Salaire[[#This Row],[brut annuel]],t_Comparatif[Montant],1))</f>
        <v>moins favorable</v>
      </c>
      <c r="L6" s="16">
        <v>1</v>
      </c>
      <c r="M6" s="13">
        <f>11.88*151.67*12</f>
        <v>21622.075199999999</v>
      </c>
      <c r="N6" s="14" t="s">
        <v>26</v>
      </c>
      <c r="O6" s="15">
        <v>0</v>
      </c>
    </row>
    <row r="7" spans="2:15" x14ac:dyDescent="0.35">
      <c r="B7" s="1" t="s">
        <v>3</v>
      </c>
      <c r="C7" s="1"/>
      <c r="D7" s="1"/>
      <c r="E7" s="1"/>
      <c r="F7" s="3">
        <v>55960.25</v>
      </c>
      <c r="G7" s="5">
        <f>INDEX(t_Comparatif[Coef],MATCH(t_Salaire[[#This Row],[brut annuel]],t_Comparatif[Montant],1))</f>
        <v>2.5</v>
      </c>
      <c r="H7" s="7">
        <f>INDEX(t_Comparatif[Evolution],MATCH(t_Salaire[[#This Row],[brut annuel]],t_Comparatif[Montant],1))</f>
        <v>8.7999999999999988E-3</v>
      </c>
      <c r="I7" s="6" t="str">
        <f>INDEX(t_Comparatif[Résultat],MATCH(t_Salaire[[#This Row],[brut annuel]],t_Comparatif[Montant],1))</f>
        <v>plus favorable</v>
      </c>
      <c r="L7" s="12">
        <v>1.1000000000000001</v>
      </c>
      <c r="M7" s="13">
        <f t="shared" ref="M7:M35" si="0">+$M$6*L7</f>
        <v>23784.282720000003</v>
      </c>
      <c r="N7" s="17" t="s">
        <v>27</v>
      </c>
      <c r="O7" s="15">
        <f>-32.29%+31.5%</f>
        <v>-7.8999999999999626E-3</v>
      </c>
    </row>
    <row r="8" spans="2:15" x14ac:dyDescent="0.35">
      <c r="B8" s="1" t="s">
        <v>4</v>
      </c>
      <c r="C8" s="1"/>
      <c r="D8" s="1"/>
      <c r="E8" s="1"/>
      <c r="F8" s="3">
        <v>38250.379999999997</v>
      </c>
      <c r="G8" s="5">
        <f>INDEX(t_Comparatif[Coef],MATCH(t_Salaire[[#This Row],[brut annuel]],t_Comparatif[Montant],1))</f>
        <v>1.7</v>
      </c>
      <c r="H8" s="7">
        <f>INDEX(t_Comparatif[Evolution],MATCH(t_Salaire[[#This Row],[brut annuel]],t_Comparatif[Montant],1))</f>
        <v>1.2899999999999995E-2</v>
      </c>
      <c r="I8" s="6" t="str">
        <f>INDEX(t_Comparatif[Résultat],MATCH(t_Salaire[[#This Row],[brut annuel]],t_Comparatif[Montant],1))</f>
        <v>plus favorable</v>
      </c>
      <c r="L8" s="12">
        <v>1.2</v>
      </c>
      <c r="M8" s="13">
        <f t="shared" si="0"/>
        <v>25946.490239999999</v>
      </c>
      <c r="N8" s="17" t="s">
        <v>27</v>
      </c>
      <c r="O8" s="15">
        <f>-25.76%+25.05%</f>
        <v>-7.0999999999999952E-3</v>
      </c>
    </row>
    <row r="9" spans="2:15" x14ac:dyDescent="0.35">
      <c r="B9" s="1" t="s">
        <v>5</v>
      </c>
      <c r="C9" s="1"/>
      <c r="D9" s="1"/>
      <c r="E9" s="1"/>
      <c r="F9" s="3">
        <v>31760.34</v>
      </c>
      <c r="G9" s="5">
        <f>INDEX(t_Comparatif[Coef],MATCH(t_Salaire[[#This Row],[brut annuel]],t_Comparatif[Montant],1))</f>
        <v>1.4</v>
      </c>
      <c r="H9" s="7">
        <f>INDEX(t_Comparatif[Evolution],MATCH(t_Salaire[[#This Row],[brut annuel]],t_Comparatif[Montant],1))</f>
        <v>8.2000000000000128E-3</v>
      </c>
      <c r="I9" s="6" t="str">
        <f>INDEX(t_Comparatif[Résultat],MATCH(t_Salaire[[#This Row],[brut annuel]],t_Comparatif[Montant],1))</f>
        <v>plus favorable</v>
      </c>
      <c r="L9" s="12">
        <v>1.3</v>
      </c>
      <c r="M9" s="13">
        <f t="shared" si="0"/>
        <v>28108.697759999999</v>
      </c>
      <c r="N9" s="17" t="s">
        <v>27</v>
      </c>
      <c r="O9" s="15">
        <f>-20.23%+20.13%</f>
        <v>-1.0000000000000286E-3</v>
      </c>
    </row>
    <row r="10" spans="2:15" x14ac:dyDescent="0.35">
      <c r="B10" s="1" t="s">
        <v>6</v>
      </c>
      <c r="C10" s="1"/>
      <c r="D10" s="1"/>
      <c r="E10" s="1"/>
      <c r="F10" s="3">
        <v>32414.89</v>
      </c>
      <c r="G10" s="5">
        <f>INDEX(t_Comparatif[Coef],MATCH(t_Salaire[[#This Row],[brut annuel]],t_Comparatif[Montant],1))</f>
        <v>1.4</v>
      </c>
      <c r="H10" s="7">
        <f>INDEX(t_Comparatif[Evolution],MATCH(t_Salaire[[#This Row],[brut annuel]],t_Comparatif[Montant],1))</f>
        <v>8.2000000000000128E-3</v>
      </c>
      <c r="I10" s="6" t="str">
        <f>INDEX(t_Comparatif[Résultat],MATCH(t_Salaire[[#This Row],[brut annuel]],t_Comparatif[Montant],1))</f>
        <v>plus favorable</v>
      </c>
      <c r="L10" s="16">
        <v>1.3131999999999999</v>
      </c>
      <c r="M10" s="13">
        <f t="shared" si="0"/>
        <v>28394.109152639998</v>
      </c>
      <c r="N10" s="14" t="s">
        <v>26</v>
      </c>
      <c r="O10" s="15">
        <f>-19.57%+19.57%</f>
        <v>0</v>
      </c>
    </row>
    <row r="11" spans="2:15" x14ac:dyDescent="0.35">
      <c r="B11" s="1" t="s">
        <v>7</v>
      </c>
      <c r="C11" s="1"/>
      <c r="D11" s="1"/>
      <c r="E11" s="1"/>
      <c r="F11" s="3">
        <v>8121.47</v>
      </c>
      <c r="G11" s="5">
        <f>INDEX(t_Comparatif[Coef],MATCH(t_Salaire[[#This Row],[brut annuel]],t_Comparatif[Montant],1))</f>
        <v>0</v>
      </c>
      <c r="H11" s="7">
        <f>INDEX(t_Comparatif[Evolution],MATCH(t_Salaire[[#This Row],[brut annuel]],t_Comparatif[Montant],1))</f>
        <v>0</v>
      </c>
      <c r="I11" s="6" t="str">
        <f>INDEX(t_Comparatif[Résultat],MATCH(t_Salaire[[#This Row],[brut annuel]],t_Comparatif[Montant],1))</f>
        <v>pas de changement</v>
      </c>
      <c r="L11" s="16">
        <v>1.3180000000000001</v>
      </c>
      <c r="M11" s="13">
        <f t="shared" si="0"/>
        <v>28497.8951136</v>
      </c>
      <c r="N11" s="14" t="s">
        <v>26</v>
      </c>
      <c r="O11" s="15">
        <f>-19.33%+19.37%</f>
        <v>4.0000000000003921E-4</v>
      </c>
    </row>
    <row r="12" spans="2:15" x14ac:dyDescent="0.35">
      <c r="B12" s="1" t="s">
        <v>8</v>
      </c>
      <c r="C12" s="1"/>
      <c r="D12" s="1"/>
      <c r="E12" s="1"/>
      <c r="F12" s="3">
        <v>37887.269999999997</v>
      </c>
      <c r="G12" s="5">
        <f>INDEX(t_Comparatif[Coef],MATCH(t_Salaire[[#This Row],[brut annuel]],t_Comparatif[Montant],1))</f>
        <v>1.7</v>
      </c>
      <c r="H12" s="7">
        <f>INDEX(t_Comparatif[Evolution],MATCH(t_Salaire[[#This Row],[brut annuel]],t_Comparatif[Montant],1))</f>
        <v>1.2899999999999995E-2</v>
      </c>
      <c r="I12" s="6" t="str">
        <f>INDEX(t_Comparatif[Résultat],MATCH(t_Salaire[[#This Row],[brut annuel]],t_Comparatif[Montant],1))</f>
        <v>plus favorable</v>
      </c>
      <c r="L12" s="16">
        <v>1.4</v>
      </c>
      <c r="M12" s="13">
        <f t="shared" si="0"/>
        <v>30270.905279999995</v>
      </c>
      <c r="N12" s="14" t="s">
        <v>28</v>
      </c>
      <c r="O12" s="15">
        <f>-15.5%+16.32%</f>
        <v>8.2000000000000128E-3</v>
      </c>
    </row>
    <row r="13" spans="2:15" x14ac:dyDescent="0.35">
      <c r="B13" s="1" t="s">
        <v>9</v>
      </c>
      <c r="C13" s="1"/>
      <c r="D13" s="1"/>
      <c r="E13" s="1"/>
      <c r="F13" s="3">
        <v>30188.77</v>
      </c>
      <c r="G13" s="5">
        <f>INDEX(t_Comparatif[Coef],MATCH(t_Salaire[[#This Row],[brut annuel]],t_Comparatif[Montant],1))</f>
        <v>1.3180000000000001</v>
      </c>
      <c r="H13" s="7">
        <f>INDEX(t_Comparatif[Evolution],MATCH(t_Salaire[[#This Row],[brut annuel]],t_Comparatif[Montant],1))</f>
        <v>4.0000000000003921E-4</v>
      </c>
      <c r="I13" s="6" t="str">
        <f>INDEX(t_Comparatif[Résultat],MATCH(t_Salaire[[#This Row],[brut annuel]],t_Comparatif[Montant],1))</f>
        <v>pas de changement</v>
      </c>
      <c r="L13" s="16">
        <v>1.5</v>
      </c>
      <c r="M13" s="13">
        <f t="shared" si="0"/>
        <v>32433.112799999999</v>
      </c>
      <c r="N13" s="14" t="s">
        <v>28</v>
      </c>
      <c r="O13" s="15">
        <f>-11.39%+13.34%</f>
        <v>1.949999999999999E-2</v>
      </c>
    </row>
    <row r="14" spans="2:15" x14ac:dyDescent="0.35">
      <c r="B14" s="1" t="s">
        <v>10</v>
      </c>
      <c r="C14" s="1"/>
      <c r="D14" s="1"/>
      <c r="E14" s="1"/>
      <c r="F14" s="3">
        <v>15325.64</v>
      </c>
      <c r="G14" s="5">
        <f>INDEX(t_Comparatif[Coef],MATCH(t_Salaire[[#This Row],[brut annuel]],t_Comparatif[Montant],1))</f>
        <v>0</v>
      </c>
      <c r="H14" s="7">
        <f>INDEX(t_Comparatif[Evolution],MATCH(t_Salaire[[#This Row],[brut annuel]],t_Comparatif[Montant],1))</f>
        <v>0</v>
      </c>
      <c r="I14" s="6" t="str">
        <f>INDEX(t_Comparatif[Résultat],MATCH(t_Salaire[[#This Row],[brut annuel]],t_Comparatif[Montant],1))</f>
        <v>pas de changement</v>
      </c>
      <c r="L14" s="16">
        <v>1.6</v>
      </c>
      <c r="M14" s="13">
        <f t="shared" si="0"/>
        <v>34595.320319999999</v>
      </c>
      <c r="N14" s="14" t="s">
        <v>28</v>
      </c>
      <c r="O14" s="15">
        <f>-7.8%+10.97%</f>
        <v>3.1700000000000006E-2</v>
      </c>
    </row>
    <row r="15" spans="2:15" x14ac:dyDescent="0.35">
      <c r="B15" s="1" t="s">
        <v>11</v>
      </c>
      <c r="C15" s="1"/>
      <c r="D15" s="1"/>
      <c r="E15" s="1"/>
      <c r="F15" s="3">
        <v>26940.69</v>
      </c>
      <c r="G15" s="5">
        <f>INDEX(t_Comparatif[Coef],MATCH(t_Salaire[[#This Row],[brut annuel]],t_Comparatif[Montant],1))</f>
        <v>1.2</v>
      </c>
      <c r="H15" s="7">
        <f>INDEX(t_Comparatif[Evolution],MATCH(t_Salaire[[#This Row],[brut annuel]],t_Comparatif[Montant],1))</f>
        <v>-7.0999999999999952E-3</v>
      </c>
      <c r="I15" s="6" t="str">
        <f>INDEX(t_Comparatif[Résultat],MATCH(t_Salaire[[#This Row],[brut annuel]],t_Comparatif[Montant],1))</f>
        <v>moins favorable</v>
      </c>
      <c r="L15" s="16">
        <v>1.7</v>
      </c>
      <c r="M15" s="13">
        <f t="shared" si="0"/>
        <v>36757.527839999995</v>
      </c>
      <c r="N15" s="14" t="s">
        <v>28</v>
      </c>
      <c r="O15" s="15">
        <f>-7.8%+9.09%</f>
        <v>1.2899999999999995E-2</v>
      </c>
    </row>
    <row r="16" spans="2:15" x14ac:dyDescent="0.35">
      <c r="B16" s="1" t="s">
        <v>12</v>
      </c>
      <c r="C16" s="1"/>
      <c r="D16" s="1"/>
      <c r="E16" s="1"/>
      <c r="F16" s="3">
        <v>31207.73</v>
      </c>
      <c r="G16" s="5">
        <f>INDEX(t_Comparatif[Coef],MATCH(t_Salaire[[#This Row],[brut annuel]],t_Comparatif[Montant],1))</f>
        <v>1.4</v>
      </c>
      <c r="H16" s="7">
        <f>INDEX(t_Comparatif[Evolution],MATCH(t_Salaire[[#This Row],[brut annuel]],t_Comparatif[Montant],1))</f>
        <v>8.2000000000000128E-3</v>
      </c>
      <c r="I16" s="6" t="str">
        <f>INDEX(t_Comparatif[Résultat],MATCH(t_Salaire[[#This Row],[brut annuel]],t_Comparatif[Montant],1))</f>
        <v>plus favorable</v>
      </c>
      <c r="L16" s="16">
        <v>1.7797000000000001</v>
      </c>
      <c r="M16" s="13">
        <f t="shared" si="0"/>
        <v>38480.807233439999</v>
      </c>
      <c r="N16" s="14" t="s">
        <v>26</v>
      </c>
      <c r="O16" s="15">
        <f>-7.8%+7.86%</f>
        <v>6.0000000000000331E-4</v>
      </c>
    </row>
    <row r="17" spans="2:15" x14ac:dyDescent="0.35">
      <c r="B17" s="1" t="s">
        <v>13</v>
      </c>
      <c r="C17" s="1"/>
      <c r="D17" s="1"/>
      <c r="E17" s="1"/>
      <c r="F17" s="3">
        <v>29512.16</v>
      </c>
      <c r="G17" s="5">
        <f>INDEX(t_Comparatif[Coef],MATCH(t_Salaire[[#This Row],[brut annuel]],t_Comparatif[Montant],1))</f>
        <v>1.3180000000000001</v>
      </c>
      <c r="H17" s="7">
        <f>INDEX(t_Comparatif[Evolution],MATCH(t_Salaire[[#This Row],[brut annuel]],t_Comparatif[Montant],1))</f>
        <v>4.0000000000003921E-4</v>
      </c>
      <c r="I17" s="6" t="str">
        <f>INDEX(t_Comparatif[Résultat],MATCH(t_Salaire[[#This Row],[brut annuel]],t_Comparatif[Montant],1))</f>
        <v>pas de changement</v>
      </c>
      <c r="L17" s="16">
        <v>1.7841</v>
      </c>
      <c r="M17" s="13">
        <f t="shared" si="0"/>
        <v>38575.944364319999</v>
      </c>
      <c r="N17" s="14" t="s">
        <v>26</v>
      </c>
      <c r="O17" s="15">
        <f>-7.8%+7.8%</f>
        <v>0</v>
      </c>
    </row>
    <row r="18" spans="2:15" x14ac:dyDescent="0.35">
      <c r="B18" s="1" t="s">
        <v>14</v>
      </c>
      <c r="C18" s="1"/>
      <c r="D18" s="1"/>
      <c r="E18" s="1"/>
      <c r="F18" s="3">
        <v>6439.31</v>
      </c>
      <c r="G18" s="5">
        <f>INDEX(t_Comparatif[Coef],MATCH(t_Salaire[[#This Row],[brut annuel]],t_Comparatif[Montant],1))</f>
        <v>0</v>
      </c>
      <c r="H18" s="7">
        <f>INDEX(t_Comparatif[Evolution],MATCH(t_Salaire[[#This Row],[brut annuel]],t_Comparatif[Montant],1))</f>
        <v>0</v>
      </c>
      <c r="I18" s="6" t="str">
        <f>INDEX(t_Comparatif[Résultat],MATCH(t_Salaire[[#This Row],[brut annuel]],t_Comparatif[Montant],1))</f>
        <v>pas de changement</v>
      </c>
      <c r="L18" s="12">
        <v>1.8</v>
      </c>
      <c r="M18" s="13">
        <f t="shared" si="0"/>
        <v>38919.735359999999</v>
      </c>
      <c r="N18" s="17" t="s">
        <v>27</v>
      </c>
      <c r="O18" s="15">
        <f>-7.8%+7.58%</f>
        <v>-2.1999999999999936E-3</v>
      </c>
    </row>
    <row r="19" spans="2:15" x14ac:dyDescent="0.35">
      <c r="B19" s="1" t="s">
        <v>15</v>
      </c>
      <c r="C19" s="1"/>
      <c r="D19" s="1"/>
      <c r="E19" s="1"/>
      <c r="F19" s="3">
        <v>9213.0499999999993</v>
      </c>
      <c r="G19" s="5">
        <f>INDEX(t_Comparatif[Coef],MATCH(t_Salaire[[#This Row],[brut annuel]],t_Comparatif[Montant],1))</f>
        <v>0</v>
      </c>
      <c r="H19" s="7">
        <f>INDEX(t_Comparatif[Evolution],MATCH(t_Salaire[[#This Row],[brut annuel]],t_Comparatif[Montant],1))</f>
        <v>0</v>
      </c>
      <c r="I19" s="6" t="str">
        <f>INDEX(t_Comparatif[Résultat],MATCH(t_Salaire[[#This Row],[brut annuel]],t_Comparatif[Montant],1))</f>
        <v>pas de changement</v>
      </c>
      <c r="L19" s="12">
        <v>1.9</v>
      </c>
      <c r="M19" s="13">
        <f t="shared" si="0"/>
        <v>41081.942879999995</v>
      </c>
      <c r="N19" s="17" t="s">
        <v>27</v>
      </c>
      <c r="O19" s="15">
        <f>-7.8%+6.36%</f>
        <v>-1.4399999999999996E-2</v>
      </c>
    </row>
    <row r="20" spans="2:15" x14ac:dyDescent="0.35">
      <c r="B20" s="1" t="s">
        <v>16</v>
      </c>
      <c r="C20" s="1"/>
      <c r="D20" s="1"/>
      <c r="E20" s="1"/>
      <c r="F20" s="3">
        <v>4618.09</v>
      </c>
      <c r="G20" s="5">
        <f>INDEX(t_Comparatif[Coef],MATCH(t_Salaire[[#This Row],[brut annuel]],t_Comparatif[Montant],1))</f>
        <v>0</v>
      </c>
      <c r="H20" s="7">
        <f>INDEX(t_Comparatif[Evolution],MATCH(t_Salaire[[#This Row],[brut annuel]],t_Comparatif[Montant],1))</f>
        <v>0</v>
      </c>
      <c r="I20" s="6" t="str">
        <f>INDEX(t_Comparatif[Résultat],MATCH(t_Salaire[[#This Row],[brut annuel]],t_Comparatif[Montant],1))</f>
        <v>pas de changement</v>
      </c>
      <c r="L20" s="12">
        <v>2</v>
      </c>
      <c r="M20" s="13">
        <f t="shared" si="0"/>
        <v>43244.150399999999</v>
      </c>
      <c r="N20" s="17" t="s">
        <v>27</v>
      </c>
      <c r="O20" s="15">
        <f>-7.8%+5.37%</f>
        <v>-2.4300000000000002E-2</v>
      </c>
    </row>
    <row r="21" spans="2:15" x14ac:dyDescent="0.35">
      <c r="B21" s="1" t="s">
        <v>17</v>
      </c>
      <c r="C21" s="1"/>
      <c r="D21" s="1"/>
      <c r="E21" s="1"/>
      <c r="F21" s="3">
        <v>2215.34</v>
      </c>
      <c r="G21" s="5">
        <f>INDEX(t_Comparatif[Coef],MATCH(t_Salaire[[#This Row],[brut annuel]],t_Comparatif[Montant],1))</f>
        <v>0</v>
      </c>
      <c r="H21" s="7">
        <f>INDEX(t_Comparatif[Evolution],MATCH(t_Salaire[[#This Row],[brut annuel]],t_Comparatif[Montant],1))</f>
        <v>0</v>
      </c>
      <c r="I21" s="6" t="str">
        <f>INDEX(t_Comparatif[Résultat],MATCH(t_Salaire[[#This Row],[brut annuel]],t_Comparatif[Montant],1))</f>
        <v>pas de changement</v>
      </c>
      <c r="L21" s="12">
        <v>2.1</v>
      </c>
      <c r="M21" s="13">
        <f t="shared" si="0"/>
        <v>45406.357920000002</v>
      </c>
      <c r="N21" s="17" t="s">
        <v>27</v>
      </c>
      <c r="O21" s="15">
        <f>-7.8%+4.57%</f>
        <v>-3.2299999999999995E-2</v>
      </c>
    </row>
    <row r="22" spans="2:15" x14ac:dyDescent="0.35">
      <c r="B22" s="1" t="s">
        <v>5</v>
      </c>
      <c r="C22" s="1"/>
      <c r="D22" s="1"/>
      <c r="E22" s="1"/>
      <c r="F22" s="3">
        <v>50320.51</v>
      </c>
      <c r="G22" s="5">
        <f>INDEX(t_Comparatif[Coef],MATCH(t_Salaire[[#This Row],[brut annuel]],t_Comparatif[Montant],1))</f>
        <v>2.2999999999999998</v>
      </c>
      <c r="H22" s="7">
        <f>INDEX(t_Comparatif[Evolution],MATCH(t_Salaire[[#This Row],[brut annuel]],t_Comparatif[Montant],1))</f>
        <v>1.6099999999999996E-2</v>
      </c>
      <c r="I22" s="6" t="str">
        <f>INDEX(t_Comparatif[Résultat],MATCH(t_Salaire[[#This Row],[brut annuel]],t_Comparatif[Montant],1))</f>
        <v>plus favorable</v>
      </c>
      <c r="L22" s="12">
        <v>2.2000000000000002</v>
      </c>
      <c r="M22" s="13">
        <f t="shared" si="0"/>
        <v>47568.565440000006</v>
      </c>
      <c r="N22" s="17" t="s">
        <v>27</v>
      </c>
      <c r="O22" s="15">
        <f>-7.8%+3.93%</f>
        <v>-3.8699999999999998E-2</v>
      </c>
    </row>
    <row r="23" spans="2:15" x14ac:dyDescent="0.35">
      <c r="B23" s="1" t="s">
        <v>18</v>
      </c>
      <c r="C23" s="1"/>
      <c r="D23" s="1"/>
      <c r="E23" s="1"/>
      <c r="F23" s="3">
        <v>30836.02</v>
      </c>
      <c r="G23" s="5">
        <f>INDEX(t_Comparatif[Coef],MATCH(t_Salaire[[#This Row],[brut annuel]],t_Comparatif[Montant],1))</f>
        <v>1.4</v>
      </c>
      <c r="H23" s="7">
        <f>INDEX(t_Comparatif[Evolution],MATCH(t_Salaire[[#This Row],[brut annuel]],t_Comparatif[Montant],1))</f>
        <v>8.2000000000000128E-3</v>
      </c>
      <c r="I23" s="6" t="str">
        <f>INDEX(t_Comparatif[Résultat],MATCH(t_Salaire[[#This Row],[brut annuel]],t_Comparatif[Montant],1))</f>
        <v>plus favorable</v>
      </c>
      <c r="L23" s="12">
        <v>2.25</v>
      </c>
      <c r="M23" s="13">
        <f t="shared" si="0"/>
        <v>48649.669199999997</v>
      </c>
      <c r="N23" s="17" t="s">
        <v>27</v>
      </c>
      <c r="O23" s="15">
        <f>-7.8%+3.66%</f>
        <v>-4.1399999999999999E-2</v>
      </c>
    </row>
    <row r="24" spans="2:15" x14ac:dyDescent="0.35">
      <c r="B24" s="1" t="s">
        <v>19</v>
      </c>
      <c r="C24" s="1"/>
      <c r="D24" s="1"/>
      <c r="E24" s="1"/>
      <c r="F24" s="3">
        <v>52594.76</v>
      </c>
      <c r="G24" s="5">
        <f>INDEX(t_Comparatif[Coef],MATCH(t_Salaire[[#This Row],[brut annuel]],t_Comparatif[Montant],1))</f>
        <v>2.4</v>
      </c>
      <c r="H24" s="7">
        <f>INDEX(t_Comparatif[Evolution],MATCH(t_Salaire[[#This Row],[brut annuel]],t_Comparatif[Montant],1))</f>
        <v>1.1999999999999997E-2</v>
      </c>
      <c r="I24" s="6" t="str">
        <f>INDEX(t_Comparatif[Résultat],MATCH(t_Salaire[[#This Row],[brut annuel]],t_Comparatif[Montant],1))</f>
        <v>plus favorable</v>
      </c>
      <c r="L24" s="16">
        <v>2.2999999999999998</v>
      </c>
      <c r="M24" s="13">
        <f t="shared" si="0"/>
        <v>49730.772959999995</v>
      </c>
      <c r="N24" s="14" t="s">
        <v>28</v>
      </c>
      <c r="O24" s="15">
        <f>-1.8%+3.41%</f>
        <v>1.6099999999999996E-2</v>
      </c>
    </row>
    <row r="25" spans="2:15" x14ac:dyDescent="0.35">
      <c r="B25" s="1" t="s">
        <v>20</v>
      </c>
      <c r="C25" s="1"/>
      <c r="D25" s="1"/>
      <c r="E25" s="1"/>
      <c r="F25" s="3">
        <v>81980.2</v>
      </c>
      <c r="G25" s="5">
        <f>INDEX(t_Comparatif[Coef],MATCH(t_Salaire[[#This Row],[brut annuel]],t_Comparatif[Montant],1))</f>
        <v>3.3</v>
      </c>
      <c r="H25" s="7">
        <f>INDEX(t_Comparatif[Evolution],MATCH(t_Salaire[[#This Row],[brut annuel]],t_Comparatif[Montant],1))</f>
        <v>-1.8000000000000002E-2</v>
      </c>
      <c r="I25" s="6" t="str">
        <f>INDEX(t_Comparatif[Résultat],MATCH(t_Salaire[[#This Row],[brut annuel]],t_Comparatif[Montant],1))</f>
        <v>moins favorable</v>
      </c>
      <c r="L25" s="16">
        <v>2.4</v>
      </c>
      <c r="M25" s="13">
        <f t="shared" si="0"/>
        <v>51892.980479999998</v>
      </c>
      <c r="N25" s="14" t="s">
        <v>28</v>
      </c>
      <c r="O25" s="15">
        <f>-1.8%+3%</f>
        <v>1.1999999999999997E-2</v>
      </c>
    </row>
    <row r="26" spans="2:15" x14ac:dyDescent="0.35">
      <c r="B26" s="1" t="s">
        <v>21</v>
      </c>
      <c r="C26" s="1"/>
      <c r="D26" s="1"/>
      <c r="E26" s="1"/>
      <c r="F26" s="3">
        <v>29405</v>
      </c>
      <c r="G26" s="5">
        <f>INDEX(t_Comparatif[Coef],MATCH(t_Salaire[[#This Row],[brut annuel]],t_Comparatif[Montant],1))</f>
        <v>1.3180000000000001</v>
      </c>
      <c r="H26" s="7">
        <f>INDEX(t_Comparatif[Evolution],MATCH(t_Salaire[[#This Row],[brut annuel]],t_Comparatif[Montant],1))</f>
        <v>4.0000000000003921E-4</v>
      </c>
      <c r="I26" s="6" t="str">
        <f>INDEX(t_Comparatif[Résultat],MATCH(t_Salaire[[#This Row],[brut annuel]],t_Comparatif[Montant],1))</f>
        <v>pas de changement</v>
      </c>
      <c r="L26" s="16">
        <v>2.5</v>
      </c>
      <c r="M26" s="13">
        <f t="shared" si="0"/>
        <v>54055.187999999995</v>
      </c>
      <c r="N26" s="14" t="s">
        <v>28</v>
      </c>
      <c r="O26" s="15">
        <f>-1.8%+2.68%</f>
        <v>8.7999999999999988E-3</v>
      </c>
    </row>
    <row r="27" spans="2:15" x14ac:dyDescent="0.35">
      <c r="B27" s="1" t="s">
        <v>22</v>
      </c>
      <c r="C27" s="1"/>
      <c r="D27" s="1"/>
      <c r="E27" s="1"/>
      <c r="F27" s="3">
        <v>28220.18</v>
      </c>
      <c r="G27" s="5">
        <f>INDEX(t_Comparatif[Coef],MATCH(t_Salaire[[#This Row],[brut annuel]],t_Comparatif[Montant],1))</f>
        <v>1.3</v>
      </c>
      <c r="H27" s="7">
        <f>INDEX(t_Comparatif[Evolution],MATCH(t_Salaire[[#This Row],[brut annuel]],t_Comparatif[Montant],1))</f>
        <v>-1.0000000000000286E-3</v>
      </c>
      <c r="I27" s="6" t="str">
        <f>INDEX(t_Comparatif[Résultat],MATCH(t_Salaire[[#This Row],[brut annuel]],t_Comparatif[Montant],1))</f>
        <v>moins favorable</v>
      </c>
      <c r="L27" s="16">
        <v>2.6</v>
      </c>
      <c r="M27" s="13">
        <f t="shared" si="0"/>
        <v>56217.395519999998</v>
      </c>
      <c r="N27" s="14" t="s">
        <v>28</v>
      </c>
      <c r="O27" s="15">
        <f>-1.8%+2.43%</f>
        <v>6.3E-3</v>
      </c>
    </row>
    <row r="28" spans="2:15" x14ac:dyDescent="0.35">
      <c r="B28" s="1" t="s">
        <v>23</v>
      </c>
      <c r="C28" s="1"/>
      <c r="D28" s="1"/>
      <c r="E28" s="1"/>
      <c r="F28" s="3">
        <v>37815.67</v>
      </c>
      <c r="G28" s="5">
        <f>INDEX(t_Comparatif[Coef],MATCH(t_Salaire[[#This Row],[brut annuel]],t_Comparatif[Montant],1))</f>
        <v>1.7</v>
      </c>
      <c r="H28" s="7">
        <f>INDEX(t_Comparatif[Evolution],MATCH(t_Salaire[[#This Row],[brut annuel]],t_Comparatif[Montant],1))</f>
        <v>1.2899999999999995E-2</v>
      </c>
      <c r="I28" s="6" t="str">
        <f>INDEX(t_Comparatif[Résultat],MATCH(t_Salaire[[#This Row],[brut annuel]],t_Comparatif[Montant],1))</f>
        <v>plus favorable</v>
      </c>
      <c r="L28" s="16">
        <v>2.7</v>
      </c>
      <c r="M28" s="13">
        <f t="shared" si="0"/>
        <v>58379.603040000002</v>
      </c>
      <c r="N28" s="14" t="s">
        <v>28</v>
      </c>
      <c r="O28" s="15">
        <f>-1.8%+2.24%</f>
        <v>4.4000000000000011E-3</v>
      </c>
    </row>
    <row r="29" spans="2:15" x14ac:dyDescent="0.35">
      <c r="B29" s="1" t="s">
        <v>24</v>
      </c>
      <c r="C29" s="1"/>
      <c r="D29" s="1"/>
      <c r="E29" s="1"/>
      <c r="F29" s="3">
        <v>31688.67</v>
      </c>
      <c r="G29" s="5">
        <f>INDEX(t_Comparatif[Coef],MATCH(t_Salaire[[#This Row],[brut annuel]],t_Comparatif[Montant],1))</f>
        <v>1.4</v>
      </c>
      <c r="H29" s="7">
        <f>INDEX(t_Comparatif[Evolution],MATCH(t_Salaire[[#This Row],[brut annuel]],t_Comparatif[Montant],1))</f>
        <v>8.2000000000000128E-3</v>
      </c>
      <c r="I29" s="6" t="str">
        <f>INDEX(t_Comparatif[Résultat],MATCH(t_Salaire[[#This Row],[brut annuel]],t_Comparatif[Montant],1))</f>
        <v>plus favorable</v>
      </c>
      <c r="L29" s="16">
        <v>2.8</v>
      </c>
      <c r="M29" s="13">
        <f t="shared" si="0"/>
        <v>60541.810559999991</v>
      </c>
      <c r="N29" s="14" t="s">
        <v>28</v>
      </c>
      <c r="O29" s="15">
        <f>-1.8%+2.11%</f>
        <v>3.0999999999999951E-3</v>
      </c>
    </row>
    <row r="30" spans="2:15" x14ac:dyDescent="0.35">
      <c r="B30" s="1" t="s">
        <v>25</v>
      </c>
      <c r="C30" s="1"/>
      <c r="D30" s="1"/>
      <c r="E30" s="1"/>
      <c r="F30" s="3">
        <v>80000</v>
      </c>
      <c r="G30" s="5">
        <f>INDEX(t_Comparatif[Coef],MATCH(t_Salaire[[#This Row],[brut annuel]],t_Comparatif[Montant],1))</f>
        <v>3.3</v>
      </c>
      <c r="H30" s="7">
        <f>INDEX(t_Comparatif[Evolution],MATCH(t_Salaire[[#This Row],[brut annuel]],t_Comparatif[Montant],1))</f>
        <v>-1.8000000000000002E-2</v>
      </c>
      <c r="I30" s="6" t="str">
        <f>INDEX(t_Comparatif[Résultat],MATCH(t_Salaire[[#This Row],[brut annuel]],t_Comparatif[Montant],1))</f>
        <v>moins favorable</v>
      </c>
      <c r="L30" s="16">
        <v>2.9</v>
      </c>
      <c r="M30" s="13">
        <f t="shared" si="0"/>
        <v>62704.018079999994</v>
      </c>
      <c r="N30" s="14" t="s">
        <v>28</v>
      </c>
      <c r="O30" s="15">
        <f>-1.8%+2.03%</f>
        <v>2.2999999999999965E-3</v>
      </c>
    </row>
    <row r="31" spans="2:15" x14ac:dyDescent="0.35">
      <c r="L31" s="16">
        <v>2.99</v>
      </c>
      <c r="M31" s="13">
        <f t="shared" si="0"/>
        <v>64650.004848000004</v>
      </c>
      <c r="N31" s="14" t="s">
        <v>28</v>
      </c>
      <c r="O31" s="15">
        <f>-1.8%+2%</f>
        <v>1.9999999999999983E-3</v>
      </c>
    </row>
    <row r="32" spans="2:15" x14ac:dyDescent="0.35">
      <c r="L32" s="12">
        <v>3</v>
      </c>
      <c r="M32" s="13">
        <f t="shared" si="0"/>
        <v>64866.225599999998</v>
      </c>
      <c r="N32" s="17" t="s">
        <v>27</v>
      </c>
      <c r="O32" s="15">
        <f>-1.8%+0%</f>
        <v>-1.8000000000000002E-2</v>
      </c>
    </row>
    <row r="33" spans="12:15" x14ac:dyDescent="0.35">
      <c r="L33" s="12">
        <v>3.1</v>
      </c>
      <c r="M33" s="13">
        <f t="shared" si="0"/>
        <v>67028.433120000002</v>
      </c>
      <c r="N33" s="17" t="s">
        <v>27</v>
      </c>
      <c r="O33" s="15">
        <f t="shared" ref="O33:O35" si="1">-1.8%+0%</f>
        <v>-1.8000000000000002E-2</v>
      </c>
    </row>
    <row r="34" spans="12:15" x14ac:dyDescent="0.35">
      <c r="L34" s="12">
        <v>3.2</v>
      </c>
      <c r="M34" s="13">
        <f t="shared" si="0"/>
        <v>69190.640639999998</v>
      </c>
      <c r="N34" s="17" t="s">
        <v>27</v>
      </c>
      <c r="O34" s="15">
        <f t="shared" si="1"/>
        <v>-1.8000000000000002E-2</v>
      </c>
    </row>
    <row r="35" spans="12:15" x14ac:dyDescent="0.35">
      <c r="L35" s="18">
        <v>3.3</v>
      </c>
      <c r="M35" s="19">
        <f t="shared" si="0"/>
        <v>71352.848159999994</v>
      </c>
      <c r="N35" s="20" t="s">
        <v>27</v>
      </c>
      <c r="O35" s="15">
        <f t="shared" si="1"/>
        <v>-1.8000000000000002E-2</v>
      </c>
    </row>
    <row r="36" spans="12:15" x14ac:dyDescent="0.35">
      <c r="L36" s="21"/>
      <c r="M36" s="13"/>
      <c r="N36" s="22"/>
      <c r="O36" s="23"/>
    </row>
  </sheetData>
  <mergeCells count="1">
    <mergeCell ref="L3:O3"/>
  </mergeCells>
  <conditionalFormatting sqref="I5:I30">
    <cfRule type="expression" dxfId="1" priority="1">
      <formula>$H5&lt;0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BELKASMI Nezha</dc:creator>
  <cp:lastModifiedBy>BELKASMI Nezha</cp:lastModifiedBy>
  <dcterms:created xsi:type="dcterms:W3CDTF">2025-10-01T19:48:17Z</dcterms:created>
  <dcterms:modified xsi:type="dcterms:W3CDTF">2025-10-02T14:13:14Z</dcterms:modified>
</cp:coreProperties>
</file>