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02-Etude\03-Projets\956\956151 - Design EU1 - EU4\17 - Configurateur CFI GII secteur demontable\01 - CAD JG\4 - Output Data\3 - BOM\"/>
    </mc:Choice>
  </mc:AlternateContent>
  <xr:revisionPtr revIDLastSave="0" documentId="13_ncr:1_{4D50F6D4-92BB-4393-8E0A-7091965C8876}" xr6:coauthVersionLast="36" xr6:coauthVersionMax="36" xr10:uidLastSave="{00000000-0000-0000-0000-000000000000}"/>
  <bookViews>
    <workbookView xWindow="0" yWindow="0" windowWidth="21570" windowHeight="7980" firstSheet="1" activeTab="21" xr2:uid="{00000000-000D-0000-FFFF-FFFF00000000}"/>
  </bookViews>
  <sheets>
    <sheet name="Revision" sheetId="2" r:id="rId1"/>
    <sheet name="Summary" sheetId="1" r:id="rId2"/>
    <sheet name="Thickness Data" sheetId="20" r:id="rId3"/>
    <sheet name="15" sheetId="39" state="hidden" r:id="rId4"/>
    <sheet name="16" sheetId="42" state="hidden" r:id="rId5"/>
    <sheet name="17" sheetId="43" state="hidden" r:id="rId6"/>
    <sheet name="01" sheetId="25" state="hidden" r:id="rId7"/>
    <sheet name="02" sheetId="26" state="hidden" r:id="rId8"/>
    <sheet name="03" sheetId="27" state="hidden" r:id="rId9"/>
    <sheet name="04" sheetId="28" state="hidden" r:id="rId10"/>
    <sheet name="05" sheetId="29" state="hidden" r:id="rId11"/>
    <sheet name="06" sheetId="30" state="hidden" r:id="rId12"/>
    <sheet name="07" sheetId="31" state="hidden" r:id="rId13"/>
    <sheet name="08" sheetId="32" state="hidden" r:id="rId14"/>
    <sheet name="09" sheetId="33" state="hidden" r:id="rId15"/>
    <sheet name="10" sheetId="34" state="hidden" r:id="rId16"/>
    <sheet name="11" sheetId="35" state="hidden" r:id="rId17"/>
    <sheet name="12" sheetId="36" state="hidden" r:id="rId18"/>
    <sheet name="13" sheetId="37" state="hidden" r:id="rId19"/>
    <sheet name="14" sheetId="38" state="hidden" r:id="rId20"/>
    <sheet name="HSV Data" sheetId="23" r:id="rId21"/>
    <sheet name="01 Engine-Engine support" sheetId="3" r:id="rId22"/>
    <sheet name="02 Shaft end-Shaft " sheetId="4" r:id="rId23"/>
    <sheet name="03 Casing-Casing" sheetId="5" r:id="rId24"/>
    <sheet name="04 Casing-Angle fixation" sheetId="7" r:id="rId25"/>
    <sheet name="05 Pedestral-Angle fixation" sheetId="8" r:id="rId26"/>
    <sheet name="06 Cooling disc housing-Casing" sheetId="11" r:id="rId27"/>
    <sheet name="07 Cooling disc housing" sheetId="12" r:id="rId28"/>
    <sheet name="08 Shaft housing" sheetId="13" r:id="rId29"/>
    <sheet name="09 Shaft housing-Pedestral" sheetId="19" r:id="rId30"/>
    <sheet name="10 Coupling housing" sheetId="14" r:id="rId31"/>
    <sheet name="11 Coupling housing-Pedestral" sheetId="18" r:id="rId32"/>
    <sheet name="12 Bearing-Coupling support" sheetId="15" r:id="rId33"/>
    <sheet name="13 Inlet flange-Inlet" sheetId="17" r:id="rId34"/>
    <sheet name="14 Scroll access door-Casing" sheetId="21" r:id="rId35"/>
    <sheet name="15 Mecha access door-Casing" sheetId="22" r:id="rId36"/>
    <sheet name="16 1A seal-Casing" sheetId="40" r:id="rId37"/>
    <sheet name="17 Mounting-Pedestral" sheetId="41" r:id="rId3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3" l="1"/>
  <c r="G31" i="3" s="1"/>
  <c r="I31" i="3" s="1"/>
  <c r="D29" i="40" l="1"/>
  <c r="E31" i="40" s="1"/>
  <c r="I31" i="40"/>
  <c r="I30" i="40"/>
  <c r="I29" i="40"/>
  <c r="D31" i="40" l="1"/>
  <c r="D30" i="40"/>
  <c r="F22" i="22"/>
  <c r="I22" i="22" s="1"/>
  <c r="D22" i="22"/>
  <c r="E24" i="22" s="1"/>
  <c r="F23" i="21"/>
  <c r="I23" i="21" s="1"/>
  <c r="D23" i="21"/>
  <c r="E25" i="21" s="1"/>
  <c r="D8" i="38"/>
  <c r="F23" i="22" l="1"/>
  <c r="I23" i="22" s="1"/>
  <c r="F24" i="22"/>
  <c r="I24" i="22" s="1"/>
  <c r="D23" i="22"/>
  <c r="D24" i="22"/>
  <c r="F24" i="21"/>
  <c r="D25" i="21"/>
  <c r="D24" i="21"/>
  <c r="F22" i="17"/>
  <c r="F24" i="17" s="1"/>
  <c r="I24" i="17" s="1"/>
  <c r="I24" i="21" l="1"/>
  <c r="F25" i="21"/>
  <c r="I25" i="21" s="1"/>
  <c r="I22" i="17"/>
  <c r="F23" i="17"/>
  <c r="I23" i="17" s="1"/>
  <c r="D22" i="17"/>
  <c r="D23" i="17" l="1"/>
  <c r="E24" i="17"/>
  <c r="D24" i="17"/>
  <c r="D33" i="15"/>
  <c r="D26" i="15"/>
  <c r="D22" i="18"/>
  <c r="D24" i="18" s="1"/>
  <c r="I35" i="15"/>
  <c r="I34" i="15"/>
  <c r="I33" i="15"/>
  <c r="I28" i="15"/>
  <c r="I27" i="15"/>
  <c r="I26" i="15"/>
  <c r="I24" i="18"/>
  <c r="I23" i="18"/>
  <c r="I22" i="18"/>
  <c r="H26" i="14"/>
  <c r="H25" i="14"/>
  <c r="D25" i="14"/>
  <c r="D27" i="14" s="1"/>
  <c r="I27" i="14"/>
  <c r="I25" i="14"/>
  <c r="I26" i="14"/>
  <c r="D23" i="19"/>
  <c r="D24" i="19" s="1"/>
  <c r="I25" i="19"/>
  <c r="I24" i="19"/>
  <c r="I23" i="19"/>
  <c r="D28" i="15" l="1"/>
  <c r="E28" i="15"/>
  <c r="D27" i="15"/>
  <c r="E35" i="15"/>
  <c r="D34" i="15"/>
  <c r="D35" i="15"/>
  <c r="E27" i="14"/>
  <c r="D26" i="14"/>
  <c r="E25" i="19"/>
  <c r="D25" i="19"/>
  <c r="D23" i="18"/>
  <c r="E24" i="18"/>
  <c r="D24" i="13"/>
  <c r="D26" i="13" s="1"/>
  <c r="I26" i="13"/>
  <c r="I25" i="13"/>
  <c r="I24" i="13"/>
  <c r="D25" i="12"/>
  <c r="D27" i="12" s="1"/>
  <c r="I27" i="11"/>
  <c r="I26" i="11"/>
  <c r="I25" i="11"/>
  <c r="E26" i="13" l="1"/>
  <c r="D25" i="13"/>
  <c r="E27" i="12"/>
  <c r="D26" i="12"/>
  <c r="D25" i="11"/>
  <c r="F25" i="8"/>
  <c r="I25" i="8" s="1"/>
  <c r="D25" i="8"/>
  <c r="D27" i="8" s="1"/>
  <c r="D26" i="11" l="1"/>
  <c r="E27" i="11"/>
  <c r="D27" i="11"/>
  <c r="F26" i="8"/>
  <c r="E27" i="8"/>
  <c r="D26" i="8"/>
  <c r="F24" i="7"/>
  <c r="F25" i="7" s="1"/>
  <c r="D24" i="7"/>
  <c r="F27" i="8" l="1"/>
  <c r="I27" i="8" s="1"/>
  <c r="I26" i="8"/>
  <c r="E26" i="7"/>
  <c r="D25" i="7"/>
  <c r="F26" i="7"/>
  <c r="I26" i="7" s="1"/>
  <c r="I25" i="7"/>
  <c r="I24" i="7"/>
  <c r="D26" i="7"/>
  <c r="H25" i="4"/>
  <c r="H24" i="4"/>
  <c r="H23" i="4"/>
  <c r="F27" i="5"/>
  <c r="F29" i="5" s="1"/>
  <c r="D27" i="5"/>
  <c r="D28" i="5" s="1"/>
  <c r="F28" i="5" l="1"/>
  <c r="I28" i="5" s="1"/>
  <c r="I27" i="5"/>
  <c r="I29" i="5"/>
  <c r="D29" i="5"/>
  <c r="E29" i="5"/>
  <c r="C24" i="4"/>
  <c r="C23" i="4" s="1"/>
  <c r="C31" i="3"/>
  <c r="C28" i="3" s="1"/>
  <c r="D24" i="4" l="1"/>
  <c r="C25" i="4"/>
  <c r="C32" i="3"/>
  <c r="C29" i="3"/>
  <c r="C30" i="3"/>
</calcChain>
</file>

<file path=xl/sharedStrings.xml><?xml version="1.0" encoding="utf-8"?>
<sst xmlns="http://schemas.openxmlformats.org/spreadsheetml/2006/main" count="951" uniqueCount="317">
  <si>
    <t>Revision</t>
  </si>
  <si>
    <t>Date</t>
  </si>
  <si>
    <t>00</t>
  </si>
  <si>
    <t>Création du document</t>
  </si>
  <si>
    <t>F.Cavillon</t>
  </si>
  <si>
    <t>J.Gomis</t>
  </si>
  <si>
    <t>P.Vallet</t>
  </si>
  <si>
    <t>N°DRAWING</t>
  </si>
  <si>
    <t>CFI.Screws and bolts</t>
  </si>
  <si>
    <t>Verified by</t>
  </si>
  <si>
    <t>Approved by</t>
  </si>
  <si>
    <t>Modifications</t>
  </si>
  <si>
    <t>Created by</t>
  </si>
  <si>
    <t>Page</t>
  </si>
  <si>
    <t>01</t>
  </si>
  <si>
    <t>Part to assemble 1</t>
  </si>
  <si>
    <t>Part to assemble 2</t>
  </si>
  <si>
    <t>Engine</t>
  </si>
  <si>
    <t>Engine support</t>
  </si>
  <si>
    <t xml:space="preserve">Shaft end </t>
  </si>
  <si>
    <t>Shaft</t>
  </si>
  <si>
    <t>02</t>
  </si>
  <si>
    <t>BILL OF MATERIAL - Screws and bolts
Engine / Engine support</t>
  </si>
  <si>
    <t>BILL OF MATERIAL - Screws and bolts
Summary</t>
  </si>
  <si>
    <t>BILL OF MATERIAL - Screws and bolts
Track modifications</t>
  </si>
  <si>
    <t>BILL OF MATERIAL - Screws and bolts
Shaft end / Shaft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</si>
  <si>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</si>
  <si>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</si>
  <si>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</si>
  <si>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</si>
  <si>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</si>
  <si>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</si>
  <si>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</si>
  <si>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</si>
  <si>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</si>
  <si>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</si>
  <si>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</si>
  <si>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Casing</t>
  </si>
  <si>
    <t>BILL OF MATERIAL - Screws and bolts
Casing / Casing</t>
  </si>
  <si>
    <t>Pedestral / Casing angle fixation</t>
  </si>
  <si>
    <t>Pedestral</t>
  </si>
  <si>
    <t>BILL OF MATERIAL - Screws and bolts
Casing / Pedestral/Casing angle fixation</t>
  </si>
  <si>
    <t>BILL OF MATERIAL - Screws and bolts
Pedestral / Pedestral/Casing angle fixation</t>
  </si>
  <si>
    <t>BILL OF MATERIAL - Screws and bolts
Coupling housing</t>
  </si>
  <si>
    <t>BILL OF MATERIAL - Screws and bolts
Shaft housing</t>
  </si>
  <si>
    <t>Shaft housing</t>
  </si>
  <si>
    <t>Coupling housing</t>
  </si>
  <si>
    <t>Coupling support</t>
  </si>
  <si>
    <t>Inlet</t>
  </si>
  <si>
    <t>BILL OF MATERIAL - Screws and bolts
Bearing / Coupling support</t>
  </si>
  <si>
    <t>BILL OF MATERIAL - Screws and bolts
Inlet flange / Inlet</t>
  </si>
  <si>
    <t xml:space="preserve">Pedestral </t>
  </si>
  <si>
    <t>14</t>
  </si>
  <si>
    <t>15</t>
  </si>
  <si>
    <t>Bearing</t>
  </si>
  <si>
    <t xml:space="preserve">Inlet flange </t>
  </si>
  <si>
    <t xml:space="preserve">Scroll acces door </t>
  </si>
  <si>
    <t>Mechanical access door</t>
  </si>
  <si>
    <t>BILL OF MATERIAL - Screws and bolts
Shaft housing / Pedestral</t>
  </si>
  <si>
    <t>BILL OF MATERIAL - Screws and bolts
Coupling housing / Pedestral</t>
  </si>
  <si>
    <t>MotorDimHA</t>
  </si>
  <si>
    <t>Parameters</t>
  </si>
  <si>
    <t>Values</t>
  </si>
  <si>
    <t>Part</t>
  </si>
  <si>
    <t>Pedestral 8 motor wedge</t>
  </si>
  <si>
    <t>Pedestral8MotorWedgeThickness</t>
  </si>
  <si>
    <t>Pedestral 8 motor plate</t>
  </si>
  <si>
    <t>Pedestral8MotorPlateThickness</t>
  </si>
  <si>
    <t>01 Engine-Engine support</t>
  </si>
  <si>
    <t>Motor</t>
  </si>
  <si>
    <t xml:space="preserve">Part </t>
  </si>
  <si>
    <t>Sketch impeler</t>
  </si>
  <si>
    <t>HubGrooveWidth</t>
  </si>
  <si>
    <t>HoleThreadDepht</t>
  </si>
  <si>
    <t>MotorDimKmodel</t>
  </si>
  <si>
    <t xml:space="preserve">Shaft </t>
  </si>
  <si>
    <t>HoleSize</t>
  </si>
  <si>
    <t>02 Shaft end-Shaft</t>
  </si>
  <si>
    <t>03 Casing-Casing</t>
  </si>
  <si>
    <t>Inlet sector flange 31</t>
  </si>
  <si>
    <t>HoleFixationDiameter</t>
  </si>
  <si>
    <t>Inlet sector flange 21</t>
  </si>
  <si>
    <t>SectorFlangeFixationNutDiameter</t>
  </si>
  <si>
    <t>Inlet sector flange 23</t>
  </si>
  <si>
    <t>Thickness</t>
  </si>
  <si>
    <t>SectorFlangeWidth</t>
  </si>
  <si>
    <t>Sketch casing mechanical sector flange</t>
  </si>
  <si>
    <t>MechanicalSectorFlangeFixationPosition2</t>
  </si>
  <si>
    <t>Inlet Sector Flange 31</t>
  </si>
  <si>
    <t>InletSectorFlangeFixationNumber13</t>
  </si>
  <si>
    <t>ScrollSectorFlangeFixationNumber13</t>
  </si>
  <si>
    <t>Mechanical Sector Flange 31</t>
  </si>
  <si>
    <t>MechanicalSectorFlangeFixationNumber13</t>
  </si>
  <si>
    <t>Inlet Sector Flange 21</t>
  </si>
  <si>
    <t>InletSectorFlangeFixationNumber12</t>
  </si>
  <si>
    <t>ScrollSectorFlangeFixationNumber</t>
  </si>
  <si>
    <t>Inlet Sector Flange 23</t>
  </si>
  <si>
    <t>InletSectorFlangeFixationNumber23</t>
  </si>
  <si>
    <t>Mechanical sector flange 21</t>
  </si>
  <si>
    <t>MechanicalSectorFlangeFixationNumber12</t>
  </si>
  <si>
    <t>Mechanical sector flange 23</t>
  </si>
  <si>
    <t>MechanicalSectorFlangeFixationNumber23</t>
  </si>
  <si>
    <t>04 Casing-Angle fixation</t>
  </si>
  <si>
    <t>CasingPedestralFixationDiameter + CasingPedestralFixationGap</t>
  </si>
  <si>
    <t>Pedestral casing angle fixation 23</t>
  </si>
  <si>
    <t>CasingPedestralFixationNutDiameter</t>
  </si>
  <si>
    <t>MechanicalAngleProfileFixationNumberSector23</t>
  </si>
  <si>
    <t>PedestralCasingAngleFixationWidth</t>
  </si>
  <si>
    <t>05 Pedestral-Angle fixation</t>
  </si>
  <si>
    <t>Mechanical sector frange 23</t>
  </si>
  <si>
    <t>Pedestral 8 plate 1</t>
  </si>
  <si>
    <t>CasingPedestralNutDiameter</t>
  </si>
  <si>
    <t>Bendradius</t>
  </si>
  <si>
    <t>MechanicalAngleProfileFixationNumberPedestal23</t>
  </si>
  <si>
    <t>06 Couling disc housing-Casing</t>
  </si>
  <si>
    <t xml:space="preserve">Cooling disk housing 1 </t>
  </si>
  <si>
    <t>CoolingHousingFixationHexagon</t>
  </si>
  <si>
    <t>CoolingHousingFixationDiameter + 2*CoolingHousingFixationGap</t>
  </si>
  <si>
    <t>Seal stiffener sector 3 2</t>
  </si>
  <si>
    <t>07 Couling disc housing</t>
  </si>
  <si>
    <t xml:space="preserve">Cooling disc housing </t>
  </si>
  <si>
    <t>Cooling disc housing</t>
  </si>
  <si>
    <t>BILL OF MATERIAL - Screws and bolts
Cooling disc housing / Casing</t>
  </si>
  <si>
    <t xml:space="preserve">BILL OF MATERIAL - Screws and bolts
Cooling disc housing </t>
  </si>
  <si>
    <t>08 Shaft housing</t>
  </si>
  <si>
    <t>Shaft housing body</t>
  </si>
  <si>
    <t>CoverFixationHexagonalWidth</t>
  </si>
  <si>
    <t>Shaft housing cover</t>
  </si>
  <si>
    <t>CoverFixationDiameter+2*HousingGap</t>
  </si>
  <si>
    <t>09 Shaft housing-Pedestral</t>
  </si>
  <si>
    <t>PedestralFixationDiameter + ShaftHousingFixationGap</t>
  </si>
  <si>
    <t>PedestralFixationWidth-d41</t>
  </si>
  <si>
    <t>Pedestral 8 bearing plate</t>
  </si>
  <si>
    <t>PedestalFixationDiameter</t>
  </si>
  <si>
    <t>10 Coupling housing</t>
  </si>
  <si>
    <t>Coupling housing body</t>
  </si>
  <si>
    <t>Coupling housing cover</t>
  </si>
  <si>
    <t>11 Coupling housing-Pedestral</t>
  </si>
  <si>
    <t>PedestralFixationDiameter + CouplingHousingFixationGap</t>
  </si>
  <si>
    <t>BackBearingDimH2</t>
  </si>
  <si>
    <t>Back bearing</t>
  </si>
  <si>
    <t>Pedestral 8 front bearing wedge</t>
  </si>
  <si>
    <t>BackBearingDimN1</t>
  </si>
  <si>
    <t>12 Back bearing-Coupling support</t>
  </si>
  <si>
    <t>12 Front bearing-Coupling support</t>
  </si>
  <si>
    <t>Pedestral 8 back bearing wedge</t>
  </si>
  <si>
    <t>Front bearing</t>
  </si>
  <si>
    <t>FrontBearingDimH2</t>
  </si>
  <si>
    <t>FrontBearingDimN1</t>
  </si>
  <si>
    <t>13 Inlet flange-Inlet</t>
  </si>
  <si>
    <t>Inlet flange sector 3</t>
  </si>
  <si>
    <t>InletConeFixationNutDiameter</t>
  </si>
  <si>
    <t>InletConeFixationNumber</t>
  </si>
  <si>
    <t xml:space="preserve">Inlet </t>
  </si>
  <si>
    <t>14 Scroll access door-Casing</t>
  </si>
  <si>
    <t>Scroll solid</t>
  </si>
  <si>
    <t>DoorFixationNutDiameter</t>
  </si>
  <si>
    <t>Scroll 4</t>
  </si>
  <si>
    <t>ScrollThickness</t>
  </si>
  <si>
    <t>Scroll access door</t>
  </si>
  <si>
    <t>15 Mecha access door-Casing</t>
  </si>
  <si>
    <t>Mechanical plate solid</t>
  </si>
  <si>
    <t>MechanicalDoorFixationNumber</t>
  </si>
  <si>
    <t>Mechanical plate sector 3</t>
  </si>
  <si>
    <t>MechanicalDoorThickness</t>
  </si>
  <si>
    <t>DoorFixationWidthNumber-1</t>
  </si>
  <si>
    <t>DoorFixationHeightNumber-1</t>
  </si>
  <si>
    <t>Visserie idéale</t>
  </si>
  <si>
    <t>H nut</t>
  </si>
  <si>
    <t>Hm nut</t>
  </si>
  <si>
    <t>Medium washer</t>
  </si>
  <si>
    <t>H screw</t>
  </si>
  <si>
    <t>Thick washer</t>
  </si>
  <si>
    <t>Visserie HSV</t>
  </si>
  <si>
    <t>Cs washer</t>
  </si>
  <si>
    <t>M4</t>
  </si>
  <si>
    <t>M5</t>
  </si>
  <si>
    <t>M6</t>
  </si>
  <si>
    <t>M8</t>
  </si>
  <si>
    <t>M10</t>
  </si>
  <si>
    <t>M12</t>
  </si>
  <si>
    <t>M14</t>
  </si>
  <si>
    <t>M16</t>
  </si>
  <si>
    <t>M18</t>
  </si>
  <si>
    <t>M20</t>
  </si>
  <si>
    <t>M24</t>
  </si>
  <si>
    <t>M30</t>
  </si>
  <si>
    <t>L</t>
  </si>
  <si>
    <t>998783-K</t>
  </si>
  <si>
    <t>A créer</t>
  </si>
  <si>
    <t>998909-K</t>
  </si>
  <si>
    <t>ACIER</t>
  </si>
  <si>
    <t>INOX</t>
  </si>
  <si>
    <t>998854-A4</t>
  </si>
  <si>
    <t>998820-A4</t>
  </si>
  <si>
    <t>998821-A4</t>
  </si>
  <si>
    <t>998829-A4</t>
  </si>
  <si>
    <t>998790-K</t>
  </si>
  <si>
    <t>998831-A4</t>
  </si>
  <si>
    <t>998791-A4</t>
  </si>
  <si>
    <t>998783-A4-K</t>
  </si>
  <si>
    <t>998865-K</t>
  </si>
  <si>
    <t>998349-A4-K</t>
  </si>
  <si>
    <t>998832-A4</t>
  </si>
  <si>
    <t>149297-A4-K</t>
  </si>
  <si>
    <t>998794-K</t>
  </si>
  <si>
    <t>780233-A4</t>
  </si>
  <si>
    <t>149299-A4</t>
  </si>
  <si>
    <t>998795-A4-K</t>
  </si>
  <si>
    <t>998806-K</t>
  </si>
  <si>
    <t>998838-A4-K</t>
  </si>
  <si>
    <t>998796-K</t>
  </si>
  <si>
    <t>998355-A4-K</t>
  </si>
  <si>
    <t>998802-K</t>
  </si>
  <si>
    <t>998348-A4-K</t>
  </si>
  <si>
    <t>149294-A4</t>
  </si>
  <si>
    <t>998812-K</t>
  </si>
  <si>
    <t>998909-A4-K</t>
  </si>
  <si>
    <t>149300-A4-K</t>
  </si>
  <si>
    <t>M3</t>
  </si>
  <si>
    <t>Acier</t>
  </si>
  <si>
    <t>Inox</t>
  </si>
  <si>
    <t>999851-A4</t>
  </si>
  <si>
    <t>999852-A4</t>
  </si>
  <si>
    <t>999854-K</t>
  </si>
  <si>
    <t>998446-A4K</t>
  </si>
  <si>
    <t>999856-A4-K</t>
  </si>
  <si>
    <t>M22</t>
  </si>
  <si>
    <t>d1</t>
  </si>
  <si>
    <t>h</t>
  </si>
  <si>
    <t>a</t>
  </si>
  <si>
    <t>Code</t>
  </si>
  <si>
    <t>BILL OF MATERIAL - Screws and bolts
Thickness Data</t>
  </si>
  <si>
    <t>Lg</t>
  </si>
  <si>
    <t>998278-A4</t>
  </si>
  <si>
    <t>998279-A4</t>
  </si>
  <si>
    <t>998281-K</t>
  </si>
  <si>
    <t>998270-A4-K</t>
  </si>
  <si>
    <t>M25</t>
  </si>
  <si>
    <t xml:space="preserve">Medium washer </t>
  </si>
  <si>
    <t>998591-A4</t>
  </si>
  <si>
    <t>998590-A4-K</t>
  </si>
  <si>
    <t>998593-A4-K</t>
  </si>
  <si>
    <t>998595-A4-K</t>
  </si>
  <si>
    <t>Pas</t>
  </si>
  <si>
    <t>999830-A4</t>
  </si>
  <si>
    <t>999831-A4</t>
  </si>
  <si>
    <t>999838-A4-K</t>
  </si>
  <si>
    <t>xxx</t>
  </si>
  <si>
    <t xml:space="preserve">Sketch impeler </t>
  </si>
  <si>
    <t xml:space="preserve">Sketch impler </t>
  </si>
  <si>
    <t>HubExternalDiameter</t>
  </si>
  <si>
    <t>HubInternalDiameter</t>
  </si>
  <si>
    <t>e</t>
  </si>
  <si>
    <t>h max</t>
  </si>
  <si>
    <t>Cs Washer</t>
  </si>
  <si>
    <t>NC</t>
  </si>
  <si>
    <t>998497-2</t>
  </si>
  <si>
    <t>998242-A4</t>
  </si>
  <si>
    <t>998243-A4</t>
  </si>
  <si>
    <t>998249-K</t>
  </si>
  <si>
    <t>998248-K</t>
  </si>
  <si>
    <t>998300-K</t>
  </si>
  <si>
    <t>Nb</t>
  </si>
  <si>
    <t>P1</t>
  </si>
  <si>
    <t>P2</t>
  </si>
  <si>
    <t>Ep mini</t>
  </si>
  <si>
    <t>A</t>
  </si>
  <si>
    <t>B</t>
  </si>
  <si>
    <t>D1</t>
  </si>
  <si>
    <t xml:space="preserve">E </t>
  </si>
  <si>
    <t xml:space="preserve"> </t>
  </si>
  <si>
    <t xml:space="preserve">Welded H nut </t>
  </si>
  <si>
    <t>Acier 
/
Inox</t>
  </si>
  <si>
    <t>Code Acier</t>
  </si>
  <si>
    <t>Code Inox</t>
  </si>
  <si>
    <t>112032-A4</t>
  </si>
  <si>
    <t>112033-A4</t>
  </si>
  <si>
    <t>112034-A4</t>
  </si>
  <si>
    <t>Diamètre ouverte écrou à souder H</t>
  </si>
  <si>
    <t xml:space="preserve">D </t>
  </si>
  <si>
    <t>Pedestral casing angle fixation 21</t>
  </si>
  <si>
    <t>MechanicalAngleProfileFixationNumberSector12</t>
  </si>
  <si>
    <t>MechanicalSectorFlangeFixationNumberPedestal12</t>
  </si>
  <si>
    <t xml:space="preserve">Half hexagonal rivet nut </t>
  </si>
  <si>
    <t>M</t>
  </si>
  <si>
    <t>P</t>
  </si>
  <si>
    <t>T</t>
  </si>
  <si>
    <t>S</t>
  </si>
  <si>
    <t>T(H)</t>
  </si>
  <si>
    <t>Ecrou à sertir Hexa</t>
  </si>
  <si>
    <t>2,5-4,5</t>
  </si>
  <si>
    <t>4,5-6,5</t>
  </si>
  <si>
    <t>3,0-5,0</t>
  </si>
  <si>
    <t>3,0-6,0</t>
  </si>
  <si>
    <t>3,5-7,6</t>
  </si>
  <si>
    <t>Ouverture ecrou à sert hexagonal</t>
  </si>
  <si>
    <t>CoolingHousingFixationDiameter + HousingGap</t>
  </si>
  <si>
    <t>BackBearingDimA1</t>
  </si>
  <si>
    <t>FrontBearingDimA1</t>
  </si>
  <si>
    <t>InletConeFixationDiameter + InletConeFixationGap</t>
  </si>
  <si>
    <t>Inlet cone full</t>
  </si>
  <si>
    <t>BILL OF MATERIAL - Screws and bolts
Scroll access door / Casing</t>
  </si>
  <si>
    <t>BILL OF MATERIAL - Screws and bolts
Mecha access door / Casing</t>
  </si>
  <si>
    <t>Anti vibration mounting</t>
  </si>
  <si>
    <t>1A Seal</t>
  </si>
  <si>
    <t>BILL OF MATERIAL - Screws and bolts
1A Seal / Casing</t>
  </si>
  <si>
    <t>Seal 1A</t>
  </si>
  <si>
    <t>SealFixationDiameter + SealFixationGap</t>
  </si>
  <si>
    <t>Seal cover 1A</t>
  </si>
  <si>
    <t>SealFixationNutDiameter</t>
  </si>
  <si>
    <t xml:space="preserve">Mechanical plate solid </t>
  </si>
  <si>
    <t>16 1A seal-Casing</t>
  </si>
  <si>
    <t>A DEFINIR</t>
  </si>
  <si>
    <t>Large washer</t>
  </si>
  <si>
    <t>998478-K</t>
  </si>
  <si>
    <t xml:space="preserve">Code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</si>
</sst>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rgb="FF425563"/>
      <name val="Arial"/>
      <family val="2"/>
    </font>
    <font>
      <i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 Light"/>
      <family val="2"/>
      <scheme val="maj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indexed="10"/>
      <name val="Calibri"/>
      <family val="2"/>
      <scheme val="minor"/>
    </font>
    <font>
      <b/>
      <sz val="10"/>
      <color theme="3" tint="0.24997711111789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 Light"/>
      <family val="2"/>
      <scheme val="major"/>
    </font>
    <font>
      <b/>
      <sz val="10"/>
      <color indexed="12"/>
      <name val="Calibri"/>
      <family val="2"/>
      <scheme val="minor"/>
    </font>
    <font>
      <b/>
      <sz val="26"/>
      <color indexed="63"/>
      <name val="Arial"/>
      <family val="2"/>
    </font>
    <font>
      <b/>
      <sz val="12"/>
      <color indexed="8"/>
      <name val="Arial"/>
      <family val="2"/>
    </font>
    <font>
      <u/>
      <sz val="8.5"/>
      <color theme="10"/>
      <name val="Arial"/>
      <family val="2"/>
    </font>
    <font>
      <b/>
      <u/>
      <sz val="36"/>
      <color theme="1"/>
      <name val="Calibri"/>
      <family val="2"/>
      <scheme val="minor"/>
    </font>
    <font>
      <sz val="11"/>
      <color rgb="FF4F595F"/>
      <name val="Courier New"/>
      <family val="3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8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7F7F7F"/>
      </bottom>
      <diagonal/>
    </border>
    <border>
      <left style="medium">
        <color indexed="64"/>
      </left>
      <right/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thin">
        <color rgb="FF7F7F7F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15" fontId="2" fillId="0" borderId="0">
      <alignment horizontal="left" vertical="center"/>
    </xf>
    <xf numFmtId="0" fontId="7" fillId="0" borderId="0" applyNumberFormat="0" applyFill="0" applyBorder="0" applyAlignment="0" applyProtection="0"/>
    <xf numFmtId="0" fontId="9" fillId="0" borderId="0">
      <alignment horizontal="center" vertical="center"/>
    </xf>
    <xf numFmtId="0" fontId="9" fillId="0" borderId="0">
      <alignment horizontal="center" vertical="center"/>
    </xf>
    <xf numFmtId="0" fontId="9" fillId="0" borderId="0"/>
    <xf numFmtId="164" fontId="9" fillId="0" borderId="0" applyFont="0" applyFill="0" applyBorder="0" applyAlignment="0" applyProtection="0"/>
    <xf numFmtId="15" fontId="19" fillId="0" borderId="0">
      <alignment horizontal="left"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top"/>
      <protection locked="0"/>
    </xf>
  </cellStyleXfs>
  <cellXfs count="397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quotePrefix="1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quotePrefix="1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0" xfId="0" applyAlignment="1"/>
    <xf numFmtId="49" fontId="5" fillId="0" borderId="20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9" fontId="7" fillId="3" borderId="24" xfId="2" applyNumberFormat="1" applyFill="1" applyBorder="1" applyAlignment="1">
      <alignment horizontal="center"/>
    </xf>
    <xf numFmtId="49" fontId="7" fillId="3" borderId="25" xfId="2" applyNumberFormat="1" applyFill="1" applyBorder="1" applyAlignment="1">
      <alignment horizontal="center" vertical="center"/>
    </xf>
    <xf numFmtId="49" fontId="7" fillId="3" borderId="28" xfId="2" applyNumberForma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11" fillId="4" borderId="45" xfId="3" applyFont="1" applyFill="1" applyBorder="1" applyAlignment="1">
      <alignment horizontal="center" vertical="center"/>
    </xf>
    <xf numFmtId="0" fontId="12" fillId="5" borderId="45" xfId="3" applyFont="1" applyFill="1" applyBorder="1" applyAlignment="1">
      <alignment horizontal="center" vertical="center"/>
    </xf>
    <xf numFmtId="0" fontId="12" fillId="7" borderId="45" xfId="3" applyFont="1" applyFill="1" applyBorder="1" applyAlignment="1">
      <alignment horizontal="center" vertical="center"/>
    </xf>
    <xf numFmtId="0" fontId="12" fillId="6" borderId="45" xfId="3" applyFont="1" applyFill="1" applyBorder="1" applyAlignment="1">
      <alignment horizontal="center" vertical="center"/>
    </xf>
    <xf numFmtId="0" fontId="11" fillId="4" borderId="16" xfId="3" applyFont="1" applyFill="1" applyBorder="1" applyAlignment="1">
      <alignment horizontal="center" vertical="center"/>
    </xf>
    <xf numFmtId="0" fontId="12" fillId="5" borderId="16" xfId="3" applyFont="1" applyFill="1" applyBorder="1" applyAlignment="1">
      <alignment horizontal="center" vertical="center"/>
    </xf>
    <xf numFmtId="0" fontId="13" fillId="4" borderId="16" xfId="3" applyFont="1" applyFill="1" applyBorder="1" applyAlignment="1">
      <alignment horizontal="center" vertical="center"/>
    </xf>
    <xf numFmtId="0" fontId="14" fillId="6" borderId="16" xfId="3" applyFont="1" applyFill="1" applyBorder="1" applyAlignment="1">
      <alignment horizontal="center" vertical="center"/>
    </xf>
    <xf numFmtId="0" fontId="12" fillId="7" borderId="16" xfId="3" applyFont="1" applyFill="1" applyBorder="1" applyAlignment="1">
      <alignment horizontal="center" vertical="center"/>
    </xf>
    <xf numFmtId="0" fontId="12" fillId="6" borderId="16" xfId="3" applyFont="1" applyFill="1" applyBorder="1" applyAlignment="1">
      <alignment horizontal="center" vertical="center"/>
    </xf>
    <xf numFmtId="0" fontId="11" fillId="0" borderId="16" xfId="3" applyFont="1" applyBorder="1">
      <alignment horizontal="center" vertical="center"/>
    </xf>
    <xf numFmtId="0" fontId="15" fillId="6" borderId="16" xfId="3" applyFont="1" applyFill="1" applyBorder="1" applyAlignment="1">
      <alignment horizontal="center" vertical="center"/>
    </xf>
    <xf numFmtId="0" fontId="15" fillId="4" borderId="16" xfId="3" applyFont="1" applyFill="1" applyBorder="1" applyAlignment="1">
      <alignment horizontal="center" vertical="center"/>
    </xf>
    <xf numFmtId="0" fontId="11" fillId="4" borderId="35" xfId="3" applyFont="1" applyFill="1" applyBorder="1" applyAlignment="1">
      <alignment horizontal="center" vertical="center"/>
    </xf>
    <xf numFmtId="0" fontId="12" fillId="6" borderId="35" xfId="3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2" fillId="6" borderId="37" xfId="3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11" fillId="4" borderId="26" xfId="3" applyFont="1" applyFill="1" applyBorder="1" applyAlignment="1">
      <alignment horizontal="center" vertical="center"/>
    </xf>
    <xf numFmtId="0" fontId="13" fillId="4" borderId="26" xfId="3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2" fillId="7" borderId="49" xfId="3" applyFont="1" applyFill="1" applyBorder="1" applyAlignment="1">
      <alignment horizontal="center" vertical="center"/>
    </xf>
    <xf numFmtId="0" fontId="12" fillId="4" borderId="50" xfId="3" applyFont="1" applyFill="1" applyBorder="1" applyAlignment="1">
      <alignment horizontal="center" vertical="center"/>
    </xf>
    <xf numFmtId="0" fontId="12" fillId="5" borderId="50" xfId="3" applyFont="1" applyFill="1" applyBorder="1" applyAlignment="1">
      <alignment horizontal="center" vertical="center"/>
    </xf>
    <xf numFmtId="0" fontId="11" fillId="4" borderId="51" xfId="3" applyFont="1" applyFill="1" applyBorder="1" applyAlignment="1">
      <alignment horizontal="center" vertical="center"/>
    </xf>
    <xf numFmtId="0" fontId="12" fillId="5" borderId="52" xfId="3" applyFont="1" applyFill="1" applyBorder="1" applyAlignment="1">
      <alignment horizontal="center" vertical="center"/>
    </xf>
    <xf numFmtId="0" fontId="12" fillId="4" borderId="45" xfId="3" applyFont="1" applyFill="1" applyBorder="1" applyAlignment="1">
      <alignment horizontal="center" vertical="center"/>
    </xf>
    <xf numFmtId="0" fontId="11" fillId="4" borderId="53" xfId="3" applyFont="1" applyFill="1" applyBorder="1" applyAlignment="1">
      <alignment horizontal="center" vertical="center"/>
    </xf>
    <xf numFmtId="0" fontId="12" fillId="4" borderId="52" xfId="3" applyFont="1" applyFill="1" applyBorder="1" applyAlignment="1">
      <alignment horizontal="center" vertical="center"/>
    </xf>
    <xf numFmtId="0" fontId="12" fillId="6" borderId="53" xfId="3" applyFont="1" applyFill="1" applyBorder="1" applyAlignment="1">
      <alignment horizontal="center" vertical="center"/>
    </xf>
    <xf numFmtId="0" fontId="11" fillId="4" borderId="52" xfId="3" applyFont="1" applyFill="1" applyBorder="1" applyAlignment="1">
      <alignment horizontal="center" vertical="center"/>
    </xf>
    <xf numFmtId="0" fontId="11" fillId="0" borderId="52" xfId="3" applyFont="1" applyFill="1" applyBorder="1" applyAlignment="1">
      <alignment horizontal="center" vertical="center"/>
    </xf>
    <xf numFmtId="0" fontId="11" fillId="0" borderId="45" xfId="3" applyFont="1" applyFill="1" applyBorder="1" applyAlignment="1">
      <alignment horizontal="center" vertical="center"/>
    </xf>
    <xf numFmtId="0" fontId="11" fillId="0" borderId="53" xfId="3" applyFont="1" applyFill="1" applyBorder="1" applyAlignment="1">
      <alignment horizontal="center" vertical="center"/>
    </xf>
    <xf numFmtId="0" fontId="11" fillId="0" borderId="54" xfId="3" applyFont="1" applyFill="1" applyBorder="1" applyAlignment="1">
      <alignment horizontal="center" vertical="center"/>
    </xf>
    <xf numFmtId="0" fontId="11" fillId="0" borderId="55" xfId="3" applyFont="1" applyFill="1" applyBorder="1" applyAlignment="1">
      <alignment horizontal="center" vertical="center"/>
    </xf>
    <xf numFmtId="0" fontId="12" fillId="0" borderId="55" xfId="3" applyFont="1" applyFill="1" applyBorder="1" applyAlignment="1">
      <alignment horizontal="center" vertical="center"/>
    </xf>
    <xf numFmtId="0" fontId="12" fillId="6" borderId="55" xfId="3" applyFont="1" applyFill="1" applyBorder="1" applyAlignment="1">
      <alignment horizontal="center" vertical="center"/>
    </xf>
    <xf numFmtId="0" fontId="11" fillId="0" borderId="56" xfId="3" applyFont="1" applyFill="1" applyBorder="1" applyAlignment="1">
      <alignment horizontal="center" vertical="center"/>
    </xf>
    <xf numFmtId="0" fontId="16" fillId="0" borderId="0" xfId="0" applyFont="1" applyBorder="1"/>
    <xf numFmtId="0" fontId="0" fillId="0" borderId="37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10" fillId="5" borderId="37" xfId="0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/>
    </xf>
    <xf numFmtId="0" fontId="12" fillId="6" borderId="37" xfId="4" applyFont="1" applyFill="1" applyBorder="1" applyAlignment="1">
      <alignment horizontal="center" vertical="center"/>
    </xf>
    <xf numFmtId="0" fontId="12" fillId="6" borderId="38" xfId="4" applyFont="1" applyFill="1" applyBorder="1" applyAlignment="1">
      <alignment horizontal="center" vertical="center"/>
    </xf>
    <xf numFmtId="0" fontId="11" fillId="4" borderId="39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 applyBorder="1" applyAlignme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4" xfId="0" applyNumberForma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49" xfId="0" applyFont="1" applyBorder="1" applyAlignment="1">
      <alignment horizontal="center" vertical="center"/>
    </xf>
    <xf numFmtId="0" fontId="11" fillId="0" borderId="50" xfId="0" applyFont="1" applyBorder="1" applyAlignment="1">
      <alignment horizontal="center" vertical="center"/>
    </xf>
    <xf numFmtId="0" fontId="11" fillId="0" borderId="51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0" fillId="5" borderId="54" xfId="0" applyFont="1" applyFill="1" applyBorder="1" applyAlignment="1">
      <alignment horizontal="center" vertical="center"/>
    </xf>
    <xf numFmtId="0" fontId="10" fillId="7" borderId="55" xfId="0" applyFont="1" applyFill="1" applyBorder="1" applyAlignment="1">
      <alignment horizontal="center" vertical="center"/>
    </xf>
    <xf numFmtId="0" fontId="10" fillId="5" borderId="55" xfId="0" applyFont="1" applyFill="1" applyBorder="1" applyAlignment="1">
      <alignment horizontal="center" vertical="center"/>
    </xf>
    <xf numFmtId="0" fontId="10" fillId="7" borderId="56" xfId="0" applyFont="1" applyFill="1" applyBorder="1" applyAlignment="1">
      <alignment horizontal="center" vertical="center"/>
    </xf>
    <xf numFmtId="0" fontId="11" fillId="0" borderId="45" xfId="0" applyFont="1" applyFill="1" applyBorder="1" applyAlignment="1">
      <alignment horizontal="center" vertical="center"/>
    </xf>
    <xf numFmtId="0" fontId="11" fillId="0" borderId="50" xfId="0" applyFont="1" applyFill="1" applyBorder="1" applyAlignment="1">
      <alignment horizontal="center" vertical="center"/>
    </xf>
    <xf numFmtId="0" fontId="11" fillId="0" borderId="51" xfId="0" applyFont="1" applyFill="1" applyBorder="1" applyAlignment="1">
      <alignment horizontal="center" vertical="center"/>
    </xf>
    <xf numFmtId="0" fontId="11" fillId="0" borderId="53" xfId="0" applyFont="1" applyFill="1" applyBorder="1" applyAlignment="1">
      <alignment horizontal="center" vertical="center"/>
    </xf>
    <xf numFmtId="0" fontId="12" fillId="5" borderId="55" xfId="0" applyFont="1" applyFill="1" applyBorder="1" applyAlignment="1">
      <alignment horizontal="center" vertical="center"/>
    </xf>
    <xf numFmtId="0" fontId="12" fillId="6" borderId="55" xfId="0" applyFont="1" applyFill="1" applyBorder="1" applyAlignment="1">
      <alignment horizontal="center" vertical="center"/>
    </xf>
    <xf numFmtId="0" fontId="12" fillId="5" borderId="56" xfId="0" applyFont="1" applyFill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12" fillId="6" borderId="61" xfId="0" applyFont="1" applyFill="1" applyBorder="1" applyAlignment="1">
      <alignment horizontal="center" vertical="center"/>
    </xf>
    <xf numFmtId="0" fontId="0" fillId="6" borderId="58" xfId="0" applyFill="1" applyBorder="1" applyAlignment="1">
      <alignment horizontal="center" vertical="center"/>
    </xf>
    <xf numFmtId="0" fontId="0" fillId="7" borderId="5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17" fillId="0" borderId="45" xfId="4" applyFont="1" applyBorder="1" applyAlignment="1">
      <alignment horizontal="center" vertical="center"/>
    </xf>
    <xf numFmtId="0" fontId="17" fillId="0" borderId="53" xfId="4" applyFont="1" applyBorder="1" applyAlignment="1">
      <alignment horizontal="center" vertical="center"/>
    </xf>
    <xf numFmtId="0" fontId="10" fillId="5" borderId="55" xfId="4" applyFont="1" applyFill="1" applyBorder="1" applyAlignment="1">
      <alignment horizontal="center" vertical="center"/>
    </xf>
    <xf numFmtId="0" fontId="10" fillId="6" borderId="55" xfId="4" applyFont="1" applyFill="1" applyBorder="1" applyAlignment="1">
      <alignment horizontal="center" vertical="center"/>
    </xf>
    <xf numFmtId="0" fontId="11" fillId="0" borderId="49" xfId="4" applyFont="1" applyBorder="1" applyAlignment="1">
      <alignment horizontal="center" vertical="center"/>
    </xf>
    <xf numFmtId="0" fontId="11" fillId="0" borderId="50" xfId="4" applyFont="1" applyBorder="1" applyAlignment="1">
      <alignment horizontal="center" vertical="center"/>
    </xf>
    <xf numFmtId="0" fontId="11" fillId="0" borderId="51" xfId="4" applyFont="1" applyBorder="1" applyAlignment="1">
      <alignment horizontal="center" vertical="center"/>
    </xf>
    <xf numFmtId="0" fontId="11" fillId="0" borderId="52" xfId="4" applyFont="1" applyBorder="1" applyAlignment="1">
      <alignment horizontal="center" vertical="center"/>
    </xf>
    <xf numFmtId="0" fontId="11" fillId="0" borderId="45" xfId="4" applyFont="1" applyBorder="1" applyAlignment="1">
      <alignment horizontal="center" vertical="center"/>
    </xf>
    <xf numFmtId="0" fontId="11" fillId="0" borderId="53" xfId="4" applyFont="1" applyBorder="1" applyAlignment="1">
      <alignment horizontal="center" vertical="center"/>
    </xf>
    <xf numFmtId="0" fontId="11" fillId="0" borderId="54" xfId="4" applyFont="1" applyBorder="1" applyAlignment="1">
      <alignment horizontal="center" vertical="center"/>
    </xf>
    <xf numFmtId="0" fontId="12" fillId="0" borderId="55" xfId="4" applyFont="1" applyBorder="1" applyAlignment="1">
      <alignment horizontal="center" vertical="center"/>
    </xf>
    <xf numFmtId="0" fontId="12" fillId="5" borderId="55" xfId="4" applyFont="1" applyFill="1" applyBorder="1" applyAlignment="1">
      <alignment horizontal="center" vertical="center"/>
    </xf>
    <xf numFmtId="0" fontId="12" fillId="6" borderId="55" xfId="4" applyFont="1" applyFill="1" applyBorder="1" applyAlignment="1">
      <alignment horizontal="center" vertical="center"/>
    </xf>
    <xf numFmtId="0" fontId="12" fillId="6" borderId="56" xfId="4" applyFont="1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0" fillId="5" borderId="54" xfId="4" applyFont="1" applyFill="1" applyBorder="1" applyAlignment="1">
      <alignment horizontal="center" vertical="center"/>
    </xf>
    <xf numFmtId="0" fontId="10" fillId="7" borderId="55" xfId="4" applyFont="1" applyFill="1" applyBorder="1" applyAlignment="1">
      <alignment horizontal="center" vertical="center"/>
    </xf>
    <xf numFmtId="0" fontId="10" fillId="0" borderId="56" xfId="4" applyFon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12" fillId="7" borderId="55" xfId="4" applyFont="1" applyFill="1" applyBorder="1" applyAlignment="1">
      <alignment horizontal="center" vertical="center"/>
    </xf>
    <xf numFmtId="0" fontId="18" fillId="0" borderId="56" xfId="4" applyFont="1" applyBorder="1" applyAlignment="1">
      <alignment horizontal="center" vertical="center"/>
    </xf>
    <xf numFmtId="0" fontId="11" fillId="0" borderId="36" xfId="4" applyFont="1" applyBorder="1" applyAlignment="1">
      <alignment horizontal="center" vertical="center"/>
    </xf>
    <xf numFmtId="0" fontId="12" fillId="0" borderId="37" xfId="4" applyFont="1" applyBorder="1" applyAlignment="1">
      <alignment horizontal="center" vertical="center"/>
    </xf>
    <xf numFmtId="0" fontId="12" fillId="0" borderId="55" xfId="4" applyFont="1" applyFill="1" applyBorder="1" applyAlignment="1">
      <alignment horizontal="center" vertical="center"/>
    </xf>
    <xf numFmtId="0" fontId="11" fillId="0" borderId="55" xfId="4" applyFont="1" applyBorder="1" applyAlignment="1">
      <alignment horizontal="center" vertical="center"/>
    </xf>
    <xf numFmtId="0" fontId="18" fillId="0" borderId="38" xfId="4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0" fillId="5" borderId="55" xfId="5" applyFont="1" applyFill="1" applyBorder="1" applyAlignment="1">
      <alignment horizontal="center" vertical="center"/>
    </xf>
    <xf numFmtId="0" fontId="11" fillId="0" borderId="53" xfId="5" applyFont="1" applyBorder="1" applyAlignment="1">
      <alignment horizontal="center" vertical="center"/>
    </xf>
    <xf numFmtId="0" fontId="12" fillId="5" borderId="55" xfId="5" applyFont="1" applyFill="1" applyBorder="1" applyAlignment="1">
      <alignment horizontal="center" vertical="center"/>
    </xf>
    <xf numFmtId="0" fontId="11" fillId="0" borderId="52" xfId="5" applyFont="1" applyBorder="1" applyAlignment="1">
      <alignment horizontal="center" vertical="center"/>
    </xf>
    <xf numFmtId="0" fontId="11" fillId="0" borderId="49" xfId="5" applyFont="1" applyBorder="1" applyAlignment="1">
      <alignment horizontal="center" vertical="center"/>
    </xf>
    <xf numFmtId="0" fontId="11" fillId="0" borderId="51" xfId="5" applyFont="1" applyBorder="1" applyAlignment="1">
      <alignment horizontal="center" vertical="center"/>
    </xf>
    <xf numFmtId="0" fontId="11" fillId="0" borderId="45" xfId="5" applyFont="1" applyBorder="1" applyAlignment="1">
      <alignment horizontal="center" vertical="center"/>
    </xf>
    <xf numFmtId="0" fontId="11" fillId="0" borderId="50" xfId="5" applyFont="1" applyBorder="1" applyAlignment="1">
      <alignment horizontal="center" vertical="center"/>
    </xf>
    <xf numFmtId="0" fontId="12" fillId="6" borderId="55" xfId="5" applyFont="1" applyFill="1" applyBorder="1" applyAlignment="1">
      <alignment horizontal="center" vertical="center"/>
    </xf>
    <xf numFmtId="0" fontId="12" fillId="5" borderId="56" xfId="5" applyFont="1" applyFill="1" applyBorder="1" applyAlignment="1">
      <alignment horizontal="center" vertical="center"/>
    </xf>
    <xf numFmtId="0" fontId="10" fillId="7" borderId="55" xfId="5" applyFont="1" applyFill="1" applyBorder="1" applyAlignment="1">
      <alignment horizontal="center" vertical="center"/>
    </xf>
    <xf numFmtId="0" fontId="10" fillId="5" borderId="54" xfId="5" applyFont="1" applyFill="1" applyBorder="1" applyAlignment="1">
      <alignment horizontal="center" vertical="center"/>
    </xf>
    <xf numFmtId="0" fontId="10" fillId="7" borderId="56" xfId="5" applyFont="1" applyFill="1" applyBorder="1" applyAlignment="1">
      <alignment horizontal="center" vertical="center"/>
    </xf>
    <xf numFmtId="2" fontId="0" fillId="0" borderId="44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10" fillId="0" borderId="70" xfId="5" applyFont="1" applyFill="1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16" fontId="0" fillId="0" borderId="16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  <xf numFmtId="0" fontId="6" fillId="2" borderId="70" xfId="0" applyFont="1" applyFill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6" fillId="2" borderId="74" xfId="0" applyFont="1" applyFill="1" applyBorder="1" applyAlignment="1">
      <alignment horizontal="center" vertical="center"/>
    </xf>
    <xf numFmtId="0" fontId="6" fillId="2" borderId="75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76" xfId="0" applyFill="1" applyBorder="1" applyAlignment="1">
      <alignment horizontal="center" vertical="center"/>
    </xf>
    <xf numFmtId="49" fontId="7" fillId="3" borderId="77" xfId="2" applyNumberFormat="1" applyFill="1" applyBorder="1" applyAlignment="1">
      <alignment horizontal="center"/>
    </xf>
    <xf numFmtId="49" fontId="7" fillId="3" borderId="78" xfId="2" applyNumberFormat="1" applyFill="1" applyBorder="1" applyAlignment="1">
      <alignment horizontal="center" vertical="center"/>
    </xf>
    <xf numFmtId="49" fontId="7" fillId="3" borderId="79" xfId="2" applyNumberFormat="1" applyFill="1" applyBorder="1" applyAlignment="1">
      <alignment horizontal="center" vertical="center"/>
    </xf>
    <xf numFmtId="0" fontId="0" fillId="0" borderId="70" xfId="0" applyFill="1" applyBorder="1" applyAlignment="1">
      <alignment horizontal="center" vertical="center"/>
    </xf>
    <xf numFmtId="0" fontId="0" fillId="0" borderId="71" xfId="0" applyFill="1" applyBorder="1" applyAlignment="1">
      <alignment horizontal="center" vertical="center"/>
    </xf>
    <xf numFmtId="0" fontId="7" fillId="3" borderId="41" xfId="2" applyFill="1" applyBorder="1" applyAlignment="1">
      <alignment horizontal="center" vertical="center"/>
    </xf>
    <xf numFmtId="0" fontId="7" fillId="3" borderId="42" xfId="2" applyFill="1" applyBorder="1" applyAlignment="1">
      <alignment horizontal="center" vertical="center"/>
    </xf>
    <xf numFmtId="0" fontId="7" fillId="3" borderId="23" xfId="2" applyFill="1" applyBorder="1" applyAlignment="1">
      <alignment horizontal="center" vertical="center"/>
    </xf>
    <xf numFmtId="0" fontId="7" fillId="3" borderId="27" xfId="2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1" fillId="4" borderId="45" xfId="0" applyFont="1" applyFill="1" applyBorder="1" applyAlignment="1">
      <alignment horizontal="center" vertical="center"/>
    </xf>
    <xf numFmtId="0" fontId="11" fillId="4" borderId="49" xfId="0" applyFont="1" applyFill="1" applyBorder="1" applyAlignment="1">
      <alignment horizontal="center" vertical="center"/>
    </xf>
    <xf numFmtId="0" fontId="11" fillId="4" borderId="50" xfId="0" applyFont="1" applyFill="1" applyBorder="1" applyAlignment="1">
      <alignment horizontal="center" vertical="center"/>
    </xf>
    <xf numFmtId="0" fontId="11" fillId="4" borderId="51" xfId="0" applyFont="1" applyFill="1" applyBorder="1" applyAlignment="1">
      <alignment horizontal="center" vertical="center"/>
    </xf>
    <xf numFmtId="0" fontId="11" fillId="4" borderId="52" xfId="0" applyFont="1" applyFill="1" applyBorder="1" applyAlignment="1">
      <alignment horizontal="center" vertical="center"/>
    </xf>
    <xf numFmtId="0" fontId="11" fillId="4" borderId="53" xfId="0" applyFont="1" applyFill="1" applyBorder="1" applyAlignment="1">
      <alignment horizontal="center" vertical="center"/>
    </xf>
    <xf numFmtId="0" fontId="11" fillId="4" borderId="54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5" borderId="55" xfId="0" applyFont="1" applyFill="1" applyBorder="1" applyAlignment="1">
      <alignment horizontal="center" vertical="center"/>
    </xf>
    <xf numFmtId="0" fontId="11" fillId="4" borderId="55" xfId="0" applyFont="1" applyFill="1" applyBorder="1" applyAlignment="1">
      <alignment horizontal="center" vertical="center"/>
    </xf>
    <xf numFmtId="0" fontId="11" fillId="7" borderId="56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5" fontId="2" fillId="0" borderId="1" xfId="1" applyFont="1" applyBorder="1" applyAlignment="1">
      <alignment horizontal="left" vertical="center" wrapText="1"/>
    </xf>
    <xf numFmtId="15" fontId="2" fillId="0" borderId="2" xfId="1" applyFont="1" applyBorder="1" applyAlignment="1">
      <alignment horizontal="left" vertical="center" wrapText="1"/>
    </xf>
    <xf numFmtId="15" fontId="2" fillId="0" borderId="3" xfId="1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63" xfId="0" applyFill="1" applyBorder="1" applyAlignment="1">
      <alignment horizontal="center" vertical="center"/>
    </xf>
    <xf numFmtId="0" fontId="0" fillId="3" borderId="64" xfId="0" applyFill="1" applyBorder="1" applyAlignment="1">
      <alignment horizontal="center" vertical="center"/>
    </xf>
    <xf numFmtId="0" fontId="0" fillId="3" borderId="6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6" xfId="0" applyBorder="1" applyAlignment="1">
      <alignment horizontal="center"/>
    </xf>
    <xf numFmtId="15" fontId="2" fillId="0" borderId="1" xfId="1" applyFont="1" applyBorder="1" applyAlignment="1">
      <alignment horizontal="left" vertical="top" wrapText="1"/>
    </xf>
    <xf numFmtId="15" fontId="2" fillId="0" borderId="2" xfId="1" applyFont="1" applyBorder="1" applyAlignment="1">
      <alignment horizontal="left" vertical="top" wrapText="1"/>
    </xf>
    <xf numFmtId="15" fontId="2" fillId="0" borderId="3" xfId="1" applyFont="1" applyBorder="1" applyAlignment="1">
      <alignment horizontal="left" vertical="top" wrapText="1"/>
    </xf>
    <xf numFmtId="0" fontId="22" fillId="0" borderId="0" xfId="0" applyFont="1" applyAlignment="1">
      <alignment horizontal="center" vertical="center"/>
    </xf>
    <xf numFmtId="0" fontId="23" fillId="0" borderId="0" xfId="0" applyFont="1"/>
    <xf numFmtId="0" fontId="23" fillId="0" borderId="7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1" fillId="4" borderId="0" xfId="3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1" fillId="4" borderId="80" xfId="3" applyFont="1" applyFill="1" applyBorder="1" applyAlignment="1">
      <alignment horizontal="center" vertical="center"/>
    </xf>
    <xf numFmtId="0" fontId="12" fillId="5" borderId="67" xfId="3" applyFont="1" applyFill="1" applyBorder="1" applyAlignment="1">
      <alignment horizontal="center" vertical="center"/>
    </xf>
    <xf numFmtId="0" fontId="11" fillId="4" borderId="67" xfId="3" applyFont="1" applyFill="1" applyBorder="1" applyAlignment="1">
      <alignment horizontal="center" vertical="center"/>
    </xf>
    <xf numFmtId="0" fontId="11" fillId="4" borderId="68" xfId="3" applyFont="1" applyFill="1" applyBorder="1" applyAlignment="1">
      <alignment horizontal="center" vertical="center"/>
    </xf>
    <xf numFmtId="0" fontId="12" fillId="2" borderId="0" xfId="3" applyFont="1" applyFill="1" applyBorder="1" applyAlignment="1">
      <alignment horizontal="center" vertical="center"/>
    </xf>
    <xf numFmtId="0" fontId="11" fillId="2" borderId="0" xfId="3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20" xfId="0" applyFont="1" applyBorder="1" applyAlignment="1">
      <alignment horizontal="center" vertical="center"/>
    </xf>
  </cellXfs>
  <cellStyles count="10">
    <cellStyle name="Euro" xfId="6" xr:uid="{00000000-0005-0000-0000-000000000000}"/>
    <cellStyle name="Header" xfId="1" xr:uid="{00000000-0005-0000-0000-000002000000}"/>
    <cellStyle name="Header 2" xfId="7" xr:uid="{00000000-0005-0000-0000-000001000000}"/>
    <cellStyle name="Lien hypertexte" xfId="2" builtinId="8"/>
    <cellStyle name="Lien hypertexte 2" xfId="9" xr:uid="{00000000-0005-0000-0000-000036000000}"/>
    <cellStyle name="Normal" xfId="0" builtinId="0"/>
    <cellStyle name="Normal 2" xfId="5" xr:uid="{00000000-0005-0000-0000-000037000000}"/>
    <cellStyle name="Normal_ecrou" xfId="4" xr:uid="{E4727968-8018-4973-AFAC-7565C5615170}"/>
    <cellStyle name="Normal_vis" xfId="3" xr:uid="{97656D0C-8E6C-4429-B6D7-235B4FB827DB}"/>
    <cellStyle name="Sub Header" xfId="8" xr:uid="{00000000-0005-0000-0000-000008000000}"/>
  </cellStyles>
  <dxfs count="105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 style="thin">
          <color indexed="64"/>
        </vertical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wmf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w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1.wmf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1.wmf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wmf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wmf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wmf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wmf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w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1.wmf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1.wmf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1.wmf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wmf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wmf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257175</xdr:colOff>
      <xdr:row>1</xdr:row>
      <xdr:rowOff>190500</xdr:rowOff>
    </xdr:from>
    <xdr:to>
      <xdr:col>7</xdr:col>
      <xdr:colOff>499272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98DFC3F0-7939-4032-B540-04D12E0E8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467850" y="390525"/>
          <a:ext cx="1156497" cy="5383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2543175</xdr:colOff>
      <xdr:row>1</xdr:row>
      <xdr:rowOff>161925</xdr:rowOff>
    </xdr:from>
    <xdr:to>
      <xdr:col>2</xdr:col>
      <xdr:colOff>3699672</xdr:colOff>
      <xdr:row>1</xdr:row>
      <xdr:rowOff>700293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8F479A86-BEAC-4E1E-9576-30E0E25E6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81850" y="361950"/>
          <a:ext cx="1156497" cy="5383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3276600</xdr:colOff>
      <xdr:row>1</xdr:row>
      <xdr:rowOff>76200</xdr:rowOff>
    </xdr:from>
    <xdr:to>
      <xdr:col>2</xdr:col>
      <xdr:colOff>4433097</xdr:colOff>
      <xdr:row>1</xdr:row>
      <xdr:rowOff>862218</xdr:rowOff>
    </xdr:to>
    <xdr:pic>
      <xdr:nvPicPr>
        <xdr:cNvPr id="2" name="Picture 1" descr="Howden_RGB.wmf">
          <a:extLst>
            <a:ext uri="{FF2B5EF4-FFF2-40B4-BE49-F238E27FC236}">
              <a16:creationId xmlns:a16="http://schemas.microsoft.com/office/drawing/2014/main" id="{5560F8B5-4C1E-4F2E-932E-B2C2F997E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10350" y="276225"/>
          <a:ext cx="1156497" cy="78601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695325</xdr:colOff>
      <xdr:row>1</xdr:row>
      <xdr:rowOff>180975</xdr:rowOff>
    </xdr:from>
    <xdr:to>
      <xdr:col>15</xdr:col>
      <xdr:colOff>327822</xdr:colOff>
      <xdr:row>1</xdr:row>
      <xdr:rowOff>719343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FFBCFE08-2B25-487F-8629-838685FEF3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15325" y="381000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4</xdr:row>
      <xdr:rowOff>19050</xdr:rowOff>
    </xdr:from>
    <xdr:to>
      <xdr:col>8</xdr:col>
      <xdr:colOff>65933</xdr:colOff>
      <xdr:row>22</xdr:row>
      <xdr:rowOff>66240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88E9D3D-CF92-4871-A6DA-7D941432AD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00" y="1514475"/>
          <a:ext cx="5933333" cy="347619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723900</xdr:colOff>
      <xdr:row>1</xdr:row>
      <xdr:rowOff>209550</xdr:rowOff>
    </xdr:from>
    <xdr:to>
      <xdr:col>14</xdr:col>
      <xdr:colOff>356397</xdr:colOff>
      <xdr:row>1</xdr:row>
      <xdr:rowOff>747918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4FE6FB0E-3540-4803-ACCB-7194B0DDA8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43900" y="40957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1</xdr:col>
      <xdr:colOff>1057275</xdr:colOff>
      <xdr:row>4</xdr:row>
      <xdr:rowOff>85725</xdr:rowOff>
    </xdr:from>
    <xdr:to>
      <xdr:col>6</xdr:col>
      <xdr:colOff>361383</xdr:colOff>
      <xdr:row>19</xdr:row>
      <xdr:rowOff>104415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191C6A3-FB30-45A2-9238-24F1605CFB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19275" y="1581150"/>
          <a:ext cx="4533333" cy="2876190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647700</xdr:colOff>
      <xdr:row>1</xdr:row>
      <xdr:rowOff>180975</xdr:rowOff>
    </xdr:from>
    <xdr:to>
      <xdr:col>13</xdr:col>
      <xdr:colOff>280197</xdr:colOff>
      <xdr:row>1</xdr:row>
      <xdr:rowOff>719343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D0E22CC5-681D-467C-88FF-7F149DEF4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67700" y="381000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4</xdr:row>
      <xdr:rowOff>0</xdr:rowOff>
    </xdr:from>
    <xdr:to>
      <xdr:col>8</xdr:col>
      <xdr:colOff>332768</xdr:colOff>
      <xdr:row>17</xdr:row>
      <xdr:rowOff>142548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FA0F623-717E-4EDE-B43B-86C2063C7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62200" y="1495425"/>
          <a:ext cx="4857143" cy="261904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180975</xdr:rowOff>
    </xdr:from>
    <xdr:to>
      <xdr:col>12</xdr:col>
      <xdr:colOff>394497</xdr:colOff>
      <xdr:row>1</xdr:row>
      <xdr:rowOff>719343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DD5103EE-20E3-46C2-B6FB-A9EDE01360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381000"/>
          <a:ext cx="1156497" cy="538368"/>
        </a:xfrm>
        <a:prstGeom prst="rect">
          <a:avLst/>
        </a:prstGeom>
      </xdr:spPr>
    </xdr:pic>
    <xdr:clientData/>
  </xdr:twoCellAnchor>
  <xdr:twoCellAnchor>
    <xdr:from>
      <xdr:col>2</xdr:col>
      <xdr:colOff>981075</xdr:colOff>
      <xdr:row>4</xdr:row>
      <xdr:rowOff>0</xdr:rowOff>
    </xdr:from>
    <xdr:to>
      <xdr:col>8</xdr:col>
      <xdr:colOff>266096</xdr:colOff>
      <xdr:row>18</xdr:row>
      <xdr:rowOff>190143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E2E4F8E-D01A-44D3-9512-F94C61A0734E}"/>
            </a:ext>
          </a:extLst>
        </xdr:cNvPr>
        <xdr:cNvGrpSpPr/>
      </xdr:nvGrpSpPr>
      <xdr:grpSpPr>
        <a:xfrm>
          <a:off x="2505075" y="1495425"/>
          <a:ext cx="4828571" cy="2857143"/>
          <a:chOff x="2828925" y="1504950"/>
          <a:chExt cx="4828571" cy="2857143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C2C1C329-26CC-4308-B1E9-CCD7A96799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828925" y="1504950"/>
            <a:ext cx="4828571" cy="2857143"/>
          </a:xfrm>
          <a:prstGeom prst="rect">
            <a:avLst/>
          </a:prstGeom>
          <a:ln>
            <a:solidFill>
              <a:schemeClr val="tx1"/>
            </a:solidFill>
          </a:ln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id="{79DA874C-BA3B-48A6-B714-762BCD9B54B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/>
          <a:srcRect l="17499" t="37195" r="14359" b="44513"/>
          <a:stretch/>
        </xdr:blipFill>
        <xdr:spPr>
          <a:xfrm>
            <a:off x="5819775" y="3752850"/>
            <a:ext cx="1743075" cy="285750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666750</xdr:colOff>
      <xdr:row>1</xdr:row>
      <xdr:rowOff>200025</xdr:rowOff>
    </xdr:from>
    <xdr:to>
      <xdr:col>12</xdr:col>
      <xdr:colOff>299247</xdr:colOff>
      <xdr:row>1</xdr:row>
      <xdr:rowOff>738393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61C38B44-2F14-4BB2-8B13-70D32FA73F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0" y="400050"/>
          <a:ext cx="1156497" cy="538368"/>
        </a:xfrm>
        <a:prstGeom prst="rect">
          <a:avLst/>
        </a:prstGeom>
      </xdr:spPr>
    </xdr:pic>
    <xdr:clientData/>
  </xdr:twoCellAnchor>
  <xdr:twoCellAnchor>
    <xdr:from>
      <xdr:col>3</xdr:col>
      <xdr:colOff>38100</xdr:colOff>
      <xdr:row>4</xdr:row>
      <xdr:rowOff>9525</xdr:rowOff>
    </xdr:from>
    <xdr:to>
      <xdr:col>8</xdr:col>
      <xdr:colOff>161321</xdr:colOff>
      <xdr:row>19</xdr:row>
      <xdr:rowOff>9168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47D18D6E-783D-4E3F-BD1A-E6647B63417D}"/>
            </a:ext>
          </a:extLst>
        </xdr:cNvPr>
        <xdr:cNvGrpSpPr/>
      </xdr:nvGrpSpPr>
      <xdr:grpSpPr>
        <a:xfrm>
          <a:off x="2828925" y="1504950"/>
          <a:ext cx="4828571" cy="2857143"/>
          <a:chOff x="2828925" y="1504950"/>
          <a:chExt cx="4828571" cy="2857143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id="{BE1CD193-A363-42E6-A106-E7E4D58D0B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828925" y="1504950"/>
            <a:ext cx="4828571" cy="2857143"/>
          </a:xfrm>
          <a:prstGeom prst="rect">
            <a:avLst/>
          </a:prstGeom>
          <a:ln>
            <a:solidFill>
              <a:schemeClr val="tx1"/>
            </a:solidFill>
          </a:ln>
        </xdr:spPr>
      </xdr:pic>
      <xdr:pic>
        <xdr:nvPicPr>
          <xdr:cNvPr id="2" name="Image 1">
            <a:extLst>
              <a:ext uri="{FF2B5EF4-FFF2-40B4-BE49-F238E27FC236}">
                <a16:creationId xmlns:a16="http://schemas.microsoft.com/office/drawing/2014/main" id="{7434F37D-C3A3-4259-91DD-6C02FAFD401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/>
          <a:srcRect l="17499" t="37195" r="14359" b="44513"/>
          <a:stretch/>
        </xdr:blipFill>
        <xdr:spPr>
          <a:xfrm>
            <a:off x="5819775" y="3752850"/>
            <a:ext cx="1743075" cy="285750"/>
          </a:xfrm>
          <a:prstGeom prst="rect">
            <a:avLst/>
          </a:prstGeom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666750</xdr:colOff>
      <xdr:row>1</xdr:row>
      <xdr:rowOff>200025</xdr:rowOff>
    </xdr:from>
    <xdr:to>
      <xdr:col>12</xdr:col>
      <xdr:colOff>299247</xdr:colOff>
      <xdr:row>1</xdr:row>
      <xdr:rowOff>738393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3BC5AE8A-E3BD-42C3-9234-9E1E9A6AE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0" y="400050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4</xdr:row>
      <xdr:rowOff>19050</xdr:rowOff>
    </xdr:from>
    <xdr:to>
      <xdr:col>8</xdr:col>
      <xdr:colOff>323057</xdr:colOff>
      <xdr:row>18</xdr:row>
      <xdr:rowOff>56812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9EE875F-59C5-45BE-A0F2-B1162ECAA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3050" y="1514475"/>
          <a:ext cx="6342857" cy="270476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190500</xdr:rowOff>
    </xdr:from>
    <xdr:to>
      <xdr:col>12</xdr:col>
      <xdr:colOff>394497</xdr:colOff>
      <xdr:row>1</xdr:row>
      <xdr:rowOff>728868</xdr:rowOff>
    </xdr:to>
    <xdr:pic>
      <xdr:nvPicPr>
        <xdr:cNvPr id="4" name="Picture 1" descr="Howden_RGB.wmf">
          <a:extLst>
            <a:ext uri="{FF2B5EF4-FFF2-40B4-BE49-F238E27FC236}">
              <a16:creationId xmlns:a16="http://schemas.microsoft.com/office/drawing/2014/main" id="{B3996A99-B5E4-4494-9985-D959C7FBA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4</xdr:row>
      <xdr:rowOff>28575</xdr:rowOff>
    </xdr:from>
    <xdr:to>
      <xdr:col>8</xdr:col>
      <xdr:colOff>389732</xdr:colOff>
      <xdr:row>18</xdr:row>
      <xdr:rowOff>66337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4D29843-5C51-4434-A184-1D5413131B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52575" y="1524000"/>
          <a:ext cx="6342857" cy="270476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190500</xdr:rowOff>
    </xdr:from>
    <xdr:to>
      <xdr:col>12</xdr:col>
      <xdr:colOff>394497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3508E5D5-8D15-4683-8D0F-209CFD2B3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4</xdr:row>
      <xdr:rowOff>28575</xdr:rowOff>
    </xdr:from>
    <xdr:to>
      <xdr:col>7</xdr:col>
      <xdr:colOff>694532</xdr:colOff>
      <xdr:row>18</xdr:row>
      <xdr:rowOff>66337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BD202DC1-7C04-47AD-B7C1-78733F145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3050" y="1524000"/>
          <a:ext cx="6342857" cy="270476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200025</xdr:rowOff>
    </xdr:from>
    <xdr:to>
      <xdr:col>12</xdr:col>
      <xdr:colOff>394497</xdr:colOff>
      <xdr:row>1</xdr:row>
      <xdr:rowOff>738393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4D2E61D8-B222-47A7-BCFF-3A01B51DD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400050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1133475</xdr:colOff>
      <xdr:row>4</xdr:row>
      <xdr:rowOff>9525</xdr:rowOff>
    </xdr:from>
    <xdr:to>
      <xdr:col>7</xdr:col>
      <xdr:colOff>752475</xdr:colOff>
      <xdr:row>16</xdr:row>
      <xdr:rowOff>161908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74ABDD3-010C-4175-9684-8CF054BB5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57475" y="1504950"/>
          <a:ext cx="4695825" cy="2438383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9525</xdr:colOff>
      <xdr:row>1</xdr:row>
      <xdr:rowOff>190500</xdr:rowOff>
    </xdr:from>
    <xdr:to>
      <xdr:col>12</xdr:col>
      <xdr:colOff>404022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3E7DD73C-787E-46D3-AD68-A2F031638F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91525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5</xdr:row>
      <xdr:rowOff>19050</xdr:rowOff>
    </xdr:from>
    <xdr:to>
      <xdr:col>8</xdr:col>
      <xdr:colOff>37307</xdr:colOff>
      <xdr:row>19</xdr:row>
      <xdr:rowOff>56812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E9664EC-36FB-4FF8-A757-624DE3EF3F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33525" y="1704975"/>
          <a:ext cx="6342857" cy="270476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209550</xdr:colOff>
      <xdr:row>1</xdr:row>
      <xdr:rowOff>66675</xdr:rowOff>
    </xdr:from>
    <xdr:to>
      <xdr:col>12</xdr:col>
      <xdr:colOff>409575</xdr:colOff>
      <xdr:row>1</xdr:row>
      <xdr:rowOff>795253</xdr:rowOff>
    </xdr:to>
    <xdr:pic>
      <xdr:nvPicPr>
        <xdr:cNvPr id="2" name="Picture 1" descr="Howden_RGB.wmf">
          <a:extLst>
            <a:ext uri="{FF2B5EF4-FFF2-40B4-BE49-F238E27FC236}">
              <a16:creationId xmlns:a16="http://schemas.microsoft.com/office/drawing/2014/main" id="{12A6623A-3DD0-4C3F-969C-CCC982CEE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91550" y="266700"/>
          <a:ext cx="962025" cy="728578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4</xdr:row>
      <xdr:rowOff>57150</xdr:rowOff>
    </xdr:from>
    <xdr:to>
      <xdr:col>7</xdr:col>
      <xdr:colOff>85725</xdr:colOff>
      <xdr:row>17</xdr:row>
      <xdr:rowOff>19033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544C3213-3595-4E51-8EC6-366474BDE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04975" y="1552575"/>
          <a:ext cx="4695825" cy="2438383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733425</xdr:colOff>
      <xdr:row>1</xdr:row>
      <xdr:rowOff>190500</xdr:rowOff>
    </xdr:from>
    <xdr:to>
      <xdr:col>12</xdr:col>
      <xdr:colOff>365922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B92066F2-593B-4127-976D-326796CD8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53425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400050</xdr:colOff>
      <xdr:row>3</xdr:row>
      <xdr:rowOff>19050</xdr:rowOff>
    </xdr:from>
    <xdr:to>
      <xdr:col>8</xdr:col>
      <xdr:colOff>475517</xdr:colOff>
      <xdr:row>20</xdr:row>
      <xdr:rowOff>161502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4029B6D-0C93-451B-AF6F-A7737D081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24050" y="1323975"/>
          <a:ext cx="5866667" cy="338095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200025</xdr:rowOff>
    </xdr:from>
    <xdr:to>
      <xdr:col>12</xdr:col>
      <xdr:colOff>394497</xdr:colOff>
      <xdr:row>1</xdr:row>
      <xdr:rowOff>738393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BEA18404-91AB-45C0-960C-93CAD93DC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400050"/>
          <a:ext cx="1156497" cy="538368"/>
        </a:xfrm>
        <a:prstGeom prst="rect">
          <a:avLst/>
        </a:prstGeom>
      </xdr:spPr>
    </xdr:pic>
    <xdr:clientData/>
  </xdr:twoCellAnchor>
  <xdr:twoCellAnchor>
    <xdr:from>
      <xdr:col>2</xdr:col>
      <xdr:colOff>933450</xdr:colOff>
      <xdr:row>3</xdr:row>
      <xdr:rowOff>38100</xdr:rowOff>
    </xdr:from>
    <xdr:to>
      <xdr:col>8</xdr:col>
      <xdr:colOff>47021</xdr:colOff>
      <xdr:row>18</xdr:row>
      <xdr:rowOff>37743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D9CF8960-7088-4ED4-AEC4-F2D307813A27}"/>
            </a:ext>
          </a:extLst>
        </xdr:cNvPr>
        <xdr:cNvGrpSpPr/>
      </xdr:nvGrpSpPr>
      <xdr:grpSpPr>
        <a:xfrm>
          <a:off x="2457450" y="1343025"/>
          <a:ext cx="4828571" cy="2857143"/>
          <a:chOff x="2828925" y="1504950"/>
          <a:chExt cx="4828571" cy="2857143"/>
        </a:xfrm>
      </xdr:grpSpPr>
      <xdr:pic>
        <xdr:nvPicPr>
          <xdr:cNvPr id="6" name="Image 5">
            <a:extLst>
              <a:ext uri="{FF2B5EF4-FFF2-40B4-BE49-F238E27FC236}">
                <a16:creationId xmlns:a16="http://schemas.microsoft.com/office/drawing/2014/main" id="{47E0439A-84A5-4F04-9170-A20991ADD8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2828925" y="1504950"/>
            <a:ext cx="4828571" cy="2857143"/>
          </a:xfrm>
          <a:prstGeom prst="rect">
            <a:avLst/>
          </a:prstGeom>
          <a:ln>
            <a:solidFill>
              <a:schemeClr val="tx1"/>
            </a:solidFill>
          </a:ln>
        </xdr:spPr>
      </xdr:pic>
      <xdr:pic>
        <xdr:nvPicPr>
          <xdr:cNvPr id="7" name="Image 6">
            <a:extLst>
              <a:ext uri="{FF2B5EF4-FFF2-40B4-BE49-F238E27FC236}">
                <a16:creationId xmlns:a16="http://schemas.microsoft.com/office/drawing/2014/main" id="{63E3D79F-8FA1-453B-9601-A40F69F3666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/>
          <a:srcRect l="17499" t="37195" r="14359" b="44513"/>
          <a:stretch/>
        </xdr:blipFill>
        <xdr:spPr>
          <a:xfrm>
            <a:off x="5819775" y="3752850"/>
            <a:ext cx="1743075" cy="285750"/>
          </a:xfrm>
          <a:prstGeom prst="rect">
            <a:avLst/>
          </a:prstGeom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104775</xdr:colOff>
      <xdr:row>1</xdr:row>
      <xdr:rowOff>190500</xdr:rowOff>
    </xdr:from>
    <xdr:to>
      <xdr:col>12</xdr:col>
      <xdr:colOff>499272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E0BEE34F-E135-4FE1-91DD-769387E406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86775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704850</xdr:colOff>
      <xdr:row>4</xdr:row>
      <xdr:rowOff>95250</xdr:rowOff>
    </xdr:from>
    <xdr:to>
      <xdr:col>8</xdr:col>
      <xdr:colOff>94643</xdr:colOff>
      <xdr:row>18</xdr:row>
      <xdr:rowOff>47298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1A97AF12-3B5A-42B9-AB6B-A668880B51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28850" y="1590675"/>
          <a:ext cx="4857143" cy="261904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9525</xdr:colOff>
      <xdr:row>1</xdr:row>
      <xdr:rowOff>228600</xdr:rowOff>
    </xdr:from>
    <xdr:to>
      <xdr:col>12</xdr:col>
      <xdr:colOff>404022</xdr:colOff>
      <xdr:row>1</xdr:row>
      <xdr:rowOff>766968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F0E77602-526D-4069-B090-6A40CA74D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91525" y="4286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657225</xdr:colOff>
      <xdr:row>4</xdr:row>
      <xdr:rowOff>28575</xdr:rowOff>
    </xdr:from>
    <xdr:to>
      <xdr:col>8</xdr:col>
      <xdr:colOff>85118</xdr:colOff>
      <xdr:row>17</xdr:row>
      <xdr:rowOff>171123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A5B348E-76D6-4EEB-A91E-C1A164750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81225" y="1524000"/>
          <a:ext cx="4857143" cy="2619048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</xdr:row>
      <xdr:rowOff>190500</xdr:rowOff>
    </xdr:from>
    <xdr:to>
      <xdr:col>12</xdr:col>
      <xdr:colOff>394497</xdr:colOff>
      <xdr:row>1</xdr:row>
      <xdr:rowOff>728868</xdr:rowOff>
    </xdr:to>
    <xdr:pic>
      <xdr:nvPicPr>
        <xdr:cNvPr id="3" name="Picture 1" descr="Howden_RGB.wmf">
          <a:extLst>
            <a:ext uri="{FF2B5EF4-FFF2-40B4-BE49-F238E27FC236}">
              <a16:creationId xmlns:a16="http://schemas.microsoft.com/office/drawing/2014/main" id="{2BDEF4E1-C0F9-453F-B50E-B1B14B3FA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0" y="390525"/>
          <a:ext cx="1156497" cy="538368"/>
        </a:xfrm>
        <a:prstGeom prst="rect">
          <a:avLst/>
        </a:prstGeom>
      </xdr:spPr>
    </xdr:pic>
    <xdr:clientData/>
  </xdr:twoCellAnchor>
  <xdr:twoCellAnchor editAs="oneCell">
    <xdr:from>
      <xdr:col>2</xdr:col>
      <xdr:colOff>295275</xdr:colOff>
      <xdr:row>4</xdr:row>
      <xdr:rowOff>28575</xdr:rowOff>
    </xdr:from>
    <xdr:to>
      <xdr:col>8</xdr:col>
      <xdr:colOff>523130</xdr:colOff>
      <xdr:row>24</xdr:row>
      <xdr:rowOff>56670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D892AF3-0C5A-4986-9E51-F14499405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19275" y="1524000"/>
          <a:ext cx="5961905" cy="383809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B82A60A5-3C5E-414C-8587-BE77209C069E}" name="Tableau24567891012131415161734" displayName="Tableau24567891012131415161734" ref="B3:D7" totalsRowShown="0" headerRowDxfId="104" dataDxfId="103" tableBorderDxfId="102">
  <autoFilter ref="B3:D7" xr:uid="{50387969-43D4-42D5-939E-916A506C1D82}"/>
  <tableColumns count="3">
    <tableColumn id="1" xr3:uid="{03F9AB9F-5E91-4B66-B758-A94D4AABB2C5}" name="Part " dataDxfId="101"/>
    <tableColumn id="2" xr3:uid="{269E3271-6342-4F53-9CCA-8794C1795B62}" name="Parameters" dataDxfId="100"/>
    <tableColumn id="3" xr3:uid="{13934CEF-BE47-48A5-B5D9-0D450EF76B26}" name="Values" dataDxfId="9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F87690-98B6-4ADF-B1F9-766D598F19A7}" name="Tableau1" displayName="Tableau1" ref="B3:D9" totalsRowShown="0" headerRowDxfId="98" headerRowBorderDxfId="97" tableBorderDxfId="96" totalsRowBorderDxfId="95">
  <autoFilter ref="B3:D9" xr:uid="{4FB3D995-4F13-437C-A5B6-C3047047B82C}"/>
  <tableColumns count="3">
    <tableColumn id="1" xr3:uid="{6071D34A-3BF2-473A-9DF7-663168DFA9DE}" name="Part " dataDxfId="94"/>
    <tableColumn id="2" xr3:uid="{AFE65714-FB8C-4633-83F7-475ACF9EB121}" name="Parameters" dataDxfId="93"/>
    <tableColumn id="3" xr3:uid="{2DD54540-8E0D-417B-B2A8-E6283699AC0D}" name="Values" dataDxfId="9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5FE32632-9FE7-4A03-AC69-173F78BD3D86}" name="Tableau119" displayName="Tableau119" ref="B3:D7" totalsRowShown="0" headerRowDxfId="91" dataDxfId="89" headerRowBorderDxfId="90" tableBorderDxfId="88" totalsRowBorderDxfId="87">
  <autoFilter ref="B3:D7" xr:uid="{765C7A8D-B0EC-4381-B6E3-7E8E1BD1BE30}"/>
  <tableColumns count="3">
    <tableColumn id="1" xr3:uid="{E0B7AEBD-CF50-43F0-A99D-1FD4123512F4}" name="Part" dataDxfId="86"/>
    <tableColumn id="2" xr3:uid="{5CF3E9B3-4789-4FD3-A876-B43F4BCCC3EF}" name="Parameters" dataDxfId="85"/>
    <tableColumn id="3" xr3:uid="{5D8EB89D-06BA-4B1F-A152-A75157E8C903}" name="Values" dataDxfId="8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519FF6B0-5A34-4BEB-AC60-476DDE21882C}" name="Tableau220" displayName="Tableau220" ref="B3:D8" totalsRowShown="0" headerRowDxfId="83" dataDxfId="82" tableBorderDxfId="81">
  <autoFilter ref="B3:D8" xr:uid="{FBD89ED1-6058-48E9-83D2-F9D06C3A0345}"/>
  <tableColumns count="3">
    <tableColumn id="1" xr3:uid="{95EBC72E-49DC-4616-A719-6A7877B61C6A}" name="Part " dataDxfId="80"/>
    <tableColumn id="2" xr3:uid="{583FA088-C107-4B2C-928E-FE02783B79FD}" name="Parameters" dataDxfId="79"/>
    <tableColumn id="3" xr3:uid="{9BFCD625-11E6-4432-9B36-4E046FBC4606}" name="Values" dataDxfId="7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885BF938-4A94-4CF4-98EF-9F8EF182A2D2}" name="Tableau2421" displayName="Tableau2421" ref="B3:D20" totalsRowShown="0" headerRowDxfId="77" dataDxfId="76" tableBorderDxfId="75">
  <autoFilter ref="B3:D20" xr:uid="{1F72522F-7E34-4835-8FCE-D451BBED63A2}"/>
  <tableColumns count="3">
    <tableColumn id="1" xr3:uid="{815F301D-7E1A-4AFC-BEC8-E92BAA3AC2A0}" name="Part " dataDxfId="74"/>
    <tableColumn id="2" xr3:uid="{32514C5E-F04D-49F3-BA6A-3C9C38FEA1AC}" name="Parameters" dataDxfId="73"/>
    <tableColumn id="3" xr3:uid="{CE51266F-A08E-4284-AD31-0294E0D58C4F}" name="Values" dataDxfId="7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239DBA04-82DC-42AD-B92B-4AA469D75BA3}" name="Tableau24522" displayName="Tableau24522" ref="B3:D10" totalsRowShown="0" headerRowDxfId="71" dataDxfId="70" tableBorderDxfId="69">
  <autoFilter ref="B3:D10" xr:uid="{3DC0AF06-340A-4DE5-B35E-C8FD8042A652}"/>
  <tableColumns count="3">
    <tableColumn id="1" xr3:uid="{27AA9BF3-A361-4812-BF0D-EABA770CD5E4}" name="Part " dataDxfId="68"/>
    <tableColumn id="2" xr3:uid="{10F1E48C-99B9-4D43-8E58-F0D16AF6B0AE}" name="Parameters" dataDxfId="67"/>
    <tableColumn id="3" xr3:uid="{95D5C1E7-99B8-4BF4-9E8D-C65F55266F11}" name="Values" dataDxfId="6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C316A142-FC1A-4B3F-9A65-4EBD935583F5}" name="Tableau245623" displayName="Tableau245623" ref="B3:D11" totalsRowShown="0" headerRowDxfId="65" dataDxfId="64" tableBorderDxfId="63">
  <autoFilter ref="B3:D11" xr:uid="{D972B016-031B-4499-8577-AB5263AF86FB}"/>
  <tableColumns count="3">
    <tableColumn id="1" xr3:uid="{FB3B8859-5101-4ED2-B7B3-23ECEF45B4BB}" name="Part " dataDxfId="62"/>
    <tableColumn id="2" xr3:uid="{FC8D5031-0BA9-445F-9792-DC0B02B3884C}" name="Parameters" dataDxfId="61"/>
    <tableColumn id="3" xr3:uid="{DB414272-EFFF-45C9-9A3D-AB3698C9E38D}" name="Values" dataDxfId="6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49A9CC5D-BB74-4D79-88D2-A66B5AC1419B}" name="Tableau2456724" displayName="Tableau2456724" ref="B3:D7" totalsRowShown="0" headerRowDxfId="59" dataDxfId="58" tableBorderDxfId="57">
  <autoFilter ref="B3:D7" xr:uid="{90E7B9F6-89E3-4E95-B0AB-A7C594280E0A}"/>
  <tableColumns count="3">
    <tableColumn id="1" xr3:uid="{A6C8281A-77F4-47D3-ABC0-2D4C9BE69FB9}" name="Part " dataDxfId="56"/>
    <tableColumn id="2" xr3:uid="{200E08BC-BBC5-4869-8CCA-459FD8464823}" name="Parameters" dataDxfId="55"/>
    <tableColumn id="3" xr3:uid="{64D915AA-A16B-4B99-9434-6EFDF9538B83}" name="Values" dataDxfId="5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9D8C5339-3ACD-4695-87D4-212350724050}" name="Tableau24567825" displayName="Tableau24567825" ref="B3:D6" totalsRowShown="0" headerRowDxfId="53" dataDxfId="52" tableBorderDxfId="51">
  <autoFilter ref="B3:D6" xr:uid="{C4AEA809-BA1C-4111-BA8F-A8FC28C2974B}"/>
  <tableColumns count="3">
    <tableColumn id="1" xr3:uid="{598B2AE2-A2C7-48EA-93F2-E5340A146544}" name="Part " dataDxfId="50"/>
    <tableColumn id="2" xr3:uid="{3ED175D5-195D-45AA-B2D0-936D85B71B70}" name="Parameters" dataDxfId="49"/>
    <tableColumn id="3" xr3:uid="{68330E64-AAB9-4B9A-92D2-EDA3CE919681}" name="Values" dataDxfId="4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DE2E7EE5-6FD0-4FB2-B85B-C45755EF0310}" name="Tableau245678926" displayName="Tableau245678926" ref="B3:D7" totalsRowShown="0" headerRowDxfId="47" dataDxfId="46" tableBorderDxfId="45">
  <autoFilter ref="B3:D7" xr:uid="{1083D933-0EB2-4E71-8754-A13262FED3AF}"/>
  <tableColumns count="3">
    <tableColumn id="1" xr3:uid="{AFEFCD14-2B89-4F52-881B-52E649374C58}" name="Part " dataDxfId="44"/>
    <tableColumn id="2" xr3:uid="{09DFA34B-D651-4075-94AF-8E52F104DC54}" name="Parameters" dataDxfId="43"/>
    <tableColumn id="3" xr3:uid="{446A7A57-636B-4F89-B5CC-DBB8C1590F21}" name="Values" dataDxfId="4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529FC387-6F35-4398-B025-AACF99C6B0ED}" name="Tableau24567891027" displayName="Tableau24567891027" ref="B3:D8" totalsRowShown="0" headerRowDxfId="41" dataDxfId="40" tableBorderDxfId="39">
  <autoFilter ref="B3:D8" xr:uid="{C0E5A840-1BF5-489D-8701-926C52B1DEB9}"/>
  <tableColumns count="3">
    <tableColumn id="1" xr3:uid="{5EF4661D-0CF2-491B-90A1-426796EFC9F1}" name="Part " dataDxfId="38"/>
    <tableColumn id="2" xr3:uid="{DE75D5BE-BE90-4F70-B2CC-458A1B26762A}" name="Parameters" dataDxfId="37"/>
    <tableColumn id="3" xr3:uid="{4411237A-641C-45D6-B467-C60F4CAA0E6B}" name="Values" dataDxfId="3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1DDA1587-71B1-4190-A45F-AAE24AF326E7}" name="Tableau24567891128" displayName="Tableau24567891128" ref="B3:D7" totalsRowShown="0" headerRowDxfId="35" dataDxfId="34" tableBorderDxfId="33">
  <autoFilter ref="B3:D7" xr:uid="{D07A538F-6547-449F-B5A5-B559B8EA1E34}"/>
  <tableColumns count="3">
    <tableColumn id="1" xr3:uid="{F8AE1F3C-2E4B-4B01-B350-394812B453CC}" name="Part " dataDxfId="32"/>
    <tableColumn id="2" xr3:uid="{3AACDF07-4925-4C3F-8066-89CF164B79A1}" name="Parameters" dataDxfId="31"/>
    <tableColumn id="3" xr3:uid="{FDA3B1EB-E250-4A79-93D1-058EF9D6A808}" name="Values" dataDxfId="3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753B6E93-1268-4EBF-9B1B-E6CDC067EBA2}" name="Tableau2456789101229" displayName="Tableau2456789101229" ref="B3:D8" totalsRowShown="0" headerRowDxfId="29" dataDxfId="28" tableBorderDxfId="27">
  <autoFilter ref="B3:D8" xr:uid="{5CC24BB4-4A6B-4FDC-9641-13B4F653B197}"/>
  <tableColumns count="3">
    <tableColumn id="1" xr3:uid="{FB6CC72F-EF3C-410D-8CCA-23251E1BDF23}" name="Part " dataDxfId="26"/>
    <tableColumn id="2" xr3:uid="{73990015-8A7C-477B-BEF9-D2AC53091A97}" name="Parameters" dataDxfId="25"/>
    <tableColumn id="3" xr3:uid="{D1D0BBBC-27E3-4B8E-BFC6-025A6632ACD5}" name="Values" dataDxfId="24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89BCD5F7-0A6C-4234-AEA8-06B34CB391F4}" name="Tableau245678910121330" displayName="Tableau245678910121330" ref="B3:D8" totalsRowShown="0" headerRowDxfId="23" dataDxfId="22" tableBorderDxfId="21">
  <autoFilter ref="B3:D8" xr:uid="{6BA288DF-940B-45CC-952B-044F5C376566}"/>
  <tableColumns count="3">
    <tableColumn id="1" xr3:uid="{BAE79895-793D-46E9-8B79-401CAAD80556}" name="Part " dataDxfId="20"/>
    <tableColumn id="2" xr3:uid="{68C126AF-B938-4EF8-8342-B206D9AFEC56}" name="Parameters" dataDxfId="19"/>
    <tableColumn id="3" xr3:uid="{D204E3FC-241D-4CF9-83E8-535EE0A7DCE2}" name="Values" dataDxfId="18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A8F17A01-1BC9-4DFD-A17C-9AFE3AF71E12}" name="Tableau24567891012131431" displayName="Tableau24567891012131431" ref="F3:H8" totalsRowShown="0" headerRowDxfId="17" dataDxfId="16" tableBorderDxfId="15">
  <autoFilter ref="F3:H8" xr:uid="{B918802E-E29E-4413-B1CB-683D4CC08596}"/>
  <tableColumns count="3">
    <tableColumn id="1" xr3:uid="{909478D8-8418-48C3-B430-3226D0E39C0C}" name="Part " dataDxfId="14"/>
    <tableColumn id="2" xr3:uid="{73480F4C-9F58-499E-A7B8-B2000B920D44}" name="Parameters" dataDxfId="13"/>
    <tableColumn id="3" xr3:uid="{0257CF65-62BF-4564-B45D-09137F135BDD}" name="Values" dataDxfId="12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CBA4F279-98BA-457A-9D75-D9BA62A6BF7B}" name="Tableau2456789101213141532" displayName="Tableau2456789101213141532" ref="B3:D8" totalsRowShown="0" headerRowDxfId="11" dataDxfId="10" tableBorderDxfId="9">
  <autoFilter ref="B3:D8" xr:uid="{C0BF941E-EAC9-4395-884E-EAECB23C4607}"/>
  <tableColumns count="3">
    <tableColumn id="1" xr3:uid="{F50A26FD-60BD-4CBC-ABDC-9235903E693F}" name="Part " dataDxfId="8"/>
    <tableColumn id="2" xr3:uid="{57DD01EC-8AA3-465B-8533-EB0B8E0ACD13}" name="Parameters" dataDxfId="7"/>
    <tableColumn id="3" xr3:uid="{A19398D4-D581-4BC7-B3FF-86E8ABFEF397}" name="Values" dataDxfId="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948D791E-78AD-4D9F-AB5B-423B81C6142C}" name="Tableau245678910121314151633" displayName="Tableau245678910121314151633" ref="B3:D8" totalsRowShown="0" headerRowDxfId="5" dataDxfId="4" tableBorderDxfId="3">
  <autoFilter ref="B3:D8" xr:uid="{65BF43B9-7E72-4D42-A00A-F54CC38B6F1D}"/>
  <tableColumns count="3">
    <tableColumn id="1" xr3:uid="{E5FBAB11-D049-44F1-B747-457552D96366}" name="Part " dataDxfId="2"/>
    <tableColumn id="2" xr3:uid="{7A65DB2A-C500-4465-9CDF-2C06ED694C3F}" name="Parameters" dataDxfId="1"/>
    <tableColumn id="3" xr3:uid="{99431065-A1E2-4C3E-9DDB-15F72FDFF25C}" name="Val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table" Target="../tables/table14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39997558519241921"/>
  </sheetPr>
  <dimension ref="A1:H16"/>
  <sheetViews>
    <sheetView workbookViewId="0">
      <selection activeCell="D25" sqref="D25:D26"/>
    </sheetView>
  </sheetViews>
  <sheetFormatPr baseColWidth="10" defaultRowHeight="15" x14ac:dyDescent="0.25"/>
  <cols>
    <col min="1" max="1" width="20.85546875" customWidth="1"/>
    <col min="2" max="2" width="21.42578125" customWidth="1"/>
    <col min="5" max="5" width="38.42578125" customWidth="1"/>
    <col min="7" max="7" width="13.7109375" customWidth="1"/>
    <col min="8" max="8" width="14.28515625" customWidth="1"/>
  </cols>
  <sheetData>
    <row r="1" spans="1:8" ht="15.75" thickBot="1" x14ac:dyDescent="0.3"/>
    <row r="2" spans="1:8" ht="72" customHeight="1" thickBot="1" x14ac:dyDescent="0.3">
      <c r="A2" s="320" t="s">
        <v>24</v>
      </c>
      <c r="B2" s="321"/>
      <c r="C2" s="321"/>
      <c r="D2" s="321"/>
      <c r="E2" s="321"/>
      <c r="F2" s="321"/>
      <c r="G2" s="321"/>
      <c r="H2" s="322"/>
    </row>
    <row r="4" spans="1:8" ht="15.75" thickBot="1" x14ac:dyDescent="0.3"/>
    <row r="5" spans="1:8" ht="15" customHeight="1" x14ac:dyDescent="0.25">
      <c r="A5" s="323" t="s">
        <v>7</v>
      </c>
      <c r="B5" s="325" t="s">
        <v>8</v>
      </c>
      <c r="C5" s="326"/>
      <c r="D5" s="1"/>
      <c r="E5" s="1"/>
      <c r="F5" s="1"/>
      <c r="G5" s="1"/>
      <c r="H5" s="1"/>
    </row>
    <row r="6" spans="1:8" s="3" customFormat="1" ht="15.75" customHeight="1" thickBot="1" x14ac:dyDescent="0.3">
      <c r="A6" s="324"/>
      <c r="B6" s="327"/>
      <c r="C6" s="328"/>
      <c r="D6" s="2"/>
      <c r="E6" s="2"/>
      <c r="F6" s="2"/>
      <c r="G6" s="2"/>
      <c r="H6" s="2"/>
    </row>
    <row r="7" spans="1:8" ht="15.75" thickBot="1" x14ac:dyDescent="0.3"/>
    <row r="8" spans="1:8" s="7" customFormat="1" ht="15.75" thickBot="1" x14ac:dyDescent="0.3">
      <c r="A8" s="4" t="s">
        <v>0</v>
      </c>
      <c r="B8" s="5" t="s">
        <v>1</v>
      </c>
      <c r="C8" s="329" t="s">
        <v>11</v>
      </c>
      <c r="D8" s="329"/>
      <c r="E8" s="329"/>
      <c r="F8" s="5" t="s">
        <v>12</v>
      </c>
      <c r="G8" s="5" t="s">
        <v>9</v>
      </c>
      <c r="H8" s="6" t="s">
        <v>10</v>
      </c>
    </row>
    <row r="9" spans="1:8" s="7" customFormat="1" x14ac:dyDescent="0.25">
      <c r="A9" s="8" t="s">
        <v>2</v>
      </c>
      <c r="B9" s="9">
        <v>44389</v>
      </c>
      <c r="C9" s="330" t="s">
        <v>3</v>
      </c>
      <c r="D9" s="331"/>
      <c r="E9" s="331"/>
      <c r="F9" s="10" t="s">
        <v>5</v>
      </c>
      <c r="G9" s="10" t="s">
        <v>6</v>
      </c>
      <c r="H9" s="10" t="s">
        <v>4</v>
      </c>
    </row>
    <row r="10" spans="1:8" s="7" customFormat="1" ht="15" customHeight="1" x14ac:dyDescent="0.25">
      <c r="A10" s="11"/>
      <c r="B10" s="12"/>
      <c r="C10" s="332"/>
      <c r="D10" s="333"/>
      <c r="E10" s="333"/>
      <c r="F10" s="10"/>
      <c r="G10" s="10"/>
      <c r="H10" s="10"/>
    </row>
    <row r="11" spans="1:8" s="7" customFormat="1" ht="15" customHeight="1" x14ac:dyDescent="0.25">
      <c r="A11" s="11"/>
      <c r="B11" s="12"/>
      <c r="C11" s="332"/>
      <c r="D11" s="333"/>
      <c r="E11" s="333"/>
      <c r="F11" s="13"/>
      <c r="G11" s="13"/>
      <c r="H11" s="13"/>
    </row>
    <row r="12" spans="1:8" s="7" customFormat="1" ht="15" customHeight="1" x14ac:dyDescent="0.25">
      <c r="A12" s="11"/>
      <c r="B12" s="12"/>
      <c r="C12" s="334"/>
      <c r="D12" s="335"/>
      <c r="E12" s="335"/>
      <c r="F12" s="13"/>
      <c r="G12" s="13"/>
      <c r="H12" s="13"/>
    </row>
    <row r="13" spans="1:8" s="7" customFormat="1" x14ac:dyDescent="0.25">
      <c r="A13" s="13"/>
      <c r="B13" s="12"/>
      <c r="C13" s="336"/>
      <c r="D13" s="337"/>
      <c r="E13" s="337"/>
      <c r="F13" s="13"/>
      <c r="G13" s="13"/>
      <c r="H13" s="13"/>
    </row>
    <row r="14" spans="1:8" s="7" customFormat="1" x14ac:dyDescent="0.25">
      <c r="A14" s="13"/>
      <c r="B14" s="13"/>
      <c r="C14" s="318"/>
      <c r="D14" s="319"/>
      <c r="E14" s="319"/>
      <c r="F14" s="13"/>
      <c r="G14" s="13"/>
      <c r="H14" s="13"/>
    </row>
    <row r="15" spans="1:8" s="7" customFormat="1" x14ac:dyDescent="0.25">
      <c r="A15" s="13"/>
      <c r="B15" s="13"/>
      <c r="C15" s="318"/>
      <c r="D15" s="319"/>
      <c r="E15" s="319"/>
      <c r="F15" s="13"/>
      <c r="G15" s="13"/>
      <c r="H15" s="13"/>
    </row>
    <row r="16" spans="1:8" s="7" customFormat="1" x14ac:dyDescent="0.25">
      <c r="A16" s="13"/>
      <c r="B16" s="13"/>
      <c r="C16" s="318"/>
      <c r="D16" s="319"/>
      <c r="E16" s="319"/>
      <c r="F16" s="13"/>
      <c r="G16" s="13"/>
      <c r="H16" s="13"/>
    </row>
  </sheetData>
  <mergeCells count="12">
    <mergeCell ref="C16:E16"/>
    <mergeCell ref="A2:H2"/>
    <mergeCell ref="A5:A6"/>
    <mergeCell ref="B5:C6"/>
    <mergeCell ref="C8:E8"/>
    <mergeCell ref="C9:E9"/>
    <mergeCell ref="C10:E10"/>
    <mergeCell ref="C11:E11"/>
    <mergeCell ref="C12:E12"/>
    <mergeCell ref="C13:E13"/>
    <mergeCell ref="C14:E14"/>
    <mergeCell ref="C15:E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70C0"/>
  </sheetPr>
  <dimension ref="A1:L21"/>
  <sheetViews>
    <sheetView workbookViewId="0">
      <selection activeCell="A21" sqref="A21"/>
    </sheetView>
  </sheetViews>
  <sheetFormatPr baseColWidth="10" defaultRowHeight="15" x14ac:dyDescent="0.25"/>
  <cols>
    <col min="1" max="1" width="15.7109375" customWidth="1"/>
    <col min="2" max="2" width="53.85546875" style="20" customWidth="1"/>
    <col min="3" max="3" width="59.5703125" style="20" customWidth="1"/>
  </cols>
  <sheetData>
    <row r="1" spans="1:12" ht="15.75" thickBot="1" x14ac:dyDescent="0.3"/>
    <row r="2" spans="1:12" ht="72" customHeight="1" thickBot="1" x14ac:dyDescent="0.3">
      <c r="A2" s="320" t="s">
        <v>23</v>
      </c>
      <c r="B2" s="321"/>
      <c r="C2" s="321"/>
      <c r="D2" s="14"/>
      <c r="E2" s="15"/>
      <c r="F2" s="15"/>
      <c r="G2" s="15"/>
    </row>
    <row r="3" spans="1:12" ht="15.75" thickBot="1" x14ac:dyDescent="0.3"/>
    <row r="4" spans="1:12" ht="32.25" customHeight="1" thickBot="1" x14ac:dyDescent="0.3">
      <c r="A4" s="16" t="s">
        <v>13</v>
      </c>
      <c r="B4" s="17" t="s">
        <v>15</v>
      </c>
      <c r="C4" s="17" t="s">
        <v>16</v>
      </c>
      <c r="D4" s="18"/>
      <c r="E4" s="18"/>
      <c r="F4" s="18"/>
    </row>
    <row r="5" spans="1:12" ht="15.75" x14ac:dyDescent="0.25">
      <c r="A5" s="278" t="s">
        <v>14</v>
      </c>
      <c r="B5" s="21" t="s">
        <v>17</v>
      </c>
      <c r="C5" s="266" t="s">
        <v>18</v>
      </c>
      <c r="D5" s="18"/>
      <c r="E5" s="18"/>
      <c r="F5" s="18"/>
    </row>
    <row r="6" spans="1:12" ht="15.75" x14ac:dyDescent="0.25">
      <c r="A6" s="279" t="s">
        <v>21</v>
      </c>
      <c r="B6" s="22" t="s">
        <v>19</v>
      </c>
      <c r="C6" s="267" t="s">
        <v>20</v>
      </c>
      <c r="D6" s="18"/>
      <c r="E6" s="18"/>
      <c r="F6" s="18"/>
    </row>
    <row r="7" spans="1:12" ht="15.75" x14ac:dyDescent="0.25">
      <c r="A7" s="279" t="s">
        <v>26</v>
      </c>
      <c r="B7" s="23" t="s">
        <v>37</v>
      </c>
      <c r="C7" s="268" t="s">
        <v>37</v>
      </c>
      <c r="D7" s="18"/>
      <c r="E7" s="18"/>
      <c r="F7" s="18"/>
    </row>
    <row r="8" spans="1:12" ht="15.75" x14ac:dyDescent="0.25">
      <c r="A8" s="279" t="s">
        <v>27</v>
      </c>
      <c r="B8" s="23" t="s">
        <v>37</v>
      </c>
      <c r="C8" s="268" t="s">
        <v>39</v>
      </c>
      <c r="D8" s="18"/>
      <c r="E8" s="18"/>
      <c r="F8" s="18"/>
    </row>
    <row r="9" spans="1:12" ht="15.75" x14ac:dyDescent="0.25">
      <c r="A9" s="279" t="s">
        <v>28</v>
      </c>
      <c r="B9" s="23" t="s">
        <v>40</v>
      </c>
      <c r="C9" s="268" t="s">
        <v>39</v>
      </c>
      <c r="D9" s="18"/>
      <c r="E9" s="18"/>
      <c r="F9" s="18"/>
    </row>
    <row r="10" spans="1:12" ht="15.75" x14ac:dyDescent="0.25">
      <c r="A10" s="279" t="s">
        <v>29</v>
      </c>
      <c r="B10" s="23" t="s">
        <v>120</v>
      </c>
      <c r="C10" s="268" t="s">
        <v>37</v>
      </c>
      <c r="D10" s="18"/>
      <c r="E10" s="18"/>
      <c r="F10" s="18"/>
    </row>
    <row r="11" spans="1:12" ht="15.75" x14ac:dyDescent="0.25">
      <c r="A11" s="279" t="s">
        <v>30</v>
      </c>
      <c r="B11" s="23" t="s">
        <v>121</v>
      </c>
      <c r="C11" s="268" t="s">
        <v>121</v>
      </c>
      <c r="D11" s="18"/>
      <c r="E11" s="18"/>
      <c r="F11" s="18"/>
    </row>
    <row r="12" spans="1:12" ht="15.75" x14ac:dyDescent="0.25">
      <c r="A12" s="279" t="s">
        <v>31</v>
      </c>
      <c r="B12" s="23" t="s">
        <v>45</v>
      </c>
      <c r="C12" s="268" t="s">
        <v>45</v>
      </c>
      <c r="D12" s="18"/>
      <c r="E12" s="18"/>
      <c r="F12" s="18"/>
    </row>
    <row r="13" spans="1:12" ht="15.75" x14ac:dyDescent="0.25">
      <c r="A13" s="279" t="s">
        <v>32</v>
      </c>
      <c r="B13" s="23" t="s">
        <v>45</v>
      </c>
      <c r="C13" s="268" t="s">
        <v>51</v>
      </c>
      <c r="D13" s="18"/>
      <c r="E13" s="18"/>
      <c r="F13" s="18"/>
    </row>
    <row r="14" spans="1:12" ht="15.75" x14ac:dyDescent="0.25">
      <c r="A14" s="279" t="s">
        <v>33</v>
      </c>
      <c r="B14" s="23" t="s">
        <v>46</v>
      </c>
      <c r="C14" s="268" t="s">
        <v>46</v>
      </c>
      <c r="D14" s="18"/>
      <c r="E14" s="18"/>
      <c r="F14" s="18"/>
    </row>
    <row r="15" spans="1:12" ht="15.75" x14ac:dyDescent="0.25">
      <c r="A15" s="279" t="s">
        <v>34</v>
      </c>
      <c r="B15" s="23" t="s">
        <v>46</v>
      </c>
      <c r="C15" s="268" t="s">
        <v>40</v>
      </c>
      <c r="D15" s="18"/>
      <c r="E15" s="18"/>
      <c r="F15" s="18"/>
    </row>
    <row r="16" spans="1:12" ht="15.75" x14ac:dyDescent="0.25">
      <c r="A16" s="279" t="s">
        <v>35</v>
      </c>
      <c r="B16" s="23" t="s">
        <v>54</v>
      </c>
      <c r="C16" s="268" t="s">
        <v>47</v>
      </c>
      <c r="D16" s="18"/>
      <c r="E16" s="18"/>
      <c r="F16" s="18"/>
      <c r="G16" s="19"/>
      <c r="H16" s="19"/>
      <c r="I16" s="19"/>
      <c r="J16" s="19"/>
      <c r="K16" s="19"/>
      <c r="L16" s="19"/>
    </row>
    <row r="17" spans="1:6" ht="15.75" x14ac:dyDescent="0.25">
      <c r="A17" s="280" t="s">
        <v>36</v>
      </c>
      <c r="B17" s="23" t="s">
        <v>55</v>
      </c>
      <c r="C17" s="268" t="s">
        <v>48</v>
      </c>
      <c r="D17" s="18"/>
      <c r="E17" s="18"/>
      <c r="F17" s="18"/>
    </row>
    <row r="18" spans="1:6" x14ac:dyDescent="0.25">
      <c r="A18" s="280" t="s">
        <v>52</v>
      </c>
      <c r="B18" s="262" t="s">
        <v>56</v>
      </c>
      <c r="C18" s="209" t="s">
        <v>37</v>
      </c>
    </row>
    <row r="19" spans="1:6" x14ac:dyDescent="0.25">
      <c r="A19" s="280" t="s">
        <v>53</v>
      </c>
      <c r="B19" s="265" t="s">
        <v>57</v>
      </c>
      <c r="C19" s="269" t="s">
        <v>37</v>
      </c>
    </row>
    <row r="20" spans="1:6" x14ac:dyDescent="0.25">
      <c r="A20" s="283">
        <v>16</v>
      </c>
      <c r="B20" s="270" t="s">
        <v>305</v>
      </c>
      <c r="C20" s="281" t="s">
        <v>37</v>
      </c>
    </row>
    <row r="21" spans="1:6" ht="15.75" thickBot="1" x14ac:dyDescent="0.3">
      <c r="A21" s="284">
        <v>17</v>
      </c>
      <c r="B21" s="271" t="s">
        <v>304</v>
      </c>
      <c r="C21" s="282" t="s">
        <v>40</v>
      </c>
    </row>
  </sheetData>
  <mergeCells count="1">
    <mergeCell ref="A2:C2"/>
  </mergeCells>
  <hyperlinks>
    <hyperlink ref="A5" location="'01 Engine-Engine support'!A1" display="01" xr:uid="{53A6A892-A0A3-4F46-8CE9-3F296FCC367D}"/>
    <hyperlink ref="A6" location="'02 Shaft end-Shaft '!A1" display="02" xr:uid="{F6B05BD1-0E90-48B8-925E-F171042EA1E0}"/>
    <hyperlink ref="A7" location="'03 Casing-Casing'!A1" display="03" xr:uid="{4BA2C755-92F9-47D6-AC51-ED667CCD86E7}"/>
    <hyperlink ref="A8" location="'04 Casing-Angle fixation'!A1" display="04" xr:uid="{A5964856-BC08-43B2-98C3-3106C6933559}"/>
    <hyperlink ref="A9" location="'05 Pedestral-Angle fixation'!A1" display="05" xr:uid="{584B2BFA-4176-4FDE-B06C-A8283BBA7B39}"/>
    <hyperlink ref="A10" location="'06 Couling disc housing-Casing'!A1" display="06" xr:uid="{613BA65D-EEEB-486D-9E0B-6B3EDE08A31E}"/>
    <hyperlink ref="A11" location="'07 Couling disc housing'!A1" display="07" xr:uid="{85B9FE7A-1566-402D-86FA-29A828CBDFD7}"/>
    <hyperlink ref="A12" location="'08 Shaft housing'!A1" display="08" xr:uid="{C842FECE-5534-483D-8DDD-7651F5153236}"/>
    <hyperlink ref="A13" location="'09 Shaft housing-Pedestral'!A1" display="09" xr:uid="{508306C5-E683-4627-9D78-01940C1735A6}"/>
    <hyperlink ref="A14" location="'10 Coupling housing'!A1" display="10" xr:uid="{CEB2902E-A082-4ECE-9EB5-CA7254010C9B}"/>
    <hyperlink ref="A15" location="'11 Coupling housing-Pedestral'!A1" display="11" xr:uid="{B7A1DBD7-87C8-4169-A8DE-05F5846583F5}"/>
    <hyperlink ref="A16" location="'12 Bearing-Coupling support'!A1" display="12" xr:uid="{924BA1CC-06D5-4394-A1B4-F312E5BFDF46}"/>
    <hyperlink ref="A17" location="'13 Inlet flange-Inlet'!A1" display="13" xr:uid="{F527CBE7-720F-4607-8E81-DA127388E21E}"/>
    <hyperlink ref="A18" location="'14 Scroll acces door-Casing'!A1" display="14" xr:uid="{97B390EE-9638-4A45-BCB4-3A9ABEADAF8E}"/>
    <hyperlink ref="A19" location="'15 Mecha access door-Casing'!A1" display="15" xr:uid="{D043C780-FB90-4002-A5DA-F81A81470834}"/>
    <hyperlink ref="A20" location="'16 1A seal-Casing'!A1" display="'16 1A seal-Casing'!A1" xr:uid="{4F394351-9723-431C-AA7C-CB8588C1F823}"/>
    <hyperlink ref="A21" location="'17 Mounting-Pedestral'!A1" display="'17 Mounting-Pedestral'!A1" xr:uid="{02B29D55-24F5-4B60-A77F-7C20EE3E6593}"/>
  </hyperlinks>
  <pageMargins left="0.7" right="0.7" top="0.75" bottom="0.75" header="0.3" footer="0.3"/>
  <ignoredErrors>
    <ignoredError sqref="A12:A17 A5:A11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>
    <tabColor rgb="FFFF0000"/>
  </sheetPr>
  <dimension ref="A1:N186"/>
  <sheetViews>
    <sheetView workbookViewId="0">
      <selection activeCell="E23" sqref="E23"/>
    </sheetView>
  </sheetViews>
  <sheetFormatPr baseColWidth="10" defaultRowHeight="15" x14ac:dyDescent="0.25"/>
  <cols>
    <col min="2" max="2" width="38.5703125" style="20" customWidth="1"/>
    <col min="3" max="3" width="69.42578125" style="20" customWidth="1"/>
    <col min="4" max="4" width="28.85546875" style="20" customWidth="1"/>
  </cols>
  <sheetData>
    <row r="1" spans="1:14" ht="15.75" thickBot="1" x14ac:dyDescent="0.3">
      <c r="A1" s="111"/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</row>
    <row r="2" spans="1:14" ht="75" customHeight="1" thickBot="1" x14ac:dyDescent="0.3">
      <c r="A2" s="320" t="s">
        <v>232</v>
      </c>
      <c r="B2" s="321"/>
      <c r="C2" s="322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</row>
    <row r="3" spans="1:14" ht="15.75" thickBot="1" x14ac:dyDescent="0.3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</row>
    <row r="4" spans="1:14" ht="16.5" thickBot="1" x14ac:dyDescent="0.3">
      <c r="A4" s="16" t="s">
        <v>13</v>
      </c>
      <c r="B4" s="17" t="s">
        <v>15</v>
      </c>
      <c r="C4" s="17" t="s">
        <v>16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</row>
    <row r="5" spans="1:14" ht="15.75" x14ac:dyDescent="0.25">
      <c r="A5" s="31" t="s">
        <v>14</v>
      </c>
      <c r="B5" s="272" t="s">
        <v>17</v>
      </c>
      <c r="C5" s="21" t="s">
        <v>18</v>
      </c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</row>
    <row r="6" spans="1:14" ht="15.75" x14ac:dyDescent="0.25">
      <c r="A6" s="32" t="s">
        <v>21</v>
      </c>
      <c r="B6" s="273" t="s">
        <v>19</v>
      </c>
      <c r="C6" s="22" t="s">
        <v>20</v>
      </c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</row>
    <row r="7" spans="1:14" ht="15.75" x14ac:dyDescent="0.25">
      <c r="A7" s="32" t="s">
        <v>26</v>
      </c>
      <c r="B7" s="274" t="s">
        <v>37</v>
      </c>
      <c r="C7" s="23" t="s">
        <v>37</v>
      </c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</row>
    <row r="8" spans="1:14" ht="15.75" x14ac:dyDescent="0.25">
      <c r="A8" s="32" t="s">
        <v>27</v>
      </c>
      <c r="B8" s="274" t="s">
        <v>37</v>
      </c>
      <c r="C8" s="23" t="s">
        <v>39</v>
      </c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1"/>
    </row>
    <row r="9" spans="1:14" ht="15.75" x14ac:dyDescent="0.25">
      <c r="A9" s="32" t="s">
        <v>28</v>
      </c>
      <c r="B9" s="274" t="s">
        <v>40</v>
      </c>
      <c r="C9" s="23" t="s">
        <v>39</v>
      </c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</row>
    <row r="10" spans="1:14" ht="15.75" x14ac:dyDescent="0.25">
      <c r="A10" s="32" t="s">
        <v>29</v>
      </c>
      <c r="B10" s="274" t="s">
        <v>120</v>
      </c>
      <c r="C10" s="23" t="s">
        <v>37</v>
      </c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</row>
    <row r="11" spans="1:14" ht="15.75" x14ac:dyDescent="0.25">
      <c r="A11" s="32" t="s">
        <v>30</v>
      </c>
      <c r="B11" s="274" t="s">
        <v>121</v>
      </c>
      <c r="C11" s="23" t="s">
        <v>121</v>
      </c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</row>
    <row r="12" spans="1:14" ht="15.75" x14ac:dyDescent="0.25">
      <c r="A12" s="32" t="s">
        <v>31</v>
      </c>
      <c r="B12" s="274" t="s">
        <v>45</v>
      </c>
      <c r="C12" s="23" t="s">
        <v>45</v>
      </c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</row>
    <row r="13" spans="1:14" ht="15.75" x14ac:dyDescent="0.25">
      <c r="A13" s="32" t="s">
        <v>32</v>
      </c>
      <c r="B13" s="274" t="s">
        <v>45</v>
      </c>
      <c r="C13" s="23" t="s">
        <v>51</v>
      </c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</row>
    <row r="14" spans="1:14" ht="15.75" x14ac:dyDescent="0.25">
      <c r="A14" s="32" t="s">
        <v>33</v>
      </c>
      <c r="B14" s="274" t="s">
        <v>46</v>
      </c>
      <c r="C14" s="23" t="s">
        <v>46</v>
      </c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</row>
    <row r="15" spans="1:14" ht="15.75" x14ac:dyDescent="0.25">
      <c r="A15" s="32" t="s">
        <v>34</v>
      </c>
      <c r="B15" s="274" t="s">
        <v>46</v>
      </c>
      <c r="C15" s="23" t="s">
        <v>40</v>
      </c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</row>
    <row r="16" spans="1:14" ht="15.75" x14ac:dyDescent="0.25">
      <c r="A16" s="32" t="s">
        <v>35</v>
      </c>
      <c r="B16" s="274" t="s">
        <v>54</v>
      </c>
      <c r="C16" s="23" t="s">
        <v>47</v>
      </c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</row>
    <row r="17" spans="1:14" ht="15.75" x14ac:dyDescent="0.25">
      <c r="A17" s="33" t="s">
        <v>36</v>
      </c>
      <c r="B17" s="274" t="s">
        <v>55</v>
      </c>
      <c r="C17" s="23" t="s">
        <v>48</v>
      </c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</row>
    <row r="18" spans="1:14" x14ac:dyDescent="0.25">
      <c r="A18" s="33" t="s">
        <v>52</v>
      </c>
      <c r="B18" s="254" t="s">
        <v>56</v>
      </c>
      <c r="C18" s="262" t="s">
        <v>37</v>
      </c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</row>
    <row r="19" spans="1:14" x14ac:dyDescent="0.25">
      <c r="A19" s="33" t="s">
        <v>53</v>
      </c>
      <c r="B19" s="275" t="s">
        <v>57</v>
      </c>
      <c r="C19" s="265" t="s">
        <v>37</v>
      </c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</row>
    <row r="20" spans="1:14" x14ac:dyDescent="0.25">
      <c r="A20" s="285">
        <v>16</v>
      </c>
      <c r="B20" s="276" t="s">
        <v>305</v>
      </c>
      <c r="C20" s="270" t="s">
        <v>37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</row>
    <row r="21" spans="1:14" ht="15.75" thickBot="1" x14ac:dyDescent="0.3">
      <c r="A21" s="286">
        <v>17</v>
      </c>
      <c r="B21" s="277" t="s">
        <v>304</v>
      </c>
      <c r="C21" s="271" t="s">
        <v>40</v>
      </c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</row>
    <row r="22" spans="1:14" x14ac:dyDescent="0.25">
      <c r="A22" s="111"/>
      <c r="B22" s="111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</row>
    <row r="23" spans="1:14" x14ac:dyDescent="0.25">
      <c r="A23" s="111"/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</row>
    <row r="24" spans="1:14" x14ac:dyDescent="0.25">
      <c r="A24" s="111"/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</row>
    <row r="25" spans="1:14" x14ac:dyDescent="0.25">
      <c r="A25" s="111"/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</row>
    <row r="26" spans="1:14" x14ac:dyDescent="0.25">
      <c r="A26" s="111"/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</row>
    <row r="27" spans="1:14" x14ac:dyDescent="0.25">
      <c r="A27" s="111"/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</row>
    <row r="28" spans="1:14" x14ac:dyDescent="0.25">
      <c r="A28" s="111"/>
      <c r="B28" s="111"/>
      <c r="C28" s="111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</row>
    <row r="29" spans="1:14" x14ac:dyDescent="0.25">
      <c r="A29" s="111"/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</row>
    <row r="30" spans="1:14" x14ac:dyDescent="0.25">
      <c r="A30" s="111"/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</row>
    <row r="31" spans="1:14" x14ac:dyDescent="0.25">
      <c r="A31" s="111"/>
      <c r="B31" s="111"/>
      <c r="C31" s="111"/>
      <c r="D31" s="111"/>
      <c r="E31" s="111"/>
      <c r="F31" s="111"/>
      <c r="G31" s="111"/>
      <c r="H31" s="111"/>
      <c r="I31" s="111"/>
      <c r="J31" s="111"/>
      <c r="K31" s="111"/>
      <c r="L31" s="111"/>
      <c r="M31" s="111"/>
      <c r="N31" s="111"/>
    </row>
    <row r="32" spans="1:14" x14ac:dyDescent="0.25">
      <c r="A32" s="111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</row>
    <row r="33" spans="1:14" x14ac:dyDescent="0.25">
      <c r="A33" s="111"/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</row>
    <row r="34" spans="1:14" x14ac:dyDescent="0.25">
      <c r="A34" s="111"/>
      <c r="B34" s="111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1"/>
    </row>
    <row r="35" spans="1:14" x14ac:dyDescent="0.25">
      <c r="A35" s="111"/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</row>
    <row r="36" spans="1:14" x14ac:dyDescent="0.25">
      <c r="A36" s="111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</row>
    <row r="37" spans="1:14" x14ac:dyDescent="0.25">
      <c r="A37" s="111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</row>
    <row r="38" spans="1:14" x14ac:dyDescent="0.25">
      <c r="A38" s="111"/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</row>
    <row r="39" spans="1:14" x14ac:dyDescent="0.25">
      <c r="A39" s="111"/>
      <c r="B39" s="111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</row>
    <row r="40" spans="1:14" x14ac:dyDescent="0.25">
      <c r="A40" s="111"/>
      <c r="B40" s="111"/>
      <c r="C40" s="111"/>
      <c r="D40" s="111"/>
      <c r="E40" s="111"/>
      <c r="F40" s="111"/>
      <c r="G40" s="111"/>
      <c r="H40" s="111"/>
      <c r="I40" s="111"/>
      <c r="J40" s="111"/>
      <c r="K40" s="111"/>
      <c r="L40" s="111"/>
      <c r="M40" s="111"/>
      <c r="N40" s="111"/>
    </row>
    <row r="41" spans="1:14" x14ac:dyDescent="0.25">
      <c r="A41" s="111"/>
      <c r="B41" s="111"/>
      <c r="C41" s="111"/>
      <c r="D41" s="111"/>
      <c r="E41" s="111"/>
      <c r="F41" s="111"/>
      <c r="G41" s="111"/>
      <c r="H41" s="111"/>
      <c r="I41" s="111"/>
      <c r="J41" s="111"/>
      <c r="K41" s="111"/>
      <c r="L41" s="111"/>
      <c r="M41" s="111"/>
      <c r="N41" s="111"/>
    </row>
    <row r="42" spans="1:14" x14ac:dyDescent="0.25">
      <c r="A42" s="111"/>
      <c r="B42" s="111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</row>
    <row r="43" spans="1:14" x14ac:dyDescent="0.25">
      <c r="A43" s="11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</row>
    <row r="44" spans="1:14" x14ac:dyDescent="0.25">
      <c r="A44" s="11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</row>
    <row r="45" spans="1:14" x14ac:dyDescent="0.25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</row>
    <row r="46" spans="1:14" x14ac:dyDescent="0.25">
      <c r="A46" s="11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</row>
    <row r="47" spans="1:14" x14ac:dyDescent="0.25">
      <c r="A47" s="11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</row>
    <row r="48" spans="1:14" x14ac:dyDescent="0.25">
      <c r="A48" s="11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</row>
    <row r="49" spans="1:14" x14ac:dyDescent="0.25">
      <c r="A49" s="11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</row>
    <row r="50" spans="1:14" x14ac:dyDescent="0.25">
      <c r="A50" s="111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</row>
    <row r="51" spans="1:14" x14ac:dyDescent="0.25">
      <c r="A51" s="111"/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</row>
    <row r="52" spans="1:14" x14ac:dyDescent="0.25">
      <c r="A52" s="111"/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</row>
    <row r="53" spans="1:14" x14ac:dyDescent="0.25">
      <c r="A53" s="111"/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</row>
    <row r="54" spans="1:14" x14ac:dyDescent="0.25">
      <c r="A54" s="111"/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</row>
    <row r="55" spans="1:14" x14ac:dyDescent="0.2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</row>
    <row r="56" spans="1:14" x14ac:dyDescent="0.25">
      <c r="A56" s="111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</row>
    <row r="57" spans="1:14" x14ac:dyDescent="0.25">
      <c r="A57" s="111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</row>
    <row r="58" spans="1:14" x14ac:dyDescent="0.25">
      <c r="A58" s="111"/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111"/>
    </row>
    <row r="59" spans="1:14" x14ac:dyDescent="0.25">
      <c r="A59" s="111"/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</row>
    <row r="60" spans="1:14" x14ac:dyDescent="0.25">
      <c r="A60" s="111"/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111"/>
    </row>
    <row r="61" spans="1:14" x14ac:dyDescent="0.25">
      <c r="A61" s="111"/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111"/>
    </row>
    <row r="62" spans="1:14" x14ac:dyDescent="0.25">
      <c r="A62" s="111"/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</row>
    <row r="63" spans="1:14" x14ac:dyDescent="0.25">
      <c r="A63" s="111"/>
      <c r="B63" s="111"/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111"/>
    </row>
    <row r="64" spans="1:14" x14ac:dyDescent="0.25">
      <c r="A64" s="111"/>
      <c r="B64" s="111"/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111"/>
    </row>
    <row r="65" spans="1:14" x14ac:dyDescent="0.25">
      <c r="A65" s="111"/>
      <c r="B65" s="111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</row>
    <row r="66" spans="1:14" x14ac:dyDescent="0.25">
      <c r="A66" s="111"/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</row>
    <row r="67" spans="1:14" x14ac:dyDescent="0.25">
      <c r="A67" s="111"/>
      <c r="B67" s="111"/>
      <c r="C67" s="11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</row>
    <row r="68" spans="1:14" x14ac:dyDescent="0.25">
      <c r="A68" s="111"/>
      <c r="B68" s="111"/>
      <c r="C68" s="111"/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</row>
    <row r="69" spans="1:14" x14ac:dyDescent="0.25">
      <c r="A69" s="111"/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</row>
    <row r="70" spans="1:14" x14ac:dyDescent="0.25">
      <c r="A70" s="111"/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</row>
    <row r="71" spans="1:14" x14ac:dyDescent="0.25">
      <c r="A71" s="111"/>
      <c r="B71" s="111"/>
      <c r="C71" s="111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</row>
    <row r="72" spans="1:14" x14ac:dyDescent="0.25">
      <c r="A72" s="111"/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</row>
    <row r="73" spans="1:14" x14ac:dyDescent="0.25">
      <c r="A73" s="111"/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</row>
    <row r="74" spans="1:14" x14ac:dyDescent="0.25">
      <c r="A74" s="111"/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</row>
    <row r="75" spans="1:14" x14ac:dyDescent="0.25">
      <c r="A75" s="111"/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</row>
    <row r="76" spans="1:14" x14ac:dyDescent="0.25">
      <c r="A76" s="111"/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</row>
    <row r="77" spans="1:14" x14ac:dyDescent="0.25">
      <c r="A77" s="111"/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</row>
    <row r="78" spans="1:14" x14ac:dyDescent="0.25">
      <c r="A78" s="111"/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</row>
    <row r="79" spans="1:14" x14ac:dyDescent="0.25">
      <c r="A79" s="111"/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</row>
    <row r="80" spans="1:14" x14ac:dyDescent="0.25">
      <c r="A80" s="111"/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</row>
    <row r="81" spans="1:14" x14ac:dyDescent="0.25">
      <c r="A81" s="111"/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</row>
    <row r="82" spans="1:14" x14ac:dyDescent="0.25">
      <c r="A82" s="111"/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</row>
    <row r="83" spans="1:14" x14ac:dyDescent="0.25">
      <c r="A83" s="111"/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</row>
    <row r="84" spans="1:14" x14ac:dyDescent="0.25">
      <c r="A84" s="111"/>
      <c r="B84" s="111"/>
      <c r="C84" s="111"/>
      <c r="D84" s="111"/>
      <c r="E84" s="111"/>
      <c r="F84" s="111"/>
      <c r="G84" s="111"/>
      <c r="H84" s="111"/>
      <c r="I84" s="111"/>
      <c r="J84" s="111"/>
      <c r="K84" s="111"/>
      <c r="L84" s="111"/>
      <c r="M84" s="111"/>
      <c r="N84" s="111"/>
    </row>
    <row r="85" spans="1:14" x14ac:dyDescent="0.25">
      <c r="A85" s="111"/>
      <c r="B85" s="111"/>
      <c r="C85" s="111"/>
      <c r="D85" s="111"/>
      <c r="E85" s="111"/>
      <c r="F85" s="111"/>
      <c r="G85" s="111"/>
      <c r="H85" s="111"/>
      <c r="I85" s="111"/>
      <c r="J85" s="111"/>
      <c r="K85" s="111"/>
      <c r="L85" s="111"/>
      <c r="M85" s="111"/>
      <c r="N85" s="111"/>
    </row>
    <row r="86" spans="1:14" x14ac:dyDescent="0.25">
      <c r="A86" s="111"/>
      <c r="B86" s="111"/>
      <c r="C86" s="111"/>
      <c r="D86" s="111"/>
      <c r="E86" s="111"/>
      <c r="F86" s="111"/>
      <c r="G86" s="111"/>
      <c r="H86" s="111"/>
      <c r="I86" s="111"/>
      <c r="J86" s="111"/>
      <c r="K86" s="111"/>
      <c r="L86" s="111"/>
      <c r="M86" s="111"/>
      <c r="N86" s="111"/>
    </row>
    <row r="87" spans="1:14" x14ac:dyDescent="0.25">
      <c r="A87" s="111"/>
      <c r="B87" s="111"/>
      <c r="C87" s="111"/>
      <c r="D87" s="111"/>
      <c r="E87" s="111"/>
      <c r="F87" s="111"/>
      <c r="G87" s="111"/>
      <c r="H87" s="111"/>
      <c r="I87" s="111"/>
      <c r="J87" s="111"/>
      <c r="K87" s="111"/>
      <c r="L87" s="111"/>
      <c r="M87" s="111"/>
      <c r="N87" s="111"/>
    </row>
    <row r="88" spans="1:14" x14ac:dyDescent="0.25">
      <c r="A88" s="111"/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</row>
    <row r="89" spans="1:14" x14ac:dyDescent="0.25">
      <c r="A89" s="111"/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</row>
    <row r="90" spans="1:14" x14ac:dyDescent="0.25">
      <c r="A90" s="111"/>
      <c r="B90" s="111"/>
      <c r="C90" s="111"/>
      <c r="D90" s="111"/>
      <c r="E90" s="111"/>
      <c r="F90" s="111"/>
      <c r="G90" s="111"/>
      <c r="H90" s="111"/>
      <c r="I90" s="111"/>
      <c r="J90" s="111"/>
      <c r="K90" s="111"/>
      <c r="L90" s="111"/>
      <c r="M90" s="111"/>
      <c r="N90" s="111"/>
    </row>
    <row r="91" spans="1:14" x14ac:dyDescent="0.25">
      <c r="A91" s="111"/>
      <c r="B91" s="111"/>
      <c r="C91" s="111"/>
      <c r="D91" s="111"/>
      <c r="E91" s="111"/>
      <c r="F91" s="111"/>
      <c r="G91" s="111"/>
      <c r="H91" s="111"/>
      <c r="I91" s="111"/>
      <c r="J91" s="111"/>
      <c r="K91" s="111"/>
      <c r="L91" s="111"/>
      <c r="M91" s="111"/>
      <c r="N91" s="111"/>
    </row>
    <row r="92" spans="1:14" x14ac:dyDescent="0.25">
      <c r="A92" s="111"/>
      <c r="B92" s="111"/>
      <c r="C92" s="111"/>
      <c r="D92" s="111"/>
      <c r="E92" s="111"/>
      <c r="F92" s="111"/>
      <c r="G92" s="111"/>
      <c r="H92" s="111"/>
      <c r="I92" s="111"/>
      <c r="J92" s="111"/>
      <c r="K92" s="111"/>
      <c r="L92" s="111"/>
      <c r="M92" s="111"/>
      <c r="N92" s="111"/>
    </row>
    <row r="93" spans="1:14" x14ac:dyDescent="0.25">
      <c r="A93" s="111"/>
      <c r="B93" s="111"/>
      <c r="C93" s="111"/>
      <c r="D93" s="111"/>
      <c r="E93" s="111"/>
      <c r="F93" s="111"/>
      <c r="G93" s="111"/>
      <c r="H93" s="111"/>
      <c r="I93" s="111"/>
      <c r="J93" s="111"/>
      <c r="K93" s="111"/>
      <c r="L93" s="111"/>
      <c r="M93" s="111"/>
      <c r="N93" s="111"/>
    </row>
    <row r="94" spans="1:14" x14ac:dyDescent="0.25">
      <c r="A94" s="111"/>
      <c r="B94" s="111"/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</row>
    <row r="95" spans="1:14" x14ac:dyDescent="0.25">
      <c r="A95" s="111"/>
      <c r="B95" s="111"/>
      <c r="C95" s="111"/>
      <c r="D95" s="111"/>
      <c r="E95" s="111"/>
      <c r="F95" s="111"/>
      <c r="G95" s="111"/>
      <c r="H95" s="111"/>
      <c r="I95" s="111"/>
      <c r="J95" s="111"/>
      <c r="K95" s="111"/>
      <c r="L95" s="111"/>
      <c r="M95" s="111"/>
      <c r="N95" s="111"/>
    </row>
    <row r="96" spans="1:14" x14ac:dyDescent="0.25">
      <c r="A96" s="111"/>
      <c r="B96" s="111"/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1"/>
    </row>
    <row r="97" spans="1:14" x14ac:dyDescent="0.25">
      <c r="A97" s="111"/>
      <c r="B97" s="111"/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</row>
    <row r="98" spans="1:14" x14ac:dyDescent="0.25">
      <c r="A98" s="111"/>
      <c r="B98" s="111"/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</row>
    <row r="99" spans="1:14" x14ac:dyDescent="0.25">
      <c r="A99" s="111"/>
      <c r="B99" s="111"/>
      <c r="C99" s="111"/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</row>
    <row r="100" spans="1:14" x14ac:dyDescent="0.25">
      <c r="A100" s="111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</row>
    <row r="101" spans="1:14" x14ac:dyDescent="0.25">
      <c r="A101" s="111"/>
      <c r="B101" s="111"/>
      <c r="C101" s="111"/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</row>
    <row r="102" spans="1:14" x14ac:dyDescent="0.25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</row>
    <row r="103" spans="1:14" x14ac:dyDescent="0.25">
      <c r="A103" s="111"/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</row>
    <row r="104" spans="1:14" x14ac:dyDescent="0.25">
      <c r="A104" s="111"/>
      <c r="B104" s="111"/>
      <c r="C104" s="111"/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</row>
    <row r="105" spans="1:14" x14ac:dyDescent="0.25">
      <c r="A105" s="111"/>
      <c r="B105" s="111"/>
      <c r="C105" s="111"/>
      <c r="D105" s="111"/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</row>
    <row r="106" spans="1:14" x14ac:dyDescent="0.25">
      <c r="A106" s="111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</row>
    <row r="107" spans="1:14" x14ac:dyDescent="0.25">
      <c r="A107" s="111"/>
      <c r="B107" s="111"/>
      <c r="C107" s="111"/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</row>
    <row r="108" spans="1:14" x14ac:dyDescent="0.25">
      <c r="A108" s="111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</row>
    <row r="109" spans="1:14" x14ac:dyDescent="0.25">
      <c r="A109" s="111"/>
      <c r="B109" s="111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</row>
    <row r="110" spans="1:14" x14ac:dyDescent="0.25">
      <c r="A110" s="111"/>
      <c r="B110" s="111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</row>
    <row r="111" spans="1:14" x14ac:dyDescent="0.25">
      <c r="A111" s="111"/>
      <c r="B111" s="111"/>
      <c r="C111" s="111"/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</row>
    <row r="112" spans="1:14" x14ac:dyDescent="0.25">
      <c r="A112" s="111"/>
      <c r="B112" s="111"/>
      <c r="C112" s="111"/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</row>
    <row r="113" spans="1:14" x14ac:dyDescent="0.25">
      <c r="A113" s="111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</row>
    <row r="114" spans="1:14" x14ac:dyDescent="0.25">
      <c r="A114" s="111"/>
      <c r="B114" s="111"/>
      <c r="C114" s="111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</row>
    <row r="115" spans="1:14" x14ac:dyDescent="0.25">
      <c r="A115" s="111"/>
      <c r="B115" s="111"/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</row>
    <row r="116" spans="1:14" x14ac:dyDescent="0.25">
      <c r="A116" s="111"/>
      <c r="B116" s="111"/>
      <c r="C116" s="111"/>
      <c r="D116" s="111"/>
      <c r="E116" s="111"/>
      <c r="F116" s="111"/>
      <c r="G116" s="111"/>
      <c r="H116" s="111"/>
      <c r="I116" s="111"/>
      <c r="J116" s="111"/>
      <c r="K116" s="111"/>
      <c r="L116" s="111"/>
      <c r="M116" s="111"/>
      <c r="N116" s="111"/>
    </row>
    <row r="117" spans="1:14" x14ac:dyDescent="0.25">
      <c r="A117" s="11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</row>
    <row r="118" spans="1:14" x14ac:dyDescent="0.25">
      <c r="A118" s="111"/>
      <c r="B118" s="111"/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1"/>
    </row>
    <row r="119" spans="1:14" x14ac:dyDescent="0.25">
      <c r="A119" s="111"/>
      <c r="B119" s="111"/>
      <c r="C119" s="111"/>
      <c r="D119" s="111"/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</row>
    <row r="120" spans="1:14" x14ac:dyDescent="0.25">
      <c r="A120" s="111"/>
      <c r="B120" s="111"/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</row>
    <row r="121" spans="1:14" x14ac:dyDescent="0.25">
      <c r="A121" s="111"/>
      <c r="B121" s="111"/>
      <c r="C121" s="111"/>
      <c r="D121" s="111"/>
      <c r="E121" s="111"/>
      <c r="F121" s="111"/>
      <c r="G121" s="111"/>
      <c r="H121" s="111"/>
      <c r="I121" s="111"/>
      <c r="J121" s="111"/>
      <c r="K121" s="111"/>
      <c r="L121" s="111"/>
      <c r="M121" s="111"/>
      <c r="N121" s="111"/>
    </row>
    <row r="122" spans="1:14" x14ac:dyDescent="0.25">
      <c r="A122" s="111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</row>
    <row r="123" spans="1:14" x14ac:dyDescent="0.25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</row>
    <row r="124" spans="1:14" x14ac:dyDescent="0.25">
      <c r="A124" s="111"/>
      <c r="B124" s="111"/>
      <c r="C124" s="111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</row>
    <row r="125" spans="1:14" x14ac:dyDescent="0.25">
      <c r="A125" s="111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</row>
    <row r="126" spans="1:14" x14ac:dyDescent="0.25">
      <c r="A126" s="111"/>
      <c r="B126" s="111"/>
      <c r="C126" s="111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</row>
    <row r="127" spans="1:14" x14ac:dyDescent="0.25">
      <c r="A127" s="111"/>
      <c r="B127" s="111"/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</row>
    <row r="128" spans="1:14" x14ac:dyDescent="0.25">
      <c r="A128" s="111"/>
      <c r="B128" s="111"/>
      <c r="C128" s="111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</row>
    <row r="129" spans="1:14" x14ac:dyDescent="0.25">
      <c r="A129" s="111"/>
      <c r="B129" s="111"/>
      <c r="C129" s="111"/>
      <c r="D129" s="111"/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</row>
    <row r="130" spans="1:14" x14ac:dyDescent="0.25">
      <c r="A130" s="111"/>
      <c r="B130" s="111"/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</row>
    <row r="131" spans="1:14" x14ac:dyDescent="0.25">
      <c r="A131" s="111"/>
      <c r="B131" s="111"/>
      <c r="C131" s="111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</row>
    <row r="132" spans="1:14" x14ac:dyDescent="0.25">
      <c r="A132" s="111"/>
      <c r="B132" s="111"/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</row>
    <row r="133" spans="1:14" x14ac:dyDescent="0.25">
      <c r="A133" s="111"/>
      <c r="B133" s="111"/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</row>
    <row r="134" spans="1:14" x14ac:dyDescent="0.25">
      <c r="A134" s="111"/>
      <c r="B134" s="111"/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</row>
    <row r="135" spans="1:14" x14ac:dyDescent="0.25">
      <c r="A135" s="111"/>
      <c r="B135" s="111"/>
      <c r="C135" s="111"/>
      <c r="D135" s="111"/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</row>
    <row r="136" spans="1:14" x14ac:dyDescent="0.25">
      <c r="A136" s="111"/>
      <c r="B136" s="111"/>
      <c r="C136" s="111"/>
      <c r="D136" s="111"/>
      <c r="E136" s="111"/>
      <c r="F136" s="111"/>
      <c r="G136" s="111"/>
      <c r="H136" s="111"/>
      <c r="I136" s="111"/>
      <c r="J136" s="111"/>
      <c r="K136" s="111"/>
      <c r="L136" s="111"/>
      <c r="M136" s="111"/>
      <c r="N136" s="111"/>
    </row>
    <row r="137" spans="1:14" x14ac:dyDescent="0.25">
      <c r="A137" s="111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</row>
    <row r="138" spans="1:14" x14ac:dyDescent="0.25">
      <c r="A138" s="111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</row>
    <row r="139" spans="1:14" x14ac:dyDescent="0.25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</row>
    <row r="140" spans="1:14" x14ac:dyDescent="0.25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</row>
    <row r="141" spans="1:14" x14ac:dyDescent="0.25">
      <c r="A141" s="111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</row>
    <row r="142" spans="1:14" x14ac:dyDescent="0.25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</row>
    <row r="143" spans="1:14" x14ac:dyDescent="0.25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</row>
    <row r="144" spans="1:14" x14ac:dyDescent="0.25">
      <c r="A144" s="111"/>
      <c r="B144" s="111"/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1"/>
    </row>
    <row r="145" spans="1:14" x14ac:dyDescent="0.25">
      <c r="A145" s="111"/>
      <c r="B145" s="111"/>
      <c r="C145" s="111"/>
      <c r="D145" s="111"/>
      <c r="E145" s="111"/>
      <c r="F145" s="111"/>
      <c r="G145" s="111"/>
      <c r="H145" s="111"/>
      <c r="I145" s="111"/>
      <c r="J145" s="111"/>
      <c r="K145" s="111"/>
      <c r="L145" s="111"/>
      <c r="M145" s="111"/>
      <c r="N145" s="111"/>
    </row>
    <row r="146" spans="1:14" x14ac:dyDescent="0.25">
      <c r="A146" s="111"/>
      <c r="B146" s="111"/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</row>
    <row r="147" spans="1:14" x14ac:dyDescent="0.25">
      <c r="A147" s="111"/>
      <c r="B147" s="111"/>
      <c r="C147" s="111"/>
      <c r="D147" s="111"/>
      <c r="E147" s="111"/>
      <c r="F147" s="111"/>
      <c r="G147" s="111"/>
      <c r="H147" s="111"/>
      <c r="I147" s="111"/>
      <c r="J147" s="111"/>
      <c r="K147" s="111"/>
      <c r="L147" s="111"/>
      <c r="M147" s="111"/>
      <c r="N147" s="111"/>
    </row>
    <row r="148" spans="1:14" x14ac:dyDescent="0.25">
      <c r="A148" s="111"/>
      <c r="B148" s="111"/>
      <c r="C148" s="111"/>
      <c r="D148" s="111"/>
      <c r="E148" s="111"/>
      <c r="F148" s="111"/>
      <c r="G148" s="111"/>
      <c r="H148" s="111"/>
      <c r="I148" s="111"/>
      <c r="J148" s="111"/>
      <c r="K148" s="111"/>
      <c r="L148" s="111"/>
      <c r="M148" s="111"/>
      <c r="N148" s="111"/>
    </row>
    <row r="149" spans="1:14" x14ac:dyDescent="0.25">
      <c r="A149" s="111"/>
      <c r="B149" s="111"/>
      <c r="C149" s="111"/>
      <c r="D149" s="111"/>
      <c r="E149" s="111"/>
      <c r="F149" s="111"/>
      <c r="G149" s="111"/>
      <c r="H149" s="111"/>
      <c r="I149" s="111"/>
      <c r="J149" s="111"/>
      <c r="K149" s="111"/>
      <c r="L149" s="111"/>
      <c r="M149" s="111"/>
      <c r="N149" s="111"/>
    </row>
    <row r="150" spans="1:14" x14ac:dyDescent="0.25">
      <c r="A150" s="111"/>
      <c r="B150" s="111"/>
      <c r="C150" s="111"/>
      <c r="D150" s="111"/>
      <c r="E150" s="111"/>
      <c r="F150" s="111"/>
      <c r="G150" s="111"/>
      <c r="H150" s="111"/>
      <c r="I150" s="111"/>
      <c r="J150" s="111"/>
      <c r="K150" s="111"/>
      <c r="L150" s="111"/>
      <c r="M150" s="111"/>
      <c r="N150" s="111"/>
    </row>
    <row r="151" spans="1:14" x14ac:dyDescent="0.25">
      <c r="A151" s="111"/>
      <c r="B151" s="111"/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</row>
    <row r="152" spans="1:14" x14ac:dyDescent="0.25">
      <c r="A152" s="111"/>
      <c r="B152" s="111"/>
      <c r="C152" s="111"/>
      <c r="D152" s="111"/>
      <c r="E152" s="111"/>
      <c r="F152" s="111"/>
      <c r="G152" s="111"/>
      <c r="H152" s="111"/>
      <c r="I152" s="111"/>
      <c r="J152" s="111"/>
      <c r="K152" s="111"/>
      <c r="L152" s="111"/>
      <c r="M152" s="111"/>
      <c r="N152" s="111"/>
    </row>
    <row r="153" spans="1:14" x14ac:dyDescent="0.25">
      <c r="A153" s="111"/>
      <c r="B153" s="111"/>
      <c r="C153" s="111"/>
      <c r="D153" s="111"/>
      <c r="E153" s="111"/>
      <c r="F153" s="111"/>
      <c r="G153" s="111"/>
      <c r="H153" s="111"/>
      <c r="I153" s="111"/>
      <c r="J153" s="111"/>
      <c r="K153" s="111"/>
      <c r="L153" s="111"/>
      <c r="M153" s="111"/>
      <c r="N153" s="111"/>
    </row>
    <row r="154" spans="1:14" x14ac:dyDescent="0.25">
      <c r="A154" s="111"/>
      <c r="B154" s="111"/>
      <c r="C154" s="111"/>
      <c r="D154" s="111"/>
      <c r="E154" s="111"/>
      <c r="F154" s="111"/>
      <c r="G154" s="111"/>
      <c r="H154" s="111"/>
      <c r="I154" s="111"/>
      <c r="J154" s="111"/>
      <c r="K154" s="111"/>
      <c r="L154" s="111"/>
      <c r="M154" s="111"/>
      <c r="N154" s="111"/>
    </row>
    <row r="155" spans="1:14" x14ac:dyDescent="0.25">
      <c r="A155" s="111"/>
      <c r="B155" s="111"/>
      <c r="C155" s="111"/>
      <c r="D155" s="111"/>
      <c r="E155" s="111"/>
      <c r="F155" s="111"/>
      <c r="G155" s="111"/>
      <c r="H155" s="111"/>
      <c r="I155" s="111"/>
      <c r="J155" s="111"/>
      <c r="K155" s="111"/>
      <c r="L155" s="111"/>
      <c r="M155" s="111"/>
      <c r="N155" s="111"/>
    </row>
    <row r="156" spans="1:14" x14ac:dyDescent="0.25">
      <c r="A156" s="111"/>
      <c r="B156" s="111"/>
      <c r="C156" s="111"/>
      <c r="D156" s="111"/>
      <c r="E156" s="111"/>
      <c r="F156" s="111"/>
      <c r="G156" s="111"/>
      <c r="H156" s="111"/>
      <c r="I156" s="111"/>
      <c r="J156" s="111"/>
      <c r="K156" s="111"/>
      <c r="L156" s="111"/>
      <c r="M156" s="111"/>
      <c r="N156" s="111"/>
    </row>
    <row r="157" spans="1:14" x14ac:dyDescent="0.25">
      <c r="A157" s="111"/>
      <c r="B157" s="111"/>
      <c r="C157" s="111"/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</row>
    <row r="158" spans="1:14" x14ac:dyDescent="0.25">
      <c r="A158" s="111"/>
      <c r="B158" s="111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</row>
    <row r="159" spans="1:14" x14ac:dyDescent="0.25">
      <c r="A159" s="111"/>
      <c r="B159" s="111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</row>
    <row r="160" spans="1:14" x14ac:dyDescent="0.25">
      <c r="A160" s="111"/>
      <c r="B160" s="111"/>
      <c r="C160" s="111"/>
      <c r="D160" s="111"/>
      <c r="E160" s="111"/>
      <c r="F160" s="111"/>
      <c r="G160" s="111"/>
      <c r="H160" s="111"/>
      <c r="I160" s="111"/>
      <c r="J160" s="111"/>
      <c r="K160" s="111"/>
      <c r="L160" s="111"/>
      <c r="M160" s="111"/>
      <c r="N160" s="111"/>
    </row>
    <row r="161" spans="1:14" x14ac:dyDescent="0.25">
      <c r="A161" s="111"/>
      <c r="B161" s="111"/>
      <c r="C161" s="111"/>
      <c r="D161" s="111"/>
      <c r="E161" s="111"/>
      <c r="F161" s="111"/>
      <c r="G161" s="111"/>
      <c r="H161" s="111"/>
      <c r="I161" s="111"/>
      <c r="J161" s="111"/>
      <c r="K161" s="111"/>
      <c r="L161" s="111"/>
      <c r="M161" s="111"/>
      <c r="N161" s="111"/>
    </row>
    <row r="162" spans="1:14" x14ac:dyDescent="0.25">
      <c r="A162" s="111"/>
      <c r="B162" s="111"/>
      <c r="C162" s="111"/>
      <c r="D162" s="111"/>
      <c r="E162" s="111"/>
      <c r="F162" s="111"/>
      <c r="G162" s="111"/>
      <c r="H162" s="111"/>
      <c r="I162" s="111"/>
      <c r="J162" s="111"/>
      <c r="K162" s="111"/>
      <c r="L162" s="111"/>
      <c r="M162" s="111"/>
      <c r="N162" s="111"/>
    </row>
    <row r="163" spans="1:14" x14ac:dyDescent="0.25">
      <c r="A163" s="111"/>
      <c r="B163" s="111"/>
      <c r="C163" s="111"/>
      <c r="D163" s="111"/>
      <c r="E163" s="111"/>
      <c r="F163" s="111"/>
      <c r="G163" s="111"/>
      <c r="H163" s="111"/>
      <c r="I163" s="111"/>
      <c r="J163" s="111"/>
      <c r="K163" s="111"/>
      <c r="L163" s="111"/>
      <c r="M163" s="111"/>
      <c r="N163" s="111"/>
    </row>
    <row r="164" spans="1:14" x14ac:dyDescent="0.25">
      <c r="A164" s="111"/>
      <c r="B164" s="111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1"/>
    </row>
    <row r="165" spans="1:14" x14ac:dyDescent="0.25">
      <c r="A165" s="111"/>
      <c r="B165" s="111"/>
      <c r="C165" s="111"/>
      <c r="D165" s="111"/>
      <c r="E165" s="111"/>
      <c r="F165" s="111"/>
      <c r="G165" s="111"/>
      <c r="H165" s="111"/>
      <c r="I165" s="111"/>
      <c r="J165" s="111"/>
      <c r="K165" s="111"/>
      <c r="L165" s="111"/>
      <c r="M165" s="111"/>
      <c r="N165" s="111"/>
    </row>
    <row r="166" spans="1:14" x14ac:dyDescent="0.25">
      <c r="A166" s="111"/>
      <c r="B166" s="111"/>
      <c r="C166" s="111"/>
      <c r="D166" s="111"/>
      <c r="E166" s="111"/>
      <c r="F166" s="111"/>
      <c r="G166" s="111"/>
      <c r="H166" s="111"/>
      <c r="I166" s="111"/>
      <c r="J166" s="111"/>
      <c r="K166" s="111"/>
      <c r="L166" s="111"/>
      <c r="M166" s="111"/>
      <c r="N166" s="111"/>
    </row>
    <row r="167" spans="1:14" x14ac:dyDescent="0.25">
      <c r="A167" s="111"/>
      <c r="B167" s="111"/>
      <c r="C167" s="111"/>
      <c r="D167" s="111"/>
      <c r="E167" s="111"/>
      <c r="F167" s="111"/>
      <c r="G167" s="111"/>
      <c r="H167" s="111"/>
      <c r="I167" s="111"/>
      <c r="J167" s="111"/>
      <c r="K167" s="111"/>
      <c r="L167" s="111"/>
      <c r="M167" s="111"/>
      <c r="N167" s="111"/>
    </row>
    <row r="168" spans="1:14" x14ac:dyDescent="0.25">
      <c r="A168" s="111"/>
      <c r="B168" s="111"/>
      <c r="C168" s="111"/>
      <c r="D168" s="111"/>
      <c r="E168" s="111"/>
      <c r="F168" s="111"/>
      <c r="G168" s="111"/>
      <c r="H168" s="111"/>
      <c r="I168" s="111"/>
      <c r="J168" s="111"/>
      <c r="K168" s="111"/>
      <c r="L168" s="111"/>
      <c r="M168" s="111"/>
      <c r="N168" s="111"/>
    </row>
    <row r="169" spans="1:14" x14ac:dyDescent="0.25">
      <c r="A169" s="111"/>
      <c r="B169" s="111"/>
      <c r="C169" s="111"/>
      <c r="D169" s="111"/>
      <c r="E169" s="111"/>
      <c r="F169" s="111"/>
      <c r="G169" s="111"/>
      <c r="H169" s="111"/>
      <c r="I169" s="111"/>
      <c r="J169" s="111"/>
      <c r="K169" s="111"/>
      <c r="L169" s="111"/>
      <c r="M169" s="111"/>
      <c r="N169" s="111"/>
    </row>
    <row r="170" spans="1:14" x14ac:dyDescent="0.25">
      <c r="A170" s="111"/>
      <c r="B170" s="111"/>
      <c r="C170" s="111"/>
      <c r="D170" s="111"/>
      <c r="E170" s="111"/>
      <c r="F170" s="111"/>
      <c r="G170" s="111"/>
      <c r="H170" s="111"/>
      <c r="I170" s="111"/>
      <c r="J170" s="111"/>
      <c r="K170" s="111"/>
      <c r="L170" s="111"/>
      <c r="M170" s="111"/>
      <c r="N170" s="111"/>
    </row>
    <row r="171" spans="1:14" x14ac:dyDescent="0.25">
      <c r="A171" s="111"/>
      <c r="B171" s="111"/>
      <c r="C171" s="111"/>
      <c r="D171" s="111"/>
      <c r="E171" s="111"/>
      <c r="F171" s="111"/>
      <c r="G171" s="111"/>
      <c r="H171" s="111"/>
      <c r="I171" s="111"/>
      <c r="J171" s="111"/>
      <c r="K171" s="111"/>
      <c r="L171" s="111"/>
      <c r="M171" s="111"/>
      <c r="N171" s="111"/>
    </row>
    <row r="172" spans="1:14" x14ac:dyDescent="0.25">
      <c r="A172" s="111"/>
      <c r="B172" s="111"/>
      <c r="C172" s="111"/>
      <c r="D172" s="111"/>
      <c r="E172" s="111"/>
      <c r="F172" s="111"/>
      <c r="G172" s="111"/>
      <c r="H172" s="111"/>
      <c r="I172" s="111"/>
      <c r="J172" s="111"/>
      <c r="K172" s="111"/>
      <c r="L172" s="111"/>
      <c r="M172" s="111"/>
      <c r="N172" s="111"/>
    </row>
    <row r="173" spans="1:14" x14ac:dyDescent="0.25">
      <c r="A173" s="111"/>
      <c r="B173" s="111"/>
      <c r="C173" s="111"/>
      <c r="D173" s="111"/>
      <c r="E173" s="111"/>
      <c r="F173" s="111"/>
      <c r="G173" s="111"/>
      <c r="H173" s="111"/>
      <c r="I173" s="111"/>
      <c r="J173" s="111"/>
      <c r="K173" s="111"/>
      <c r="L173" s="111"/>
      <c r="M173" s="111"/>
      <c r="N173" s="111"/>
    </row>
    <row r="174" spans="1:14" x14ac:dyDescent="0.25">
      <c r="A174" s="111"/>
      <c r="B174" s="111"/>
      <c r="C174" s="111"/>
      <c r="D174" s="111"/>
      <c r="E174" s="111"/>
      <c r="F174" s="111"/>
      <c r="G174" s="111"/>
      <c r="H174" s="111"/>
      <c r="I174" s="111"/>
      <c r="J174" s="111"/>
      <c r="K174" s="111"/>
      <c r="L174" s="111"/>
      <c r="M174" s="111"/>
      <c r="N174" s="111"/>
    </row>
    <row r="175" spans="1:14" x14ac:dyDescent="0.25">
      <c r="A175" s="111"/>
      <c r="B175" s="111"/>
      <c r="C175" s="111"/>
      <c r="D175" s="111"/>
      <c r="E175" s="111"/>
      <c r="F175" s="111"/>
      <c r="G175" s="111"/>
      <c r="H175" s="111"/>
      <c r="I175" s="111"/>
      <c r="J175" s="111"/>
      <c r="K175" s="111"/>
      <c r="L175" s="111"/>
      <c r="M175" s="111"/>
      <c r="N175" s="111"/>
    </row>
    <row r="176" spans="1:14" x14ac:dyDescent="0.25">
      <c r="A176" s="111"/>
      <c r="B176" s="111"/>
      <c r="C176" s="111"/>
      <c r="D176" s="111"/>
      <c r="E176" s="111"/>
      <c r="F176" s="111"/>
      <c r="G176" s="111"/>
      <c r="H176" s="111"/>
      <c r="I176" s="111"/>
      <c r="J176" s="111"/>
      <c r="K176" s="111"/>
      <c r="L176" s="111"/>
      <c r="M176" s="111"/>
      <c r="N176" s="111"/>
    </row>
    <row r="177" spans="1:14" x14ac:dyDescent="0.25">
      <c r="A177" s="111"/>
      <c r="B177" s="111"/>
      <c r="C177" s="111"/>
      <c r="D177" s="111"/>
      <c r="E177" s="111"/>
      <c r="F177" s="111"/>
      <c r="G177" s="111"/>
      <c r="H177" s="111"/>
      <c r="I177" s="111"/>
      <c r="J177" s="111"/>
      <c r="K177" s="111"/>
      <c r="L177" s="111"/>
      <c r="M177" s="111"/>
      <c r="N177" s="111"/>
    </row>
    <row r="178" spans="1:14" x14ac:dyDescent="0.25">
      <c r="A178" s="111"/>
      <c r="B178" s="111"/>
      <c r="C178" s="111"/>
      <c r="D178" s="111"/>
      <c r="E178" s="111"/>
      <c r="F178" s="111"/>
      <c r="G178" s="111"/>
      <c r="H178" s="111"/>
      <c r="I178" s="111"/>
      <c r="J178" s="111"/>
      <c r="K178" s="111"/>
      <c r="L178" s="111"/>
      <c r="M178" s="111"/>
      <c r="N178" s="111"/>
    </row>
    <row r="179" spans="1:14" x14ac:dyDescent="0.25">
      <c r="A179" s="111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</row>
    <row r="180" spans="1:14" x14ac:dyDescent="0.25">
      <c r="A180" s="111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</row>
    <row r="181" spans="1:14" x14ac:dyDescent="0.25">
      <c r="A181" s="111"/>
      <c r="B181" s="111"/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  <c r="N181" s="111"/>
    </row>
    <row r="182" spans="1:14" x14ac:dyDescent="0.25">
      <c r="A182" s="111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</row>
    <row r="183" spans="1:14" x14ac:dyDescent="0.25">
      <c r="A183" s="111"/>
      <c r="B183" s="111"/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  <c r="N183" s="111"/>
    </row>
    <row r="184" spans="1:14" x14ac:dyDescent="0.25">
      <c r="A184" s="111"/>
      <c r="B184" s="111"/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  <c r="N184" s="111"/>
    </row>
    <row r="185" spans="1:14" x14ac:dyDescent="0.25">
      <c r="A185" s="111"/>
      <c r="B185" s="111"/>
      <c r="C185" s="111"/>
      <c r="D185" s="111"/>
      <c r="E185" s="111"/>
      <c r="F185" s="111"/>
      <c r="G185" s="111"/>
      <c r="H185" s="111"/>
      <c r="I185" s="111"/>
      <c r="J185" s="111"/>
      <c r="K185" s="111"/>
      <c r="L185" s="111"/>
      <c r="M185" s="111"/>
      <c r="N185" s="111"/>
    </row>
    <row r="186" spans="1:14" x14ac:dyDescent="0.25">
      <c r="A186" s="111"/>
      <c r="B186" s="111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</row>
  </sheetData>
  <mergeCells count="1">
    <mergeCell ref="A2:C2"/>
  </mergeCells>
  <hyperlinks>
    <hyperlink ref="A5" location="'01'!A1" display="01" xr:uid="{6C177A81-C0A4-469E-B61C-CDEC7161CC45}"/>
    <hyperlink ref="A6" location="'02'!A1" display="02" xr:uid="{D90C239A-2902-4198-8084-77EB63ABAE17}"/>
    <hyperlink ref="A7" location="'03'!A1" display="03" xr:uid="{C48A5C1E-3029-4F8C-A833-5277089A7950}"/>
    <hyperlink ref="A8" location="'04'!A1" display="04" xr:uid="{96E57E9E-C894-4DDE-8A27-956A474DA5DC}"/>
    <hyperlink ref="A9" location="'05'!A1" display="05" xr:uid="{F6C7F054-4224-4971-9CF4-D4CA69C9487B}"/>
    <hyperlink ref="A10" location="'06'!A1" display="06" xr:uid="{7FD360D0-1742-4376-9E45-7185652B453F}"/>
    <hyperlink ref="A11" location="'07'!A1" display="07" xr:uid="{5C0897F2-1887-423B-A822-8A912834F2DC}"/>
    <hyperlink ref="A12" location="'08 Shaft housing'!A1" display="08" xr:uid="{6E5A9BDC-B15D-45DF-BE8B-C1269099496E}"/>
    <hyperlink ref="A13" location="'09 Shaft housing-Pedestral'!A1" display="09" xr:uid="{99E94FFC-ACD0-4A3D-89F4-DECE01FDC07F}"/>
    <hyperlink ref="A14" location="'10 Coupling housing'!A1" display="10" xr:uid="{D7C59B87-5B87-44E7-889B-15DDCA4DD417}"/>
    <hyperlink ref="A15" location="'11 Coupling housing-Pedestral'!A1" display="11" xr:uid="{500327FD-22A1-4FB2-8ACF-19F2A2092F16}"/>
    <hyperlink ref="A16" location="'12 Bearing-Coupling support'!A1" display="12" xr:uid="{E3BFE40F-E714-4E8A-9D16-8D08984BF06E}"/>
    <hyperlink ref="A17" location="'13 Inlet flange-Inlet'!A1" display="13" xr:uid="{5C80B4A8-22C9-4B80-8A37-5A11BB2048F6}"/>
    <hyperlink ref="A18" location="'14'!A1" display="14" xr:uid="{B90B6EF5-7F2A-414B-8D26-A8A9AB0D2550}"/>
    <hyperlink ref="A19" location="'15 Mecha access door-Casing'!A1" display="15" xr:uid="{63113A93-F069-45AB-91A0-3C2BFA4358A8}"/>
    <hyperlink ref="A20" location="'16'!A1" display="'16'!A1" xr:uid="{48C3B3D1-CBAC-4C8B-BCAE-DF13B7AE05C8}"/>
    <hyperlink ref="A21" location="'17'!A1" display="'17'!A1" xr:uid="{62AE8984-B372-4660-9869-83BBD8364F94}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84D37-2386-44EB-8BFD-7BAB31A1127F}">
  <sheetPr codeName="Feuil17">
    <tabColor rgb="FFFF0000"/>
  </sheetPr>
  <dimension ref="B1:D7"/>
  <sheetViews>
    <sheetView workbookViewId="0">
      <selection activeCell="K12" sqref="K12"/>
    </sheetView>
  </sheetViews>
  <sheetFormatPr baseColWidth="10" defaultRowHeight="15" x14ac:dyDescent="0.25"/>
  <cols>
    <col min="2" max="2" width="42" customWidth="1"/>
    <col min="3" max="3" width="41.140625" customWidth="1"/>
  </cols>
  <sheetData>
    <row r="1" spans="2:4" ht="15.75" thickBot="1" x14ac:dyDescent="0.3"/>
    <row r="2" spans="2:4" ht="15.75" thickBot="1" x14ac:dyDescent="0.3">
      <c r="B2" s="338" t="s">
        <v>160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161</v>
      </c>
      <c r="C4" s="29" t="s">
        <v>156</v>
      </c>
      <c r="D4" s="30">
        <v>10.7</v>
      </c>
    </row>
    <row r="5" spans="2:4" x14ac:dyDescent="0.25">
      <c r="B5" s="28" t="s">
        <v>161</v>
      </c>
      <c r="C5" s="29" t="s">
        <v>162</v>
      </c>
      <c r="D5" s="34">
        <v>8</v>
      </c>
    </row>
    <row r="6" spans="2:4" x14ac:dyDescent="0.25">
      <c r="B6" s="28" t="s">
        <v>163</v>
      </c>
      <c r="C6" s="29" t="s">
        <v>84</v>
      </c>
      <c r="D6" s="30">
        <v>4</v>
      </c>
    </row>
    <row r="7" spans="2:4" x14ac:dyDescent="0.25">
      <c r="B7" s="28" t="s">
        <v>57</v>
      </c>
      <c r="C7" s="29" t="s">
        <v>164</v>
      </c>
      <c r="D7" s="264">
        <v>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627AE-FE2D-4026-90EE-96BF3A5B8AD4}">
  <sheetPr codeName="Feuil18">
    <tabColor rgb="FFFF0000"/>
  </sheetPr>
  <dimension ref="B1:D9"/>
  <sheetViews>
    <sheetView workbookViewId="0">
      <selection activeCell="J7" sqref="J7"/>
    </sheetView>
  </sheetViews>
  <sheetFormatPr baseColWidth="10" defaultRowHeight="15" x14ac:dyDescent="0.25"/>
  <cols>
    <col min="2" max="2" width="36.5703125" customWidth="1"/>
    <col min="3" max="3" width="38.5703125" customWidth="1"/>
    <col min="4" max="4" width="17.5703125" customWidth="1"/>
  </cols>
  <sheetData>
    <row r="1" spans="2:4" ht="15.75" thickBot="1" x14ac:dyDescent="0.3"/>
    <row r="2" spans="2:4" x14ac:dyDescent="0.25">
      <c r="B2" s="341" t="s">
        <v>312</v>
      </c>
      <c r="C2" s="342"/>
      <c r="D2" s="343"/>
    </row>
    <row r="3" spans="2:4" x14ac:dyDescent="0.25">
      <c r="B3" s="27" t="s">
        <v>70</v>
      </c>
      <c r="C3" s="10" t="s">
        <v>61</v>
      </c>
      <c r="D3" s="255" t="s">
        <v>62</v>
      </c>
    </row>
    <row r="4" spans="2:4" x14ac:dyDescent="0.25">
      <c r="B4" s="28" t="s">
        <v>307</v>
      </c>
      <c r="C4" s="29" t="s">
        <v>308</v>
      </c>
      <c r="D4" s="30">
        <v>13</v>
      </c>
    </row>
    <row r="5" spans="2:4" x14ac:dyDescent="0.25">
      <c r="B5" s="28" t="s">
        <v>307</v>
      </c>
      <c r="C5" s="29" t="s">
        <v>84</v>
      </c>
      <c r="D5" s="253">
        <v>5</v>
      </c>
    </row>
    <row r="6" spans="2:4" x14ac:dyDescent="0.25">
      <c r="B6" s="28" t="s">
        <v>309</v>
      </c>
      <c r="C6" s="29" t="s">
        <v>308</v>
      </c>
      <c r="D6" s="253">
        <v>13</v>
      </c>
    </row>
    <row r="7" spans="2:4" x14ac:dyDescent="0.25">
      <c r="B7" s="28" t="s">
        <v>309</v>
      </c>
      <c r="C7" s="29" t="s">
        <v>84</v>
      </c>
      <c r="D7" s="30">
        <v>5</v>
      </c>
    </row>
    <row r="8" spans="2:4" x14ac:dyDescent="0.25">
      <c r="B8" s="28" t="s">
        <v>311</v>
      </c>
      <c r="C8" s="29" t="s">
        <v>310</v>
      </c>
      <c r="D8" s="30">
        <v>10.7</v>
      </c>
    </row>
    <row r="9" spans="2:4" x14ac:dyDescent="0.25">
      <c r="B9" s="28" t="s">
        <v>311</v>
      </c>
      <c r="C9" s="29" t="s">
        <v>84</v>
      </c>
      <c r="D9" s="30">
        <v>4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CCF7-C77C-4C7D-A374-CA935155CDD0}">
  <sheetPr codeName="Feuil19">
    <tabColor rgb="FFFF0000"/>
  </sheetPr>
  <dimension ref="A1"/>
  <sheetViews>
    <sheetView workbookViewId="0">
      <selection activeCell="O25" sqref="O25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E6E43-50F3-41B6-B144-50CCF85477E2}">
  <sheetPr codeName="Feuil20">
    <tabColor rgb="FFFF0000"/>
  </sheetPr>
  <dimension ref="B1:D7"/>
  <sheetViews>
    <sheetView workbookViewId="0">
      <selection activeCell="D4" sqref="D4:D7"/>
    </sheetView>
  </sheetViews>
  <sheetFormatPr baseColWidth="10" defaultRowHeight="15" x14ac:dyDescent="0.25"/>
  <cols>
    <col min="2" max="2" width="37" customWidth="1"/>
    <col min="3" max="3" width="42" customWidth="1"/>
    <col min="4" max="4" width="20.140625" customWidth="1"/>
  </cols>
  <sheetData>
    <row r="1" spans="2:4" ht="15.75" thickBot="1" x14ac:dyDescent="0.3"/>
    <row r="2" spans="2:4" ht="15.75" thickBot="1" x14ac:dyDescent="0.3">
      <c r="B2" s="344" t="s">
        <v>68</v>
      </c>
      <c r="C2" s="345"/>
      <c r="D2" s="346"/>
    </row>
    <row r="3" spans="2:4" x14ac:dyDescent="0.25">
      <c r="B3" s="27" t="s">
        <v>63</v>
      </c>
      <c r="C3" s="10" t="s">
        <v>61</v>
      </c>
      <c r="D3" s="35" t="s">
        <v>62</v>
      </c>
    </row>
    <row r="4" spans="2:4" x14ac:dyDescent="0.25">
      <c r="B4" s="24" t="s">
        <v>69</v>
      </c>
      <c r="C4" s="13" t="s">
        <v>60</v>
      </c>
      <c r="D4" s="34">
        <v>31</v>
      </c>
    </row>
    <row r="5" spans="2:4" x14ac:dyDescent="0.25">
      <c r="B5" s="24" t="s">
        <v>64</v>
      </c>
      <c r="C5" s="13" t="s">
        <v>65</v>
      </c>
      <c r="D5" s="34">
        <v>10</v>
      </c>
    </row>
    <row r="6" spans="2:4" x14ac:dyDescent="0.25">
      <c r="B6" s="28" t="s">
        <v>66</v>
      </c>
      <c r="C6" s="29" t="s">
        <v>67</v>
      </c>
      <c r="D6" s="30">
        <v>10</v>
      </c>
    </row>
    <row r="7" spans="2:4" x14ac:dyDescent="0.25">
      <c r="B7" s="28" t="s">
        <v>69</v>
      </c>
      <c r="C7" s="29" t="s">
        <v>74</v>
      </c>
      <c r="D7" s="30">
        <v>24.000000000000004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5B30C-E3DB-41D7-BA0D-80F38CFD241A}">
  <sheetPr codeName="Feuil21">
    <tabColor rgb="FFFF0000"/>
  </sheetPr>
  <dimension ref="B1:D8"/>
  <sheetViews>
    <sheetView workbookViewId="0">
      <selection activeCell="FD32" sqref="FD32"/>
    </sheetView>
  </sheetViews>
  <sheetFormatPr baseColWidth="10" defaultRowHeight="15" x14ac:dyDescent="0.25"/>
  <cols>
    <col min="2" max="2" width="39.28515625" customWidth="1"/>
    <col min="3" max="3" width="30.5703125" customWidth="1"/>
    <col min="4" max="4" width="23.28515625" customWidth="1"/>
  </cols>
  <sheetData>
    <row r="1" spans="2:4" ht="15.75" thickBot="1" x14ac:dyDescent="0.3"/>
    <row r="2" spans="2:4" ht="15.75" thickBot="1" x14ac:dyDescent="0.3">
      <c r="B2" s="338" t="s">
        <v>77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71</v>
      </c>
      <c r="C4" s="29" t="s">
        <v>72</v>
      </c>
      <c r="D4" s="30">
        <v>10</v>
      </c>
    </row>
    <row r="5" spans="2:4" x14ac:dyDescent="0.25">
      <c r="B5" s="24" t="s">
        <v>20</v>
      </c>
      <c r="C5" s="13" t="s">
        <v>73</v>
      </c>
      <c r="D5" s="34">
        <v>50</v>
      </c>
    </row>
    <row r="6" spans="2:4" x14ac:dyDescent="0.25">
      <c r="B6" s="28" t="s">
        <v>75</v>
      </c>
      <c r="C6" s="29" t="s">
        <v>76</v>
      </c>
      <c r="D6" s="30">
        <v>20</v>
      </c>
    </row>
    <row r="7" spans="2:4" x14ac:dyDescent="0.25">
      <c r="B7" s="28" t="s">
        <v>249</v>
      </c>
      <c r="C7" s="29" t="s">
        <v>251</v>
      </c>
      <c r="D7" s="30">
        <v>125</v>
      </c>
    </row>
    <row r="8" spans="2:4" x14ac:dyDescent="0.25">
      <c r="B8" s="28" t="s">
        <v>250</v>
      </c>
      <c r="C8" s="29" t="s">
        <v>252</v>
      </c>
      <c r="D8" s="30">
        <v>75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E80B7-5E28-471A-B9D8-09C1958BA58E}">
  <sheetPr codeName="Feuil22">
    <tabColor rgb="FFFF0000"/>
  </sheetPr>
  <dimension ref="B1:D20"/>
  <sheetViews>
    <sheetView workbookViewId="0">
      <selection activeCell="F13" sqref="F13"/>
    </sheetView>
  </sheetViews>
  <sheetFormatPr baseColWidth="10" defaultRowHeight="15" x14ac:dyDescent="0.25"/>
  <cols>
    <col min="2" max="3" width="46.28515625" customWidth="1"/>
    <col min="4" max="4" width="32.5703125" customWidth="1"/>
  </cols>
  <sheetData>
    <row r="1" spans="2:4" ht="15.75" thickBot="1" x14ac:dyDescent="0.3"/>
    <row r="2" spans="2:4" ht="15.75" thickBot="1" x14ac:dyDescent="0.3">
      <c r="B2" s="338" t="s">
        <v>78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79</v>
      </c>
      <c r="C4" s="29" t="s">
        <v>80</v>
      </c>
      <c r="D4" s="30">
        <v>10.7</v>
      </c>
    </row>
    <row r="5" spans="2:4" x14ac:dyDescent="0.25">
      <c r="B5" s="24" t="s">
        <v>81</v>
      </c>
      <c r="C5" s="13" t="s">
        <v>82</v>
      </c>
      <c r="D5" s="34">
        <v>10.7</v>
      </c>
    </row>
    <row r="6" spans="2:4" x14ac:dyDescent="0.25">
      <c r="B6" s="28" t="s">
        <v>83</v>
      </c>
      <c r="C6" s="13" t="s">
        <v>82</v>
      </c>
      <c r="D6" s="30">
        <v>10.7</v>
      </c>
    </row>
    <row r="7" spans="2:4" x14ac:dyDescent="0.25">
      <c r="B7" s="24" t="s">
        <v>79</v>
      </c>
      <c r="C7" s="13" t="s">
        <v>84</v>
      </c>
      <c r="D7" s="34">
        <v>3.0000000000000004</v>
      </c>
    </row>
    <row r="8" spans="2:4" x14ac:dyDescent="0.25">
      <c r="B8" s="24" t="s">
        <v>81</v>
      </c>
      <c r="C8" s="13" t="s">
        <v>84</v>
      </c>
      <c r="D8" s="34">
        <v>3.0000000000000004</v>
      </c>
    </row>
    <row r="9" spans="2:4" x14ac:dyDescent="0.25">
      <c r="B9" s="28" t="s">
        <v>83</v>
      </c>
      <c r="C9" s="13" t="s">
        <v>84</v>
      </c>
      <c r="D9" s="30">
        <v>3.0000000000000004</v>
      </c>
    </row>
    <row r="10" spans="2:4" x14ac:dyDescent="0.25">
      <c r="B10" s="28" t="s">
        <v>86</v>
      </c>
      <c r="C10" s="29" t="s">
        <v>87</v>
      </c>
      <c r="D10" s="30">
        <v>33.000000000000014</v>
      </c>
    </row>
    <row r="11" spans="2:4" x14ac:dyDescent="0.25">
      <c r="B11" s="28" t="s">
        <v>86</v>
      </c>
      <c r="C11" s="29" t="s">
        <v>85</v>
      </c>
      <c r="D11" s="30">
        <v>60</v>
      </c>
    </row>
    <row r="12" spans="2:4" x14ac:dyDescent="0.25">
      <c r="B12" s="28" t="s">
        <v>88</v>
      </c>
      <c r="C12" s="29" t="s">
        <v>89</v>
      </c>
      <c r="D12" s="30">
        <v>3</v>
      </c>
    </row>
    <row r="13" spans="2:4" x14ac:dyDescent="0.25">
      <c r="B13" s="28" t="s">
        <v>88</v>
      </c>
      <c r="C13" s="29" t="s">
        <v>90</v>
      </c>
      <c r="D13" s="30">
        <v>5</v>
      </c>
    </row>
    <row r="14" spans="2:4" x14ac:dyDescent="0.25">
      <c r="B14" s="28" t="s">
        <v>91</v>
      </c>
      <c r="C14" s="29" t="s">
        <v>92</v>
      </c>
      <c r="D14" s="30">
        <v>5</v>
      </c>
    </row>
    <row r="15" spans="2:4" x14ac:dyDescent="0.25">
      <c r="B15" s="28" t="s">
        <v>93</v>
      </c>
      <c r="C15" s="29" t="s">
        <v>94</v>
      </c>
      <c r="D15" s="30">
        <v>5</v>
      </c>
    </row>
    <row r="16" spans="2:4" x14ac:dyDescent="0.25">
      <c r="B16" s="28" t="s">
        <v>93</v>
      </c>
      <c r="C16" s="29" t="s">
        <v>95</v>
      </c>
      <c r="D16" s="30">
        <v>5</v>
      </c>
    </row>
    <row r="17" spans="2:4" x14ac:dyDescent="0.25">
      <c r="B17" s="28" t="s">
        <v>96</v>
      </c>
      <c r="C17" s="29" t="s">
        <v>97</v>
      </c>
      <c r="D17" s="30">
        <v>6</v>
      </c>
    </row>
    <row r="18" spans="2:4" x14ac:dyDescent="0.25">
      <c r="B18" s="28" t="s">
        <v>96</v>
      </c>
      <c r="C18" s="29" t="s">
        <v>95</v>
      </c>
      <c r="D18" s="30">
        <v>5</v>
      </c>
    </row>
    <row r="19" spans="2:4" x14ac:dyDescent="0.25">
      <c r="B19" s="28" t="s">
        <v>98</v>
      </c>
      <c r="C19" s="29" t="s">
        <v>99</v>
      </c>
      <c r="D19" s="30">
        <v>5</v>
      </c>
    </row>
    <row r="20" spans="2:4" x14ac:dyDescent="0.25">
      <c r="B20" s="28" t="s">
        <v>100</v>
      </c>
      <c r="C20" s="29" t="s">
        <v>101</v>
      </c>
      <c r="D20" s="30">
        <v>6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62D3-012A-4CF2-917A-7CF0F7F7E25B}">
  <sheetPr codeName="Feuil23">
    <tabColor rgb="FFFF0000"/>
  </sheetPr>
  <dimension ref="B1:D10"/>
  <sheetViews>
    <sheetView workbookViewId="0">
      <selection activeCell="G11" sqref="G11"/>
    </sheetView>
  </sheetViews>
  <sheetFormatPr baseColWidth="10" defaultRowHeight="15" x14ac:dyDescent="0.25"/>
  <cols>
    <col min="2" max="2" width="50.140625" customWidth="1"/>
    <col min="3" max="3" width="65" customWidth="1"/>
    <col min="4" max="4" width="18.140625" customWidth="1"/>
  </cols>
  <sheetData>
    <row r="1" spans="2:4" ht="15.75" thickBot="1" x14ac:dyDescent="0.3"/>
    <row r="2" spans="2:4" ht="15.75" thickBot="1" x14ac:dyDescent="0.3">
      <c r="B2" s="338" t="s">
        <v>102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98</v>
      </c>
      <c r="C4" s="29" t="s">
        <v>103</v>
      </c>
      <c r="D4" s="30">
        <v>13.999999999999998</v>
      </c>
    </row>
    <row r="5" spans="2:4" x14ac:dyDescent="0.25">
      <c r="B5" s="24" t="s">
        <v>104</v>
      </c>
      <c r="C5" s="13" t="s">
        <v>105</v>
      </c>
      <c r="D5" s="34">
        <v>12.7</v>
      </c>
    </row>
    <row r="6" spans="2:4" x14ac:dyDescent="0.25">
      <c r="B6" s="24" t="s">
        <v>104</v>
      </c>
      <c r="C6" s="13" t="s">
        <v>106</v>
      </c>
      <c r="D6" s="30">
        <v>6</v>
      </c>
    </row>
    <row r="7" spans="2:4" x14ac:dyDescent="0.25">
      <c r="B7" s="24" t="s">
        <v>86</v>
      </c>
      <c r="C7" s="13" t="s">
        <v>107</v>
      </c>
      <c r="D7" s="34">
        <v>90</v>
      </c>
    </row>
    <row r="8" spans="2:4" x14ac:dyDescent="0.25">
      <c r="B8" s="28" t="s">
        <v>109</v>
      </c>
      <c r="C8" s="29" t="s">
        <v>84</v>
      </c>
      <c r="D8" s="30">
        <v>3.0000000000000004</v>
      </c>
    </row>
    <row r="9" spans="2:4" x14ac:dyDescent="0.25">
      <c r="B9" s="28" t="s">
        <v>104</v>
      </c>
      <c r="C9" s="29" t="s">
        <v>84</v>
      </c>
      <c r="D9" s="30">
        <v>8</v>
      </c>
    </row>
    <row r="10" spans="2:4" x14ac:dyDescent="0.25">
      <c r="B10" s="28" t="s">
        <v>281</v>
      </c>
      <c r="C10" s="29" t="s">
        <v>282</v>
      </c>
      <c r="D10" s="30">
        <v>6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E7071-9C90-4332-97AD-840A95D49996}">
  <sheetPr codeName="Feuil24">
    <tabColor rgb="FFFF0000"/>
  </sheetPr>
  <dimension ref="B1:D11"/>
  <sheetViews>
    <sheetView workbookViewId="0">
      <selection activeCell="B12" sqref="B12"/>
    </sheetView>
  </sheetViews>
  <sheetFormatPr baseColWidth="10" defaultRowHeight="15" x14ac:dyDescent="0.25"/>
  <cols>
    <col min="2" max="2" width="47.42578125" customWidth="1"/>
    <col min="3" max="3" width="69.7109375" customWidth="1"/>
    <col min="4" max="4" width="17.140625" customWidth="1"/>
  </cols>
  <sheetData>
    <row r="1" spans="2:4" ht="15.75" thickBot="1" x14ac:dyDescent="0.3"/>
    <row r="2" spans="2:4" ht="15.75" thickBot="1" x14ac:dyDescent="0.3">
      <c r="B2" s="338" t="s">
        <v>108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104</v>
      </c>
      <c r="C4" s="29" t="s">
        <v>84</v>
      </c>
      <c r="D4" s="30">
        <v>8</v>
      </c>
    </row>
    <row r="5" spans="2:4" x14ac:dyDescent="0.25">
      <c r="B5" s="24" t="s">
        <v>110</v>
      </c>
      <c r="C5" s="29" t="s">
        <v>84</v>
      </c>
      <c r="D5" s="34">
        <v>8</v>
      </c>
    </row>
    <row r="6" spans="2:4" x14ac:dyDescent="0.25">
      <c r="B6" s="24" t="s">
        <v>110</v>
      </c>
      <c r="C6" s="13" t="s">
        <v>111</v>
      </c>
      <c r="D6" s="30">
        <v>12.7</v>
      </c>
    </row>
    <row r="7" spans="2:4" x14ac:dyDescent="0.25">
      <c r="B7" s="24" t="s">
        <v>104</v>
      </c>
      <c r="C7" s="29" t="s">
        <v>103</v>
      </c>
      <c r="D7" s="34">
        <v>13.999999999999998</v>
      </c>
    </row>
    <row r="8" spans="2:4" x14ac:dyDescent="0.25">
      <c r="B8" s="28" t="s">
        <v>104</v>
      </c>
      <c r="C8" s="29" t="s">
        <v>112</v>
      </c>
      <c r="D8" s="30">
        <v>10</v>
      </c>
    </row>
    <row r="9" spans="2:4" x14ac:dyDescent="0.25">
      <c r="B9" s="24" t="s">
        <v>86</v>
      </c>
      <c r="C9" s="29" t="s">
        <v>107</v>
      </c>
      <c r="D9" s="30">
        <v>90</v>
      </c>
    </row>
    <row r="10" spans="2:4" x14ac:dyDescent="0.25">
      <c r="B10" s="28" t="s">
        <v>104</v>
      </c>
      <c r="C10" s="29" t="s">
        <v>113</v>
      </c>
      <c r="D10" s="30">
        <v>6</v>
      </c>
    </row>
    <row r="11" spans="2:4" x14ac:dyDescent="0.25">
      <c r="B11" s="28" t="s">
        <v>281</v>
      </c>
      <c r="C11" s="29" t="s">
        <v>283</v>
      </c>
      <c r="D11" s="30">
        <v>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97106-8D70-4D84-A762-F427A894643A}">
  <sheetPr codeName="Feuil25">
    <tabColor rgb="FFFF0000"/>
  </sheetPr>
  <dimension ref="B1:D7"/>
  <sheetViews>
    <sheetView workbookViewId="0">
      <selection activeCell="C6" sqref="C6"/>
    </sheetView>
  </sheetViews>
  <sheetFormatPr baseColWidth="10" defaultRowHeight="15" x14ac:dyDescent="0.25"/>
  <cols>
    <col min="2" max="2" width="50.140625" customWidth="1"/>
    <col min="3" max="3" width="66" customWidth="1"/>
    <col min="4" max="4" width="13.7109375" customWidth="1"/>
  </cols>
  <sheetData>
    <row r="1" spans="2:4" ht="15.75" thickBot="1" x14ac:dyDescent="0.3"/>
    <row r="2" spans="2:4" ht="15.75" thickBot="1" x14ac:dyDescent="0.3">
      <c r="B2" s="338" t="s">
        <v>114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115</v>
      </c>
      <c r="C4" s="29" t="s">
        <v>116</v>
      </c>
      <c r="D4" s="30">
        <v>9.3000000000000007</v>
      </c>
    </row>
    <row r="5" spans="2:4" x14ac:dyDescent="0.25">
      <c r="B5" s="28" t="s">
        <v>115</v>
      </c>
      <c r="C5" s="29" t="s">
        <v>297</v>
      </c>
      <c r="D5" s="34">
        <v>14</v>
      </c>
    </row>
    <row r="6" spans="2:4" x14ac:dyDescent="0.25">
      <c r="B6" s="28" t="s">
        <v>115</v>
      </c>
      <c r="C6" s="29" t="s">
        <v>84</v>
      </c>
      <c r="D6" s="30">
        <v>2.5</v>
      </c>
    </row>
    <row r="7" spans="2:4" x14ac:dyDescent="0.25">
      <c r="B7" s="24" t="s">
        <v>118</v>
      </c>
      <c r="C7" s="29" t="s">
        <v>84</v>
      </c>
      <c r="D7" s="34">
        <v>3.0000000000000004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ED701-285E-4CF0-99C7-156AD9ACD85C}">
  <sheetPr codeName="Feuil26">
    <tabColor rgb="FFFF0000"/>
  </sheetPr>
  <dimension ref="B1:D6"/>
  <sheetViews>
    <sheetView workbookViewId="0">
      <selection activeCell="C22" sqref="C22"/>
    </sheetView>
  </sheetViews>
  <sheetFormatPr baseColWidth="10" defaultRowHeight="15" x14ac:dyDescent="0.25"/>
  <cols>
    <col min="2" max="2" width="37.5703125" customWidth="1"/>
    <col min="3" max="3" width="66.42578125" customWidth="1"/>
  </cols>
  <sheetData>
    <row r="1" spans="2:4" ht="15.75" thickBot="1" x14ac:dyDescent="0.3"/>
    <row r="2" spans="2:4" ht="15.75" thickBot="1" x14ac:dyDescent="0.3">
      <c r="B2" s="338" t="s">
        <v>119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115</v>
      </c>
      <c r="C4" s="29" t="s">
        <v>84</v>
      </c>
      <c r="D4" s="30">
        <v>2.5</v>
      </c>
    </row>
    <row r="5" spans="2:4" x14ac:dyDescent="0.25">
      <c r="B5" s="28" t="s">
        <v>115</v>
      </c>
      <c r="C5" s="29" t="s">
        <v>116</v>
      </c>
      <c r="D5" s="34">
        <v>9.3000000000000007</v>
      </c>
    </row>
    <row r="6" spans="2:4" x14ac:dyDescent="0.25">
      <c r="B6" s="28" t="s">
        <v>115</v>
      </c>
      <c r="C6" s="29" t="s">
        <v>117</v>
      </c>
      <c r="D6" s="30">
        <v>10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6DA95-1665-451B-B306-590DF84329A5}">
  <sheetPr codeName="Feuil27">
    <tabColor rgb="FFFF0000"/>
  </sheetPr>
  <dimension ref="B1:D7"/>
  <sheetViews>
    <sheetView workbookViewId="0">
      <selection activeCell="D6" sqref="D6"/>
    </sheetView>
  </sheetViews>
  <sheetFormatPr baseColWidth="10" defaultRowHeight="15" x14ac:dyDescent="0.25"/>
  <cols>
    <col min="2" max="2" width="56" customWidth="1"/>
    <col min="3" max="3" width="43" customWidth="1"/>
    <col min="4" max="4" width="18.85546875" customWidth="1"/>
  </cols>
  <sheetData>
    <row r="1" spans="2:4" ht="15.75" thickBot="1" x14ac:dyDescent="0.3"/>
    <row r="2" spans="2:4" ht="15.75" thickBot="1" x14ac:dyDescent="0.3">
      <c r="B2" s="338" t="s">
        <v>124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125</v>
      </c>
      <c r="C4" s="29" t="s">
        <v>126</v>
      </c>
      <c r="D4" s="30">
        <v>9.3000000000000007</v>
      </c>
    </row>
    <row r="5" spans="2:4" x14ac:dyDescent="0.25">
      <c r="B5" s="28" t="s">
        <v>127</v>
      </c>
      <c r="C5" s="29" t="s">
        <v>128</v>
      </c>
      <c r="D5" s="34">
        <v>12.000000000000002</v>
      </c>
    </row>
    <row r="6" spans="2:4" x14ac:dyDescent="0.25">
      <c r="B6" s="28" t="s">
        <v>125</v>
      </c>
      <c r="C6" s="29" t="s">
        <v>84</v>
      </c>
      <c r="D6" s="30">
        <v>2.5</v>
      </c>
    </row>
    <row r="7" spans="2:4" x14ac:dyDescent="0.25">
      <c r="B7" s="28" t="s">
        <v>127</v>
      </c>
      <c r="C7" s="29" t="s">
        <v>84</v>
      </c>
      <c r="D7" s="30">
        <v>2.5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3E12A-3804-47AB-9CF8-F9B67900EC2A}">
  <sheetPr codeName="Feuil28">
    <tabColor rgb="FFFF0000"/>
  </sheetPr>
  <dimension ref="B1:D8"/>
  <sheetViews>
    <sheetView workbookViewId="0">
      <selection activeCell="G8" sqref="G8"/>
    </sheetView>
  </sheetViews>
  <sheetFormatPr baseColWidth="10" defaultRowHeight="15" x14ac:dyDescent="0.25"/>
  <cols>
    <col min="2" max="2" width="58.28515625" customWidth="1"/>
    <col min="3" max="3" width="58.7109375" customWidth="1"/>
  </cols>
  <sheetData>
    <row r="1" spans="2:4" ht="15.75" thickBot="1" x14ac:dyDescent="0.3"/>
    <row r="2" spans="2:4" ht="15.75" thickBot="1" x14ac:dyDescent="0.3">
      <c r="B2" s="338" t="s">
        <v>129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125</v>
      </c>
      <c r="C4" s="29" t="s">
        <v>84</v>
      </c>
      <c r="D4" s="244">
        <v>2.5</v>
      </c>
    </row>
    <row r="5" spans="2:4" x14ac:dyDescent="0.25">
      <c r="B5" s="28" t="s">
        <v>125</v>
      </c>
      <c r="C5" s="29" t="s">
        <v>130</v>
      </c>
      <c r="D5" s="245">
        <v>10</v>
      </c>
    </row>
    <row r="6" spans="2:4" x14ac:dyDescent="0.25">
      <c r="B6" s="28" t="s">
        <v>125</v>
      </c>
      <c r="C6" s="29" t="s">
        <v>131</v>
      </c>
      <c r="D6" s="244">
        <v>10</v>
      </c>
    </row>
    <row r="7" spans="2:4" x14ac:dyDescent="0.25">
      <c r="B7" s="28" t="s">
        <v>132</v>
      </c>
      <c r="C7" s="29" t="s">
        <v>84</v>
      </c>
      <c r="D7" s="244">
        <v>8</v>
      </c>
    </row>
    <row r="8" spans="2:4" x14ac:dyDescent="0.25">
      <c r="B8" s="28" t="s">
        <v>132</v>
      </c>
      <c r="C8" s="29" t="s">
        <v>133</v>
      </c>
      <c r="D8" s="244">
        <v>8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0C7EB-9BEB-40FC-AECE-D68FBD682EA6}">
  <sheetPr codeName="Feuil29">
    <tabColor rgb="FFFF0000"/>
  </sheetPr>
  <dimension ref="B1:D7"/>
  <sheetViews>
    <sheetView workbookViewId="0">
      <selection activeCell="D19" sqref="D19"/>
    </sheetView>
  </sheetViews>
  <sheetFormatPr baseColWidth="10" defaultRowHeight="15" x14ac:dyDescent="0.25"/>
  <cols>
    <col min="2" max="2" width="46.28515625" customWidth="1"/>
    <col min="3" max="3" width="57.5703125" customWidth="1"/>
  </cols>
  <sheetData>
    <row r="1" spans="2:4" ht="15.75" thickBot="1" x14ac:dyDescent="0.3"/>
    <row r="2" spans="2:4" ht="15.75" thickBot="1" x14ac:dyDescent="0.3">
      <c r="B2" s="338" t="s">
        <v>134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135</v>
      </c>
      <c r="C4" s="29" t="s">
        <v>126</v>
      </c>
      <c r="D4" s="30">
        <v>9.3000000000000007</v>
      </c>
    </row>
    <row r="5" spans="2:4" x14ac:dyDescent="0.25">
      <c r="B5" s="28" t="s">
        <v>136</v>
      </c>
      <c r="C5" s="29" t="s">
        <v>128</v>
      </c>
      <c r="D5" s="34">
        <v>12.000000000000002</v>
      </c>
    </row>
    <row r="6" spans="2:4" x14ac:dyDescent="0.25">
      <c r="B6" s="28" t="s">
        <v>135</v>
      </c>
      <c r="C6" s="29" t="s">
        <v>84</v>
      </c>
      <c r="D6" s="30">
        <v>2.5</v>
      </c>
    </row>
    <row r="7" spans="2:4" x14ac:dyDescent="0.25">
      <c r="B7" s="28" t="s">
        <v>136</v>
      </c>
      <c r="C7" s="29" t="s">
        <v>84</v>
      </c>
      <c r="D7" s="30">
        <v>2.5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CE916-CA46-436D-A1C0-98DFEA42EA5E}">
  <sheetPr codeName="Feuil30">
    <tabColor rgb="FFFF0000"/>
  </sheetPr>
  <dimension ref="B1:D8"/>
  <sheetViews>
    <sheetView workbookViewId="0">
      <selection activeCell="D6" sqref="D6"/>
    </sheetView>
  </sheetViews>
  <sheetFormatPr baseColWidth="10" defaultRowHeight="15" x14ac:dyDescent="0.25"/>
  <cols>
    <col min="2" max="2" width="57.42578125" customWidth="1"/>
    <col min="3" max="3" width="58.42578125" customWidth="1"/>
  </cols>
  <sheetData>
    <row r="1" spans="2:4" ht="15.75" thickBot="1" x14ac:dyDescent="0.3"/>
    <row r="2" spans="2:4" ht="15.75" thickBot="1" x14ac:dyDescent="0.3">
      <c r="B2" s="338" t="s">
        <v>137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135</v>
      </c>
      <c r="C4" s="29" t="s">
        <v>84</v>
      </c>
      <c r="D4" s="30">
        <v>2.5</v>
      </c>
    </row>
    <row r="5" spans="2:4" x14ac:dyDescent="0.25">
      <c r="B5" s="28" t="s">
        <v>135</v>
      </c>
      <c r="C5" s="29" t="s">
        <v>138</v>
      </c>
      <c r="D5" s="34">
        <v>10</v>
      </c>
    </row>
    <row r="6" spans="2:4" x14ac:dyDescent="0.25">
      <c r="B6" s="28" t="s">
        <v>135</v>
      </c>
      <c r="C6" s="29" t="s">
        <v>131</v>
      </c>
      <c r="D6" s="30">
        <v>10</v>
      </c>
    </row>
    <row r="7" spans="2:4" x14ac:dyDescent="0.25">
      <c r="B7" s="28" t="s">
        <v>66</v>
      </c>
      <c r="C7" s="29" t="s">
        <v>84</v>
      </c>
      <c r="D7" s="30">
        <v>10</v>
      </c>
    </row>
    <row r="8" spans="2:4" x14ac:dyDescent="0.25">
      <c r="B8" s="28" t="s">
        <v>66</v>
      </c>
      <c r="C8" s="29" t="s">
        <v>133</v>
      </c>
      <c r="D8" s="30">
        <v>8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7B960-A863-4FDF-B2C7-040B10EE17F5}">
  <sheetPr codeName="Feuil31">
    <tabColor rgb="FFFF0000"/>
  </sheetPr>
  <dimension ref="B1:H8"/>
  <sheetViews>
    <sheetView workbookViewId="0">
      <selection activeCell="F10" sqref="F10"/>
    </sheetView>
  </sheetViews>
  <sheetFormatPr baseColWidth="10" defaultRowHeight="15" x14ac:dyDescent="0.25"/>
  <cols>
    <col min="2" max="2" width="43.5703125" customWidth="1"/>
    <col min="3" max="3" width="41.42578125" customWidth="1"/>
    <col min="6" max="6" width="42.5703125" customWidth="1"/>
    <col min="7" max="7" width="34.28515625" customWidth="1"/>
  </cols>
  <sheetData>
    <row r="1" spans="2:8" ht="15.75" thickBot="1" x14ac:dyDescent="0.3"/>
    <row r="2" spans="2:8" ht="15.75" thickBot="1" x14ac:dyDescent="0.3">
      <c r="B2" s="338" t="s">
        <v>143</v>
      </c>
      <c r="C2" s="339"/>
      <c r="D2" s="340"/>
      <c r="F2" s="338" t="s">
        <v>144</v>
      </c>
      <c r="G2" s="339"/>
      <c r="H2" s="340"/>
    </row>
    <row r="3" spans="2:8" x14ac:dyDescent="0.25">
      <c r="B3" s="27" t="s">
        <v>70</v>
      </c>
      <c r="C3" s="10" t="s">
        <v>61</v>
      </c>
      <c r="D3" s="35" t="s">
        <v>62</v>
      </c>
      <c r="F3" s="27" t="s">
        <v>70</v>
      </c>
      <c r="G3" s="10" t="s">
        <v>61</v>
      </c>
      <c r="H3" s="35" t="s">
        <v>62</v>
      </c>
    </row>
    <row r="4" spans="2:8" x14ac:dyDescent="0.25">
      <c r="B4" s="28" t="s">
        <v>140</v>
      </c>
      <c r="C4" s="29" t="s">
        <v>139</v>
      </c>
      <c r="D4" s="30">
        <v>35</v>
      </c>
      <c r="F4" s="28" t="s">
        <v>146</v>
      </c>
      <c r="G4" s="29" t="s">
        <v>147</v>
      </c>
      <c r="H4" s="30">
        <v>35</v>
      </c>
    </row>
    <row r="5" spans="2:8" x14ac:dyDescent="0.25">
      <c r="B5" s="28" t="s">
        <v>145</v>
      </c>
      <c r="C5" s="29" t="s">
        <v>84</v>
      </c>
      <c r="D5" s="34">
        <v>10</v>
      </c>
      <c r="F5" s="28" t="s">
        <v>141</v>
      </c>
      <c r="G5" s="29" t="s">
        <v>84</v>
      </c>
      <c r="H5" s="34">
        <v>10</v>
      </c>
    </row>
    <row r="6" spans="2:8" x14ac:dyDescent="0.25">
      <c r="B6" s="28" t="s">
        <v>132</v>
      </c>
      <c r="C6" s="29" t="s">
        <v>84</v>
      </c>
      <c r="D6" s="30">
        <v>8</v>
      </c>
      <c r="F6" s="28" t="s">
        <v>132</v>
      </c>
      <c r="G6" s="29" t="s">
        <v>84</v>
      </c>
      <c r="H6" s="30">
        <v>8</v>
      </c>
    </row>
    <row r="7" spans="2:8" x14ac:dyDescent="0.25">
      <c r="B7" s="28" t="s">
        <v>140</v>
      </c>
      <c r="C7" s="29" t="s">
        <v>142</v>
      </c>
      <c r="D7" s="30">
        <v>22</v>
      </c>
      <c r="F7" s="28" t="s">
        <v>146</v>
      </c>
      <c r="G7" s="29" t="s">
        <v>148</v>
      </c>
      <c r="H7" s="30">
        <v>22</v>
      </c>
    </row>
    <row r="8" spans="2:8" x14ac:dyDescent="0.25">
      <c r="B8" s="28" t="s">
        <v>140</v>
      </c>
      <c r="C8" s="29" t="s">
        <v>298</v>
      </c>
      <c r="D8" s="30">
        <v>100</v>
      </c>
      <c r="F8" s="28" t="s">
        <v>146</v>
      </c>
      <c r="G8" s="29" t="s">
        <v>299</v>
      </c>
      <c r="H8" s="30">
        <v>100</v>
      </c>
    </row>
  </sheetData>
  <mergeCells count="2">
    <mergeCell ref="B2:D2"/>
    <mergeCell ref="F2:H2"/>
  </mergeCells>
  <pageMargins left="0.7" right="0.7" top="0.75" bottom="0.75" header="0.3" footer="0.3"/>
  <tableParts count="2">
    <tablePart r:id="rId1"/>
    <tablePart r:id="rId2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646B2-6671-4939-920F-3A29C5A93D4F}">
  <sheetPr codeName="Feuil32">
    <tabColor rgb="FFFF0000"/>
  </sheetPr>
  <dimension ref="B1:D8"/>
  <sheetViews>
    <sheetView workbookViewId="0">
      <selection activeCell="I14" sqref="I14"/>
    </sheetView>
  </sheetViews>
  <sheetFormatPr baseColWidth="10" defaultRowHeight="15" x14ac:dyDescent="0.25"/>
  <cols>
    <col min="2" max="2" width="44.7109375" customWidth="1"/>
    <col min="3" max="3" width="47.7109375" customWidth="1"/>
    <col min="4" max="4" width="16.5703125" customWidth="1"/>
  </cols>
  <sheetData>
    <row r="1" spans="2:4" ht="15.75" thickBot="1" x14ac:dyDescent="0.3"/>
    <row r="2" spans="2:4" ht="15.75" thickBot="1" x14ac:dyDescent="0.3">
      <c r="B2" s="338" t="s">
        <v>149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150</v>
      </c>
      <c r="C4" s="29" t="s">
        <v>151</v>
      </c>
      <c r="D4" s="30">
        <v>10.7</v>
      </c>
    </row>
    <row r="5" spans="2:4" x14ac:dyDescent="0.25">
      <c r="B5" s="28" t="s">
        <v>150</v>
      </c>
      <c r="C5" s="29" t="s">
        <v>152</v>
      </c>
      <c r="D5" s="34">
        <v>16</v>
      </c>
    </row>
    <row r="6" spans="2:4" x14ac:dyDescent="0.25">
      <c r="B6" s="28" t="s">
        <v>150</v>
      </c>
      <c r="C6" s="29" t="s">
        <v>84</v>
      </c>
      <c r="D6" s="30">
        <v>6.0000000000000009</v>
      </c>
    </row>
    <row r="7" spans="2:4" x14ac:dyDescent="0.25">
      <c r="B7" s="28" t="s">
        <v>153</v>
      </c>
      <c r="C7" s="29" t="s">
        <v>84</v>
      </c>
      <c r="D7" s="30">
        <v>3.0000000000000004</v>
      </c>
    </row>
    <row r="8" spans="2:4" x14ac:dyDescent="0.25">
      <c r="B8" s="28" t="s">
        <v>301</v>
      </c>
      <c r="C8" s="29" t="s">
        <v>300</v>
      </c>
      <c r="D8" s="30">
        <v>19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ABD50-3DD0-4AAB-BF02-900F0E37F47F}">
  <sheetPr codeName="Feuil33">
    <tabColor rgb="FFFF0000"/>
  </sheetPr>
  <dimension ref="B1:D8"/>
  <sheetViews>
    <sheetView workbookViewId="0">
      <selection activeCell="G16" sqref="G16"/>
    </sheetView>
  </sheetViews>
  <sheetFormatPr baseColWidth="10" defaultRowHeight="15" x14ac:dyDescent="0.25"/>
  <cols>
    <col min="2" max="2" width="32.7109375" customWidth="1"/>
    <col min="3" max="3" width="46.140625" customWidth="1"/>
    <col min="4" max="4" width="19.28515625" customWidth="1"/>
  </cols>
  <sheetData>
    <row r="1" spans="2:4" ht="15.75" thickBot="1" x14ac:dyDescent="0.3"/>
    <row r="2" spans="2:4" ht="15.75" thickBot="1" x14ac:dyDescent="0.3">
      <c r="B2" s="338" t="s">
        <v>154</v>
      </c>
      <c r="C2" s="339"/>
      <c r="D2" s="340"/>
    </row>
    <row r="3" spans="2:4" x14ac:dyDescent="0.25">
      <c r="B3" s="27" t="s">
        <v>70</v>
      </c>
      <c r="C3" s="10" t="s">
        <v>61</v>
      </c>
      <c r="D3" s="35" t="s">
        <v>62</v>
      </c>
    </row>
    <row r="4" spans="2:4" x14ac:dyDescent="0.25">
      <c r="B4" s="28" t="s">
        <v>155</v>
      </c>
      <c r="C4" s="29" t="s">
        <v>156</v>
      </c>
      <c r="D4" s="30">
        <v>10.7</v>
      </c>
    </row>
    <row r="5" spans="2:4" x14ac:dyDescent="0.25">
      <c r="B5" s="28" t="s">
        <v>155</v>
      </c>
      <c r="C5" s="29" t="s">
        <v>165</v>
      </c>
      <c r="D5" s="34">
        <v>3</v>
      </c>
    </row>
    <row r="6" spans="2:4" x14ac:dyDescent="0.25">
      <c r="B6" s="28" t="s">
        <v>155</v>
      </c>
      <c r="C6" s="29" t="s">
        <v>166</v>
      </c>
      <c r="D6" s="30">
        <v>4</v>
      </c>
    </row>
    <row r="7" spans="2:4" x14ac:dyDescent="0.25">
      <c r="B7" s="28" t="s">
        <v>157</v>
      </c>
      <c r="C7" s="29" t="s">
        <v>158</v>
      </c>
      <c r="D7" s="30">
        <v>3.0000000000000004</v>
      </c>
    </row>
    <row r="8" spans="2:4" x14ac:dyDescent="0.25">
      <c r="B8" s="28" t="s">
        <v>159</v>
      </c>
      <c r="C8" s="29" t="s">
        <v>158</v>
      </c>
      <c r="D8" s="264">
        <f>D7</f>
        <v>3.0000000000000004</v>
      </c>
    </row>
  </sheetData>
  <mergeCells count="1">
    <mergeCell ref="B2:D2"/>
  </mergeCells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1E804-0CFE-4874-BAE7-F2E8F1CA7909}">
  <sheetPr codeName="Feuil34">
    <tabColor rgb="FFFFFF00"/>
  </sheetPr>
  <dimension ref="B1:GU46"/>
  <sheetViews>
    <sheetView workbookViewId="0">
      <selection activeCell="K34" sqref="K34"/>
    </sheetView>
  </sheetViews>
  <sheetFormatPr baseColWidth="10" defaultRowHeight="15" x14ac:dyDescent="0.25"/>
  <cols>
    <col min="3" max="3" width="11.42578125" style="20"/>
    <col min="4" max="15" width="8.7109375" style="20" customWidth="1"/>
    <col min="18" max="18" width="11.42578125" style="20" customWidth="1"/>
    <col min="19" max="30" width="8.7109375" customWidth="1"/>
    <col min="33" max="33" width="11.42578125" style="20"/>
    <col min="34" max="47" width="8.7109375" customWidth="1"/>
    <col min="48" max="62" width="8.7109375" style="20" customWidth="1"/>
    <col min="65" max="65" width="11.42578125" style="20"/>
    <col min="66" max="79" width="8.7109375" style="20" customWidth="1"/>
    <col min="82" max="82" width="11.42578125" style="20"/>
    <col min="83" max="84" width="8.7109375" style="20" customWidth="1"/>
    <col min="85" max="85" width="8.85546875" style="20" customWidth="1"/>
    <col min="86" max="94" width="8.7109375" style="20" customWidth="1"/>
    <col min="97" max="97" width="11.42578125" style="20" customWidth="1"/>
    <col min="98" max="105" width="8.7109375" style="20" customWidth="1"/>
    <col min="108" max="115" width="11.42578125" style="20"/>
    <col min="116" max="116" width="13" style="20" customWidth="1"/>
    <col min="119" max="119" width="11.42578125" style="20"/>
    <col min="120" max="130" width="8.7109375" style="20" customWidth="1"/>
    <col min="131" max="131" width="8.5703125" style="20" customWidth="1"/>
    <col min="132" max="132" width="8.7109375" style="20" customWidth="1"/>
    <col min="146" max="146" width="12.5703125" customWidth="1"/>
    <col min="151" max="151" width="11.42578125" style="20"/>
    <col min="152" max="161" width="8.7109375" style="20" customWidth="1"/>
    <col min="176" max="182" width="11.42578125" style="20"/>
    <col min="184" max="191" width="11.42578125" style="20"/>
    <col min="193" max="194" width="11.42578125" style="20"/>
    <col min="195" max="203" width="11.42578125" style="295"/>
  </cols>
  <sheetData>
    <row r="1" spans="2:203" ht="15.75" thickBot="1" x14ac:dyDescent="0.3"/>
    <row r="2" spans="2:203" ht="15.75" thickBot="1" x14ac:dyDescent="0.3">
      <c r="C2" s="367" t="s">
        <v>171</v>
      </c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  <c r="O2" s="369"/>
      <c r="R2" s="375" t="s">
        <v>171</v>
      </c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7"/>
      <c r="AH2" s="371" t="s">
        <v>168</v>
      </c>
      <c r="AI2" s="372"/>
      <c r="AJ2" s="372"/>
      <c r="AK2" s="372"/>
      <c r="AL2" s="372"/>
      <c r="AM2" s="372"/>
      <c r="AN2" s="372"/>
      <c r="AO2" s="372"/>
      <c r="AP2" s="372"/>
      <c r="AQ2" s="372"/>
      <c r="AR2" s="372"/>
      <c r="AS2" s="372"/>
      <c r="AT2" s="373"/>
      <c r="AU2" s="146"/>
      <c r="AV2" s="37"/>
      <c r="AW2" s="37"/>
      <c r="AX2" s="374"/>
      <c r="AY2" s="374"/>
      <c r="AZ2" s="374"/>
      <c r="BA2" s="374"/>
      <c r="BB2" s="374"/>
      <c r="BC2" s="374"/>
      <c r="BD2" s="374"/>
      <c r="BE2" s="374"/>
      <c r="BF2" s="374"/>
      <c r="BG2" s="374"/>
      <c r="BH2" s="374"/>
      <c r="BI2" s="374"/>
      <c r="BJ2" s="374"/>
      <c r="BM2" s="353" t="s">
        <v>239</v>
      </c>
      <c r="BN2" s="356"/>
      <c r="BO2" s="356"/>
      <c r="BP2" s="356"/>
      <c r="BQ2" s="356"/>
      <c r="BR2" s="356"/>
      <c r="BS2" s="356"/>
      <c r="BT2" s="356"/>
      <c r="BU2" s="356"/>
      <c r="BV2" s="356"/>
      <c r="BW2" s="356"/>
      <c r="BX2" s="356"/>
      <c r="BY2" s="356"/>
      <c r="BZ2" s="356"/>
      <c r="CA2" s="357"/>
      <c r="CD2" s="353" t="s">
        <v>239</v>
      </c>
      <c r="CE2" s="356"/>
      <c r="CF2" s="356"/>
      <c r="CG2" s="356"/>
      <c r="CH2" s="356"/>
      <c r="CI2" s="356"/>
      <c r="CJ2" s="356"/>
      <c r="CK2" s="356"/>
      <c r="CL2" s="356"/>
      <c r="CM2" s="356"/>
      <c r="CN2" s="356"/>
      <c r="CO2" s="356"/>
      <c r="CP2" s="357"/>
      <c r="CS2" s="367" t="s">
        <v>172</v>
      </c>
      <c r="CT2" s="368"/>
      <c r="CU2" s="368"/>
      <c r="CV2" s="368"/>
      <c r="CW2" s="368"/>
      <c r="CX2" s="368"/>
      <c r="CY2" s="368"/>
      <c r="CZ2" s="368"/>
      <c r="DA2" s="369"/>
      <c r="DD2" s="367" t="s">
        <v>172</v>
      </c>
      <c r="DE2" s="368"/>
      <c r="DF2" s="368"/>
      <c r="DG2" s="368"/>
      <c r="DH2" s="368"/>
      <c r="DI2" s="368"/>
      <c r="DJ2" s="368"/>
      <c r="DK2" s="368"/>
      <c r="DL2" s="369"/>
      <c r="DO2" s="367" t="s">
        <v>169</v>
      </c>
      <c r="DP2" s="368"/>
      <c r="DQ2" s="368"/>
      <c r="DR2" s="368"/>
      <c r="DS2" s="368"/>
      <c r="DT2" s="368"/>
      <c r="DU2" s="368"/>
      <c r="DV2" s="368"/>
      <c r="DW2" s="368"/>
      <c r="DX2" s="368"/>
      <c r="DY2" s="368"/>
      <c r="DZ2" s="368"/>
      <c r="EA2" s="368"/>
      <c r="EB2" s="369"/>
      <c r="EE2" s="367" t="s">
        <v>169</v>
      </c>
      <c r="EF2" s="368"/>
      <c r="EG2" s="368"/>
      <c r="EH2" s="368"/>
      <c r="EI2" s="368"/>
      <c r="EJ2" s="368"/>
      <c r="EK2" s="368"/>
      <c r="EL2" s="368"/>
      <c r="EM2" s="368"/>
      <c r="EN2" s="368"/>
      <c r="EO2" s="368"/>
      <c r="EP2" s="368"/>
      <c r="EQ2" s="368"/>
      <c r="ER2" s="369"/>
      <c r="EU2" s="367" t="s">
        <v>255</v>
      </c>
      <c r="EV2" s="368"/>
      <c r="EW2" s="368"/>
      <c r="EX2" s="368"/>
      <c r="EY2" s="368"/>
      <c r="EZ2" s="368"/>
      <c r="FA2" s="368"/>
      <c r="FB2" s="368"/>
      <c r="FC2" s="368"/>
      <c r="FD2" s="368"/>
      <c r="FE2" s="369"/>
      <c r="FH2" s="367" t="s">
        <v>255</v>
      </c>
      <c r="FI2" s="368"/>
      <c r="FJ2" s="368"/>
      <c r="FK2" s="368"/>
      <c r="FL2" s="368"/>
      <c r="FM2" s="368"/>
      <c r="FN2" s="368"/>
      <c r="FO2" s="368"/>
      <c r="FP2" s="368"/>
      <c r="FQ2" s="368"/>
      <c r="FR2" s="369"/>
      <c r="FU2" s="185"/>
      <c r="FV2" s="356" t="s">
        <v>272</v>
      </c>
      <c r="FW2" s="356"/>
      <c r="FX2" s="356"/>
      <c r="FY2" s="356"/>
      <c r="FZ2" s="357"/>
      <c r="GC2" s="353" t="s">
        <v>290</v>
      </c>
      <c r="GD2" s="356"/>
      <c r="GE2" s="356"/>
      <c r="GF2" s="356"/>
      <c r="GG2" s="356"/>
      <c r="GH2" s="356"/>
      <c r="GI2" s="357"/>
      <c r="GM2" s="347" t="s">
        <v>314</v>
      </c>
      <c r="GN2" s="348"/>
      <c r="GO2" s="348"/>
      <c r="GP2" s="348"/>
      <c r="GQ2" s="348"/>
      <c r="GR2" s="348"/>
      <c r="GS2" s="348"/>
      <c r="GT2" s="348"/>
      <c r="GU2" s="349"/>
    </row>
    <row r="3" spans="2:203" ht="15.75" thickBot="1" x14ac:dyDescent="0.3">
      <c r="C3" s="38" t="s">
        <v>187</v>
      </c>
      <c r="D3" s="69" t="s">
        <v>175</v>
      </c>
      <c r="E3" s="70" t="s">
        <v>176</v>
      </c>
      <c r="F3" s="70" t="s">
        <v>177</v>
      </c>
      <c r="G3" s="70" t="s">
        <v>178</v>
      </c>
      <c r="H3" s="70" t="s">
        <v>179</v>
      </c>
      <c r="I3" s="70" t="s">
        <v>180</v>
      </c>
      <c r="J3" s="70" t="s">
        <v>181</v>
      </c>
      <c r="K3" s="70" t="s">
        <v>182</v>
      </c>
      <c r="L3" s="70" t="s">
        <v>183</v>
      </c>
      <c r="M3" s="70" t="s">
        <v>184</v>
      </c>
      <c r="N3" s="70" t="s">
        <v>185</v>
      </c>
      <c r="O3" s="71" t="s">
        <v>186</v>
      </c>
      <c r="R3" s="78" t="s">
        <v>187</v>
      </c>
      <c r="S3" s="77" t="s">
        <v>175</v>
      </c>
      <c r="T3" s="75" t="s">
        <v>176</v>
      </c>
      <c r="U3" s="75" t="s">
        <v>177</v>
      </c>
      <c r="V3" s="75" t="s">
        <v>178</v>
      </c>
      <c r="W3" s="75" t="s">
        <v>179</v>
      </c>
      <c r="X3" s="75" t="s">
        <v>180</v>
      </c>
      <c r="Y3" s="75" t="s">
        <v>181</v>
      </c>
      <c r="Z3" s="75" t="s">
        <v>182</v>
      </c>
      <c r="AA3" s="75" t="s">
        <v>183</v>
      </c>
      <c r="AB3" s="75" t="s">
        <v>184</v>
      </c>
      <c r="AC3" s="75" t="s">
        <v>185</v>
      </c>
      <c r="AD3" s="76" t="s">
        <v>186</v>
      </c>
      <c r="AH3" s="72" t="s">
        <v>219</v>
      </c>
      <c r="AI3" s="73" t="s">
        <v>175</v>
      </c>
      <c r="AJ3" s="73" t="s">
        <v>176</v>
      </c>
      <c r="AK3" s="73" t="s">
        <v>177</v>
      </c>
      <c r="AL3" s="73" t="s">
        <v>178</v>
      </c>
      <c r="AM3" s="73" t="s">
        <v>179</v>
      </c>
      <c r="AN3" s="73" t="s">
        <v>180</v>
      </c>
      <c r="AO3" s="73" t="s">
        <v>181</v>
      </c>
      <c r="AP3" s="73" t="s">
        <v>182</v>
      </c>
      <c r="AQ3" s="73" t="s">
        <v>183</v>
      </c>
      <c r="AR3" s="73" t="s">
        <v>184</v>
      </c>
      <c r="AS3" s="73" t="s">
        <v>185</v>
      </c>
      <c r="AT3" s="74" t="s">
        <v>186</v>
      </c>
      <c r="AU3" s="147"/>
      <c r="AV3" s="147"/>
      <c r="AW3" s="147"/>
      <c r="AX3" s="72" t="s">
        <v>219</v>
      </c>
      <c r="AY3" s="73" t="s">
        <v>175</v>
      </c>
      <c r="AZ3" s="73" t="s">
        <v>176</v>
      </c>
      <c r="BA3" s="73" t="s">
        <v>177</v>
      </c>
      <c r="BB3" s="73" t="s">
        <v>178</v>
      </c>
      <c r="BC3" s="73" t="s">
        <v>179</v>
      </c>
      <c r="BD3" s="73" t="s">
        <v>180</v>
      </c>
      <c r="BE3" s="73" t="s">
        <v>181</v>
      </c>
      <c r="BF3" s="73" t="s">
        <v>182</v>
      </c>
      <c r="BG3" s="73" t="s">
        <v>183</v>
      </c>
      <c r="BH3" s="73" t="s">
        <v>184</v>
      </c>
      <c r="BI3" s="73" t="s">
        <v>185</v>
      </c>
      <c r="BJ3" s="74" t="s">
        <v>186</v>
      </c>
      <c r="BL3" s="353" t="s">
        <v>220</v>
      </c>
      <c r="BM3" s="43"/>
      <c r="BN3" s="110" t="s">
        <v>219</v>
      </c>
      <c r="BO3" s="70" t="s">
        <v>175</v>
      </c>
      <c r="BP3" s="70" t="s">
        <v>176</v>
      </c>
      <c r="BQ3" s="70" t="s">
        <v>177</v>
      </c>
      <c r="BR3" s="70" t="s">
        <v>178</v>
      </c>
      <c r="BS3" s="70" t="s">
        <v>179</v>
      </c>
      <c r="BT3" s="70" t="s">
        <v>180</v>
      </c>
      <c r="BU3" s="70" t="s">
        <v>181</v>
      </c>
      <c r="BV3" s="70" t="s">
        <v>182</v>
      </c>
      <c r="BW3" s="70" t="s">
        <v>183</v>
      </c>
      <c r="BX3" s="70" t="s">
        <v>184</v>
      </c>
      <c r="BY3" s="70" t="s">
        <v>227</v>
      </c>
      <c r="BZ3" s="70" t="s">
        <v>185</v>
      </c>
      <c r="CA3" s="71" t="s">
        <v>186</v>
      </c>
      <c r="CC3" s="353" t="s">
        <v>221</v>
      </c>
      <c r="CD3" s="38"/>
      <c r="CE3" s="69" t="s">
        <v>219</v>
      </c>
      <c r="CF3" s="70" t="s">
        <v>175</v>
      </c>
      <c r="CG3" s="70" t="s">
        <v>176</v>
      </c>
      <c r="CH3" s="70" t="s">
        <v>177</v>
      </c>
      <c r="CI3" s="70" t="s">
        <v>178</v>
      </c>
      <c r="CJ3" s="70" t="s">
        <v>179</v>
      </c>
      <c r="CK3" s="70" t="s">
        <v>180</v>
      </c>
      <c r="CL3" s="70" t="s">
        <v>181</v>
      </c>
      <c r="CM3" s="70" t="s">
        <v>182</v>
      </c>
      <c r="CN3" s="70" t="s">
        <v>183</v>
      </c>
      <c r="CO3" s="70" t="s">
        <v>184</v>
      </c>
      <c r="CP3" s="71" t="s">
        <v>185</v>
      </c>
      <c r="CS3" s="38"/>
      <c r="CT3" s="38" t="s">
        <v>177</v>
      </c>
      <c r="CU3" s="119" t="s">
        <v>178</v>
      </c>
      <c r="CV3" s="118" t="s">
        <v>179</v>
      </c>
      <c r="CW3" s="119" t="s">
        <v>180</v>
      </c>
      <c r="CX3" s="118" t="s">
        <v>182</v>
      </c>
      <c r="CY3" s="38" t="s">
        <v>184</v>
      </c>
      <c r="CZ3" s="115" t="s">
        <v>238</v>
      </c>
      <c r="DA3" s="113" t="s">
        <v>186</v>
      </c>
      <c r="DC3" s="350" t="s">
        <v>221</v>
      </c>
      <c r="DD3" s="38"/>
      <c r="DE3" s="118" t="s">
        <v>177</v>
      </c>
      <c r="DF3" s="118" t="s">
        <v>178</v>
      </c>
      <c r="DG3" s="118" t="s">
        <v>179</v>
      </c>
      <c r="DH3" s="118" t="s">
        <v>180</v>
      </c>
      <c r="DI3" s="118" t="s">
        <v>181</v>
      </c>
      <c r="DJ3" s="118" t="s">
        <v>182</v>
      </c>
      <c r="DK3" s="118" t="s">
        <v>183</v>
      </c>
      <c r="DL3" s="119" t="s">
        <v>184</v>
      </c>
      <c r="DO3" s="112"/>
      <c r="DP3" s="168" t="s">
        <v>219</v>
      </c>
      <c r="DQ3" s="169" t="s">
        <v>175</v>
      </c>
      <c r="DR3" s="169" t="s">
        <v>176</v>
      </c>
      <c r="DS3" s="169" t="s">
        <v>177</v>
      </c>
      <c r="DT3" s="169" t="s">
        <v>178</v>
      </c>
      <c r="DU3" s="169" t="s">
        <v>179</v>
      </c>
      <c r="DV3" s="169" t="s">
        <v>180</v>
      </c>
      <c r="DW3" s="169" t="s">
        <v>181</v>
      </c>
      <c r="DX3" s="169" t="s">
        <v>182</v>
      </c>
      <c r="DY3" s="169" t="s">
        <v>183</v>
      </c>
      <c r="DZ3" s="169" t="s">
        <v>184</v>
      </c>
      <c r="EA3" s="169" t="s">
        <v>185</v>
      </c>
      <c r="EB3" s="170" t="s">
        <v>186</v>
      </c>
      <c r="EE3" s="112"/>
      <c r="EF3" s="168" t="s">
        <v>219</v>
      </c>
      <c r="EG3" s="169" t="s">
        <v>175</v>
      </c>
      <c r="EH3" s="169" t="s">
        <v>176</v>
      </c>
      <c r="EI3" s="169" t="s">
        <v>177</v>
      </c>
      <c r="EJ3" s="169" t="s">
        <v>178</v>
      </c>
      <c r="EK3" s="169" t="s">
        <v>179</v>
      </c>
      <c r="EL3" s="169" t="s">
        <v>180</v>
      </c>
      <c r="EM3" s="169" t="s">
        <v>181</v>
      </c>
      <c r="EN3" s="169" t="s">
        <v>182</v>
      </c>
      <c r="EO3" s="169" t="s">
        <v>183</v>
      </c>
      <c r="EP3" s="169" t="s">
        <v>184</v>
      </c>
      <c r="EQ3" s="169" t="s">
        <v>185</v>
      </c>
      <c r="ER3" s="170" t="s">
        <v>186</v>
      </c>
      <c r="EU3" s="38"/>
      <c r="EV3" s="69" t="s">
        <v>219</v>
      </c>
      <c r="EW3" s="70" t="s">
        <v>175</v>
      </c>
      <c r="EX3" s="70" t="s">
        <v>176</v>
      </c>
      <c r="EY3" s="70" t="s">
        <v>177</v>
      </c>
      <c r="EZ3" s="70" t="s">
        <v>178</v>
      </c>
      <c r="FA3" s="70" t="s">
        <v>179</v>
      </c>
      <c r="FB3" s="70" t="s">
        <v>180</v>
      </c>
      <c r="FC3" s="70" t="s">
        <v>181</v>
      </c>
      <c r="FD3" s="70" t="s">
        <v>182</v>
      </c>
      <c r="FE3" s="71" t="s">
        <v>184</v>
      </c>
      <c r="FH3" s="38"/>
      <c r="FI3" s="69" t="s">
        <v>219</v>
      </c>
      <c r="FJ3" s="70" t="s">
        <v>175</v>
      </c>
      <c r="FK3" s="70" t="s">
        <v>176</v>
      </c>
      <c r="FL3" s="70" t="s">
        <v>177</v>
      </c>
      <c r="FM3" s="70" t="s">
        <v>178</v>
      </c>
      <c r="FN3" s="70" t="s">
        <v>179</v>
      </c>
      <c r="FO3" s="70" t="s">
        <v>180</v>
      </c>
      <c r="FP3" s="70" t="s">
        <v>181</v>
      </c>
      <c r="FQ3" s="70" t="s">
        <v>182</v>
      </c>
      <c r="FR3" s="71" t="s">
        <v>184</v>
      </c>
      <c r="FU3" s="38"/>
      <c r="FV3" s="77" t="s">
        <v>177</v>
      </c>
      <c r="FW3" s="75" t="s">
        <v>178</v>
      </c>
      <c r="FX3" s="75" t="s">
        <v>179</v>
      </c>
      <c r="FY3" s="75" t="s">
        <v>180</v>
      </c>
      <c r="FZ3" s="76" t="s">
        <v>182</v>
      </c>
      <c r="GC3" s="38"/>
      <c r="GD3" s="69" t="s">
        <v>177</v>
      </c>
      <c r="GE3" s="70" t="s">
        <v>177</v>
      </c>
      <c r="GF3" s="70" t="s">
        <v>178</v>
      </c>
      <c r="GG3" s="70" t="s">
        <v>178</v>
      </c>
      <c r="GH3" s="70" t="s">
        <v>179</v>
      </c>
      <c r="GI3" s="71" t="s">
        <v>180</v>
      </c>
      <c r="GL3" s="38"/>
      <c r="GM3" s="296" t="s">
        <v>219</v>
      </c>
      <c r="GN3" s="297" t="s">
        <v>175</v>
      </c>
      <c r="GO3" s="297" t="s">
        <v>176</v>
      </c>
      <c r="GP3" s="297" t="s">
        <v>177</v>
      </c>
      <c r="GQ3" s="297" t="s">
        <v>178</v>
      </c>
      <c r="GR3" s="297" t="s">
        <v>179</v>
      </c>
      <c r="GS3" s="297" t="s">
        <v>180</v>
      </c>
      <c r="GT3" s="297" t="s">
        <v>182</v>
      </c>
      <c r="GU3" s="298" t="s">
        <v>183</v>
      </c>
    </row>
    <row r="4" spans="2:203" ht="15.75" customHeight="1" thickBot="1" x14ac:dyDescent="0.3">
      <c r="B4" s="350" t="s">
        <v>191</v>
      </c>
      <c r="C4" s="387">
        <v>12</v>
      </c>
      <c r="D4" s="388"/>
      <c r="E4" s="389">
        <v>951002</v>
      </c>
      <c r="F4" s="390"/>
      <c r="G4" s="390"/>
      <c r="H4" s="390"/>
      <c r="I4" s="390"/>
      <c r="J4" s="390"/>
      <c r="K4" s="390"/>
      <c r="L4" s="390"/>
      <c r="M4" s="390"/>
      <c r="N4" s="390"/>
      <c r="O4" s="391"/>
      <c r="Q4" s="353" t="s">
        <v>192</v>
      </c>
      <c r="R4" s="42">
        <v>10</v>
      </c>
      <c r="S4" s="79">
        <v>998849</v>
      </c>
      <c r="T4" s="80"/>
      <c r="U4" s="81">
        <v>998859</v>
      </c>
      <c r="V4" s="80"/>
      <c r="W4" s="80"/>
      <c r="X4" s="80"/>
      <c r="Y4" s="80"/>
      <c r="Z4" s="80"/>
      <c r="AA4" s="80"/>
      <c r="AB4" s="80"/>
      <c r="AC4" s="80"/>
      <c r="AD4" s="82"/>
      <c r="AF4" s="350" t="s">
        <v>220</v>
      </c>
      <c r="AG4" s="115" t="s">
        <v>244</v>
      </c>
      <c r="AH4" s="152">
        <v>0.5</v>
      </c>
      <c r="AI4" s="153">
        <v>0.7</v>
      </c>
      <c r="AJ4" s="153">
        <v>0.8</v>
      </c>
      <c r="AK4" s="153">
        <v>1</v>
      </c>
      <c r="AL4" s="153">
        <v>1.25</v>
      </c>
      <c r="AM4" s="153">
        <v>1.5</v>
      </c>
      <c r="AN4" s="153">
        <v>1.75</v>
      </c>
      <c r="AO4" s="153">
        <v>2</v>
      </c>
      <c r="AP4" s="153">
        <v>2</v>
      </c>
      <c r="AQ4" s="153">
        <v>2.5</v>
      </c>
      <c r="AR4" s="153">
        <v>2.5</v>
      </c>
      <c r="AS4" s="153">
        <v>3</v>
      </c>
      <c r="AT4" s="154">
        <v>3.5</v>
      </c>
      <c r="AV4" s="350" t="s">
        <v>221</v>
      </c>
      <c r="AW4" s="163" t="s">
        <v>244</v>
      </c>
      <c r="AX4" s="152">
        <v>0.5</v>
      </c>
      <c r="AY4" s="153">
        <v>0.7</v>
      </c>
      <c r="AZ4" s="153">
        <v>0.8</v>
      </c>
      <c r="BA4" s="153">
        <v>1</v>
      </c>
      <c r="BB4" s="153">
        <v>1.25</v>
      </c>
      <c r="BC4" s="153">
        <v>1.5</v>
      </c>
      <c r="BD4" s="153">
        <v>1.75</v>
      </c>
      <c r="BE4" s="153">
        <v>2</v>
      </c>
      <c r="BF4" s="153">
        <v>2</v>
      </c>
      <c r="BG4" s="153">
        <v>2.5</v>
      </c>
      <c r="BH4" s="153">
        <v>2.5</v>
      </c>
      <c r="BI4" s="153">
        <v>3</v>
      </c>
      <c r="BJ4" s="154">
        <v>3.5</v>
      </c>
      <c r="BL4" s="354"/>
      <c r="BM4" s="100" t="s">
        <v>228</v>
      </c>
      <c r="BN4" s="108">
        <v>3.2</v>
      </c>
      <c r="BO4" s="109">
        <v>4.3</v>
      </c>
      <c r="BP4" s="109">
        <v>5.3</v>
      </c>
      <c r="BQ4" s="109">
        <v>6.4</v>
      </c>
      <c r="BR4" s="109">
        <v>8.4</v>
      </c>
      <c r="BS4" s="109">
        <v>10.5</v>
      </c>
      <c r="BT4" s="109">
        <v>13</v>
      </c>
      <c r="BU4" s="109">
        <v>15</v>
      </c>
      <c r="BV4" s="109">
        <v>17</v>
      </c>
      <c r="BW4" s="109">
        <v>19</v>
      </c>
      <c r="BX4" s="109">
        <v>21</v>
      </c>
      <c r="BY4" s="109">
        <v>23</v>
      </c>
      <c r="BZ4" s="109">
        <v>25</v>
      </c>
      <c r="CA4" s="99"/>
      <c r="CC4" s="354"/>
      <c r="CD4" s="42" t="s">
        <v>228</v>
      </c>
      <c r="CE4" s="124">
        <v>3.2</v>
      </c>
      <c r="CF4" s="125">
        <v>4.3</v>
      </c>
      <c r="CG4" s="125">
        <v>5.3</v>
      </c>
      <c r="CH4" s="125">
        <v>6.4</v>
      </c>
      <c r="CI4" s="125">
        <v>8.4</v>
      </c>
      <c r="CJ4" s="125">
        <v>10.5</v>
      </c>
      <c r="CK4" s="125">
        <v>13</v>
      </c>
      <c r="CL4" s="125">
        <v>15</v>
      </c>
      <c r="CM4" s="125">
        <v>17</v>
      </c>
      <c r="CN4" s="125">
        <v>19</v>
      </c>
      <c r="CO4" s="125">
        <v>21</v>
      </c>
      <c r="CP4" s="126">
        <v>25</v>
      </c>
      <c r="CR4" s="353" t="s">
        <v>220</v>
      </c>
      <c r="CS4" s="115" t="s">
        <v>230</v>
      </c>
      <c r="CT4" s="140">
        <v>45</v>
      </c>
      <c r="CU4" s="125">
        <v>45</v>
      </c>
      <c r="CV4" s="125">
        <v>45</v>
      </c>
      <c r="CW4" s="134">
        <v>70</v>
      </c>
      <c r="CX4" s="125">
        <v>60</v>
      </c>
      <c r="CY4" s="125">
        <v>100</v>
      </c>
      <c r="CZ4" s="134">
        <v>100</v>
      </c>
      <c r="DA4" s="135">
        <v>70</v>
      </c>
      <c r="DC4" s="351"/>
      <c r="DD4" s="116" t="s">
        <v>230</v>
      </c>
      <c r="DE4" s="37">
        <v>45</v>
      </c>
      <c r="DF4" s="37">
        <v>45</v>
      </c>
      <c r="DG4" s="37">
        <v>45</v>
      </c>
      <c r="DH4" s="37">
        <v>50</v>
      </c>
      <c r="DI4" s="37">
        <v>50</v>
      </c>
      <c r="DJ4" s="37">
        <v>60</v>
      </c>
      <c r="DK4" s="37">
        <v>50</v>
      </c>
      <c r="DL4" s="121">
        <v>100</v>
      </c>
      <c r="DN4" s="353" t="s">
        <v>220</v>
      </c>
      <c r="DO4" s="163" t="s">
        <v>244</v>
      </c>
      <c r="DP4" s="155">
        <v>0.5</v>
      </c>
      <c r="DQ4" s="156">
        <v>0.7</v>
      </c>
      <c r="DR4" s="156">
        <v>0.8</v>
      </c>
      <c r="DS4" s="156">
        <v>1</v>
      </c>
      <c r="DT4" s="156">
        <v>1.25</v>
      </c>
      <c r="DU4" s="156">
        <v>1.5</v>
      </c>
      <c r="DV4" s="156">
        <v>1.75</v>
      </c>
      <c r="DW4" s="156">
        <v>2</v>
      </c>
      <c r="DX4" s="156">
        <v>2</v>
      </c>
      <c r="DY4" s="148">
        <v>2.5</v>
      </c>
      <c r="DZ4" s="148">
        <v>2.5</v>
      </c>
      <c r="EA4" s="148">
        <v>3</v>
      </c>
      <c r="EB4" s="149">
        <v>3.5</v>
      </c>
      <c r="EC4" s="20"/>
      <c r="ED4" s="353" t="s">
        <v>221</v>
      </c>
      <c r="EE4" s="163" t="s">
        <v>244</v>
      </c>
      <c r="EF4" s="152">
        <v>0.5</v>
      </c>
      <c r="EG4" s="153">
        <v>0.7</v>
      </c>
      <c r="EH4" s="153">
        <v>0.8</v>
      </c>
      <c r="EI4" s="153">
        <v>1</v>
      </c>
      <c r="EJ4" s="153">
        <v>1.25</v>
      </c>
      <c r="EK4" s="153">
        <v>1.5</v>
      </c>
      <c r="EL4" s="153">
        <v>1.75</v>
      </c>
      <c r="EM4" s="153">
        <v>2</v>
      </c>
      <c r="EN4" s="153">
        <v>2</v>
      </c>
      <c r="EO4" s="153">
        <v>2.5</v>
      </c>
      <c r="EP4" s="153">
        <v>2.5</v>
      </c>
      <c r="EQ4" s="153">
        <v>3</v>
      </c>
      <c r="ER4" s="154">
        <v>3.5</v>
      </c>
      <c r="ET4" s="353" t="s">
        <v>220</v>
      </c>
      <c r="EU4" s="42" t="s">
        <v>228</v>
      </c>
      <c r="EV4" s="196">
        <v>3.1</v>
      </c>
      <c r="EW4" s="199">
        <v>4.0999999999999996</v>
      </c>
      <c r="EX4" s="199">
        <v>5.0999999999999996</v>
      </c>
      <c r="EY4" s="199">
        <v>6.1</v>
      </c>
      <c r="EZ4" s="199">
        <v>8.1999999999999993</v>
      </c>
      <c r="FA4" s="199">
        <v>10.199999999999999</v>
      </c>
      <c r="FB4" s="199">
        <v>12.4</v>
      </c>
      <c r="FC4" s="199">
        <v>14.4</v>
      </c>
      <c r="FD4" s="199">
        <v>16.399999999999999</v>
      </c>
      <c r="FE4" s="197">
        <v>20</v>
      </c>
      <c r="FG4" s="353" t="s">
        <v>221</v>
      </c>
      <c r="FH4" s="42" t="s">
        <v>228</v>
      </c>
      <c r="FI4" s="196">
        <v>3.1</v>
      </c>
      <c r="FJ4" s="199">
        <v>4.0999999999999996</v>
      </c>
      <c r="FK4" s="199">
        <v>5.0999999999999996</v>
      </c>
      <c r="FL4" s="199">
        <v>6.1</v>
      </c>
      <c r="FM4" s="199">
        <v>8.1999999999999993</v>
      </c>
      <c r="FN4" s="199">
        <v>10.199999999999999</v>
      </c>
      <c r="FO4" s="199">
        <v>12.4</v>
      </c>
      <c r="FP4" s="199"/>
      <c r="FQ4" s="199">
        <v>18</v>
      </c>
      <c r="FR4" s="197">
        <v>20</v>
      </c>
      <c r="FT4" s="362" t="s">
        <v>273</v>
      </c>
      <c r="FU4" s="208" t="s">
        <v>264</v>
      </c>
      <c r="FV4" s="27">
        <v>8.6999999999999993</v>
      </c>
      <c r="FW4" s="10">
        <v>10.7</v>
      </c>
      <c r="FX4" s="10">
        <v>12.7</v>
      </c>
      <c r="FY4" s="10">
        <v>15.2</v>
      </c>
      <c r="FZ4" s="99"/>
      <c r="GB4" s="353" t="s">
        <v>220</v>
      </c>
      <c r="GC4" s="228" t="s">
        <v>285</v>
      </c>
      <c r="GD4" s="27">
        <v>16.3</v>
      </c>
      <c r="GE4" s="10">
        <v>18.3</v>
      </c>
      <c r="GF4" s="10">
        <v>17.8</v>
      </c>
      <c r="GG4" s="10">
        <v>19</v>
      </c>
      <c r="GH4" s="10">
        <v>25</v>
      </c>
      <c r="GI4" s="99">
        <v>27.7</v>
      </c>
      <c r="GK4" s="350" t="s">
        <v>220</v>
      </c>
      <c r="GL4" s="42" t="s">
        <v>228</v>
      </c>
      <c r="GM4" s="300">
        <v>3.2</v>
      </c>
      <c r="GN4" s="301">
        <v>4.3</v>
      </c>
      <c r="GO4" s="301">
        <v>5.3</v>
      </c>
      <c r="GP4" s="301">
        <v>6.4</v>
      </c>
      <c r="GQ4" s="301">
        <v>8.4</v>
      </c>
      <c r="GR4" s="301">
        <v>10.5</v>
      </c>
      <c r="GS4" s="301">
        <v>13</v>
      </c>
      <c r="GT4" s="301"/>
      <c r="GU4" s="302"/>
    </row>
    <row r="5" spans="2:203" ht="15.75" thickBot="1" x14ac:dyDescent="0.3">
      <c r="B5" s="351"/>
      <c r="C5" s="310">
        <v>16</v>
      </c>
      <c r="D5" s="67"/>
      <c r="E5" s="54"/>
      <c r="F5" s="53">
        <v>805028</v>
      </c>
      <c r="G5" s="53">
        <v>998385</v>
      </c>
      <c r="H5" s="53">
        <v>780232</v>
      </c>
      <c r="I5" s="54"/>
      <c r="J5" s="52"/>
      <c r="K5" s="52"/>
      <c r="L5" s="52"/>
      <c r="M5" s="52"/>
      <c r="N5" s="52"/>
      <c r="O5" s="61"/>
      <c r="Q5" s="354"/>
      <c r="R5" s="25">
        <v>12</v>
      </c>
      <c r="S5" s="83" t="s">
        <v>193</v>
      </c>
      <c r="T5" s="84"/>
      <c r="U5" s="84"/>
      <c r="V5" s="84"/>
      <c r="W5" s="84"/>
      <c r="X5" s="84"/>
      <c r="Y5" s="84"/>
      <c r="Z5" s="84"/>
      <c r="AA5" s="84"/>
      <c r="AB5" s="84"/>
      <c r="AC5" s="84"/>
      <c r="AD5" s="85"/>
      <c r="AF5" s="351"/>
      <c r="AG5" s="38" t="s">
        <v>230</v>
      </c>
      <c r="AH5" s="155">
        <v>5.5</v>
      </c>
      <c r="AI5" s="156">
        <v>7</v>
      </c>
      <c r="AJ5" s="156">
        <v>8</v>
      </c>
      <c r="AK5" s="156">
        <v>10</v>
      </c>
      <c r="AL5" s="156">
        <v>13</v>
      </c>
      <c r="AM5" s="156">
        <v>16</v>
      </c>
      <c r="AN5" s="156">
        <v>18</v>
      </c>
      <c r="AO5" s="156">
        <v>21</v>
      </c>
      <c r="AP5" s="156">
        <v>24</v>
      </c>
      <c r="AQ5" s="156">
        <v>27</v>
      </c>
      <c r="AR5" s="156">
        <v>30</v>
      </c>
      <c r="AS5" s="156">
        <v>36</v>
      </c>
      <c r="AT5" s="157">
        <v>46</v>
      </c>
      <c r="AU5" s="97"/>
      <c r="AV5" s="351"/>
      <c r="AW5" s="164" t="s">
        <v>230</v>
      </c>
      <c r="AX5" s="155">
        <v>5.5</v>
      </c>
      <c r="AY5" s="156">
        <v>7</v>
      </c>
      <c r="AZ5" s="156">
        <v>8</v>
      </c>
      <c r="BA5" s="156">
        <v>10</v>
      </c>
      <c r="BB5" s="156">
        <v>13</v>
      </c>
      <c r="BC5" s="156">
        <v>17</v>
      </c>
      <c r="BD5" s="156">
        <v>19</v>
      </c>
      <c r="BE5" s="156">
        <v>22</v>
      </c>
      <c r="BF5" s="156">
        <v>24</v>
      </c>
      <c r="BG5" s="156">
        <v>27</v>
      </c>
      <c r="BH5" s="156">
        <v>30</v>
      </c>
      <c r="BI5" s="156">
        <v>36</v>
      </c>
      <c r="BJ5" s="157">
        <v>46</v>
      </c>
      <c r="BL5" s="354"/>
      <c r="BM5" s="39" t="s">
        <v>229</v>
      </c>
      <c r="BN5" s="102">
        <v>0.8</v>
      </c>
      <c r="BO5" s="101">
        <v>0.8</v>
      </c>
      <c r="BP5" s="101">
        <v>1</v>
      </c>
      <c r="BQ5" s="101">
        <v>1.2</v>
      </c>
      <c r="BR5" s="101">
        <v>1.5</v>
      </c>
      <c r="BS5" s="101">
        <v>2</v>
      </c>
      <c r="BT5" s="101">
        <v>2.5</v>
      </c>
      <c r="BU5" s="101">
        <v>2.5</v>
      </c>
      <c r="BV5" s="101">
        <v>3</v>
      </c>
      <c r="BW5" s="101">
        <v>3</v>
      </c>
      <c r="BX5" s="101">
        <v>3</v>
      </c>
      <c r="BY5" s="101">
        <v>3</v>
      </c>
      <c r="BZ5" s="101">
        <v>4</v>
      </c>
      <c r="CA5" s="36"/>
      <c r="CC5" s="354"/>
      <c r="CD5" s="114" t="s">
        <v>229</v>
      </c>
      <c r="CE5" s="127">
        <v>0.8</v>
      </c>
      <c r="CF5" s="123">
        <v>0.8</v>
      </c>
      <c r="CG5" s="123">
        <v>1</v>
      </c>
      <c r="CH5" s="123">
        <v>1.2</v>
      </c>
      <c r="CI5" s="123">
        <v>1.5</v>
      </c>
      <c r="CJ5" s="123">
        <v>2</v>
      </c>
      <c r="CK5" s="123">
        <v>2.5</v>
      </c>
      <c r="CL5" s="123">
        <v>2.5</v>
      </c>
      <c r="CM5" s="123">
        <v>3</v>
      </c>
      <c r="CN5" s="123">
        <v>3</v>
      </c>
      <c r="CO5" s="123">
        <v>3</v>
      </c>
      <c r="CP5" s="128">
        <v>4</v>
      </c>
      <c r="CR5" s="354"/>
      <c r="CS5" s="38" t="s">
        <v>229</v>
      </c>
      <c r="CT5" s="141">
        <v>5</v>
      </c>
      <c r="CU5" s="123">
        <v>3</v>
      </c>
      <c r="CV5" s="123">
        <v>4</v>
      </c>
      <c r="CW5" s="133">
        <v>5</v>
      </c>
      <c r="CX5" s="123">
        <v>6</v>
      </c>
      <c r="CY5" s="123">
        <v>8</v>
      </c>
      <c r="CZ5" s="133">
        <v>5</v>
      </c>
      <c r="DA5" s="136">
        <v>4</v>
      </c>
      <c r="DC5" s="351"/>
      <c r="DD5" s="116" t="s">
        <v>229</v>
      </c>
      <c r="DE5" s="37">
        <v>2.5</v>
      </c>
      <c r="DF5" s="37">
        <v>3</v>
      </c>
      <c r="DG5" s="37">
        <v>4</v>
      </c>
      <c r="DH5" s="37">
        <v>5</v>
      </c>
      <c r="DI5" s="37">
        <v>3</v>
      </c>
      <c r="DJ5" s="37">
        <v>6</v>
      </c>
      <c r="DK5" s="37">
        <v>3</v>
      </c>
      <c r="DL5" s="121">
        <v>8</v>
      </c>
      <c r="DN5" s="354"/>
      <c r="DO5" s="39" t="s">
        <v>230</v>
      </c>
      <c r="DP5" s="155">
        <v>5.5</v>
      </c>
      <c r="DQ5" s="156">
        <v>7</v>
      </c>
      <c r="DR5" s="156">
        <v>8</v>
      </c>
      <c r="DS5" s="156">
        <v>10</v>
      </c>
      <c r="DT5" s="156">
        <v>13</v>
      </c>
      <c r="DU5" s="156">
        <v>16</v>
      </c>
      <c r="DV5" s="156">
        <v>18</v>
      </c>
      <c r="DW5" s="156">
        <v>21</v>
      </c>
      <c r="DX5" s="156">
        <v>24</v>
      </c>
      <c r="DY5" s="148">
        <v>27</v>
      </c>
      <c r="DZ5" s="148">
        <v>30</v>
      </c>
      <c r="EA5" s="148">
        <v>36</v>
      </c>
      <c r="EB5" s="149">
        <v>46</v>
      </c>
      <c r="EC5" s="20"/>
      <c r="ED5" s="354"/>
      <c r="EE5" s="39" t="s">
        <v>230</v>
      </c>
      <c r="EF5" s="155">
        <v>5.5</v>
      </c>
      <c r="EG5" s="156">
        <v>7</v>
      </c>
      <c r="EH5" s="156">
        <v>8</v>
      </c>
      <c r="EI5" s="156">
        <v>10</v>
      </c>
      <c r="EJ5" s="156">
        <v>13</v>
      </c>
      <c r="EK5" s="156">
        <v>17</v>
      </c>
      <c r="EL5" s="156">
        <v>19</v>
      </c>
      <c r="EM5" s="156">
        <v>22</v>
      </c>
      <c r="EN5" s="156">
        <v>24</v>
      </c>
      <c r="EO5" s="156">
        <v>27</v>
      </c>
      <c r="EP5" s="156">
        <v>30</v>
      </c>
      <c r="EQ5" s="156">
        <v>36</v>
      </c>
      <c r="ER5" s="157">
        <v>46</v>
      </c>
      <c r="ET5" s="354"/>
      <c r="EU5" s="181" t="s">
        <v>253</v>
      </c>
      <c r="EV5" s="195">
        <v>0.6</v>
      </c>
      <c r="EW5" s="198">
        <v>0.9</v>
      </c>
      <c r="EX5" s="198">
        <v>1.1000000000000001</v>
      </c>
      <c r="EY5" s="198">
        <v>1.3</v>
      </c>
      <c r="EZ5" s="198">
        <v>1.4</v>
      </c>
      <c r="FA5" s="198">
        <v>1.6</v>
      </c>
      <c r="FB5" s="198">
        <v>1.8</v>
      </c>
      <c r="FC5" s="198">
        <v>2.4</v>
      </c>
      <c r="FD5" s="198">
        <v>2.8</v>
      </c>
      <c r="FE5" s="193">
        <v>3.2</v>
      </c>
      <c r="FG5" s="354"/>
      <c r="FH5" s="181" t="s">
        <v>253</v>
      </c>
      <c r="FI5" s="195">
        <v>0.6</v>
      </c>
      <c r="FJ5" s="198">
        <v>0.9</v>
      </c>
      <c r="FK5" s="198">
        <v>1.1000000000000001</v>
      </c>
      <c r="FL5" s="198">
        <v>1.3</v>
      </c>
      <c r="FM5" s="198">
        <v>1.4</v>
      </c>
      <c r="FN5" s="198">
        <v>1.6</v>
      </c>
      <c r="FO5" s="198">
        <v>1.8</v>
      </c>
      <c r="FP5" s="198"/>
      <c r="FQ5" s="198">
        <v>2.7</v>
      </c>
      <c r="FR5" s="193">
        <v>3.2</v>
      </c>
      <c r="FT5" s="363"/>
      <c r="FU5" s="209" t="s">
        <v>265</v>
      </c>
      <c r="FV5" s="24">
        <v>8</v>
      </c>
      <c r="FW5" s="13">
        <v>10</v>
      </c>
      <c r="FX5" s="13">
        <v>12</v>
      </c>
      <c r="FY5" s="13">
        <v>14</v>
      </c>
      <c r="FZ5" s="36"/>
      <c r="GB5" s="354"/>
      <c r="GC5" s="226" t="s">
        <v>286</v>
      </c>
      <c r="GD5" s="24">
        <v>9.8000000000000007</v>
      </c>
      <c r="GE5" s="13">
        <v>9.8000000000000007</v>
      </c>
      <c r="GF5" s="13">
        <v>11.5</v>
      </c>
      <c r="GG5" s="13">
        <v>11.5</v>
      </c>
      <c r="GH5" s="13">
        <v>15</v>
      </c>
      <c r="GI5" s="36">
        <v>18.5</v>
      </c>
      <c r="GK5" s="351"/>
      <c r="GL5" s="293" t="s">
        <v>229</v>
      </c>
      <c r="GM5" s="303">
        <v>0.8</v>
      </c>
      <c r="GN5" s="299">
        <v>0.8</v>
      </c>
      <c r="GO5" s="299">
        <v>1</v>
      </c>
      <c r="GP5" s="299">
        <v>1.2</v>
      </c>
      <c r="GQ5" s="299">
        <v>1.5</v>
      </c>
      <c r="GR5" s="299">
        <v>2</v>
      </c>
      <c r="GS5" s="299">
        <v>2.5</v>
      </c>
      <c r="GT5" s="299"/>
      <c r="GU5" s="304"/>
    </row>
    <row r="6" spans="2:203" ht="15.75" thickBot="1" x14ac:dyDescent="0.3">
      <c r="B6" s="351"/>
      <c r="C6" s="310">
        <v>20</v>
      </c>
      <c r="D6" s="67"/>
      <c r="E6" s="53">
        <v>998784</v>
      </c>
      <c r="F6" s="53">
        <v>998381</v>
      </c>
      <c r="G6" s="53">
        <v>805004</v>
      </c>
      <c r="H6" s="53">
        <v>699610</v>
      </c>
      <c r="I6" s="53">
        <v>998938</v>
      </c>
      <c r="J6" s="52"/>
      <c r="K6" s="52"/>
      <c r="L6" s="52"/>
      <c r="M6" s="52"/>
      <c r="N6" s="52"/>
      <c r="O6" s="61"/>
      <c r="Q6" s="354"/>
      <c r="R6" s="25">
        <v>16</v>
      </c>
      <c r="S6" s="83">
        <v>998855</v>
      </c>
      <c r="T6" s="84"/>
      <c r="U6" s="49">
        <v>998860</v>
      </c>
      <c r="V6" s="49">
        <v>998805</v>
      </c>
      <c r="W6" s="84"/>
      <c r="X6" s="84"/>
      <c r="Y6" s="84"/>
      <c r="Z6" s="84"/>
      <c r="AA6" s="84"/>
      <c r="AB6" s="84"/>
      <c r="AC6" s="84"/>
      <c r="AD6" s="85"/>
      <c r="AF6" s="351"/>
      <c r="AG6" s="116" t="s">
        <v>229</v>
      </c>
      <c r="AH6" s="155">
        <v>2.4</v>
      </c>
      <c r="AI6" s="156">
        <v>3.2</v>
      </c>
      <c r="AJ6" s="156">
        <v>4.7</v>
      </c>
      <c r="AK6" s="156">
        <v>5.2</v>
      </c>
      <c r="AL6" s="156">
        <v>6.8</v>
      </c>
      <c r="AM6" s="156">
        <v>8.4</v>
      </c>
      <c r="AN6" s="156">
        <v>10.8</v>
      </c>
      <c r="AO6" s="156">
        <v>12.8</v>
      </c>
      <c r="AP6" s="156">
        <v>14.8</v>
      </c>
      <c r="AQ6" s="156">
        <v>15.8</v>
      </c>
      <c r="AR6" s="156">
        <v>18</v>
      </c>
      <c r="AS6" s="156">
        <v>21.5</v>
      </c>
      <c r="AT6" s="157">
        <v>25.6</v>
      </c>
      <c r="AV6" s="351"/>
      <c r="AW6" s="39" t="s">
        <v>229</v>
      </c>
      <c r="AX6" s="155">
        <v>2.4</v>
      </c>
      <c r="AY6" s="156">
        <v>3.2</v>
      </c>
      <c r="AZ6" s="156">
        <v>4</v>
      </c>
      <c r="BA6" s="156">
        <v>5</v>
      </c>
      <c r="BB6" s="156">
        <v>6.5</v>
      </c>
      <c r="BC6" s="156">
        <v>8</v>
      </c>
      <c r="BD6" s="156">
        <v>10</v>
      </c>
      <c r="BE6" s="156">
        <v>11</v>
      </c>
      <c r="BF6" s="156">
        <v>13</v>
      </c>
      <c r="BG6" s="156">
        <v>15</v>
      </c>
      <c r="BH6" s="156">
        <v>16</v>
      </c>
      <c r="BI6" s="156">
        <v>19</v>
      </c>
      <c r="BJ6" s="157">
        <v>24</v>
      </c>
      <c r="BL6" s="354"/>
      <c r="BM6" s="39" t="s">
        <v>230</v>
      </c>
      <c r="BN6" s="102">
        <v>8</v>
      </c>
      <c r="BO6" s="101">
        <v>10</v>
      </c>
      <c r="BP6" s="101">
        <v>12</v>
      </c>
      <c r="BQ6" s="101">
        <v>14</v>
      </c>
      <c r="BR6" s="101">
        <v>18</v>
      </c>
      <c r="BS6" s="101">
        <v>22</v>
      </c>
      <c r="BT6" s="101">
        <v>27</v>
      </c>
      <c r="BU6" s="101">
        <v>30</v>
      </c>
      <c r="BV6" s="101">
        <v>32</v>
      </c>
      <c r="BW6" s="101">
        <v>36</v>
      </c>
      <c r="BX6" s="101">
        <v>40</v>
      </c>
      <c r="BY6" s="101">
        <v>45</v>
      </c>
      <c r="BZ6" s="101">
        <v>50</v>
      </c>
      <c r="CA6" s="36"/>
      <c r="CC6" s="354"/>
      <c r="CD6" s="114" t="s">
        <v>230</v>
      </c>
      <c r="CE6" s="127">
        <v>8</v>
      </c>
      <c r="CF6" s="123">
        <v>10</v>
      </c>
      <c r="CG6" s="123">
        <v>12</v>
      </c>
      <c r="CH6" s="123">
        <v>14</v>
      </c>
      <c r="CI6" s="123">
        <v>18</v>
      </c>
      <c r="CJ6" s="123">
        <v>22</v>
      </c>
      <c r="CK6" s="123">
        <v>27</v>
      </c>
      <c r="CL6" s="123">
        <v>30</v>
      </c>
      <c r="CM6" s="123">
        <v>32</v>
      </c>
      <c r="CN6" s="123">
        <v>36</v>
      </c>
      <c r="CO6" s="123">
        <v>40</v>
      </c>
      <c r="CP6" s="128">
        <v>50</v>
      </c>
      <c r="CR6" s="355"/>
      <c r="CS6" s="117" t="s">
        <v>231</v>
      </c>
      <c r="CT6" s="142">
        <v>998915</v>
      </c>
      <c r="CU6" s="137">
        <v>998581</v>
      </c>
      <c r="CV6" s="137">
        <v>951722</v>
      </c>
      <c r="CW6" s="138">
        <v>998529</v>
      </c>
      <c r="CX6" s="137">
        <v>998590</v>
      </c>
      <c r="CY6" s="137">
        <v>998595</v>
      </c>
      <c r="CZ6" s="137">
        <v>300949</v>
      </c>
      <c r="DA6" s="139">
        <v>599622</v>
      </c>
      <c r="DC6" s="352"/>
      <c r="DD6" s="117" t="s">
        <v>231</v>
      </c>
      <c r="DE6" s="144">
        <v>998211</v>
      </c>
      <c r="DF6" s="144">
        <v>998213</v>
      </c>
      <c r="DG6" s="144">
        <v>998216</v>
      </c>
      <c r="DH6" s="144">
        <v>998219</v>
      </c>
      <c r="DI6" s="143" t="s">
        <v>240</v>
      </c>
      <c r="DJ6" s="144" t="s">
        <v>241</v>
      </c>
      <c r="DK6" s="144" t="s">
        <v>242</v>
      </c>
      <c r="DL6" s="145" t="s">
        <v>243</v>
      </c>
      <c r="DN6" s="354"/>
      <c r="DO6" s="171" t="s">
        <v>229</v>
      </c>
      <c r="DP6" s="155">
        <v>1.5</v>
      </c>
      <c r="DQ6" s="156">
        <v>2</v>
      </c>
      <c r="DR6" s="156">
        <v>2.5</v>
      </c>
      <c r="DS6" s="156">
        <v>3</v>
      </c>
      <c r="DT6" s="156">
        <v>4</v>
      </c>
      <c r="DU6" s="156">
        <v>5</v>
      </c>
      <c r="DV6" s="156">
        <v>6</v>
      </c>
      <c r="DW6" s="156">
        <v>7</v>
      </c>
      <c r="DX6" s="156">
        <v>8</v>
      </c>
      <c r="DY6" s="148">
        <v>9</v>
      </c>
      <c r="DZ6" s="148">
        <v>10</v>
      </c>
      <c r="EA6" s="148">
        <v>12</v>
      </c>
      <c r="EB6" s="149">
        <v>15</v>
      </c>
      <c r="EC6" s="20"/>
      <c r="ED6" s="354"/>
      <c r="EE6" s="171" t="s">
        <v>229</v>
      </c>
      <c r="EF6" s="155">
        <v>1.5</v>
      </c>
      <c r="EG6" s="156">
        <v>2</v>
      </c>
      <c r="EH6" s="156">
        <v>2.5</v>
      </c>
      <c r="EI6" s="156">
        <v>3</v>
      </c>
      <c r="EJ6" s="156">
        <v>4</v>
      </c>
      <c r="EK6" s="156">
        <v>5</v>
      </c>
      <c r="EL6" s="156">
        <v>6</v>
      </c>
      <c r="EM6" s="156">
        <v>7</v>
      </c>
      <c r="EN6" s="156">
        <v>8</v>
      </c>
      <c r="EO6" s="156">
        <v>9</v>
      </c>
      <c r="EP6" s="156">
        <v>10</v>
      </c>
      <c r="EQ6" s="156">
        <v>12</v>
      </c>
      <c r="ER6" s="157">
        <v>15</v>
      </c>
      <c r="ET6" s="354"/>
      <c r="EU6" s="181" t="s">
        <v>254</v>
      </c>
      <c r="EV6" s="195">
        <v>1</v>
      </c>
      <c r="EW6" s="198">
        <v>1.4</v>
      </c>
      <c r="EX6" s="198">
        <v>1.8</v>
      </c>
      <c r="EY6" s="198">
        <v>2.1</v>
      </c>
      <c r="EZ6" s="198">
        <v>2.35</v>
      </c>
      <c r="FA6" s="198">
        <v>2.75</v>
      </c>
      <c r="FB6" s="198">
        <v>3.1</v>
      </c>
      <c r="FC6" s="198">
        <v>3.2</v>
      </c>
      <c r="FD6" s="198">
        <v>3.95</v>
      </c>
      <c r="FE6" s="193" t="s">
        <v>256</v>
      </c>
      <c r="FG6" s="354"/>
      <c r="FH6" s="181" t="s">
        <v>254</v>
      </c>
      <c r="FI6" s="195">
        <v>1</v>
      </c>
      <c r="FJ6" s="198">
        <v>1.4</v>
      </c>
      <c r="FK6" s="198">
        <v>1.8</v>
      </c>
      <c r="FL6" s="198">
        <v>2.1</v>
      </c>
      <c r="FM6" s="198">
        <v>2.35</v>
      </c>
      <c r="FN6" s="198">
        <v>2.75</v>
      </c>
      <c r="FO6" s="198">
        <v>3.1</v>
      </c>
      <c r="FP6" s="198"/>
      <c r="FQ6" s="198">
        <v>4</v>
      </c>
      <c r="FR6" s="193" t="s">
        <v>256</v>
      </c>
      <c r="FT6" s="363"/>
      <c r="FU6" s="209" t="s">
        <v>266</v>
      </c>
      <c r="FV6" s="24" t="s">
        <v>271</v>
      </c>
      <c r="FW6" s="13">
        <v>1</v>
      </c>
      <c r="FX6" s="13">
        <v>1</v>
      </c>
      <c r="FY6" s="13">
        <v>1.5</v>
      </c>
      <c r="FZ6" s="36"/>
      <c r="GB6" s="354"/>
      <c r="GC6" s="226" t="s">
        <v>287</v>
      </c>
      <c r="GD6" s="24">
        <v>9.3000000000000007</v>
      </c>
      <c r="GE6" s="13">
        <v>9.3000000000000007</v>
      </c>
      <c r="GF6" s="13">
        <v>11.3</v>
      </c>
      <c r="GG6" s="13">
        <v>11.3</v>
      </c>
      <c r="GH6" s="13">
        <v>13.3</v>
      </c>
      <c r="GI6" s="36">
        <v>16.3</v>
      </c>
      <c r="GK6" s="351"/>
      <c r="GL6" s="293" t="s">
        <v>230</v>
      </c>
      <c r="GM6" s="303"/>
      <c r="GN6" s="299"/>
      <c r="GO6" s="299"/>
      <c r="GP6" s="299">
        <v>18</v>
      </c>
      <c r="GQ6" s="299">
        <v>22</v>
      </c>
      <c r="GR6" s="299">
        <v>27</v>
      </c>
      <c r="GS6" s="299">
        <v>32</v>
      </c>
      <c r="GT6" s="299"/>
      <c r="GU6" s="304"/>
    </row>
    <row r="7" spans="2:203" ht="15.75" thickBot="1" x14ac:dyDescent="0.3">
      <c r="B7" s="351"/>
      <c r="C7" s="370">
        <v>25</v>
      </c>
      <c r="D7" s="67"/>
      <c r="E7" s="53">
        <v>998785</v>
      </c>
      <c r="F7" s="53">
        <v>998388</v>
      </c>
      <c r="G7" s="53">
        <v>998387</v>
      </c>
      <c r="H7" s="53">
        <v>998365</v>
      </c>
      <c r="I7" s="53">
        <v>780231</v>
      </c>
      <c r="J7" s="52"/>
      <c r="K7" s="52"/>
      <c r="L7" s="52"/>
      <c r="M7" s="52"/>
      <c r="N7" s="52"/>
      <c r="O7" s="61"/>
      <c r="Q7" s="354"/>
      <c r="R7" s="25">
        <v>20</v>
      </c>
      <c r="S7" s="86"/>
      <c r="T7" s="49">
        <v>998856</v>
      </c>
      <c r="U7" s="49">
        <v>998861</v>
      </c>
      <c r="V7" s="49" t="s">
        <v>194</v>
      </c>
      <c r="W7" s="49">
        <v>998828</v>
      </c>
      <c r="X7" s="84"/>
      <c r="Y7" s="84"/>
      <c r="Z7" s="84"/>
      <c r="AA7" s="84"/>
      <c r="AB7" s="84"/>
      <c r="AC7" s="84"/>
      <c r="AD7" s="85"/>
      <c r="AF7" s="352"/>
      <c r="AG7" s="38" t="s">
        <v>231</v>
      </c>
      <c r="AH7" s="158"/>
      <c r="AI7" s="159"/>
      <c r="AJ7" s="160">
        <v>998430</v>
      </c>
      <c r="AK7" s="160">
        <v>998440</v>
      </c>
      <c r="AL7" s="160">
        <v>998441</v>
      </c>
      <c r="AM7" s="160">
        <v>998442</v>
      </c>
      <c r="AN7" s="160">
        <v>998443</v>
      </c>
      <c r="AO7" s="160">
        <v>998444</v>
      </c>
      <c r="AP7" s="160">
        <v>998445</v>
      </c>
      <c r="AQ7" s="161">
        <v>998446</v>
      </c>
      <c r="AR7" s="160">
        <v>998447</v>
      </c>
      <c r="AS7" s="160">
        <v>998449</v>
      </c>
      <c r="AT7" s="162">
        <v>599621</v>
      </c>
      <c r="AV7" s="352"/>
      <c r="AW7" s="40" t="s">
        <v>231</v>
      </c>
      <c r="AX7" s="165">
        <v>999026</v>
      </c>
      <c r="AY7" s="150">
        <v>999846</v>
      </c>
      <c r="AZ7" s="150">
        <v>999847</v>
      </c>
      <c r="BA7" s="150">
        <v>999850</v>
      </c>
      <c r="BB7" s="150" t="s">
        <v>222</v>
      </c>
      <c r="BC7" s="150" t="s">
        <v>223</v>
      </c>
      <c r="BD7" s="150">
        <v>999853</v>
      </c>
      <c r="BE7" s="166">
        <v>999858</v>
      </c>
      <c r="BF7" s="166" t="s">
        <v>224</v>
      </c>
      <c r="BG7" s="166" t="s">
        <v>225</v>
      </c>
      <c r="BH7" s="166" t="s">
        <v>226</v>
      </c>
      <c r="BI7" s="151">
        <v>999845</v>
      </c>
      <c r="BJ7" s="167"/>
      <c r="BL7" s="355"/>
      <c r="BM7" s="40" t="s">
        <v>231</v>
      </c>
      <c r="BN7" s="103"/>
      <c r="BO7" s="104">
        <v>998460</v>
      </c>
      <c r="BP7" s="104">
        <v>998461</v>
      </c>
      <c r="BQ7" s="104">
        <v>998470</v>
      </c>
      <c r="BR7" s="104">
        <v>998471</v>
      </c>
      <c r="BS7" s="104">
        <v>998472</v>
      </c>
      <c r="BT7" s="104">
        <v>998473</v>
      </c>
      <c r="BU7" s="104">
        <v>998483</v>
      </c>
      <c r="BV7" s="104">
        <v>998484</v>
      </c>
      <c r="BW7" s="105"/>
      <c r="BX7" s="104">
        <v>998476</v>
      </c>
      <c r="BY7" s="98"/>
      <c r="BZ7" s="106">
        <v>998477</v>
      </c>
      <c r="CA7" s="107">
        <v>998481</v>
      </c>
      <c r="CC7" s="355"/>
      <c r="CD7" s="26" t="s">
        <v>231</v>
      </c>
      <c r="CE7" s="129">
        <v>999028</v>
      </c>
      <c r="CF7" s="130">
        <v>998283</v>
      </c>
      <c r="CG7" s="131">
        <v>998284</v>
      </c>
      <c r="CH7" s="131">
        <v>998277</v>
      </c>
      <c r="CI7" s="131" t="s">
        <v>234</v>
      </c>
      <c r="CJ7" s="131" t="s">
        <v>235</v>
      </c>
      <c r="CK7" s="131">
        <v>998280</v>
      </c>
      <c r="CL7" s="131">
        <v>998276</v>
      </c>
      <c r="CM7" s="130" t="s">
        <v>236</v>
      </c>
      <c r="CN7" s="131">
        <v>998282</v>
      </c>
      <c r="CO7" s="130" t="s">
        <v>237</v>
      </c>
      <c r="CP7" s="132">
        <v>998263</v>
      </c>
      <c r="DN7" s="355"/>
      <c r="DO7" s="40" t="s">
        <v>231</v>
      </c>
      <c r="DP7" s="158"/>
      <c r="DQ7" s="159"/>
      <c r="DR7" s="159"/>
      <c r="DS7" s="172">
        <v>998400</v>
      </c>
      <c r="DT7" s="172">
        <v>998401</v>
      </c>
      <c r="DU7" s="161">
        <v>998402</v>
      </c>
      <c r="DV7" s="160">
        <v>998403</v>
      </c>
      <c r="DW7" s="161">
        <v>998404</v>
      </c>
      <c r="DX7" s="160">
        <v>998405</v>
      </c>
      <c r="DY7" s="122"/>
      <c r="DZ7" s="150">
        <v>998407</v>
      </c>
      <c r="EA7" s="122"/>
      <c r="EB7" s="173"/>
      <c r="EC7" s="20"/>
      <c r="ED7" s="355"/>
      <c r="EE7" s="40" t="s">
        <v>231</v>
      </c>
      <c r="EF7" s="174"/>
      <c r="EG7" s="175"/>
      <c r="EH7" s="161">
        <v>998146</v>
      </c>
      <c r="EI7" s="176"/>
      <c r="EJ7" s="160" t="s">
        <v>245</v>
      </c>
      <c r="EK7" s="160" t="s">
        <v>246</v>
      </c>
      <c r="EL7" s="161">
        <v>999832</v>
      </c>
      <c r="EM7" s="177"/>
      <c r="EN7" s="161">
        <v>999834</v>
      </c>
      <c r="EO7" s="177"/>
      <c r="EP7" s="172" t="s">
        <v>247</v>
      </c>
      <c r="EQ7" s="161">
        <v>999837</v>
      </c>
      <c r="ER7" s="178"/>
      <c r="ET7" s="354"/>
      <c r="EU7" s="181" t="s">
        <v>230</v>
      </c>
      <c r="EV7" s="195">
        <v>8</v>
      </c>
      <c r="EW7" s="198">
        <v>10</v>
      </c>
      <c r="EX7" s="198">
        <v>12</v>
      </c>
      <c r="EY7" s="198">
        <v>14</v>
      </c>
      <c r="EZ7" s="198">
        <v>18</v>
      </c>
      <c r="FA7" s="198">
        <v>22</v>
      </c>
      <c r="FB7" s="198">
        <v>27</v>
      </c>
      <c r="FC7" s="198">
        <v>30</v>
      </c>
      <c r="FD7" s="198">
        <v>32</v>
      </c>
      <c r="FE7" s="193">
        <v>40</v>
      </c>
      <c r="FG7" s="354"/>
      <c r="FH7" s="181" t="s">
        <v>230</v>
      </c>
      <c r="FI7" s="195">
        <v>8</v>
      </c>
      <c r="FJ7" s="198">
        <v>10</v>
      </c>
      <c r="FK7" s="198">
        <v>12</v>
      </c>
      <c r="FL7" s="198">
        <v>14</v>
      </c>
      <c r="FM7" s="198">
        <v>18</v>
      </c>
      <c r="FN7" s="198">
        <v>22</v>
      </c>
      <c r="FO7" s="198">
        <v>27</v>
      </c>
      <c r="FP7" s="198"/>
      <c r="FQ7" s="198">
        <v>32</v>
      </c>
      <c r="FR7" s="193">
        <v>40</v>
      </c>
      <c r="FT7" s="363"/>
      <c r="FU7" s="209" t="s">
        <v>267</v>
      </c>
      <c r="FV7" s="24">
        <v>4.5</v>
      </c>
      <c r="FW7" s="13">
        <v>6.5</v>
      </c>
      <c r="FX7" s="13">
        <v>8</v>
      </c>
      <c r="FY7" s="13">
        <v>10</v>
      </c>
      <c r="FZ7" s="36">
        <v>13</v>
      </c>
      <c r="GB7" s="354"/>
      <c r="GC7" s="226" t="s">
        <v>288</v>
      </c>
      <c r="GD7" s="24" t="s">
        <v>291</v>
      </c>
      <c r="GE7" s="13" t="s">
        <v>292</v>
      </c>
      <c r="GF7" s="229" t="s">
        <v>293</v>
      </c>
      <c r="GG7" s="13" t="s">
        <v>292</v>
      </c>
      <c r="GH7" s="13" t="s">
        <v>294</v>
      </c>
      <c r="GI7" s="36" t="s">
        <v>295</v>
      </c>
      <c r="GK7" s="352"/>
      <c r="GL7" s="271" t="s">
        <v>231</v>
      </c>
      <c r="GM7" s="305"/>
      <c r="GN7" s="306"/>
      <c r="GO7" s="306"/>
      <c r="GP7" s="307">
        <v>951621</v>
      </c>
      <c r="GQ7" s="307">
        <v>988511</v>
      </c>
      <c r="GR7" s="307">
        <v>998959</v>
      </c>
      <c r="GS7" s="307">
        <v>998503</v>
      </c>
      <c r="GT7" s="308"/>
      <c r="GU7" s="309" t="s">
        <v>315</v>
      </c>
    </row>
    <row r="8" spans="2:203" ht="15.75" thickBot="1" x14ac:dyDescent="0.3">
      <c r="B8" s="351"/>
      <c r="C8" s="370"/>
      <c r="D8" s="67"/>
      <c r="E8" s="54"/>
      <c r="F8" s="55">
        <v>599608</v>
      </c>
      <c r="G8" s="54"/>
      <c r="H8" s="54"/>
      <c r="I8" s="54"/>
      <c r="J8" s="54"/>
      <c r="K8" s="54"/>
      <c r="L8" s="52"/>
      <c r="M8" s="52"/>
      <c r="N8" s="52"/>
      <c r="O8" s="61"/>
      <c r="Q8" s="354"/>
      <c r="R8" s="25">
        <v>25</v>
      </c>
      <c r="S8" s="86"/>
      <c r="T8" s="84"/>
      <c r="U8" s="49">
        <v>998862</v>
      </c>
      <c r="V8" s="49" t="s">
        <v>195</v>
      </c>
      <c r="W8" s="49" t="s">
        <v>196</v>
      </c>
      <c r="X8" s="49">
        <v>998834</v>
      </c>
      <c r="Y8" s="84"/>
      <c r="Z8" s="84"/>
      <c r="AA8" s="84"/>
      <c r="AB8" s="84"/>
      <c r="AC8" s="84"/>
      <c r="AD8" s="85"/>
      <c r="CR8" s="20"/>
      <c r="ET8" s="355"/>
      <c r="EU8" s="26" t="s">
        <v>231</v>
      </c>
      <c r="EV8" s="191"/>
      <c r="EW8" s="98"/>
      <c r="EX8" s="98"/>
      <c r="EY8" s="194">
        <v>998560</v>
      </c>
      <c r="EZ8" s="194">
        <v>998561</v>
      </c>
      <c r="FA8" s="194">
        <v>951671</v>
      </c>
      <c r="FB8" s="200">
        <v>998562</v>
      </c>
      <c r="FC8" s="194">
        <v>998494</v>
      </c>
      <c r="FD8" s="194">
        <v>998563</v>
      </c>
      <c r="FE8" s="201" t="s">
        <v>257</v>
      </c>
      <c r="FG8" s="355"/>
      <c r="FH8" s="26" t="s">
        <v>231</v>
      </c>
      <c r="FI8" s="203">
        <v>999027</v>
      </c>
      <c r="FJ8" s="202">
        <v>998241</v>
      </c>
      <c r="FK8" s="192">
        <v>998244</v>
      </c>
      <c r="FL8" s="192">
        <v>998245</v>
      </c>
      <c r="FM8" s="192" t="s">
        <v>258</v>
      </c>
      <c r="FN8" s="192" t="s">
        <v>259</v>
      </c>
      <c r="FO8" s="192">
        <v>998246</v>
      </c>
      <c r="FP8" s="202" t="s">
        <v>260</v>
      </c>
      <c r="FQ8" s="202" t="s">
        <v>261</v>
      </c>
      <c r="FR8" s="204" t="s">
        <v>262</v>
      </c>
      <c r="FT8" s="363"/>
      <c r="FU8" s="210" t="s">
        <v>268</v>
      </c>
      <c r="FV8" s="24">
        <v>4</v>
      </c>
      <c r="FW8" s="13">
        <v>5.5</v>
      </c>
      <c r="FX8" s="13">
        <v>7</v>
      </c>
      <c r="FY8" s="13">
        <v>8.5</v>
      </c>
      <c r="FZ8" s="36"/>
      <c r="GB8" s="354"/>
      <c r="GC8" s="226" t="s">
        <v>289</v>
      </c>
      <c r="GD8" s="24">
        <v>9.3000000000000007</v>
      </c>
      <c r="GE8" s="13">
        <v>9.3000000000000007</v>
      </c>
      <c r="GF8" s="13">
        <v>11.3</v>
      </c>
      <c r="GG8" s="13">
        <v>11.3</v>
      </c>
      <c r="GH8" s="13">
        <v>13.3</v>
      </c>
      <c r="GI8" s="36">
        <v>16.3</v>
      </c>
    </row>
    <row r="9" spans="2:203" ht="15.75" thickBot="1" x14ac:dyDescent="0.3">
      <c r="B9" s="351"/>
      <c r="C9" s="310">
        <v>30</v>
      </c>
      <c r="D9" s="67"/>
      <c r="E9" s="52"/>
      <c r="F9" s="53">
        <v>998382</v>
      </c>
      <c r="G9" s="53">
        <v>998360</v>
      </c>
      <c r="H9" s="53">
        <v>998366</v>
      </c>
      <c r="I9" s="53">
        <v>998347</v>
      </c>
      <c r="J9" s="52"/>
      <c r="K9" s="52"/>
      <c r="L9" s="52"/>
      <c r="M9" s="52"/>
      <c r="N9" s="52"/>
      <c r="O9" s="61"/>
      <c r="Q9" s="354"/>
      <c r="R9" s="25">
        <v>30</v>
      </c>
      <c r="S9" s="86"/>
      <c r="T9" s="84"/>
      <c r="U9" s="50">
        <v>998863</v>
      </c>
      <c r="V9" s="49">
        <v>998822</v>
      </c>
      <c r="W9" s="49">
        <v>998830</v>
      </c>
      <c r="X9" s="50" t="s">
        <v>197</v>
      </c>
      <c r="Y9" s="84"/>
      <c r="Z9" s="84"/>
      <c r="AA9" s="84"/>
      <c r="AB9" s="84"/>
      <c r="AC9" s="84"/>
      <c r="AD9" s="85"/>
      <c r="CR9" s="20"/>
      <c r="FT9" s="363"/>
      <c r="FU9" s="209" t="s">
        <v>269</v>
      </c>
      <c r="FV9" s="24">
        <v>11</v>
      </c>
      <c r="FW9" s="13">
        <v>16</v>
      </c>
      <c r="FX9" s="13">
        <v>19</v>
      </c>
      <c r="FY9" s="13">
        <v>21.5</v>
      </c>
      <c r="FZ9" s="36">
        <v>26.5</v>
      </c>
      <c r="GB9" s="355"/>
      <c r="GC9" s="26" t="s">
        <v>231</v>
      </c>
      <c r="GD9" s="207">
        <v>112037</v>
      </c>
      <c r="GE9" s="98">
        <v>112038</v>
      </c>
      <c r="GF9" s="98">
        <v>112040</v>
      </c>
      <c r="GG9" s="98">
        <v>112039</v>
      </c>
      <c r="GH9" s="98">
        <v>112041</v>
      </c>
      <c r="GI9" s="206">
        <v>112042</v>
      </c>
    </row>
    <row r="10" spans="2:203" ht="15.75" thickBot="1" x14ac:dyDescent="0.3">
      <c r="B10" s="351"/>
      <c r="C10" s="310">
        <v>35</v>
      </c>
      <c r="D10" s="67"/>
      <c r="E10" s="52"/>
      <c r="F10" s="52"/>
      <c r="G10" s="53">
        <v>998921</v>
      </c>
      <c r="H10" s="53">
        <v>998926</v>
      </c>
      <c r="I10" s="53">
        <v>998942</v>
      </c>
      <c r="J10" s="52"/>
      <c r="K10" s="52"/>
      <c r="L10" s="52"/>
      <c r="M10" s="52"/>
      <c r="N10" s="52"/>
      <c r="O10" s="61"/>
      <c r="Q10" s="354"/>
      <c r="R10" s="25">
        <v>35</v>
      </c>
      <c r="S10" s="86"/>
      <c r="T10" s="84"/>
      <c r="U10" s="51">
        <v>998864</v>
      </c>
      <c r="V10" s="49">
        <v>998823</v>
      </c>
      <c r="W10" s="49" t="s">
        <v>198</v>
      </c>
      <c r="X10" s="49" t="s">
        <v>199</v>
      </c>
      <c r="Y10" s="84"/>
      <c r="Z10" s="84"/>
      <c r="AA10" s="84"/>
      <c r="AB10" s="84"/>
      <c r="AC10" s="84"/>
      <c r="AD10" s="85"/>
      <c r="CR10" s="20"/>
      <c r="FT10" s="363"/>
      <c r="FU10" s="211" t="s">
        <v>270</v>
      </c>
      <c r="FV10" s="207">
        <v>8</v>
      </c>
      <c r="FW10" s="98">
        <v>10.199999999999999</v>
      </c>
      <c r="FX10" s="98">
        <v>12.2</v>
      </c>
      <c r="FY10" s="98">
        <v>14.7</v>
      </c>
      <c r="FZ10" s="206">
        <v>18.8</v>
      </c>
    </row>
    <row r="11" spans="2:203" ht="15.75" thickBot="1" x14ac:dyDescent="0.3">
      <c r="B11" s="351"/>
      <c r="C11" s="310">
        <v>40</v>
      </c>
      <c r="D11" s="67"/>
      <c r="E11" s="56" t="s">
        <v>188</v>
      </c>
      <c r="F11" s="53">
        <v>998383</v>
      </c>
      <c r="G11" s="53">
        <v>998922</v>
      </c>
      <c r="H11" s="53">
        <v>998368</v>
      </c>
      <c r="I11" s="53">
        <v>998931</v>
      </c>
      <c r="J11" s="53">
        <v>998353</v>
      </c>
      <c r="K11" s="53">
        <v>998349</v>
      </c>
      <c r="L11" s="52"/>
      <c r="M11" s="52"/>
      <c r="N11" s="52"/>
      <c r="O11" s="61"/>
      <c r="Q11" s="354"/>
      <c r="R11" s="25">
        <v>40</v>
      </c>
      <c r="S11" s="86"/>
      <c r="T11" s="50" t="s">
        <v>200</v>
      </c>
      <c r="U11" s="50" t="s">
        <v>201</v>
      </c>
      <c r="V11" s="49">
        <v>998824</v>
      </c>
      <c r="W11" s="84"/>
      <c r="X11" s="49">
        <v>998792</v>
      </c>
      <c r="Y11" s="51">
        <v>998818</v>
      </c>
      <c r="Z11" s="50" t="s">
        <v>202</v>
      </c>
      <c r="AA11" s="84"/>
      <c r="AB11" s="84"/>
      <c r="AC11" s="84"/>
      <c r="AD11" s="85"/>
      <c r="CR11" s="20"/>
      <c r="FT11" s="363"/>
      <c r="FU11" s="38" t="s">
        <v>274</v>
      </c>
      <c r="FV11" s="183">
        <v>112013</v>
      </c>
      <c r="FW11" s="183">
        <v>112014</v>
      </c>
      <c r="FX11" s="183">
        <v>112015</v>
      </c>
      <c r="FY11" s="183">
        <v>112016</v>
      </c>
      <c r="FZ11" s="184">
        <v>112017</v>
      </c>
    </row>
    <row r="12" spans="2:203" ht="15.75" thickBot="1" x14ac:dyDescent="0.3">
      <c r="B12" s="351"/>
      <c r="C12" s="310">
        <v>45</v>
      </c>
      <c r="D12" s="67"/>
      <c r="E12" s="52"/>
      <c r="F12" s="52"/>
      <c r="G12" s="53">
        <v>998923</v>
      </c>
      <c r="H12" s="53">
        <v>998928</v>
      </c>
      <c r="I12" s="53">
        <v>998932</v>
      </c>
      <c r="J12" s="52"/>
      <c r="K12" s="52"/>
      <c r="L12" s="52"/>
      <c r="M12" s="53">
        <v>149297</v>
      </c>
      <c r="N12" s="52"/>
      <c r="O12" s="61"/>
      <c r="Q12" s="354"/>
      <c r="R12" s="25">
        <v>45</v>
      </c>
      <c r="S12" s="86"/>
      <c r="T12" s="51">
        <v>998320</v>
      </c>
      <c r="U12" s="51">
        <v>998858</v>
      </c>
      <c r="V12" s="51">
        <v>998825</v>
      </c>
      <c r="W12" s="49" t="s">
        <v>203</v>
      </c>
      <c r="X12" s="50">
        <v>998793</v>
      </c>
      <c r="Y12" s="84"/>
      <c r="Z12" s="51">
        <v>998801</v>
      </c>
      <c r="AA12" s="84"/>
      <c r="AB12" s="50" t="s">
        <v>204</v>
      </c>
      <c r="AC12" s="84"/>
      <c r="AD12" s="85"/>
      <c r="CR12" s="20"/>
      <c r="FT12" s="364"/>
      <c r="FU12" s="38" t="s">
        <v>275</v>
      </c>
      <c r="FV12" s="183" t="s">
        <v>276</v>
      </c>
      <c r="FW12" s="183" t="s">
        <v>277</v>
      </c>
      <c r="FX12" s="183" t="s">
        <v>278</v>
      </c>
      <c r="FY12" s="183">
        <v>112035</v>
      </c>
      <c r="FZ12" s="184"/>
    </row>
    <row r="13" spans="2:203" x14ac:dyDescent="0.25">
      <c r="B13" s="351"/>
      <c r="C13" s="310">
        <v>50</v>
      </c>
      <c r="D13" s="67"/>
      <c r="E13" s="52"/>
      <c r="F13" s="53">
        <v>998384</v>
      </c>
      <c r="G13" s="53">
        <v>998362</v>
      </c>
      <c r="H13" s="53">
        <v>699350</v>
      </c>
      <c r="I13" s="53">
        <v>699902</v>
      </c>
      <c r="J13" s="57">
        <v>998354</v>
      </c>
      <c r="K13" s="53">
        <v>780233</v>
      </c>
      <c r="L13" s="57">
        <v>998341</v>
      </c>
      <c r="M13" s="52"/>
      <c r="N13" s="52"/>
      <c r="O13" s="62">
        <v>998373</v>
      </c>
      <c r="Q13" s="354"/>
      <c r="R13" s="25">
        <v>50</v>
      </c>
      <c r="S13" s="86"/>
      <c r="T13" s="51">
        <v>998868</v>
      </c>
      <c r="U13" s="51">
        <v>998866</v>
      </c>
      <c r="V13" s="51">
        <v>998826</v>
      </c>
      <c r="W13" s="49">
        <v>998840</v>
      </c>
      <c r="X13" s="50" t="s">
        <v>205</v>
      </c>
      <c r="Y13" s="51">
        <v>998800</v>
      </c>
      <c r="Z13" s="51" t="s">
        <v>206</v>
      </c>
      <c r="AA13" s="84"/>
      <c r="AB13" s="51" t="s">
        <v>207</v>
      </c>
      <c r="AC13" s="84"/>
      <c r="AD13" s="87">
        <v>998816</v>
      </c>
      <c r="CR13" s="20"/>
    </row>
    <row r="14" spans="2:203" ht="15.75" thickBot="1" x14ac:dyDescent="0.3">
      <c r="B14" s="351"/>
      <c r="C14" s="310">
        <v>60</v>
      </c>
      <c r="D14" s="66"/>
      <c r="E14" s="52"/>
      <c r="F14" s="57">
        <v>998325</v>
      </c>
      <c r="G14" s="57">
        <v>998371</v>
      </c>
      <c r="H14" s="52"/>
      <c r="I14" s="53">
        <v>998352</v>
      </c>
      <c r="J14" s="52"/>
      <c r="K14" s="53">
        <v>699635</v>
      </c>
      <c r="L14" s="52"/>
      <c r="M14" s="53">
        <v>149298</v>
      </c>
      <c r="N14" s="52"/>
      <c r="O14" s="61"/>
      <c r="Q14" s="354"/>
      <c r="R14" s="25">
        <v>55</v>
      </c>
      <c r="S14" s="86"/>
      <c r="T14" s="84"/>
      <c r="U14" s="84"/>
      <c r="V14" s="49">
        <v>998781</v>
      </c>
      <c r="W14" s="84"/>
      <c r="X14" s="84"/>
      <c r="Y14" s="84"/>
      <c r="Z14" s="84"/>
      <c r="AA14" s="84"/>
      <c r="AB14" s="84"/>
      <c r="AC14" s="84"/>
      <c r="AD14" s="85"/>
      <c r="CR14" s="20"/>
    </row>
    <row r="15" spans="2:203" x14ac:dyDescent="0.25">
      <c r="B15" s="351"/>
      <c r="C15" s="310">
        <v>65</v>
      </c>
      <c r="D15" s="66"/>
      <c r="E15" s="52"/>
      <c r="F15" s="52"/>
      <c r="G15" s="57">
        <v>998903</v>
      </c>
      <c r="H15" s="52"/>
      <c r="I15" s="52"/>
      <c r="J15" s="52"/>
      <c r="K15" s="52"/>
      <c r="L15" s="52"/>
      <c r="M15" s="52"/>
      <c r="N15" s="52"/>
      <c r="O15" s="61"/>
      <c r="Q15" s="354"/>
      <c r="R15" s="25">
        <v>60</v>
      </c>
      <c r="S15" s="86"/>
      <c r="T15" s="49">
        <v>998853</v>
      </c>
      <c r="U15" s="51">
        <v>998379</v>
      </c>
      <c r="V15" s="84"/>
      <c r="W15" s="84"/>
      <c r="X15" s="50" t="s">
        <v>208</v>
      </c>
      <c r="Y15" s="84"/>
      <c r="Z15" s="50" t="s">
        <v>209</v>
      </c>
      <c r="AA15" s="84"/>
      <c r="AB15" s="50" t="s">
        <v>210</v>
      </c>
      <c r="AC15" s="84"/>
      <c r="AD15" s="85"/>
      <c r="CR15" s="20"/>
      <c r="FS15" s="358" t="s">
        <v>279</v>
      </c>
      <c r="FT15" s="359"/>
      <c r="FU15" s="359"/>
      <c r="FV15" s="213">
        <v>8.6999999999999993</v>
      </c>
      <c r="FW15" s="213">
        <v>10.7</v>
      </c>
      <c r="FX15" s="213">
        <v>12.7</v>
      </c>
      <c r="FY15" s="213">
        <v>15.2</v>
      </c>
      <c r="FZ15" s="214"/>
      <c r="GB15" s="358" t="s">
        <v>296</v>
      </c>
      <c r="GC15" s="359"/>
      <c r="GD15" s="359"/>
      <c r="GE15" s="359"/>
      <c r="GF15" s="219">
        <v>9.3000000000000007</v>
      </c>
      <c r="GG15" s="219">
        <v>11.3</v>
      </c>
      <c r="GH15" s="219">
        <v>13.3</v>
      </c>
      <c r="GI15" s="214">
        <v>16.3</v>
      </c>
    </row>
    <row r="16" spans="2:203" ht="15.75" thickBot="1" x14ac:dyDescent="0.3">
      <c r="B16" s="351"/>
      <c r="C16" s="310">
        <v>70</v>
      </c>
      <c r="D16" s="66"/>
      <c r="E16" s="52"/>
      <c r="F16" s="58"/>
      <c r="G16" s="59" t="s">
        <v>189</v>
      </c>
      <c r="H16" s="57">
        <v>998391</v>
      </c>
      <c r="I16" s="53">
        <v>699900</v>
      </c>
      <c r="J16" s="52"/>
      <c r="K16" s="53">
        <v>998906</v>
      </c>
      <c r="L16" s="52"/>
      <c r="M16" s="53">
        <v>149294</v>
      </c>
      <c r="N16" s="52"/>
      <c r="O16" s="61"/>
      <c r="Q16" s="354"/>
      <c r="R16" s="25">
        <v>65</v>
      </c>
      <c r="S16" s="86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5"/>
      <c r="CR16" s="20"/>
      <c r="FS16" s="365" t="s">
        <v>280</v>
      </c>
      <c r="FT16" s="366"/>
      <c r="FU16" s="366"/>
      <c r="FV16" s="98" t="s">
        <v>177</v>
      </c>
      <c r="FW16" s="98" t="s">
        <v>178</v>
      </c>
      <c r="FX16" s="98" t="s">
        <v>179</v>
      </c>
      <c r="FY16" s="98" t="s">
        <v>180</v>
      </c>
      <c r="FZ16" s="206" t="s">
        <v>182</v>
      </c>
      <c r="GB16" s="360" t="s">
        <v>289</v>
      </c>
      <c r="GC16" s="361"/>
      <c r="GD16" s="361"/>
      <c r="GE16" s="361"/>
      <c r="GF16" s="98" t="s">
        <v>177</v>
      </c>
      <c r="GG16" s="98" t="s">
        <v>178</v>
      </c>
      <c r="GH16" s="98" t="s">
        <v>179</v>
      </c>
      <c r="GI16" s="206" t="s">
        <v>180</v>
      </c>
    </row>
    <row r="17" spans="2:96" x14ac:dyDescent="0.25">
      <c r="B17" s="351"/>
      <c r="C17" s="310">
        <v>75</v>
      </c>
      <c r="D17" s="66"/>
      <c r="E17" s="52"/>
      <c r="F17" s="58"/>
      <c r="G17" s="59" t="s">
        <v>189</v>
      </c>
      <c r="H17" s="52"/>
      <c r="I17" s="52"/>
      <c r="J17" s="52"/>
      <c r="K17" s="52"/>
      <c r="L17" s="52"/>
      <c r="M17" s="57">
        <v>699149</v>
      </c>
      <c r="N17" s="52"/>
      <c r="O17" s="61"/>
      <c r="Q17" s="354"/>
      <c r="R17" s="25">
        <v>70</v>
      </c>
      <c r="S17" s="86"/>
      <c r="T17" s="84"/>
      <c r="U17" s="84"/>
      <c r="V17" s="51">
        <v>998835</v>
      </c>
      <c r="W17" s="51">
        <v>998811</v>
      </c>
      <c r="X17" s="50" t="s">
        <v>211</v>
      </c>
      <c r="Y17" s="50" t="s">
        <v>212</v>
      </c>
      <c r="Z17" s="50" t="s">
        <v>213</v>
      </c>
      <c r="AA17" s="50" t="s">
        <v>214</v>
      </c>
      <c r="AB17" s="50" t="s">
        <v>215</v>
      </c>
      <c r="AC17" s="84"/>
      <c r="AD17" s="85"/>
      <c r="CR17" s="20"/>
    </row>
    <row r="18" spans="2:96" x14ac:dyDescent="0.25">
      <c r="B18" s="351"/>
      <c r="C18" s="310">
        <v>80</v>
      </c>
      <c r="D18" s="66"/>
      <c r="E18" s="52"/>
      <c r="F18" s="52"/>
      <c r="G18" s="53">
        <v>998363</v>
      </c>
      <c r="H18" s="52"/>
      <c r="I18" s="57">
        <v>699901</v>
      </c>
      <c r="J18" s="60"/>
      <c r="K18" s="53">
        <v>998907</v>
      </c>
      <c r="L18" s="52"/>
      <c r="M18" s="52"/>
      <c r="N18" s="53">
        <v>998374</v>
      </c>
      <c r="O18" s="61"/>
      <c r="Q18" s="354"/>
      <c r="R18" s="25">
        <v>75</v>
      </c>
      <c r="S18" s="86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5"/>
      <c r="CR18" s="20"/>
    </row>
    <row r="19" spans="2:96" x14ac:dyDescent="0.25">
      <c r="B19" s="351"/>
      <c r="C19" s="310">
        <v>90</v>
      </c>
      <c r="D19" s="66"/>
      <c r="E19" s="52"/>
      <c r="F19" s="52"/>
      <c r="G19" s="52"/>
      <c r="H19" s="52"/>
      <c r="I19" s="52"/>
      <c r="J19" s="52"/>
      <c r="K19" s="56" t="s">
        <v>190</v>
      </c>
      <c r="L19" s="52"/>
      <c r="M19" s="53">
        <v>998344</v>
      </c>
      <c r="N19" s="52"/>
      <c r="O19" s="61"/>
      <c r="Q19" s="354"/>
      <c r="R19" s="25">
        <v>80</v>
      </c>
      <c r="S19" s="88"/>
      <c r="T19" s="48"/>
      <c r="U19" s="48"/>
      <c r="V19" s="48"/>
      <c r="W19" s="48"/>
      <c r="X19" s="51">
        <v>998797</v>
      </c>
      <c r="Y19" s="48"/>
      <c r="Z19" s="50" t="s">
        <v>216</v>
      </c>
      <c r="AA19" s="48"/>
      <c r="AB19" s="48"/>
      <c r="AC19" s="48"/>
      <c r="AD19" s="85"/>
      <c r="CR19" s="20"/>
    </row>
    <row r="20" spans="2:96" x14ac:dyDescent="0.25">
      <c r="B20" s="351"/>
      <c r="C20" s="310">
        <v>100</v>
      </c>
      <c r="D20" s="66"/>
      <c r="E20" s="52"/>
      <c r="F20" s="52"/>
      <c r="G20" s="52"/>
      <c r="H20" s="52"/>
      <c r="I20" s="52"/>
      <c r="J20" s="52"/>
      <c r="K20" s="52"/>
      <c r="L20" s="52"/>
      <c r="M20" s="53">
        <v>149300</v>
      </c>
      <c r="N20" s="52"/>
      <c r="O20" s="61"/>
      <c r="Q20" s="354"/>
      <c r="R20" s="25">
        <v>90</v>
      </c>
      <c r="S20" s="88"/>
      <c r="T20" s="48"/>
      <c r="U20" s="48"/>
      <c r="V20" s="48"/>
      <c r="W20" s="48"/>
      <c r="X20" s="48"/>
      <c r="Y20" s="48"/>
      <c r="Z20" s="50" t="s">
        <v>217</v>
      </c>
      <c r="AA20" s="48"/>
      <c r="AB20" s="48"/>
      <c r="AC20" s="48"/>
      <c r="AD20" s="85"/>
      <c r="CR20" s="20"/>
    </row>
    <row r="21" spans="2:96" x14ac:dyDescent="0.25">
      <c r="B21" s="351"/>
      <c r="C21" s="310">
        <v>110</v>
      </c>
      <c r="D21" s="66"/>
      <c r="E21" s="52"/>
      <c r="F21" s="52"/>
      <c r="G21" s="52"/>
      <c r="H21" s="52"/>
      <c r="I21" s="56">
        <v>699905</v>
      </c>
      <c r="J21" s="52"/>
      <c r="K21" s="52"/>
      <c r="L21" s="52"/>
      <c r="M21" s="52"/>
      <c r="N21" s="52"/>
      <c r="O21" s="61"/>
      <c r="Q21" s="354"/>
      <c r="R21" s="25">
        <v>100</v>
      </c>
      <c r="S21" s="89"/>
      <c r="T21" s="90"/>
      <c r="U21" s="90"/>
      <c r="V21" s="90"/>
      <c r="W21" s="90"/>
      <c r="X21" s="90"/>
      <c r="Y21" s="90"/>
      <c r="Z21" s="90"/>
      <c r="AA21" s="90"/>
      <c r="AB21" s="50" t="s">
        <v>218</v>
      </c>
      <c r="AC21" s="90"/>
      <c r="AD21" s="91"/>
      <c r="CR21" s="20"/>
    </row>
    <row r="22" spans="2:96" ht="15.75" thickBot="1" x14ac:dyDescent="0.3">
      <c r="B22" s="351"/>
      <c r="C22" s="310">
        <v>120</v>
      </c>
      <c r="D22" s="66"/>
      <c r="E22" s="52"/>
      <c r="F22" s="52"/>
      <c r="G22" s="52"/>
      <c r="H22" s="52"/>
      <c r="I22" s="57">
        <v>699906</v>
      </c>
      <c r="J22" s="52"/>
      <c r="K22" s="52"/>
      <c r="L22" s="52"/>
      <c r="M22" s="53">
        <v>998346</v>
      </c>
      <c r="N22" s="53">
        <v>149296</v>
      </c>
      <c r="O22" s="61"/>
      <c r="Q22" s="355"/>
      <c r="R22" s="26">
        <v>120</v>
      </c>
      <c r="S22" s="92"/>
      <c r="T22" s="93"/>
      <c r="U22" s="93"/>
      <c r="V22" s="93"/>
      <c r="W22" s="93"/>
      <c r="X22" s="93"/>
      <c r="Y22" s="93"/>
      <c r="Z22" s="93"/>
      <c r="AA22" s="93"/>
      <c r="AB22" s="94"/>
      <c r="AC22" s="95">
        <v>149301</v>
      </c>
      <c r="AD22" s="96"/>
      <c r="CR22" s="20"/>
    </row>
    <row r="23" spans="2:96" ht="15.75" thickBot="1" x14ac:dyDescent="0.3">
      <c r="B23" s="352"/>
      <c r="C23" s="26">
        <v>140</v>
      </c>
      <c r="D23" s="68"/>
      <c r="E23" s="63"/>
      <c r="F23" s="63"/>
      <c r="G23" s="63"/>
      <c r="H23" s="63"/>
      <c r="I23" s="63"/>
      <c r="J23" s="63"/>
      <c r="K23" s="63"/>
      <c r="L23" s="63"/>
      <c r="M23" s="63"/>
      <c r="N23" s="64">
        <v>699684</v>
      </c>
      <c r="O23" s="65"/>
      <c r="CR23" s="20"/>
    </row>
    <row r="24" spans="2:96" x14ac:dyDescent="0.25">
      <c r="B24" s="384"/>
      <c r="C24" s="317"/>
      <c r="D24" s="385"/>
      <c r="E24" s="385"/>
      <c r="F24" s="385"/>
      <c r="G24" s="385"/>
      <c r="H24" s="385"/>
      <c r="I24" s="392"/>
      <c r="J24" s="393"/>
      <c r="K24" s="393"/>
      <c r="L24" s="393"/>
      <c r="M24" s="392"/>
      <c r="N24" s="392"/>
      <c r="O24" s="393"/>
      <c r="CQ24" s="20"/>
      <c r="CR24" s="20"/>
    </row>
    <row r="25" spans="2:96" x14ac:dyDescent="0.25">
      <c r="B25" s="384"/>
      <c r="C25" s="317"/>
      <c r="D25" s="386"/>
      <c r="E25" s="386"/>
      <c r="F25" s="386"/>
      <c r="G25" s="386"/>
      <c r="H25" s="386"/>
      <c r="I25" s="394"/>
      <c r="J25" s="394"/>
      <c r="K25" s="394"/>
      <c r="L25" s="394"/>
      <c r="M25" s="394"/>
      <c r="N25" s="392"/>
      <c r="O25" s="394"/>
      <c r="CQ25" s="20"/>
      <c r="CR25" s="20"/>
    </row>
    <row r="26" spans="2:96" x14ac:dyDescent="0.25">
      <c r="CQ26" s="20"/>
      <c r="CR26" s="20"/>
    </row>
    <row r="27" spans="2:96" x14ac:dyDescent="0.25">
      <c r="CQ27" s="20"/>
      <c r="CR27" s="20"/>
    </row>
    <row r="28" spans="2:96" x14ac:dyDescent="0.25">
      <c r="CQ28" s="20"/>
      <c r="CR28" s="20"/>
    </row>
    <row r="29" spans="2:96" x14ac:dyDescent="0.25">
      <c r="CQ29" s="20"/>
      <c r="CR29" s="20"/>
    </row>
    <row r="30" spans="2:96" x14ac:dyDescent="0.25">
      <c r="CQ30" s="20"/>
      <c r="CR30" s="20"/>
    </row>
    <row r="31" spans="2:96" x14ac:dyDescent="0.25">
      <c r="CQ31" s="20"/>
      <c r="CR31" s="20"/>
    </row>
    <row r="32" spans="2:96" x14ac:dyDescent="0.25">
      <c r="CQ32" s="20"/>
      <c r="CR32" s="20"/>
    </row>
    <row r="33" spans="95:96" x14ac:dyDescent="0.25">
      <c r="CQ33" s="20"/>
      <c r="CR33" s="20"/>
    </row>
    <row r="34" spans="95:96" x14ac:dyDescent="0.25">
      <c r="CQ34" s="20"/>
      <c r="CR34" s="20"/>
    </row>
    <row r="35" spans="95:96" x14ac:dyDescent="0.25">
      <c r="CQ35" s="20"/>
      <c r="CR35" s="20"/>
    </row>
    <row r="36" spans="95:96" x14ac:dyDescent="0.25">
      <c r="CQ36" s="20"/>
      <c r="CR36" s="20"/>
    </row>
    <row r="37" spans="95:96" x14ac:dyDescent="0.25">
      <c r="CQ37" s="20"/>
      <c r="CR37" s="20"/>
    </row>
    <row r="38" spans="95:96" x14ac:dyDescent="0.25">
      <c r="CQ38" s="20"/>
      <c r="CR38" s="20"/>
    </row>
    <row r="39" spans="95:96" x14ac:dyDescent="0.25">
      <c r="CQ39" s="20"/>
      <c r="CR39" s="20"/>
    </row>
    <row r="40" spans="95:96" x14ac:dyDescent="0.25">
      <c r="CQ40" s="20"/>
      <c r="CR40" s="20"/>
    </row>
    <row r="41" spans="95:96" x14ac:dyDescent="0.25">
      <c r="CQ41" s="20"/>
      <c r="CR41" s="20"/>
    </row>
    <row r="42" spans="95:96" x14ac:dyDescent="0.25">
      <c r="CQ42" s="20"/>
      <c r="CR42" s="20"/>
    </row>
    <row r="43" spans="95:96" x14ac:dyDescent="0.25">
      <c r="CQ43" s="20"/>
      <c r="CR43" s="20"/>
    </row>
    <row r="44" spans="95:96" x14ac:dyDescent="0.25">
      <c r="CQ44" s="20"/>
      <c r="CR44" s="20"/>
    </row>
    <row r="45" spans="95:96" x14ac:dyDescent="0.25">
      <c r="CQ45" s="20"/>
      <c r="CR45" s="20"/>
    </row>
    <row r="46" spans="95:96" x14ac:dyDescent="0.25">
      <c r="CQ46" s="20"/>
      <c r="CR46" s="20"/>
    </row>
  </sheetData>
  <mergeCells count="35">
    <mergeCell ref="C2:O2"/>
    <mergeCell ref="R2:AD2"/>
    <mergeCell ref="Q4:Q22"/>
    <mergeCell ref="C7:C8"/>
    <mergeCell ref="B4:B23"/>
    <mergeCell ref="ED4:ED7"/>
    <mergeCell ref="CS2:DA2"/>
    <mergeCell ref="DD2:DL2"/>
    <mergeCell ref="DC3:DC6"/>
    <mergeCell ref="AH2:AT2"/>
    <mergeCell ref="BM2:CA2"/>
    <mergeCell ref="BL3:BL7"/>
    <mergeCell ref="AF4:AF7"/>
    <mergeCell ref="AV4:AV7"/>
    <mergeCell ref="AX2:BJ2"/>
    <mergeCell ref="CR4:CR6"/>
    <mergeCell ref="CC3:CC7"/>
    <mergeCell ref="CD2:CP2"/>
    <mergeCell ref="DN4:DN7"/>
    <mergeCell ref="DO2:EB2"/>
    <mergeCell ref="EE2:ER2"/>
    <mergeCell ref="ET4:ET8"/>
    <mergeCell ref="EU2:FE2"/>
    <mergeCell ref="FH2:FR2"/>
    <mergeCell ref="FG4:FG8"/>
    <mergeCell ref="GB16:GE16"/>
    <mergeCell ref="FV2:FZ2"/>
    <mergeCell ref="FT4:FT12"/>
    <mergeCell ref="FS15:FU15"/>
    <mergeCell ref="FS16:FU16"/>
    <mergeCell ref="GM2:GU2"/>
    <mergeCell ref="GK4:GK7"/>
    <mergeCell ref="GB4:GB9"/>
    <mergeCell ref="GC2:GI2"/>
    <mergeCell ref="GB15:GE1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9" tint="0.39997558519241921"/>
  </sheetPr>
  <dimension ref="A1:P32"/>
  <sheetViews>
    <sheetView tabSelected="1" topLeftCell="A4" workbookViewId="0">
      <selection activeCell="K31" sqref="K31"/>
    </sheetView>
  </sheetViews>
  <sheetFormatPr baseColWidth="10" defaultRowHeight="15" x14ac:dyDescent="0.25"/>
  <cols>
    <col min="1" max="1" width="11.42578125" style="20"/>
    <col min="2" max="2" width="16.5703125" style="20" customWidth="1"/>
    <col min="3" max="5" width="15.85546875" style="44" customWidth="1"/>
    <col min="6" max="7" width="15.140625" style="20" customWidth="1"/>
    <col min="8" max="8" width="15.85546875" style="20" customWidth="1"/>
    <col min="9" max="14" width="11.42578125" style="20"/>
  </cols>
  <sheetData>
    <row r="1" spans="1:16" ht="15.75" thickBot="1" x14ac:dyDescent="0.3"/>
    <row r="2" spans="1:16" ht="72" customHeight="1" thickBot="1" x14ac:dyDescent="0.3">
      <c r="A2" s="378" t="s">
        <v>22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79"/>
      <c r="P2" s="380"/>
    </row>
    <row r="23" spans="1:13" x14ac:dyDescent="0.25">
      <c r="M23" s="382"/>
    </row>
    <row r="26" spans="1:13" ht="15.75" thickBot="1" x14ac:dyDescent="0.3">
      <c r="B26" s="317"/>
    </row>
    <row r="27" spans="1:13" ht="15.75" thickBot="1" x14ac:dyDescent="0.3">
      <c r="A27" s="37"/>
      <c r="B27" s="317"/>
      <c r="C27" s="45" t="s">
        <v>167</v>
      </c>
      <c r="D27" s="45" t="s">
        <v>233</v>
      </c>
      <c r="E27" s="45" t="s">
        <v>263</v>
      </c>
      <c r="F27" s="311" t="s">
        <v>173</v>
      </c>
      <c r="G27" s="38" t="s">
        <v>233</v>
      </c>
      <c r="H27" s="315" t="s">
        <v>263</v>
      </c>
      <c r="I27" s="311" t="s">
        <v>316</v>
      </c>
    </row>
    <row r="28" spans="1:13" ht="15.75" thickBot="1" x14ac:dyDescent="0.3">
      <c r="B28" s="315" t="s">
        <v>168</v>
      </c>
      <c r="C28" s="45" t="str">
        <f>C31</f>
        <v>M20</v>
      </c>
      <c r="D28" s="180" t="s">
        <v>248</v>
      </c>
      <c r="E28" s="212"/>
      <c r="F28" s="311"/>
      <c r="G28" s="180" t="s">
        <v>248</v>
      </c>
      <c r="H28" s="315"/>
      <c r="I28" s="38"/>
    </row>
    <row r="29" spans="1:13" ht="15.75" thickBot="1" x14ac:dyDescent="0.3">
      <c r="B29" s="315" t="s">
        <v>169</v>
      </c>
      <c r="C29" s="45" t="str">
        <f>C31</f>
        <v>M20</v>
      </c>
      <c r="D29" s="180" t="s">
        <v>248</v>
      </c>
      <c r="E29" s="180"/>
      <c r="F29" s="38"/>
      <c r="G29" s="180" t="s">
        <v>248</v>
      </c>
      <c r="H29" s="314"/>
      <c r="I29" s="312"/>
    </row>
    <row r="30" spans="1:13" ht="15.75" thickBot="1" x14ac:dyDescent="0.3">
      <c r="B30" s="314" t="s">
        <v>170</v>
      </c>
      <c r="C30" s="46" t="str">
        <f>CONCATENATE(C31,"x",HLOOKUP(C31,'HSV Data'!BN3:BZ6,4),"x",HLOOKUP(C31,'HSV Data'!BN3:CA6,3))</f>
        <v>M20x40x3</v>
      </c>
      <c r="D30" s="180" t="s">
        <v>248</v>
      </c>
      <c r="E30" s="205"/>
      <c r="F30" s="312"/>
      <c r="G30" s="180" t="s">
        <v>248</v>
      </c>
      <c r="H30" s="314"/>
      <c r="I30" s="38"/>
    </row>
    <row r="31" spans="1:13" ht="15.75" thickBot="1" x14ac:dyDescent="0.3">
      <c r="B31" s="316" t="s">
        <v>171</v>
      </c>
      <c r="C31" s="47" t="str">
        <f>CONCATENATE("M",IF(AND('01'!D7&gt;7,'01'!D7&lt;=9),6,IF(AND('01'!D7&gt;9.1,'01'!D7&lt;=12),8,IF(AND('01'!D7&gt;12.1,'01'!D7&lt;=14),10,IF(AND('01'!D7&gt;14.1,'01'!D7&lt;=16),12,IF(AND('01'!D7&gt;16.1,'01'!D7&lt;=18),14,IF(AND('01'!D7&gt;18.1,'01'!D7&lt;=20),16,IF(AND('01'!D7&gt;20.1,'01'!D7&lt;=22),18,IF(AND('01'!D7&gt;22.1,'01'!D7&lt;=26),20,IF(AND('01'!D7&gt;26.1,'01'!D7&lt;=32),24,IF(AND('01'!D7&gt;32.1,'01'!D7&lt;=36),P30,"xxx")))))))))))</f>
        <v>M20</v>
      </c>
      <c r="D31" s="46">
        <f>'01'!D4+'01'!D5+'01'!D6+HLOOKUP(C31,'HSV Data'!DP3:EB7,4)+HLOOKUP(C31,'HSV Data'!AH3:AT7,4)+HLOOKUP(C31,'HSV Data'!BN3:CA7,3)+HLOOKUP(C31,'HSV Data'!CT3:DA6,3)+8</f>
        <v>98</v>
      </c>
      <c r="E31" s="46"/>
      <c r="F31" s="38"/>
      <c r="G31" s="395">
        <f>IF(INDEX('HSV Data'!C3:C25,MATCH(D31,'HSV Data'!C3:C25,1))&lt;&gt;D31,INDEX('HSV Data'!C3:C25,MATCH(D31,'HSV Data'!C3:C25,1)+1),INDEX('HSV Data'!C3:C25,MATCH(D31,'HSV Data'!C3:C25,1)))</f>
        <v>100</v>
      </c>
      <c r="H31" s="396"/>
      <c r="I31" s="383">
        <f>INDEX('HSV Data'!C3:O25,MATCH(G31,'HSV Data'!C3:C25,1),MATCH(C31,'HSV Data'!C3:O3,0))</f>
        <v>149300</v>
      </c>
    </row>
    <row r="32" spans="1:13" ht="15.75" thickBot="1" x14ac:dyDescent="0.3">
      <c r="B32" s="316" t="s">
        <v>172</v>
      </c>
      <c r="C32" s="47" t="str">
        <f>CONCATENATE(C31,"x",HLOOKUP(C31,'HSV Data'!CT3:DA6,2),"x",HLOOKUP(C31,'HSV Data'!CT3:DA6,3))</f>
        <v>M20x100x8</v>
      </c>
      <c r="D32" s="180" t="s">
        <v>248</v>
      </c>
      <c r="E32" s="215"/>
      <c r="F32" s="313"/>
      <c r="G32" s="180" t="s">
        <v>248</v>
      </c>
      <c r="H32" s="316"/>
      <c r="I32" s="313"/>
    </row>
  </sheetData>
  <mergeCells count="1">
    <mergeCell ref="A2:P2"/>
  </mergeCells>
  <pageMargins left="0.7" right="0.7" top="0.75" bottom="0.75" header="0.3" footer="0.3"/>
  <pageSetup paperSize="2058" orientation="portrait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9" tint="0.39997558519241921"/>
  </sheetPr>
  <dimension ref="A1:O25"/>
  <sheetViews>
    <sheetView workbookViewId="0">
      <selection activeCell="M11" sqref="M11:M14"/>
    </sheetView>
  </sheetViews>
  <sheetFormatPr baseColWidth="10" defaultRowHeight="15" x14ac:dyDescent="0.25"/>
  <cols>
    <col min="2" max="2" width="16.42578125" style="20" customWidth="1"/>
    <col min="3" max="5" width="15.85546875" style="20" customWidth="1"/>
    <col min="6" max="6" width="14.42578125" style="20" customWidth="1"/>
    <col min="7" max="8" width="11.42578125" style="20"/>
  </cols>
  <sheetData>
    <row r="1" spans="1:15" ht="15.75" thickBot="1" x14ac:dyDescent="0.3"/>
    <row r="2" spans="1:15" ht="72" customHeight="1" thickBot="1" x14ac:dyDescent="0.3">
      <c r="A2" s="378" t="s">
        <v>25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80"/>
    </row>
    <row r="21" spans="2:8" ht="15.75" thickBot="1" x14ac:dyDescent="0.3"/>
    <row r="22" spans="2:8" ht="15.75" thickBot="1" x14ac:dyDescent="0.3">
      <c r="B22" s="37"/>
      <c r="C22" s="45" t="s">
        <v>167</v>
      </c>
      <c r="D22" s="45" t="s">
        <v>233</v>
      </c>
      <c r="E22" s="45" t="s">
        <v>263</v>
      </c>
      <c r="F22" s="187" t="s">
        <v>173</v>
      </c>
      <c r="G22" s="179" t="s">
        <v>233</v>
      </c>
      <c r="H22" s="179" t="s">
        <v>263</v>
      </c>
    </row>
    <row r="23" spans="2:8" ht="15.75" thickBot="1" x14ac:dyDescent="0.3">
      <c r="B23" s="41" t="s">
        <v>172</v>
      </c>
      <c r="C23" s="190" t="str">
        <f>CONCATENATE(C24,"x",('02'!D7+'02'!D8)/2,"x",HLOOKUP(C24,'HSV Data'!CT3:DA6,3))</f>
        <v>M20x100x8</v>
      </c>
      <c r="D23" s="180" t="s">
        <v>248</v>
      </c>
      <c r="E23" s="180">
        <v>1</v>
      </c>
      <c r="F23" s="38"/>
      <c r="G23" s="180" t="s">
        <v>248</v>
      </c>
      <c r="H23" s="180">
        <f>E23</f>
        <v>1</v>
      </c>
    </row>
    <row r="24" spans="2:8" ht="15.75" thickBot="1" x14ac:dyDescent="0.3">
      <c r="B24" s="41" t="s">
        <v>171</v>
      </c>
      <c r="C24" s="45" t="str">
        <f>CONCATENATE("M",'02'!D6)</f>
        <v>M20</v>
      </c>
      <c r="D24" s="120">
        <f>'02'!D5+'02'!D4+HLOOKUP('02 Shaft end-Shaft '!C24,'HSV Data'!CT3:DA6,3)-15</f>
        <v>53</v>
      </c>
      <c r="E24" s="205">
        <v>1</v>
      </c>
      <c r="F24" s="188"/>
      <c r="G24" s="38"/>
      <c r="H24" s="180">
        <f>E24</f>
        <v>1</v>
      </c>
    </row>
    <row r="25" spans="2:8" ht="15.75" thickBot="1" x14ac:dyDescent="0.3">
      <c r="B25" s="43" t="s">
        <v>174</v>
      </c>
      <c r="C25" s="46" t="str">
        <f>C24</f>
        <v>M20</v>
      </c>
      <c r="D25" s="180" t="s">
        <v>248</v>
      </c>
      <c r="E25" s="180">
        <v>1</v>
      </c>
      <c r="F25" s="38"/>
      <c r="G25" s="180" t="s">
        <v>248</v>
      </c>
      <c r="H25" s="215">
        <f>E25</f>
        <v>1</v>
      </c>
    </row>
  </sheetData>
  <mergeCells count="1">
    <mergeCell ref="A2:O2"/>
  </mergeCells>
  <pageMargins left="0.7" right="0.7" top="0.75" bottom="0.75" header="0.3" footer="0.3"/>
  <pageSetup paperSize="2058" orientation="portrait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9" tint="0.39997558519241921"/>
  </sheetPr>
  <dimension ref="A1:N29"/>
  <sheetViews>
    <sheetView workbookViewId="0">
      <selection activeCell="H33" sqref="H33"/>
    </sheetView>
  </sheetViews>
  <sheetFormatPr baseColWidth="10" defaultRowHeight="15" x14ac:dyDescent="0.25"/>
  <cols>
    <col min="3" max="3" width="17.5703125" style="20" customWidth="1"/>
    <col min="4" max="4" width="17.140625" style="20" customWidth="1"/>
    <col min="5" max="6" width="11.42578125" style="20"/>
    <col min="7" max="7" width="16" style="20" customWidth="1"/>
    <col min="8" max="8" width="13" style="20" customWidth="1"/>
    <col min="9" max="9" width="11.42578125" style="20"/>
  </cols>
  <sheetData>
    <row r="1" spans="1:14" ht="15.75" thickBot="1" x14ac:dyDescent="0.3"/>
    <row r="2" spans="1:14" ht="72" customHeight="1" thickBot="1" x14ac:dyDescent="0.3">
      <c r="A2" s="378" t="s">
        <v>38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80"/>
    </row>
    <row r="25" spans="3:9" ht="15.75" thickBot="1" x14ac:dyDescent="0.3"/>
    <row r="26" spans="3:9" ht="15.75" thickBot="1" x14ac:dyDescent="0.3">
      <c r="C26" s="189"/>
      <c r="D26" s="45" t="s">
        <v>167</v>
      </c>
      <c r="E26" s="45" t="s">
        <v>233</v>
      </c>
      <c r="F26" s="45" t="s">
        <v>263</v>
      </c>
      <c r="G26" s="187" t="s">
        <v>173</v>
      </c>
      <c r="H26" s="38" t="s">
        <v>233</v>
      </c>
      <c r="I26" s="179" t="s">
        <v>263</v>
      </c>
    </row>
    <row r="27" spans="3:9" ht="15.75" thickBot="1" x14ac:dyDescent="0.3">
      <c r="C27" s="185" t="s">
        <v>168</v>
      </c>
      <c r="D27" s="212" t="str">
        <f>HLOOKUP('03'!D4,'HSV Data'!FV15:FZ16,2)</f>
        <v>M8</v>
      </c>
      <c r="E27" s="180" t="s">
        <v>248</v>
      </c>
      <c r="F27" s="180">
        <f>'03'!D12+'03'!D13+'03'!D14+'03'!D15+'03'!D16+'03'!D17+'03'!D18+'03'!D19+'03'!D20</f>
        <v>45</v>
      </c>
      <c r="G27" s="38"/>
      <c r="H27" s="180" t="s">
        <v>248</v>
      </c>
      <c r="I27" s="180">
        <f>F27</f>
        <v>45</v>
      </c>
    </row>
    <row r="28" spans="3:9" ht="15.75" thickBot="1" x14ac:dyDescent="0.3">
      <c r="C28" s="182" t="s">
        <v>170</v>
      </c>
      <c r="D28" s="46" t="str">
        <f>CONCATENATE(D27,"x",HLOOKUP(D27,'HSV Data'!BN3:CA6,4,FALSE),"x",,HLOOKUP(D27,'HSV Data'!BN3:CA6,3,FALSE))</f>
        <v>M8x18x1,5</v>
      </c>
      <c r="E28" s="180" t="s">
        <v>248</v>
      </c>
      <c r="F28" s="205">
        <f>F27</f>
        <v>45</v>
      </c>
      <c r="G28" s="188"/>
      <c r="H28" s="180" t="s">
        <v>248</v>
      </c>
      <c r="I28" s="215">
        <f>F28</f>
        <v>45</v>
      </c>
    </row>
    <row r="29" spans="3:9" ht="15.75" thickBot="1" x14ac:dyDescent="0.3">
      <c r="C29" s="186" t="s">
        <v>171</v>
      </c>
      <c r="D29" s="215" t="str">
        <f>D27</f>
        <v>M8</v>
      </c>
      <c r="E29" s="180">
        <f>'03'!D7+'03'!D8+HLOOKUP('03 Casing-Casing'!D27,'HSV Data'!BN3:BZ6,3,FALSE)+10</f>
        <v>17.5</v>
      </c>
      <c r="F29" s="180">
        <f>F27</f>
        <v>45</v>
      </c>
      <c r="G29" s="38"/>
      <c r="H29" s="184"/>
      <c r="I29" s="215">
        <f>F27</f>
        <v>45</v>
      </c>
    </row>
  </sheetData>
  <mergeCells count="1">
    <mergeCell ref="A2:N2"/>
  </mergeCells>
  <pageMargins left="0.7" right="0.7" top="0.75" bottom="0.75" header="0.3" footer="0.3"/>
  <pageSetup paperSize="2058" orientation="portrait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9" tint="0.39997558519241921"/>
  </sheetPr>
  <dimension ref="A1:M26"/>
  <sheetViews>
    <sheetView workbookViewId="0">
      <selection activeCell="D26" sqref="D26"/>
    </sheetView>
  </sheetViews>
  <sheetFormatPr baseColWidth="10" defaultRowHeight="15" x14ac:dyDescent="0.25"/>
  <cols>
    <col min="3" max="3" width="18" customWidth="1"/>
    <col min="4" max="4" width="15.28515625" style="20" customWidth="1"/>
    <col min="5" max="6" width="11.42578125" style="20"/>
    <col min="7" max="7" width="15.5703125" style="20" customWidth="1"/>
    <col min="8" max="9" width="11.42578125" style="20"/>
  </cols>
  <sheetData>
    <row r="1" spans="1:13" ht="15.75" thickBot="1" x14ac:dyDescent="0.3"/>
    <row r="2" spans="1:13" ht="72" customHeight="1" thickBot="1" x14ac:dyDescent="0.3">
      <c r="A2" s="378" t="s">
        <v>41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2" spans="3:9" ht="15.75" thickBot="1" x14ac:dyDescent="0.3"/>
    <row r="23" spans="3:9" ht="15.75" thickBot="1" x14ac:dyDescent="0.3">
      <c r="C23" s="189"/>
      <c r="D23" s="45" t="s">
        <v>167</v>
      </c>
      <c r="E23" s="45" t="s">
        <v>233</v>
      </c>
      <c r="F23" s="45" t="s">
        <v>263</v>
      </c>
      <c r="G23" s="216" t="s">
        <v>173</v>
      </c>
      <c r="H23" s="38" t="s">
        <v>233</v>
      </c>
      <c r="I23" s="179" t="s">
        <v>263</v>
      </c>
    </row>
    <row r="24" spans="3:9" ht="15.75" thickBot="1" x14ac:dyDescent="0.3">
      <c r="C24" s="185" t="s">
        <v>168</v>
      </c>
      <c r="D24" s="212" t="str">
        <f>HLOOKUP('04'!D5,'HSV Data'!FV15:FZ16,2)</f>
        <v>M10</v>
      </c>
      <c r="E24" s="180" t="s">
        <v>248</v>
      </c>
      <c r="F24" s="180">
        <f>'04'!D6+'04'!D10</f>
        <v>12</v>
      </c>
      <c r="G24" s="38"/>
      <c r="H24" s="180" t="s">
        <v>248</v>
      </c>
      <c r="I24" s="180">
        <f>F24</f>
        <v>12</v>
      </c>
    </row>
    <row r="25" spans="3:9" ht="15.75" thickBot="1" x14ac:dyDescent="0.3">
      <c r="C25" s="182" t="s">
        <v>172</v>
      </c>
      <c r="D25" s="46" t="str">
        <f>CONCATENATE(D24,"x",'04'!D4*2,"x",'04'!D8)</f>
        <v>M10x28x3</v>
      </c>
      <c r="E25" s="180" t="s">
        <v>248</v>
      </c>
      <c r="F25" s="205">
        <f>F24</f>
        <v>12</v>
      </c>
      <c r="G25" s="217"/>
      <c r="H25" s="180" t="s">
        <v>248</v>
      </c>
      <c r="I25" s="215">
        <f>F25</f>
        <v>12</v>
      </c>
    </row>
    <row r="26" spans="3:9" ht="15.75" thickBot="1" x14ac:dyDescent="0.3">
      <c r="C26" s="186" t="s">
        <v>171</v>
      </c>
      <c r="D26" s="215" t="str">
        <f>D24</f>
        <v>M10</v>
      </c>
      <c r="E26" s="180">
        <f>'04'!D9+'04'!D8+HLOOKUP('04 Casing-Angle fixation'!D24,'HSV Data'!BN3:CA7,3,FALSE)+10</f>
        <v>23</v>
      </c>
      <c r="F26" s="180">
        <f>F25</f>
        <v>12</v>
      </c>
      <c r="G26" s="38"/>
      <c r="H26" s="218"/>
      <c r="I26" s="215">
        <f>F26</f>
        <v>12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9" tint="0.39997558519241921"/>
  </sheetPr>
  <dimension ref="A1:M27"/>
  <sheetViews>
    <sheetView workbookViewId="0">
      <selection activeCell="C24" sqref="C24:I27"/>
    </sheetView>
  </sheetViews>
  <sheetFormatPr baseColWidth="10" defaultRowHeight="15" x14ac:dyDescent="0.25"/>
  <cols>
    <col min="3" max="3" width="19" customWidth="1"/>
    <col min="4" max="4" width="17.140625" customWidth="1"/>
    <col min="7" max="7" width="19.140625" customWidth="1"/>
  </cols>
  <sheetData>
    <row r="1" spans="1:13" ht="15.75" thickBot="1" x14ac:dyDescent="0.3"/>
    <row r="2" spans="1:13" ht="72" customHeight="1" thickBot="1" x14ac:dyDescent="0.3">
      <c r="A2" s="378" t="s">
        <v>42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3" spans="3:9" ht="15.75" thickBot="1" x14ac:dyDescent="0.3"/>
    <row r="24" spans="3:9" ht="15.75" thickBot="1" x14ac:dyDescent="0.3">
      <c r="C24" s="227"/>
      <c r="D24" s="45" t="s">
        <v>167</v>
      </c>
      <c r="E24" s="45" t="s">
        <v>233</v>
      </c>
      <c r="F24" s="45" t="s">
        <v>263</v>
      </c>
      <c r="G24" s="224" t="s">
        <v>173</v>
      </c>
      <c r="H24" s="38" t="s">
        <v>233</v>
      </c>
      <c r="I24" s="179" t="s">
        <v>263</v>
      </c>
    </row>
    <row r="25" spans="3:9" ht="15.75" thickBot="1" x14ac:dyDescent="0.3">
      <c r="C25" s="222" t="s">
        <v>168</v>
      </c>
      <c r="D25" s="212" t="str">
        <f>HLOOKUP('05'!D6,'HSV Data'!FV15:FZ16,2)</f>
        <v>M10</v>
      </c>
      <c r="E25" s="180" t="s">
        <v>248</v>
      </c>
      <c r="F25" s="180">
        <f>'05'!D10+'05'!D11</f>
        <v>11</v>
      </c>
      <c r="G25" s="38"/>
      <c r="H25" s="180" t="s">
        <v>248</v>
      </c>
      <c r="I25" s="180">
        <f>F25</f>
        <v>11</v>
      </c>
    </row>
    <row r="26" spans="3:9" ht="15.75" thickBot="1" x14ac:dyDescent="0.3">
      <c r="C26" s="220" t="s">
        <v>172</v>
      </c>
      <c r="D26" s="180" t="str">
        <f>CONCATENATE(D25,"x",'05'!D7*2,"x",'05'!D4)</f>
        <v>M10x28x8</v>
      </c>
      <c r="E26" s="180" t="s">
        <v>248</v>
      </c>
      <c r="F26" s="205">
        <f>F25</f>
        <v>11</v>
      </c>
      <c r="G26" s="225"/>
      <c r="H26" s="180" t="s">
        <v>248</v>
      </c>
      <c r="I26" s="215">
        <f>F26</f>
        <v>11</v>
      </c>
    </row>
    <row r="27" spans="3:9" ht="15.75" thickBot="1" x14ac:dyDescent="0.3">
      <c r="C27" s="223" t="s">
        <v>171</v>
      </c>
      <c r="D27" s="215" t="str">
        <f>D25</f>
        <v>M10</v>
      </c>
      <c r="E27" s="180">
        <f>'05'!D4+'05'!D5+HLOOKUP('05 Pedestral-Angle fixation'!D25,'HSV Data'!BN3:CA7,3,FALSE)+10</f>
        <v>28</v>
      </c>
      <c r="F27" s="180">
        <f>F26</f>
        <v>11</v>
      </c>
      <c r="G27" s="38"/>
      <c r="H27" s="221"/>
      <c r="I27" s="215">
        <f>F27</f>
        <v>11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9" tint="0.39997558519241921"/>
  </sheetPr>
  <dimension ref="A1:M27"/>
  <sheetViews>
    <sheetView workbookViewId="0">
      <selection activeCell="E28" sqref="E28"/>
    </sheetView>
  </sheetViews>
  <sheetFormatPr baseColWidth="10" defaultRowHeight="15" x14ac:dyDescent="0.25"/>
  <cols>
    <col min="3" max="3" width="24.28515625" customWidth="1"/>
    <col min="4" max="4" width="15.7109375" customWidth="1"/>
    <col min="7" max="7" width="16.28515625" customWidth="1"/>
  </cols>
  <sheetData>
    <row r="1" spans="1:13" ht="15.75" thickBot="1" x14ac:dyDescent="0.3"/>
    <row r="2" spans="1:13" ht="72" customHeight="1" thickBot="1" x14ac:dyDescent="0.3">
      <c r="A2" s="378" t="s">
        <v>122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3" spans="3:9" ht="15.75" thickBot="1" x14ac:dyDescent="0.3"/>
    <row r="24" spans="3:9" ht="15.75" thickBot="1" x14ac:dyDescent="0.3">
      <c r="C24" s="227"/>
      <c r="D24" s="45" t="s">
        <v>167</v>
      </c>
      <c r="E24" s="45" t="s">
        <v>233</v>
      </c>
      <c r="F24" s="45" t="s">
        <v>263</v>
      </c>
      <c r="G24" s="224" t="s">
        <v>173</v>
      </c>
      <c r="H24" s="38" t="s">
        <v>233</v>
      </c>
      <c r="I24" s="179" t="s">
        <v>263</v>
      </c>
    </row>
    <row r="25" spans="3:9" ht="15.75" thickBot="1" x14ac:dyDescent="0.3">
      <c r="C25" s="222" t="s">
        <v>284</v>
      </c>
      <c r="D25" s="212" t="str">
        <f>HLOOKUP('06'!D4,'HSV Data'!GF15:GI16,2,FALSE)</f>
        <v>M6</v>
      </c>
      <c r="E25" s="180" t="s">
        <v>248</v>
      </c>
      <c r="F25" s="180">
        <v>6</v>
      </c>
      <c r="G25" s="38"/>
      <c r="H25" s="180" t="s">
        <v>248</v>
      </c>
      <c r="I25" s="180">
        <f>F25</f>
        <v>6</v>
      </c>
    </row>
    <row r="26" spans="3:9" ht="15.75" thickBot="1" x14ac:dyDescent="0.3">
      <c r="C26" s="220" t="s">
        <v>172</v>
      </c>
      <c r="D26" s="180" t="str">
        <f>CONCATENATE(D25,"x",'06'!D5*2,"x",'06'!D7)</f>
        <v>M6x28x3</v>
      </c>
      <c r="E26" s="180" t="s">
        <v>248</v>
      </c>
      <c r="F26" s="205">
        <v>6</v>
      </c>
      <c r="G26" s="225"/>
      <c r="H26" s="180" t="s">
        <v>248</v>
      </c>
      <c r="I26" s="215">
        <f>F26</f>
        <v>6</v>
      </c>
    </row>
    <row r="27" spans="3:9" ht="15.75" thickBot="1" x14ac:dyDescent="0.3">
      <c r="C27" s="223" t="s">
        <v>171</v>
      </c>
      <c r="D27" s="215" t="str">
        <f>D25</f>
        <v>M6</v>
      </c>
      <c r="E27" s="180">
        <f>'06'!D6+'06'!D7+'06'!D7+HLOOKUP(D25,'HSV Data'!GD3:GI9,3,FALSE)+5</f>
        <v>23.3</v>
      </c>
      <c r="F27" s="180">
        <v>6</v>
      </c>
      <c r="G27" s="38"/>
      <c r="H27" s="221"/>
      <c r="I27" s="215">
        <f>F27</f>
        <v>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9" tint="0.39997558519241921"/>
  </sheetPr>
  <dimension ref="A1:M27"/>
  <sheetViews>
    <sheetView workbookViewId="0">
      <selection activeCell="E28" sqref="E28"/>
    </sheetView>
  </sheetViews>
  <sheetFormatPr baseColWidth="10" defaultRowHeight="15" x14ac:dyDescent="0.25"/>
  <cols>
    <col min="3" max="3" width="23.140625" customWidth="1"/>
    <col min="4" max="4" width="15.85546875" customWidth="1"/>
    <col min="7" max="7" width="16.42578125" customWidth="1"/>
  </cols>
  <sheetData>
    <row r="1" spans="1:13" ht="15.75" thickBot="1" x14ac:dyDescent="0.3"/>
    <row r="2" spans="1:13" ht="72" customHeight="1" thickBot="1" x14ac:dyDescent="0.3">
      <c r="A2" s="378" t="s">
        <v>123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3" spans="3:9" ht="15.75" thickBot="1" x14ac:dyDescent="0.3"/>
    <row r="24" spans="3:9" ht="15.75" thickBot="1" x14ac:dyDescent="0.3">
      <c r="C24" s="236"/>
      <c r="D24" s="45" t="s">
        <v>167</v>
      </c>
      <c r="E24" s="45" t="s">
        <v>233</v>
      </c>
      <c r="F24" s="45" t="s">
        <v>263</v>
      </c>
      <c r="G24" s="230" t="s">
        <v>173</v>
      </c>
      <c r="H24" s="38" t="s">
        <v>233</v>
      </c>
      <c r="I24" s="179" t="s">
        <v>263</v>
      </c>
    </row>
    <row r="25" spans="3:9" ht="15.75" thickBot="1" x14ac:dyDescent="0.3">
      <c r="C25" s="234" t="s">
        <v>284</v>
      </c>
      <c r="D25" s="212" t="str">
        <f>HLOOKUP('07'!D5,'HSV Data'!GF15:GI16,2)</f>
        <v>M6</v>
      </c>
      <c r="E25" s="180" t="s">
        <v>248</v>
      </c>
      <c r="F25" s="180">
        <v>2</v>
      </c>
      <c r="G25" s="38"/>
      <c r="H25" s="180" t="s">
        <v>248</v>
      </c>
      <c r="I25" s="180">
        <v>2</v>
      </c>
    </row>
    <row r="26" spans="3:9" ht="15.75" thickBot="1" x14ac:dyDescent="0.3">
      <c r="C26" s="232" t="s">
        <v>172</v>
      </c>
      <c r="D26" s="180" t="str">
        <f>CONCATENATE(D25,"x",'07'!D6*2,"x",'07'!D4)</f>
        <v>M6x20x2,5</v>
      </c>
      <c r="E26" s="180" t="s">
        <v>248</v>
      </c>
      <c r="F26" s="205">
        <v>2</v>
      </c>
      <c r="G26" s="231"/>
      <c r="H26" s="180" t="s">
        <v>248</v>
      </c>
      <c r="I26" s="215">
        <v>2</v>
      </c>
    </row>
    <row r="27" spans="3:9" ht="15.75" thickBot="1" x14ac:dyDescent="0.3">
      <c r="C27" s="235" t="s">
        <v>171</v>
      </c>
      <c r="D27" s="215" t="str">
        <f>D25</f>
        <v>M6</v>
      </c>
      <c r="E27" s="180">
        <f>'07'!D4+'07'!D4+'07'!D4+HLOOKUP(D25,'HSV Data'!GD3:GI9,3)+5</f>
        <v>22.3</v>
      </c>
      <c r="F27" s="180">
        <v>2</v>
      </c>
      <c r="G27" s="38"/>
      <c r="H27" s="233"/>
      <c r="I27" s="215">
        <v>2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theme="9" tint="0.39997558519241921"/>
  </sheetPr>
  <dimension ref="A1:M26"/>
  <sheetViews>
    <sheetView workbookViewId="0">
      <selection activeCell="E26" sqref="E26"/>
    </sheetView>
  </sheetViews>
  <sheetFormatPr baseColWidth="10" defaultRowHeight="15" x14ac:dyDescent="0.25"/>
  <cols>
    <col min="3" max="3" width="29.28515625" customWidth="1"/>
    <col min="4" max="4" width="17" customWidth="1"/>
    <col min="7" max="7" width="15.85546875" customWidth="1"/>
  </cols>
  <sheetData>
    <row r="1" spans="1:13" ht="15.75" thickBot="1" x14ac:dyDescent="0.3"/>
    <row r="2" spans="1:13" ht="72" customHeight="1" thickBot="1" x14ac:dyDescent="0.3">
      <c r="A2" s="378" t="s">
        <v>44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2" spans="3:9" ht="15.75" thickBot="1" x14ac:dyDescent="0.3"/>
    <row r="23" spans="3:9" ht="15.75" thickBot="1" x14ac:dyDescent="0.3">
      <c r="C23" s="236"/>
      <c r="D23" s="45" t="s">
        <v>167</v>
      </c>
      <c r="E23" s="45" t="s">
        <v>233</v>
      </c>
      <c r="F23" s="45" t="s">
        <v>263</v>
      </c>
      <c r="G23" s="230" t="s">
        <v>173</v>
      </c>
      <c r="H23" s="38" t="s">
        <v>233</v>
      </c>
      <c r="I23" s="179" t="s">
        <v>263</v>
      </c>
    </row>
    <row r="24" spans="3:9" ht="15.75" thickBot="1" x14ac:dyDescent="0.3">
      <c r="C24" s="234" t="s">
        <v>284</v>
      </c>
      <c r="D24" s="212" t="str">
        <f>HLOOKUP('08'!D4,'HSV Data'!GF15:GI16,2)</f>
        <v>M6</v>
      </c>
      <c r="E24" s="180" t="s">
        <v>248</v>
      </c>
      <c r="F24" s="180">
        <v>8</v>
      </c>
      <c r="G24" s="38"/>
      <c r="H24" s="180" t="s">
        <v>248</v>
      </c>
      <c r="I24" s="180">
        <f>F24</f>
        <v>8</v>
      </c>
    </row>
    <row r="25" spans="3:9" ht="15.75" thickBot="1" x14ac:dyDescent="0.3">
      <c r="C25" s="232" t="s">
        <v>172</v>
      </c>
      <c r="D25" s="180" t="str">
        <f>CONCATENATE(D24,"x",'08'!D5*2,"x",'08'!D6)</f>
        <v>M6x24x2,5</v>
      </c>
      <c r="E25" s="180" t="s">
        <v>248</v>
      </c>
      <c r="F25" s="205">
        <v>8</v>
      </c>
      <c r="G25" s="231"/>
      <c r="H25" s="180" t="s">
        <v>248</v>
      </c>
      <c r="I25" s="215">
        <f>F25</f>
        <v>8</v>
      </c>
    </row>
    <row r="26" spans="3:9" ht="15.75" thickBot="1" x14ac:dyDescent="0.3">
      <c r="C26" s="235" t="s">
        <v>171</v>
      </c>
      <c r="D26" s="215" t="str">
        <f>D24</f>
        <v>M6</v>
      </c>
      <c r="E26" s="180">
        <f>'08'!D6+'08'!D7+'08'!D7+HLOOKUP(D24,'HSV Data'!GD3:GI9,3)+5</f>
        <v>22.3</v>
      </c>
      <c r="F26" s="180">
        <v>8</v>
      </c>
      <c r="G26" s="38"/>
      <c r="H26" s="233"/>
      <c r="I26" s="215">
        <f>F26</f>
        <v>8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tabColor theme="9" tint="0.39997558519241921"/>
  </sheetPr>
  <dimension ref="A1:M25"/>
  <sheetViews>
    <sheetView workbookViewId="0">
      <selection activeCell="E25" sqref="E25"/>
    </sheetView>
  </sheetViews>
  <sheetFormatPr baseColWidth="10" defaultRowHeight="15" x14ac:dyDescent="0.25"/>
  <cols>
    <col min="3" max="3" width="18.28515625" customWidth="1"/>
    <col min="4" max="4" width="16.85546875" customWidth="1"/>
    <col min="7" max="7" width="18.140625" customWidth="1"/>
  </cols>
  <sheetData>
    <row r="1" spans="1:13" ht="15.75" thickBot="1" x14ac:dyDescent="0.3"/>
    <row r="2" spans="1:13" ht="72" customHeight="1" thickBot="1" x14ac:dyDescent="0.3">
      <c r="A2" s="378" t="s">
        <v>58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1" spans="3:9" ht="15.75" thickBot="1" x14ac:dyDescent="0.3"/>
    <row r="22" spans="3:9" ht="15.75" thickBot="1" x14ac:dyDescent="0.3">
      <c r="C22" s="236"/>
      <c r="D22" s="45" t="s">
        <v>167</v>
      </c>
      <c r="E22" s="45" t="s">
        <v>233</v>
      </c>
      <c r="F22" s="45" t="s">
        <v>263</v>
      </c>
      <c r="G22" s="230" t="s">
        <v>173</v>
      </c>
      <c r="H22" s="38" t="s">
        <v>233</v>
      </c>
      <c r="I22" s="179" t="s">
        <v>263</v>
      </c>
    </row>
    <row r="23" spans="3:9" ht="15.75" thickBot="1" x14ac:dyDescent="0.3">
      <c r="C23" s="234" t="s">
        <v>168</v>
      </c>
      <c r="D23" s="45" t="str">
        <f>CONCATENATE("M",IF(AND(4.5&lt;'09'!D6,'09'!D6&lt;=5.5),4,IF(AND(5.5&lt;'09'!D6,'09'!D6&lt;=6.5),5,IF(AND(6.5&lt;'09'!D6,'09'!D6&lt;=8.5),6,IF(AND(8.5&lt;'09'!D6,'09'!D6&lt;=10.5),8,IF(AND(10.5&lt;'09'!D6,'09'!D6&lt;=12.5),10,IF(AND(12.5&lt;'09'!D6,'09'!D6&lt;=14.5),12,IF(AND(14.5&lt;'09'!D6,'09'!D6&lt;=16.5),14,IF(AND(16.5&lt;'09'!D6,'09'!D6&lt;=18.5),16,IF(AND(18.5&lt;'09'!D6,'09'!D6&lt;=20.5),18,IF(AND(20.5&lt;'09'!D6,'09'!D6&lt;=24.5),20,IF(AND(24.5&lt;'09'!D6,'09'!D6&lt;=30.5),24,IF(AND(30.5&lt;'09'!D6,'09'!D6&lt;=35),30,"A vérifier")))))))))))))</f>
        <v>M8</v>
      </c>
      <c r="E23" s="180" t="s">
        <v>248</v>
      </c>
      <c r="F23" s="180">
        <v>6</v>
      </c>
      <c r="G23" s="38"/>
      <c r="H23" s="180" t="s">
        <v>248</v>
      </c>
      <c r="I23" s="180">
        <f>F23</f>
        <v>6</v>
      </c>
    </row>
    <row r="24" spans="3:9" ht="15.75" thickBot="1" x14ac:dyDescent="0.3">
      <c r="C24" s="232" t="s">
        <v>170</v>
      </c>
      <c r="D24" s="46" t="str">
        <f>CONCATENATE(D23,"x",HLOOKUP(D23,'HSV Data'!BN3:CA7,4,FALSE),"x",HLOOKUP(D23,'HSV Data'!BN3:CA7,3,FALSE))</f>
        <v>M8x18x1,5</v>
      </c>
      <c r="E24" s="180" t="s">
        <v>248</v>
      </c>
      <c r="F24" s="205">
        <v>12</v>
      </c>
      <c r="G24" s="231"/>
      <c r="H24" s="180" t="s">
        <v>248</v>
      </c>
      <c r="I24" s="215">
        <f>F24</f>
        <v>12</v>
      </c>
    </row>
    <row r="25" spans="3:9" ht="15.75" thickBot="1" x14ac:dyDescent="0.3">
      <c r="C25" s="235" t="s">
        <v>171</v>
      </c>
      <c r="D25" s="215" t="str">
        <f>D23</f>
        <v>M8</v>
      </c>
      <c r="E25" s="180">
        <f>'09'!D7+'09'!D4+HLOOKUP('09 Shaft housing-Pedestral'!D23,'HSV Data'!BN3:CA7,3,FALSE)*2+HLOOKUP(D23,'HSV Data'!AH3:AT7,4,FALSE)+10</f>
        <v>30.3</v>
      </c>
      <c r="F25" s="180">
        <v>6</v>
      </c>
      <c r="G25" s="38"/>
      <c r="H25" s="233"/>
      <c r="I25" s="215">
        <f>F25</f>
        <v>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tabColor theme="9" tint="0.39997558519241921"/>
  </sheetPr>
  <dimension ref="A1:M27"/>
  <sheetViews>
    <sheetView workbookViewId="0">
      <selection activeCell="N26" sqref="N26"/>
    </sheetView>
  </sheetViews>
  <sheetFormatPr baseColWidth="10" defaultRowHeight="15" x14ac:dyDescent="0.25"/>
  <cols>
    <col min="3" max="3" width="26.28515625" customWidth="1"/>
    <col min="4" max="4" width="16.5703125" customWidth="1"/>
    <col min="7" max="7" width="17.5703125" customWidth="1"/>
  </cols>
  <sheetData>
    <row r="1" spans="1:13" ht="15.75" thickBot="1" x14ac:dyDescent="0.3"/>
    <row r="2" spans="1:13" ht="72" customHeight="1" thickBot="1" x14ac:dyDescent="0.3">
      <c r="A2" s="378" t="s">
        <v>43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3" spans="3:9" ht="15.75" thickBot="1" x14ac:dyDescent="0.3"/>
    <row r="24" spans="3:9" ht="15.75" thickBot="1" x14ac:dyDescent="0.3">
      <c r="C24" s="243"/>
      <c r="D24" s="45" t="s">
        <v>167</v>
      </c>
      <c r="E24" s="45" t="s">
        <v>233</v>
      </c>
      <c r="F24" s="45" t="s">
        <v>263</v>
      </c>
      <c r="G24" s="241" t="s">
        <v>173</v>
      </c>
      <c r="H24" s="38" t="s">
        <v>233</v>
      </c>
      <c r="I24" s="179" t="s">
        <v>263</v>
      </c>
    </row>
    <row r="25" spans="3:9" ht="15.75" thickBot="1" x14ac:dyDescent="0.3">
      <c r="C25" s="237" t="s">
        <v>284</v>
      </c>
      <c r="D25" s="212" t="str">
        <f>HLOOKUP('10'!D4,'HSV Data'!GF15:GI16,2,FALSE)</f>
        <v>M6</v>
      </c>
      <c r="E25" s="180" t="s">
        <v>248</v>
      </c>
      <c r="F25" s="180">
        <v>16</v>
      </c>
      <c r="G25" s="38"/>
      <c r="H25" s="180" t="str">
        <f>E25</f>
        <v>xxx</v>
      </c>
      <c r="I25" s="180">
        <f>F25</f>
        <v>16</v>
      </c>
    </row>
    <row r="26" spans="3:9" ht="15.75" thickBot="1" x14ac:dyDescent="0.3">
      <c r="C26" s="239" t="s">
        <v>172</v>
      </c>
      <c r="D26" s="180" t="str">
        <f>CONCATENATE(D25,"x",'10'!D5*2,"x",'10'!D6)</f>
        <v>M6x24x2,5</v>
      </c>
      <c r="E26" s="180" t="s">
        <v>248</v>
      </c>
      <c r="F26" s="205">
        <v>16</v>
      </c>
      <c r="G26" s="242"/>
      <c r="H26" s="180" t="str">
        <f>E26</f>
        <v>xxx</v>
      </c>
      <c r="I26" s="215">
        <f>F26</f>
        <v>16</v>
      </c>
    </row>
    <row r="27" spans="3:9" ht="15.75" thickBot="1" x14ac:dyDescent="0.3">
      <c r="C27" s="238" t="s">
        <v>171</v>
      </c>
      <c r="D27" s="215" t="str">
        <f>D25</f>
        <v>M6</v>
      </c>
      <c r="E27" s="180">
        <f>'10'!D6*3+HLOOKUP('10 Coupling housing'!D25,'HSV Data'!GD3:GI9,3)+5</f>
        <v>22.3</v>
      </c>
      <c r="F27" s="180">
        <v>16</v>
      </c>
      <c r="G27" s="38"/>
      <c r="H27" s="240"/>
      <c r="I27" s="215">
        <f>F27</f>
        <v>16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tabColor theme="9" tint="0.39997558519241921"/>
  </sheetPr>
  <dimension ref="A1:M24"/>
  <sheetViews>
    <sheetView workbookViewId="0">
      <selection activeCell="D22" sqref="D22"/>
    </sheetView>
  </sheetViews>
  <sheetFormatPr baseColWidth="10" defaultRowHeight="15" x14ac:dyDescent="0.25"/>
  <cols>
    <col min="3" max="3" width="17.140625" customWidth="1"/>
    <col min="4" max="4" width="17" customWidth="1"/>
    <col min="7" max="7" width="14.85546875" customWidth="1"/>
  </cols>
  <sheetData>
    <row r="1" spans="1:13" ht="15.75" thickBot="1" x14ac:dyDescent="0.3"/>
    <row r="2" spans="1:13" ht="72" customHeight="1" thickBot="1" x14ac:dyDescent="0.3">
      <c r="A2" s="378" t="s">
        <v>59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0" spans="3:9" ht="15.75" thickBot="1" x14ac:dyDescent="0.3"/>
    <row r="21" spans="3:9" ht="15.75" thickBot="1" x14ac:dyDescent="0.3">
      <c r="C21" s="243"/>
      <c r="D21" s="45" t="s">
        <v>167</v>
      </c>
      <c r="E21" s="45" t="s">
        <v>233</v>
      </c>
      <c r="F21" s="45" t="s">
        <v>263</v>
      </c>
      <c r="G21" s="241" t="s">
        <v>173</v>
      </c>
      <c r="H21" s="38" t="s">
        <v>233</v>
      </c>
      <c r="I21" s="179" t="s">
        <v>263</v>
      </c>
    </row>
    <row r="22" spans="3:9" ht="15.75" thickBot="1" x14ac:dyDescent="0.3">
      <c r="C22" s="237" t="s">
        <v>168</v>
      </c>
      <c r="D22" s="45" t="str">
        <f>CONCATENATE("M",IF(AND(4.5&lt;'11'!D6,'11'!D6&lt;=5.5),4,IF(AND(5.5&lt;'11'!D6,'11'!D6&lt;=6.5),5,IF(AND(6.5&lt;'11'!D6,'11'!D6&lt;=8.5),6,IF(AND(8.5&lt;'11'!D6,'11'!D6&lt;=10.5),8,IF(AND(10.5&lt;'11'!D6,'11'!D6&lt;=12.5),10,IF(AND(12.5&lt;'11'!D6,'11'!D6&lt;=14.5),12,IF(AND(14.5&lt;'11'!D6,'11'!D6&lt;=16.5),14,IF(AND(16.5&lt;'11'!D6,'11'!D6&lt;=18.5),16,IF(AND(18.5&lt;'11'!D6,'11'!D6&lt;=20.5),18,IF(AND(20.5&lt;'11'!D6,'11'!D6&lt;=24.5),20,IF(AND(24.5&lt;'11'!D6,'11'!D6&lt;=30.5),24,IF(AND(30.5&lt;'11'!D6,'11'!D6&lt;=35),30,"A vérifier")))))))))))))</f>
        <v>M8</v>
      </c>
      <c r="E22" s="180" t="s">
        <v>248</v>
      </c>
      <c r="F22" s="180">
        <v>6</v>
      </c>
      <c r="G22" s="38"/>
      <c r="H22" s="180" t="s">
        <v>248</v>
      </c>
      <c r="I22" s="180">
        <f>F22</f>
        <v>6</v>
      </c>
    </row>
    <row r="23" spans="3:9" ht="15.75" thickBot="1" x14ac:dyDescent="0.3">
      <c r="C23" s="239" t="s">
        <v>170</v>
      </c>
      <c r="D23" s="46" t="str">
        <f>CONCATENATE(D22,"x",HLOOKUP(D22,'HSV Data'!BN3:CA7,4,FALSE),"x",HLOOKUP(D22,'HSV Data'!BN3:CA7,3,FALSE))</f>
        <v>M8x18x1,5</v>
      </c>
      <c r="E23" s="180" t="s">
        <v>248</v>
      </c>
      <c r="F23" s="205">
        <v>12</v>
      </c>
      <c r="G23" s="242"/>
      <c r="H23" s="180" t="s">
        <v>248</v>
      </c>
      <c r="I23" s="215">
        <f>F23</f>
        <v>12</v>
      </c>
    </row>
    <row r="24" spans="3:9" ht="15.75" thickBot="1" x14ac:dyDescent="0.3">
      <c r="C24" s="238" t="s">
        <v>171</v>
      </c>
      <c r="D24" s="215" t="str">
        <f>D22</f>
        <v>M8</v>
      </c>
      <c r="E24" s="180">
        <f>'11'!D7+'11'!D4+HLOOKUP('11 Coupling housing-Pedestral'!D22,'HSV Data'!BN3:CA7,3,FALSE)+HLOOKUP(D22,'HSV Data'!AH3:AT7,4,FALSE)+10</f>
        <v>30.8</v>
      </c>
      <c r="F24" s="180">
        <v>6</v>
      </c>
      <c r="G24" s="38"/>
      <c r="H24" s="240"/>
      <c r="I24" s="215">
        <f>F24</f>
        <v>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>
    <tabColor theme="9" tint="0.39997558519241921"/>
  </sheetPr>
  <dimension ref="A1:M35"/>
  <sheetViews>
    <sheetView workbookViewId="0">
      <selection activeCell="M34" sqref="M34"/>
    </sheetView>
  </sheetViews>
  <sheetFormatPr baseColWidth="10" defaultRowHeight="15" x14ac:dyDescent="0.25"/>
  <cols>
    <col min="3" max="3" width="17.7109375" customWidth="1"/>
    <col min="4" max="4" width="17.28515625" customWidth="1"/>
    <col min="7" max="7" width="17.5703125" customWidth="1"/>
  </cols>
  <sheetData>
    <row r="1" spans="1:13" ht="15.75" thickBot="1" x14ac:dyDescent="0.3"/>
    <row r="2" spans="1:13" ht="72" customHeight="1" thickBot="1" x14ac:dyDescent="0.3">
      <c r="A2" s="378" t="s">
        <v>49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3" spans="3:9" ht="15.75" thickBot="1" x14ac:dyDescent="0.3"/>
    <row r="24" spans="3:9" ht="15.75" thickBot="1" x14ac:dyDescent="0.3">
      <c r="D24" s="371" t="s">
        <v>146</v>
      </c>
      <c r="E24" s="372"/>
      <c r="F24" s="372"/>
      <c r="G24" s="372"/>
      <c r="H24" s="372"/>
      <c r="I24" s="373"/>
    </row>
    <row r="25" spans="3:9" ht="15.75" thickBot="1" x14ac:dyDescent="0.3">
      <c r="C25" s="243"/>
      <c r="D25" s="45" t="s">
        <v>167</v>
      </c>
      <c r="E25" s="45" t="s">
        <v>233</v>
      </c>
      <c r="F25" s="45" t="s">
        <v>263</v>
      </c>
      <c r="G25" s="241" t="s">
        <v>173</v>
      </c>
      <c r="H25" s="38" t="s">
        <v>233</v>
      </c>
      <c r="I25" s="179" t="s">
        <v>263</v>
      </c>
    </row>
    <row r="26" spans="3:9" ht="15.75" thickBot="1" x14ac:dyDescent="0.3">
      <c r="C26" s="237" t="s">
        <v>168</v>
      </c>
      <c r="D26" s="212" t="str">
        <f>CONCATENATE("M",IF(AND(4.5&lt;'12'!H7,'12'!H7&lt;=5.5),4,IF(AND(5.5&lt;'12'!H7,'12'!H7&lt;=6.5),5,IF(AND(6.5&lt;'12'!H7,'12'!H7&lt;=8.5),6,IF(AND(8.5&lt;'12'!H7,'12'!H7&lt;=10.5),8,IF(AND(10.5&lt;'12'!H7,'12'!H7&lt;=12.5),10,IF(AND(12.5&lt;'12'!H7,'12'!H7&lt;=14.5),12,IF(AND(14.5&lt;'12'!H7,'12'!H7&lt;=16.5),14,IF(AND(16.5&lt;'12'!H7,'12'!H7&lt;=18.5),16,IF(AND(18.5&lt;'12'!H7,'12'!H7&lt;=20.5),18,IF(AND(20.5&lt;'12'!H7,'12'!H7&lt;=24.5),20,IF(AND(24.5&lt;'12'!H7,'12'!H7&lt;=30.5),24,IF(AND(30.5&lt;'12'!H7,'12'!H7&lt;=35),30,"A vérifier")))))))))))))</f>
        <v>M20</v>
      </c>
      <c r="E26" s="180" t="s">
        <v>248</v>
      </c>
      <c r="F26" s="180">
        <v>4</v>
      </c>
      <c r="G26" s="38"/>
      <c r="H26" s="180" t="s">
        <v>248</v>
      </c>
      <c r="I26" s="180">
        <f>F26</f>
        <v>4</v>
      </c>
    </row>
    <row r="27" spans="3:9" ht="15.75" thickBot="1" x14ac:dyDescent="0.3">
      <c r="C27" s="239" t="s">
        <v>172</v>
      </c>
      <c r="D27" s="180" t="str">
        <f>CONCATENATE(D26,"x",'12'!H8/2,"x",'12'!H6)</f>
        <v>M20x50x8</v>
      </c>
      <c r="E27" s="180" t="s">
        <v>248</v>
      </c>
      <c r="F27" s="205">
        <v>8</v>
      </c>
      <c r="G27" s="242"/>
      <c r="H27" s="180" t="s">
        <v>248</v>
      </c>
      <c r="I27" s="215">
        <f>F27</f>
        <v>8</v>
      </c>
    </row>
    <row r="28" spans="3:9" ht="15.75" thickBot="1" x14ac:dyDescent="0.3">
      <c r="C28" s="238" t="s">
        <v>171</v>
      </c>
      <c r="D28" s="215" t="str">
        <f>D26</f>
        <v>M20</v>
      </c>
      <c r="E28" s="180">
        <f>'12'!H4+'12'!H5+'12'!H6+'12'!H6+'12'!H6+HLOOKUP('12 Bearing-Coupling support'!D26,'HSV Data'!AH3:AT7,4,FALSE)+10</f>
        <v>97</v>
      </c>
      <c r="F28" s="180">
        <v>4</v>
      </c>
      <c r="G28" s="38"/>
      <c r="H28" s="240"/>
      <c r="I28" s="215">
        <f>F28</f>
        <v>4</v>
      </c>
    </row>
    <row r="30" spans="3:9" ht="15.75" thickBot="1" x14ac:dyDescent="0.3"/>
    <row r="31" spans="3:9" ht="15.75" thickBot="1" x14ac:dyDescent="0.3">
      <c r="D31" s="371" t="s">
        <v>140</v>
      </c>
      <c r="E31" s="372"/>
      <c r="F31" s="372"/>
      <c r="G31" s="372"/>
      <c r="H31" s="372"/>
      <c r="I31" s="373"/>
    </row>
    <row r="32" spans="3:9" ht="15.75" thickBot="1" x14ac:dyDescent="0.3">
      <c r="C32" s="243"/>
      <c r="D32" s="45" t="s">
        <v>167</v>
      </c>
      <c r="E32" s="45" t="s">
        <v>233</v>
      </c>
      <c r="F32" s="45" t="s">
        <v>263</v>
      </c>
      <c r="G32" s="241" t="s">
        <v>173</v>
      </c>
      <c r="H32" s="38" t="s">
        <v>233</v>
      </c>
      <c r="I32" s="179" t="s">
        <v>263</v>
      </c>
    </row>
    <row r="33" spans="3:9" ht="15.75" thickBot="1" x14ac:dyDescent="0.3">
      <c r="C33" s="237" t="s">
        <v>168</v>
      </c>
      <c r="D33" s="212" t="str">
        <f>CONCATENATE("M",IF(AND(4.5&lt;'12'!D7,'12'!D7&lt;=5.5),4,IF(AND(5.5&lt;'12'!D7,'12'!D7&lt;=6.5),5,IF(AND(6.5&lt;'12'!D7,'12'!D7&lt;=8.5),6,IF(AND(8.5&lt;'12'!D7,'12'!D7&lt;=10.5),8,IF(AND(10.5&lt;'12'!D7,'12'!D7&lt;=12.5),10,IF(AND(12.5&lt;'12'!D7,'12'!D7&lt;=14.5),12,IF(AND(14.5&lt;'12'!D7,'12'!D7&lt;=16.5),14,IF(AND(16.5&lt;'12'!D7,'12'!D7&lt;=18.5),16,IF(AND(18.5&lt;'12'!D7,'12'!D7&lt;=20.5),18,IF(AND(20.5&lt;'12'!D7,'12'!D7&lt;=24.5),20,IF(AND(24.5&lt;'12'!D7,'12'!D7&lt;=30.5),24,IF(AND(30.5&lt;'12'!D7,'12'!D7&lt;=35),30,"A vérifier")))))))))))))</f>
        <v>M20</v>
      </c>
      <c r="E33" s="180" t="s">
        <v>248</v>
      </c>
      <c r="F33" s="180">
        <v>4</v>
      </c>
      <c r="G33" s="38"/>
      <c r="H33" s="180" t="s">
        <v>248</v>
      </c>
      <c r="I33" s="180">
        <f>F33</f>
        <v>4</v>
      </c>
    </row>
    <row r="34" spans="3:9" ht="15.75" thickBot="1" x14ac:dyDescent="0.3">
      <c r="C34" s="239" t="s">
        <v>172</v>
      </c>
      <c r="D34" s="180" t="str">
        <f>CONCATENATE(D33,"x",'12'!D8/2,"x",'12'!D6)</f>
        <v>M20x50x8</v>
      </c>
      <c r="E34" s="180" t="s">
        <v>248</v>
      </c>
      <c r="F34" s="205">
        <v>8</v>
      </c>
      <c r="G34" s="242"/>
      <c r="H34" s="180" t="s">
        <v>248</v>
      </c>
      <c r="I34" s="215">
        <f>F34</f>
        <v>8</v>
      </c>
    </row>
    <row r="35" spans="3:9" ht="15.75" thickBot="1" x14ac:dyDescent="0.3">
      <c r="C35" s="238" t="s">
        <v>171</v>
      </c>
      <c r="D35" s="215" t="str">
        <f>D33</f>
        <v>M20</v>
      </c>
      <c r="E35" s="180">
        <f>HLOOKUP(D33,'HSV Data'!AH3:AT7,4,FALSE)+'12'!D4+'12'!D6+'12'!D6+'12'!D6+'12'!D5+10</f>
        <v>97</v>
      </c>
      <c r="F35" s="180">
        <v>4</v>
      </c>
      <c r="G35" s="38"/>
      <c r="H35" s="240"/>
      <c r="I35" s="215">
        <f>F35</f>
        <v>4</v>
      </c>
    </row>
  </sheetData>
  <mergeCells count="3">
    <mergeCell ref="A2:M2"/>
    <mergeCell ref="D24:I24"/>
    <mergeCell ref="D31:I31"/>
  </mergeCells>
  <pageMargins left="0.7" right="0.7" top="0.75" bottom="0.75" header="0.3" footer="0.3"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>
    <tabColor theme="9" tint="0.39997558519241921"/>
  </sheetPr>
  <dimension ref="A1:M24"/>
  <sheetViews>
    <sheetView workbookViewId="0">
      <selection activeCell="C21" sqref="C21:I24"/>
    </sheetView>
  </sheetViews>
  <sheetFormatPr baseColWidth="10" defaultRowHeight="15" x14ac:dyDescent="0.25"/>
  <cols>
    <col min="3" max="3" width="17.5703125" customWidth="1"/>
    <col min="4" max="4" width="16.5703125" customWidth="1"/>
    <col min="7" max="7" width="17.28515625" customWidth="1"/>
  </cols>
  <sheetData>
    <row r="1" spans="1:13" ht="15.75" thickBot="1" x14ac:dyDescent="0.3"/>
    <row r="2" spans="1:13" ht="72" customHeight="1" thickBot="1" x14ac:dyDescent="0.3">
      <c r="A2" s="378" t="s">
        <v>50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0" spans="3:9" ht="15.75" thickBot="1" x14ac:dyDescent="0.3"/>
    <row r="21" spans="3:9" ht="15.75" thickBot="1" x14ac:dyDescent="0.3">
      <c r="C21" s="252"/>
      <c r="D21" s="45" t="s">
        <v>167</v>
      </c>
      <c r="E21" s="45" t="s">
        <v>233</v>
      </c>
      <c r="F21" s="45" t="s">
        <v>263</v>
      </c>
      <c r="G21" s="246" t="s">
        <v>173</v>
      </c>
      <c r="H21" s="38" t="s">
        <v>233</v>
      </c>
      <c r="I21" s="179" t="s">
        <v>263</v>
      </c>
    </row>
    <row r="22" spans="3:9" ht="15.75" thickBot="1" x14ac:dyDescent="0.3">
      <c r="C22" s="250" t="s">
        <v>168</v>
      </c>
      <c r="D22" s="212" t="str">
        <f>HLOOKUP('13'!D4,'HSV Data'!FV15:FZ16,2,FALSE)</f>
        <v>M8</v>
      </c>
      <c r="E22" s="180" t="s">
        <v>248</v>
      </c>
      <c r="F22" s="180">
        <f>'13'!D5</f>
        <v>16</v>
      </c>
      <c r="G22" s="38"/>
      <c r="H22" s="180" t="s">
        <v>248</v>
      </c>
      <c r="I22" s="180">
        <f>F22</f>
        <v>16</v>
      </c>
    </row>
    <row r="23" spans="3:9" ht="15.75" thickBot="1" x14ac:dyDescent="0.3">
      <c r="C23" s="248" t="s">
        <v>172</v>
      </c>
      <c r="D23" s="46" t="str">
        <f>CONCATENATE(D22,"x",'13'!D8*2,"x",'13'!D7)</f>
        <v>M8x38x3</v>
      </c>
      <c r="E23" s="180" t="s">
        <v>248</v>
      </c>
      <c r="F23" s="205">
        <f>F22</f>
        <v>16</v>
      </c>
      <c r="G23" s="247"/>
      <c r="H23" s="180" t="s">
        <v>248</v>
      </c>
      <c r="I23" s="215">
        <f>F23</f>
        <v>16</v>
      </c>
    </row>
    <row r="24" spans="3:9" ht="15.75" thickBot="1" x14ac:dyDescent="0.3">
      <c r="C24" s="251" t="s">
        <v>171</v>
      </c>
      <c r="D24" s="215" t="str">
        <f>D22</f>
        <v>M8</v>
      </c>
      <c r="E24" s="180">
        <f>'13'!D6+'13'!D7+HLOOKUP('13 Inlet flange-Inlet'!D22,'HSV Data'!FV3:FZ12,5,FALSE)+10</f>
        <v>25.5</v>
      </c>
      <c r="F24" s="180">
        <f>F22</f>
        <v>16</v>
      </c>
      <c r="G24" s="38"/>
      <c r="H24" s="249"/>
      <c r="I24" s="215">
        <f>F24</f>
        <v>16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FA442-857A-4127-A579-C59AE404D8A5}">
  <sheetPr codeName="Feuil35">
    <tabColor theme="9" tint="0.39997558519241921"/>
  </sheetPr>
  <dimension ref="A1:M25"/>
  <sheetViews>
    <sheetView topLeftCell="A4" workbookViewId="0">
      <selection activeCell="C22" sqref="C22:I25"/>
    </sheetView>
  </sheetViews>
  <sheetFormatPr baseColWidth="10" defaultRowHeight="15" x14ac:dyDescent="0.25"/>
  <cols>
    <col min="3" max="3" width="16.85546875" customWidth="1"/>
    <col min="4" max="4" width="15.7109375" customWidth="1"/>
    <col min="7" max="7" width="15.140625" customWidth="1"/>
  </cols>
  <sheetData>
    <row r="1" spans="1:13" ht="15.75" thickBot="1" x14ac:dyDescent="0.3"/>
    <row r="2" spans="1:13" ht="72" customHeight="1" thickBot="1" x14ac:dyDescent="0.3">
      <c r="A2" s="378" t="s">
        <v>302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1" spans="3:9" ht="15.75" thickBot="1" x14ac:dyDescent="0.3"/>
    <row r="22" spans="3:9" ht="15.75" thickBot="1" x14ac:dyDescent="0.3">
      <c r="C22" s="263"/>
      <c r="D22" s="45" t="s">
        <v>167</v>
      </c>
      <c r="E22" s="45" t="s">
        <v>233</v>
      </c>
      <c r="F22" s="45" t="s">
        <v>263</v>
      </c>
      <c r="G22" s="260" t="s">
        <v>173</v>
      </c>
      <c r="H22" s="38" t="s">
        <v>233</v>
      </c>
      <c r="I22" s="179" t="s">
        <v>263</v>
      </c>
    </row>
    <row r="23" spans="3:9" ht="15.75" thickBot="1" x14ac:dyDescent="0.3">
      <c r="C23" s="256" t="s">
        <v>168</v>
      </c>
      <c r="D23" s="212" t="str">
        <f>HLOOKUP('14'!D4,'HSV Data'!FV15:FZ16,2,FALSE)</f>
        <v>M8</v>
      </c>
      <c r="E23" s="180" t="s">
        <v>248</v>
      </c>
      <c r="F23" s="180">
        <f>'14'!D5*2+'14'!D6*2</f>
        <v>14</v>
      </c>
      <c r="G23" s="38"/>
      <c r="H23" s="180" t="s">
        <v>248</v>
      </c>
      <c r="I23" s="180">
        <f>F23</f>
        <v>14</v>
      </c>
    </row>
    <row r="24" spans="3:9" ht="15.75" thickBot="1" x14ac:dyDescent="0.3">
      <c r="C24" s="258" t="s">
        <v>170</v>
      </c>
      <c r="D24" s="46" t="str">
        <f>CONCATENATE(D23,"x",HLOOKUP(D23,'HSV Data'!BN3:CA7,4,FALSE),"x",HLOOKUP(D23,'HSV Data'!BN3:CA7,3,FALSE))</f>
        <v>M8x18x1,5</v>
      </c>
      <c r="E24" s="180" t="s">
        <v>248</v>
      </c>
      <c r="F24" s="205">
        <f>F23</f>
        <v>14</v>
      </c>
      <c r="G24" s="261"/>
      <c r="H24" s="180" t="s">
        <v>248</v>
      </c>
      <c r="I24" s="215">
        <f>F24</f>
        <v>14</v>
      </c>
    </row>
    <row r="25" spans="3:9" ht="15.75" thickBot="1" x14ac:dyDescent="0.3">
      <c r="C25" s="257" t="s">
        <v>171</v>
      </c>
      <c r="D25" s="215" t="str">
        <f>D23</f>
        <v>M8</v>
      </c>
      <c r="E25" s="180">
        <f>'14'!D7*2+HLOOKUP('14 Scroll access door-Casing'!D23,'HSV Data'!FV3:FZ12,5,FALSE)+10</f>
        <v>22.5</v>
      </c>
      <c r="F25" s="180">
        <f>F24</f>
        <v>14</v>
      </c>
      <c r="G25" s="38"/>
      <c r="H25" s="259"/>
      <c r="I25" s="215">
        <f>F25</f>
        <v>14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8CF77-31EF-45B3-A4FA-DC97E8784DDA}">
  <sheetPr codeName="Feuil36">
    <tabColor theme="9" tint="0.39997558519241921"/>
  </sheetPr>
  <dimension ref="A1:M24"/>
  <sheetViews>
    <sheetView topLeftCell="B1" workbookViewId="0">
      <selection activeCell="C21" sqref="C21:I24"/>
    </sheetView>
  </sheetViews>
  <sheetFormatPr baseColWidth="10" defaultRowHeight="15" x14ac:dyDescent="0.25"/>
  <cols>
    <col min="3" max="3" width="17.140625" customWidth="1"/>
    <col min="4" max="4" width="14.85546875" customWidth="1"/>
    <col min="7" max="7" width="15.140625" customWidth="1"/>
  </cols>
  <sheetData>
    <row r="1" spans="1:13" ht="15.75" thickBot="1" x14ac:dyDescent="0.3"/>
    <row r="2" spans="1:13" ht="72" customHeight="1" thickBot="1" x14ac:dyDescent="0.3">
      <c r="A2" s="378" t="s">
        <v>303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0" spans="3:9" ht="15.75" thickBot="1" x14ac:dyDescent="0.3"/>
    <row r="21" spans="3:9" ht="15.75" thickBot="1" x14ac:dyDescent="0.3">
      <c r="C21" s="263"/>
      <c r="D21" s="45" t="s">
        <v>167</v>
      </c>
      <c r="E21" s="45" t="s">
        <v>233</v>
      </c>
      <c r="F21" s="45" t="s">
        <v>263</v>
      </c>
      <c r="G21" s="260" t="s">
        <v>173</v>
      </c>
      <c r="H21" s="38" t="s">
        <v>233</v>
      </c>
      <c r="I21" s="179" t="s">
        <v>263</v>
      </c>
    </row>
    <row r="22" spans="3:9" ht="15.75" thickBot="1" x14ac:dyDescent="0.3">
      <c r="C22" s="256" t="s">
        <v>168</v>
      </c>
      <c r="D22" s="212" t="str">
        <f>HLOOKUP('15'!D4,'HSV Data'!FV15:FZ16,2,FALSE)</f>
        <v>M8</v>
      </c>
      <c r="E22" s="180" t="s">
        <v>248</v>
      </c>
      <c r="F22" s="180">
        <f>'15'!D5</f>
        <v>8</v>
      </c>
      <c r="G22" s="38"/>
      <c r="H22" s="180" t="s">
        <v>248</v>
      </c>
      <c r="I22" s="180">
        <f>F22</f>
        <v>8</v>
      </c>
    </row>
    <row r="23" spans="3:9" ht="15.75" thickBot="1" x14ac:dyDescent="0.3">
      <c r="C23" s="258" t="s">
        <v>170</v>
      </c>
      <c r="D23" s="46" t="str">
        <f>CONCATENATE(D22,"x",HLOOKUP(D22,'HSV Data'!BN3:CA7,4,FALSE),"x",HLOOKUP(D22,'HSV Data'!BN3:CA7,3,FALSE))</f>
        <v>M8x18x1,5</v>
      </c>
      <c r="E23" s="180" t="s">
        <v>248</v>
      </c>
      <c r="F23" s="205">
        <f>F22</f>
        <v>8</v>
      </c>
      <c r="G23" s="261"/>
      <c r="H23" s="180" t="s">
        <v>248</v>
      </c>
      <c r="I23" s="215">
        <f>F23</f>
        <v>8</v>
      </c>
    </row>
    <row r="24" spans="3:9" ht="15.75" thickBot="1" x14ac:dyDescent="0.3">
      <c r="C24" s="257" t="s">
        <v>171</v>
      </c>
      <c r="D24" s="215" t="str">
        <f>D22</f>
        <v>M8</v>
      </c>
      <c r="E24" s="180">
        <f>HLOOKUP(D22,'HSV Data'!BN3:CA7,3,FALSE)+'15'!D6+'15'!D7+10</f>
        <v>20.5</v>
      </c>
      <c r="F24" s="180">
        <f>F22</f>
        <v>8</v>
      </c>
      <c r="G24" s="38"/>
      <c r="H24" s="259"/>
      <c r="I24" s="215">
        <f>F24</f>
        <v>8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C8256-5E33-4A6D-8FBA-6BF6C9DF7B20}">
  <sheetPr codeName="Feuil37">
    <tabColor theme="9" tint="0.39997558519241921"/>
  </sheetPr>
  <dimension ref="A1:M31"/>
  <sheetViews>
    <sheetView topLeftCell="A4" workbookViewId="0">
      <selection activeCell="K30" sqref="K30"/>
    </sheetView>
  </sheetViews>
  <sheetFormatPr baseColWidth="10" defaultRowHeight="15" x14ac:dyDescent="0.25"/>
  <cols>
    <col min="3" max="3" width="17.28515625" customWidth="1"/>
    <col min="4" max="4" width="17.140625" customWidth="1"/>
    <col min="7" max="7" width="17.28515625" customWidth="1"/>
  </cols>
  <sheetData>
    <row r="1" spans="1:13" ht="15.75" thickBot="1" x14ac:dyDescent="0.3"/>
    <row r="2" spans="1:13" ht="72" customHeight="1" thickBot="1" x14ac:dyDescent="0.3">
      <c r="A2" s="378" t="s">
        <v>306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80"/>
    </row>
    <row r="27" spans="3:9" ht="15.75" thickBot="1" x14ac:dyDescent="0.3"/>
    <row r="28" spans="3:9" ht="15.75" thickBot="1" x14ac:dyDescent="0.3">
      <c r="C28" s="294"/>
      <c r="D28" s="45" t="s">
        <v>167</v>
      </c>
      <c r="E28" s="45" t="s">
        <v>233</v>
      </c>
      <c r="F28" s="45" t="s">
        <v>263</v>
      </c>
      <c r="G28" s="291" t="s">
        <v>173</v>
      </c>
      <c r="H28" s="38" t="s">
        <v>233</v>
      </c>
      <c r="I28" s="179" t="s">
        <v>263</v>
      </c>
    </row>
    <row r="29" spans="3:9" ht="15.75" thickBot="1" x14ac:dyDescent="0.3">
      <c r="C29" s="287" t="s">
        <v>168</v>
      </c>
      <c r="D29" s="212" t="str">
        <f>HLOOKUP('16'!D8,'HSV Data'!FV15:FZ16,2,FALSE)</f>
        <v>M8</v>
      </c>
      <c r="E29" s="180" t="s">
        <v>248</v>
      </c>
      <c r="F29" s="180">
        <v>8</v>
      </c>
      <c r="G29" s="38"/>
      <c r="H29" s="180" t="s">
        <v>248</v>
      </c>
      <c r="I29" s="180">
        <f>F29</f>
        <v>8</v>
      </c>
    </row>
    <row r="30" spans="3:9" ht="15.75" thickBot="1" x14ac:dyDescent="0.3">
      <c r="C30" s="289" t="s">
        <v>314</v>
      </c>
      <c r="D30" s="180" t="str">
        <f>CONCATENATE(D29,"x",HLOOKUP(D29,'HSV Data'!GM3:GU7,4,FALSE),"x",HLOOKUP(D29,'HSV Data'!GM3:GU7,3,FALSE))</f>
        <v>M8x22x1,5</v>
      </c>
      <c r="E30" s="180" t="s">
        <v>248</v>
      </c>
      <c r="F30" s="205">
        <v>8</v>
      </c>
      <c r="G30" s="292"/>
      <c r="H30" s="180" t="s">
        <v>248</v>
      </c>
      <c r="I30" s="215">
        <f>F30</f>
        <v>8</v>
      </c>
    </row>
    <row r="31" spans="3:9" ht="15.75" thickBot="1" x14ac:dyDescent="0.3">
      <c r="C31" s="288" t="s">
        <v>171</v>
      </c>
      <c r="D31" s="215" t="str">
        <f>D29</f>
        <v>M8</v>
      </c>
      <c r="E31" s="180">
        <f>HLOOKUP(D29,'HSV Data'!GM3:GU7,3,FALSE)+'16'!D5+'16'!D7+'16'!D9+HLOOKUP(D29,'HSV Data'!AH3:AT7,4,FALSE)+10</f>
        <v>32.299999999999997</v>
      </c>
      <c r="F31" s="180">
        <v>8</v>
      </c>
      <c r="G31" s="38"/>
      <c r="H31" s="290"/>
      <c r="I31" s="215">
        <f>F31</f>
        <v>8</v>
      </c>
    </row>
  </sheetData>
  <mergeCells count="1">
    <mergeCell ref="A2:M2"/>
  </mergeCells>
  <pageMargins left="0.7" right="0.7" top="0.75" bottom="0.75" header="0.3" footer="0.3"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33609-3A57-49AD-9304-E3BD845BA752}">
  <sheetPr codeName="Feuil38">
    <tabColor theme="9" tint="0.39997558519241921"/>
  </sheetPr>
  <dimension ref="C4:O15"/>
  <sheetViews>
    <sheetView workbookViewId="0">
      <selection activeCell="L29" sqref="L29"/>
    </sheetView>
  </sheetViews>
  <sheetFormatPr baseColWidth="10" defaultRowHeight="15" x14ac:dyDescent="0.25"/>
  <sheetData>
    <row r="4" spans="3:15" x14ac:dyDescent="0.25">
      <c r="C4" s="381" t="s">
        <v>313</v>
      </c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1"/>
    </row>
    <row r="5" spans="3:15" x14ac:dyDescent="0.25">
      <c r="C5" s="381"/>
      <c r="D5" s="381"/>
      <c r="E5" s="381"/>
      <c r="F5" s="381"/>
      <c r="G5" s="381"/>
      <c r="H5" s="381"/>
      <c r="I5" s="381"/>
      <c r="J5" s="381"/>
      <c r="K5" s="381"/>
      <c r="L5" s="381"/>
      <c r="M5" s="381"/>
      <c r="N5" s="381"/>
      <c r="O5" s="381"/>
    </row>
    <row r="6" spans="3:15" x14ac:dyDescent="0.25">
      <c r="C6" s="381"/>
      <c r="D6" s="381"/>
      <c r="E6" s="381"/>
      <c r="F6" s="381"/>
      <c r="G6" s="381"/>
      <c r="H6" s="381"/>
      <c r="I6" s="381"/>
      <c r="J6" s="381"/>
      <c r="K6" s="381"/>
      <c r="L6" s="381"/>
      <c r="M6" s="381"/>
      <c r="N6" s="381"/>
      <c r="O6" s="381"/>
    </row>
    <row r="7" spans="3:15" x14ac:dyDescent="0.25">
      <c r="C7" s="381"/>
      <c r="D7" s="381"/>
      <c r="E7" s="381"/>
      <c r="F7" s="381"/>
      <c r="G7" s="381"/>
      <c r="H7" s="381"/>
      <c r="I7" s="381"/>
      <c r="J7" s="381"/>
      <c r="K7" s="381"/>
      <c r="L7" s="381"/>
      <c r="M7" s="381"/>
      <c r="N7" s="381"/>
      <c r="O7" s="381"/>
    </row>
    <row r="8" spans="3:15" x14ac:dyDescent="0.25"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</row>
    <row r="9" spans="3:15" x14ac:dyDescent="0.25"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</row>
    <row r="10" spans="3:15" x14ac:dyDescent="0.25"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</row>
    <row r="11" spans="3:15" x14ac:dyDescent="0.25">
      <c r="C11" s="381"/>
      <c r="D11" s="381"/>
      <c r="E11" s="381"/>
      <c r="F11" s="381"/>
      <c r="G11" s="381"/>
      <c r="H11" s="381"/>
      <c r="I11" s="381"/>
      <c r="J11" s="381"/>
      <c r="K11" s="381"/>
      <c r="L11" s="381"/>
      <c r="M11" s="381"/>
      <c r="N11" s="381"/>
      <c r="O11" s="381"/>
    </row>
    <row r="12" spans="3:15" x14ac:dyDescent="0.25">
      <c r="C12" s="381"/>
      <c r="D12" s="381"/>
      <c r="E12" s="381"/>
      <c r="F12" s="381"/>
      <c r="G12" s="381"/>
      <c r="H12" s="381"/>
      <c r="I12" s="381"/>
      <c r="J12" s="381"/>
      <c r="K12" s="381"/>
      <c r="L12" s="381"/>
      <c r="M12" s="381"/>
      <c r="N12" s="381"/>
      <c r="O12" s="381"/>
    </row>
    <row r="13" spans="3:15" x14ac:dyDescent="0.25">
      <c r="C13" s="381"/>
      <c r="D13" s="381"/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1"/>
    </row>
    <row r="14" spans="3:15" x14ac:dyDescent="0.25">
      <c r="C14" s="381"/>
      <c r="D14" s="381"/>
      <c r="E14" s="381"/>
      <c r="F14" s="381"/>
      <c r="G14" s="381"/>
      <c r="H14" s="381"/>
      <c r="I14" s="381"/>
      <c r="J14" s="381"/>
      <c r="K14" s="381"/>
      <c r="L14" s="381"/>
      <c r="M14" s="381"/>
      <c r="N14" s="381"/>
      <c r="O14" s="381"/>
    </row>
    <row r="15" spans="3:15" x14ac:dyDescent="0.25">
      <c r="C15" s="381"/>
      <c r="D15" s="381"/>
      <c r="E15" s="381"/>
      <c r="F15" s="381"/>
      <c r="G15" s="381"/>
      <c r="H15" s="381"/>
      <c r="I15" s="381"/>
      <c r="J15" s="381"/>
      <c r="K15" s="381"/>
      <c r="L15" s="381"/>
      <c r="M15" s="381"/>
      <c r="N15" s="381"/>
      <c r="O15" s="381"/>
    </row>
  </sheetData>
  <mergeCells count="1">
    <mergeCell ref="C4:O15"/>
  </mergeCells>
  <pageMargins left="0.7" right="0.7" top="0.75" bottom="0.75" header="0.3" footer="0.3"/>
  <pageSetup paperSize="205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38</vt:i4>
      </vt:variant>
    </vt:vector>
  </HeadingPairs>
  <TitlesOfParts>
    <vt:vector size="38" baseType="lpstr">
      <vt:lpstr>Revision</vt:lpstr>
      <vt:lpstr>Summary</vt:lpstr>
      <vt:lpstr>Thickness Data</vt:lpstr>
      <vt:lpstr>15</vt:lpstr>
      <vt:lpstr>16</vt:lpstr>
      <vt:lpstr>17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HSV Data</vt:lpstr>
      <vt:lpstr>01 Engine-Engine support</vt:lpstr>
      <vt:lpstr>02 Shaft end-Shaft </vt:lpstr>
      <vt:lpstr>03 Casing-Casing</vt:lpstr>
      <vt:lpstr>04 Casing-Angle fixation</vt:lpstr>
      <vt:lpstr>05 Pedestral-Angle fixation</vt:lpstr>
      <vt:lpstr>06 Cooling disc housing-Casing</vt:lpstr>
      <vt:lpstr>07 Cooling disc housing</vt:lpstr>
      <vt:lpstr>08 Shaft housing</vt:lpstr>
      <vt:lpstr>09 Shaft housing-Pedestral</vt:lpstr>
      <vt:lpstr>10 Coupling housing</vt:lpstr>
      <vt:lpstr>11 Coupling housing-Pedestral</vt:lpstr>
      <vt:lpstr>12 Bearing-Coupling support</vt:lpstr>
      <vt:lpstr>13 Inlet flange-Inlet</vt:lpstr>
      <vt:lpstr>14 Scroll access door-Casing</vt:lpstr>
      <vt:lpstr>15 Mecha access door-Casing</vt:lpstr>
      <vt:lpstr>16 1A seal-Casing</vt:lpstr>
      <vt:lpstr>17 Mounting-Pedestral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Gomis</dc:creator>
  <cp:lastModifiedBy>Julien Gomis</cp:lastModifiedBy>
  <dcterms:created xsi:type="dcterms:W3CDTF">2021-07-12T07:29:00Z</dcterms:created>
  <dcterms:modified xsi:type="dcterms:W3CDTF">2021-08-29T17:21:55Z</dcterms:modified>
</cp:coreProperties>
</file>