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300" activeTab="1"/>
  </bookViews>
  <sheets>
    <sheet name="Résumé Budget" sheetId="2" r:id="rId1"/>
    <sheet name="Suivi historique" sheetId="1" r:id="rId2"/>
    <sheet name="ED" sheetId="5" r:id="rId3"/>
    <sheet name="Data" sheetId="3" r:id="rId4"/>
  </sheets>
  <definedNames>
    <definedName name="_xlnm._FilterDatabase" localSheetId="2" hidden="1">ED!$B$1:$G$98</definedName>
    <definedName name="_xlnm._FilterDatabase" localSheetId="1" hidden="1">'Suivi historique'!$A$1:$T$99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" l="1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2" i="5"/>
  <c r="G21" i="2" l="1"/>
  <c r="N9" i="1" l="1"/>
  <c r="D2" i="3" l="1" a="1"/>
  <c r="D2" i="3" s="1"/>
  <c r="D3" i="3" l="1" a="1"/>
  <c r="D3" i="3" s="1"/>
  <c r="A31" i="2"/>
  <c r="A2" i="2"/>
  <c r="D4" i="3" l="1" a="1"/>
  <c r="D4" i="3" s="1"/>
  <c r="H8" i="2" a="1"/>
  <c r="H8" i="2" s="1"/>
  <c r="I8" i="2" l="1"/>
  <c r="J8" i="2"/>
  <c r="R8" i="2"/>
  <c r="K8" i="2" s="1"/>
  <c r="D5" i="3" a="1"/>
  <c r="D5" i="3" s="1"/>
  <c r="H9" i="2" a="1"/>
  <c r="H9" i="2" s="1"/>
  <c r="I9" i="2" s="1"/>
  <c r="L8" i="2" l="1"/>
  <c r="R9" i="2"/>
  <c r="K9" i="2" s="1"/>
  <c r="D6" i="3" a="1"/>
  <c r="D6" i="3" s="1"/>
  <c r="J9" i="2"/>
  <c r="N8" i="2"/>
  <c r="M8" i="2"/>
  <c r="P8" i="2" s="1"/>
  <c r="H10" i="2" a="1"/>
  <c r="H10" i="2" s="1"/>
  <c r="I10" i="2" s="1"/>
  <c r="Q22" i="1"/>
  <c r="M9" i="2" l="1"/>
  <c r="N9" i="2"/>
  <c r="L9" i="2"/>
  <c r="R10" i="2"/>
  <c r="K10" i="2" s="1"/>
  <c r="D7" i="3" a="1"/>
  <c r="D7" i="3" s="1"/>
  <c r="O8" i="2"/>
  <c r="Q8" i="2" s="1"/>
  <c r="H11" i="2" a="1"/>
  <c r="H11" i="2" s="1"/>
  <c r="I11" i="2" s="1"/>
  <c r="J10" i="2"/>
  <c r="N3" i="1"/>
  <c r="O9" i="2" l="1"/>
  <c r="Q9" i="2" s="1"/>
  <c r="P9" i="2"/>
  <c r="M10" i="2"/>
  <c r="P10" i="2" s="1"/>
  <c r="N10" i="2"/>
  <c r="L10" i="2"/>
  <c r="R11" i="2"/>
  <c r="K11" i="2" s="1"/>
  <c r="D8" i="3" a="1"/>
  <c r="D8" i="3" s="1"/>
  <c r="J11" i="2"/>
  <c r="H12" i="2" a="1"/>
  <c r="H12" i="2" s="1"/>
  <c r="I12" i="2" s="1"/>
  <c r="N22" i="1"/>
  <c r="N5" i="1"/>
  <c r="N6" i="1"/>
  <c r="N10" i="1"/>
  <c r="N11" i="1"/>
  <c r="N12" i="1"/>
  <c r="N7" i="1"/>
  <c r="N13" i="1"/>
  <c r="N14" i="1"/>
  <c r="N15" i="1"/>
  <c r="N16" i="1"/>
  <c r="N17" i="1"/>
  <c r="N18" i="1"/>
  <c r="N8" i="1"/>
  <c r="N19" i="1"/>
  <c r="N20" i="1"/>
  <c r="N21" i="1"/>
  <c r="N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4" i="1"/>
  <c r="O10" i="2" l="1"/>
  <c r="Q10" i="2" s="1"/>
  <c r="M11" i="2"/>
  <c r="P11" i="2" s="1"/>
  <c r="N11" i="2"/>
  <c r="L11" i="2"/>
  <c r="R12" i="2"/>
  <c r="L12" i="2" s="1"/>
  <c r="D9" i="3" a="1"/>
  <c r="D9" i="3" s="1"/>
  <c r="J12" i="2"/>
  <c r="H13" i="2" a="1"/>
  <c r="H13" i="2" s="1"/>
  <c r="I13" i="2" s="1"/>
  <c r="H1" i="5"/>
  <c r="A1" i="5"/>
  <c r="T1" i="1"/>
  <c r="A1" i="1"/>
  <c r="K12" i="2" l="1"/>
  <c r="O11" i="2"/>
  <c r="Q11" i="2" s="1"/>
  <c r="R13" i="2"/>
  <c r="K13" i="2" s="1"/>
  <c r="D10" i="3" a="1"/>
  <c r="D10" i="3" s="1"/>
  <c r="J13" i="2"/>
  <c r="H14" i="2" a="1"/>
  <c r="H14" i="2" s="1"/>
  <c r="I14" i="2" s="1"/>
  <c r="D16" i="2"/>
  <c r="E16" i="2"/>
  <c r="F16" i="2"/>
  <c r="C16" i="2"/>
  <c r="E15" i="2"/>
  <c r="F15" i="2"/>
  <c r="E11" i="2"/>
  <c r="F11" i="2"/>
  <c r="L13" i="2" l="1"/>
  <c r="M13" i="2"/>
  <c r="P13" i="2" s="1"/>
  <c r="N13" i="2"/>
  <c r="L14" i="2"/>
  <c r="K14" i="2"/>
  <c r="M12" i="2"/>
  <c r="P12" i="2" s="1"/>
  <c r="N12" i="2"/>
  <c r="R14" i="2"/>
  <c r="D11" i="3" a="1"/>
  <c r="D11" i="3" s="1"/>
  <c r="J14" i="2"/>
  <c r="H15" i="2" a="1"/>
  <c r="H15" i="2" s="1"/>
  <c r="I15" i="2" s="1"/>
  <c r="E18" i="2"/>
  <c r="F18" i="2"/>
  <c r="D12" i="2"/>
  <c r="E12" i="2"/>
  <c r="F12" i="2"/>
  <c r="C12" i="2"/>
  <c r="D11" i="2"/>
  <c r="O13" i="2" l="1"/>
  <c r="Q13" i="2" s="1"/>
  <c r="L15" i="2"/>
  <c r="K15" i="2"/>
  <c r="O12" i="2"/>
  <c r="Q12" i="2" s="1"/>
  <c r="P14" i="2"/>
  <c r="O14" i="2"/>
  <c r="Q14" i="2" s="1"/>
  <c r="N14" i="2"/>
  <c r="M14" i="2"/>
  <c r="H16" i="2" a="1"/>
  <c r="H16" i="2" s="1"/>
  <c r="I16" i="2" s="1"/>
  <c r="R15" i="2"/>
  <c r="D12" i="3" a="1"/>
  <c r="D12" i="3" s="1"/>
  <c r="J15" i="2"/>
  <c r="C19" i="2"/>
  <c r="D19" i="2"/>
  <c r="F13" i="2"/>
  <c r="F19" i="2"/>
  <c r="E13" i="2"/>
  <c r="E19" i="2"/>
  <c r="C15" i="2"/>
  <c r="C11" i="2"/>
  <c r="D15" i="2"/>
  <c r="D13" i="2"/>
  <c r="H17" i="2" l="1" a="1"/>
  <c r="H17" i="2" s="1"/>
  <c r="I17" i="2" s="1"/>
  <c r="L16" i="2"/>
  <c r="K16" i="2"/>
  <c r="P15" i="2"/>
  <c r="O15" i="2"/>
  <c r="M15" i="2"/>
  <c r="N15" i="2"/>
  <c r="R16" i="2"/>
  <c r="J16" i="2"/>
  <c r="D13" i="3" a="1"/>
  <c r="D13" i="3" s="1"/>
  <c r="G19" i="2"/>
  <c r="D18" i="2"/>
  <c r="C18" i="2"/>
  <c r="C13" i="2"/>
  <c r="D26" i="2"/>
  <c r="D28" i="2" s="1"/>
  <c r="E26" i="2"/>
  <c r="E28" i="2" s="1"/>
  <c r="F26" i="2"/>
  <c r="F28" i="2" s="1"/>
  <c r="C26" i="2"/>
  <c r="C28" i="2" s="1"/>
  <c r="L17" i="2" l="1"/>
  <c r="K17" i="2"/>
  <c r="R17" i="2"/>
  <c r="O16" i="2"/>
  <c r="P16" i="2"/>
  <c r="N16" i="2"/>
  <c r="M16" i="2"/>
  <c r="H18" i="2" a="1"/>
  <c r="H18" i="2" s="1"/>
  <c r="I18" i="2" s="1"/>
  <c r="J17" i="2"/>
  <c r="Q15" i="2"/>
  <c r="D14" i="3" a="1"/>
  <c r="D14" i="3" s="1"/>
  <c r="G18" i="2"/>
  <c r="B13" i="2"/>
  <c r="G13" i="2"/>
  <c r="K18" i="2" l="1"/>
  <c r="L18" i="2"/>
  <c r="H19" i="2" a="1"/>
  <c r="H19" i="2" s="1"/>
  <c r="J18" i="2"/>
  <c r="O17" i="2"/>
  <c r="Q17" i="2" s="1"/>
  <c r="N17" i="2"/>
  <c r="M17" i="2"/>
  <c r="P17" i="2"/>
  <c r="R18" i="2"/>
  <c r="Q16" i="2"/>
  <c r="D15" i="3" a="1"/>
  <c r="D15" i="3" s="1"/>
  <c r="J19" i="2" l="1"/>
  <c r="I19" i="2"/>
  <c r="H20" i="2" a="1"/>
  <c r="H20" i="2" s="1"/>
  <c r="K19" i="2"/>
  <c r="L19" i="2"/>
  <c r="R19" i="2"/>
  <c r="M18" i="2"/>
  <c r="N18" i="2"/>
  <c r="P18" i="2"/>
  <c r="O18" i="2"/>
  <c r="Q18" i="2" s="1"/>
  <c r="D16" i="3" a="1"/>
  <c r="D16" i="3" s="1"/>
  <c r="R20" i="2" l="1"/>
  <c r="I20" i="2"/>
  <c r="M19" i="2"/>
  <c r="P19" i="2"/>
  <c r="O19" i="2"/>
  <c r="Q19" i="2" s="1"/>
  <c r="N19" i="2"/>
  <c r="L20" i="2"/>
  <c r="K20" i="2"/>
  <c r="H21" i="2" a="1"/>
  <c r="H21" i="2" s="1"/>
  <c r="I21" i="2" s="1"/>
  <c r="J20" i="2"/>
  <c r="D17" i="3" a="1"/>
  <c r="D17" i="3" s="1"/>
  <c r="M20" i="2" l="1"/>
  <c r="P20" i="2"/>
  <c r="N20" i="2"/>
  <c r="O20" i="2"/>
  <c r="Q20" i="2" s="1"/>
  <c r="L21" i="2"/>
  <c r="K21" i="2"/>
  <c r="H22" i="2" a="1"/>
  <c r="H22" i="2" s="1"/>
  <c r="I22" i="2" s="1"/>
  <c r="J21" i="2"/>
  <c r="R21" i="2"/>
  <c r="D18" i="3" a="1"/>
  <c r="D18" i="3" s="1"/>
  <c r="L22" i="2" l="1"/>
  <c r="K22" i="2"/>
  <c r="J22" i="2"/>
  <c r="H23" i="2" a="1"/>
  <c r="H23" i="2" s="1"/>
  <c r="I23" i="2" s="1"/>
  <c r="M21" i="2"/>
  <c r="P21" i="2"/>
  <c r="N21" i="2"/>
  <c r="O21" i="2"/>
  <c r="Q21" i="2" s="1"/>
  <c r="R22" i="2"/>
  <c r="D19" i="3" a="1"/>
  <c r="D19" i="3" s="1"/>
  <c r="L23" i="2" l="1"/>
  <c r="K23" i="2"/>
  <c r="H24" i="2" a="1"/>
  <c r="H24" i="2" s="1"/>
  <c r="J23" i="2"/>
  <c r="R23" i="2"/>
  <c r="P22" i="2"/>
  <c r="N22" i="2"/>
  <c r="O22" i="2"/>
  <c r="Q22" i="2" s="1"/>
  <c r="M22" i="2"/>
  <c r="D20" i="3" a="1"/>
  <c r="D20" i="3" s="1"/>
  <c r="J24" i="2" l="1"/>
  <c r="I24" i="2"/>
  <c r="H25" i="2" a="1"/>
  <c r="H25" i="2" s="1"/>
  <c r="P23" i="2"/>
  <c r="O23" i="2"/>
  <c r="Q23" i="2" s="1"/>
  <c r="M23" i="2"/>
  <c r="N23" i="2"/>
  <c r="L24" i="2"/>
  <c r="K24" i="2"/>
  <c r="R24" i="2"/>
  <c r="D21" i="3" a="1"/>
  <c r="D21" i="3" s="1"/>
  <c r="R25" i="2" l="1"/>
  <c r="I25" i="2"/>
  <c r="O24" i="2"/>
  <c r="Q24" i="2" s="1"/>
  <c r="M24" i="2"/>
  <c r="P24" i="2"/>
  <c r="N24" i="2"/>
  <c r="H26" i="2" a="1"/>
  <c r="H26" i="2" s="1"/>
  <c r="J25" i="2"/>
  <c r="K25" i="2"/>
  <c r="L25" i="2"/>
  <c r="D22" i="3" a="1"/>
  <c r="D22" i="3" s="1"/>
  <c r="H27" i="2" l="1" a="1"/>
  <c r="H27" i="2" s="1"/>
  <c r="I27" i="2" s="1"/>
  <c r="I26" i="2"/>
  <c r="O25" i="2"/>
  <c r="Q25" i="2" s="1"/>
  <c r="M25" i="2"/>
  <c r="N25" i="2"/>
  <c r="P25" i="2"/>
  <c r="K26" i="2"/>
  <c r="L26" i="2"/>
  <c r="J26" i="2"/>
  <c r="R26" i="2"/>
  <c r="D23" i="3" a="1"/>
  <c r="D23" i="3" s="1"/>
  <c r="H28" i="2" l="1" a="1"/>
  <c r="H28" i="2" s="1"/>
  <c r="I28" i="2" s="1"/>
  <c r="K27" i="2"/>
  <c r="O27" i="2" s="1"/>
  <c r="J27" i="2"/>
  <c r="R27" i="2"/>
  <c r="L27" i="2"/>
  <c r="M26" i="2"/>
  <c r="N26" i="2"/>
  <c r="P26" i="2"/>
  <c r="O26" i="2"/>
  <c r="Q26" i="2" s="1"/>
  <c r="D24" i="3" a="1"/>
  <c r="D24" i="3" s="1"/>
  <c r="M27" i="2" l="1"/>
  <c r="H29" i="2" a="1"/>
  <c r="H29" i="2" s="1"/>
  <c r="I29" i="2" s="1"/>
  <c r="P27" i="2"/>
  <c r="N27" i="2"/>
  <c r="K28" i="2"/>
  <c r="M28" i="2" s="1"/>
  <c r="J28" i="2"/>
  <c r="R28" i="2"/>
  <c r="L28" i="2"/>
  <c r="D25" i="3" a="1"/>
  <c r="D25" i="3" s="1"/>
  <c r="Q27" i="2"/>
  <c r="O28" i="2" l="1"/>
  <c r="Q28" i="2" s="1"/>
  <c r="J29" i="2"/>
  <c r="N28" i="2"/>
  <c r="K29" i="2"/>
  <c r="O29" i="2" s="1"/>
  <c r="R29" i="2"/>
  <c r="L29" i="2"/>
  <c r="P28" i="2"/>
  <c r="N29" i="2"/>
  <c r="D26" i="3" a="1"/>
  <c r="D26" i="3" s="1"/>
  <c r="M29" i="2" l="1"/>
  <c r="P29" i="2"/>
  <c r="D27" i="3" a="1"/>
  <c r="D27" i="3" s="1"/>
  <c r="Q29" i="2"/>
  <c r="D28" i="3" l="1" a="1"/>
  <c r="D28" i="3" s="1"/>
  <c r="D29" i="3" l="1" a="1"/>
  <c r="D29" i="3" s="1"/>
  <c r="D30" i="3" l="1" a="1"/>
  <c r="D30" i="3" s="1"/>
  <c r="E30" i="3" l="1"/>
  <c r="F30" i="3" s="1"/>
  <c r="E3" i="3"/>
  <c r="F3" i="3" s="1"/>
  <c r="E6" i="3"/>
  <c r="F6" i="3" s="1"/>
  <c r="E5" i="3"/>
  <c r="F5" i="3" s="1"/>
  <c r="E2" i="3"/>
  <c r="F2" i="3" s="1"/>
  <c r="E4" i="3"/>
  <c r="F4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6" i="3"/>
  <c r="F16" i="3" s="1"/>
  <c r="E15" i="3"/>
  <c r="F15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8" i="3"/>
  <c r="F28" i="3" s="1"/>
  <c r="E25" i="3"/>
  <c r="F25" i="3" s="1"/>
  <c r="E26" i="3"/>
  <c r="F26" i="3" s="1"/>
  <c r="E27" i="3"/>
  <c r="F27" i="3" s="1"/>
  <c r="E29" i="3"/>
  <c r="F29" i="3" s="1"/>
</calcChain>
</file>

<file path=xl/sharedStrings.xml><?xml version="1.0" encoding="utf-8"?>
<sst xmlns="http://schemas.openxmlformats.org/spreadsheetml/2006/main" count="294" uniqueCount="177">
  <si>
    <t>Objet</t>
  </si>
  <si>
    <t>De</t>
  </si>
  <si>
    <t>A</t>
  </si>
  <si>
    <t>Année 1</t>
  </si>
  <si>
    <t>Année 2</t>
  </si>
  <si>
    <t>Année 3</t>
  </si>
  <si>
    <t>Année 4</t>
  </si>
  <si>
    <t>Commentaire</t>
  </si>
  <si>
    <t>Pour ETS</t>
  </si>
  <si>
    <t>OUI</t>
  </si>
  <si>
    <r>
      <t xml:space="preserve">NON </t>
    </r>
    <r>
      <rPr>
        <sz val="9"/>
        <color theme="1"/>
        <rFont val="Calibri"/>
        <family val="2"/>
        <scheme val="minor"/>
      </rPr>
      <t>(voir comm.)</t>
    </r>
  </si>
  <si>
    <t>Pour info:</t>
  </si>
  <si>
    <t>tot</t>
  </si>
  <si>
    <t>Ces montants sont reportés dans le fichier excel de suivi global du contrat</t>
  </si>
  <si>
    <t>BDP</t>
  </si>
  <si>
    <t>N° BDC</t>
  </si>
  <si>
    <t>Montant BC</t>
  </si>
  <si>
    <t>N° 
ED</t>
  </si>
  <si>
    <t>N° 
Facture</t>
  </si>
  <si>
    <t>Date 
BC</t>
  </si>
  <si>
    <t>Date
Offre</t>
  </si>
  <si>
    <t>réf 
Offre</t>
  </si>
  <si>
    <t>Contrat cadre 2019-009 Maintenance 2020-2024</t>
  </si>
  <si>
    <t>NON (voir comm.)</t>
  </si>
  <si>
    <r>
      <t xml:space="preserve">ATTENTION: les dates prises en compte  pour les calculs des TOT sont les </t>
    </r>
    <r>
      <rPr>
        <b/>
        <i/>
        <sz val="14"/>
        <color rgb="FFFF0000"/>
        <rFont val="Calibri"/>
        <family val="2"/>
        <scheme val="minor"/>
      </rPr>
      <t>dates du bon de commande</t>
    </r>
    <r>
      <rPr>
        <i/>
        <sz val="11"/>
        <color rgb="FFFF0000"/>
        <rFont val="Calibri"/>
        <family val="2"/>
        <scheme val="minor"/>
      </rPr>
      <t xml:space="preserve"> (colonne H du Suivi historique)</t>
    </r>
  </si>
  <si>
    <t>Type ED</t>
  </si>
  <si>
    <t>Provisionnel</t>
  </si>
  <si>
    <t>Individuel</t>
  </si>
  <si>
    <t>Date
ED</t>
  </si>
  <si>
    <t>N°
ED</t>
  </si>
  <si>
    <t>Montant
ED</t>
  </si>
  <si>
    <t>Type
ED</t>
  </si>
  <si>
    <t>Objet
ED</t>
  </si>
  <si>
    <t>Tot BC sur Provisionnels</t>
  </si>
  <si>
    <t>Tot ED Provisionnels</t>
  </si>
  <si>
    <t>Tot BC sur Individuel</t>
  </si>
  <si>
    <t>Tot ED Individuel</t>
  </si>
  <si>
    <t>Tot BC</t>
  </si>
  <si>
    <t>Tot ED</t>
  </si>
  <si>
    <t>Somme générale</t>
  </si>
  <si>
    <t>Total</t>
  </si>
  <si>
    <t>Site Bandeau</t>
  </si>
  <si>
    <t>I2021020102</t>
  </si>
  <si>
    <t>I2021061501</t>
  </si>
  <si>
    <t>D(2021)9614</t>
  </si>
  <si>
    <t>D(2021)12140</t>
  </si>
  <si>
    <t>pas de</t>
  </si>
  <si>
    <t>bon</t>
  </si>
  <si>
    <t>de commande</t>
  </si>
  <si>
    <t>D(2020)19627</t>
  </si>
  <si>
    <t>I202107301</t>
  </si>
  <si>
    <t>marchandise reçue</t>
  </si>
  <si>
    <t>marchandise reçue ?</t>
  </si>
  <si>
    <t>D(2021)19909</t>
  </si>
  <si>
    <t>EP(2020)001792</t>
  </si>
  <si>
    <t>Doc. de réception de comande</t>
  </si>
  <si>
    <t>OK présent</t>
  </si>
  <si>
    <t>En attente...</t>
  </si>
  <si>
    <t>Non applicable</t>
  </si>
  <si>
    <t>Doc. de réception commande</t>
  </si>
  <si>
    <t>D(2021)23968</t>
  </si>
  <si>
    <t>D(2021)27001</t>
  </si>
  <si>
    <t>I202111021</t>
  </si>
  <si>
    <t>I202111241</t>
  </si>
  <si>
    <t>I2022031801</t>
  </si>
  <si>
    <t>Consommation par ED</t>
  </si>
  <si>
    <t>ED</t>
  </si>
  <si>
    <t>Type</t>
  </si>
  <si>
    <t>Reste sur</t>
  </si>
  <si>
    <t>Facturé</t>
  </si>
  <si>
    <t>Cumul</t>
  </si>
  <si>
    <t>BC</t>
  </si>
  <si>
    <t>Reste à</t>
  </si>
  <si>
    <t>facturer</t>
  </si>
  <si>
    <t>ED n°</t>
  </si>
  <si>
    <t>D(20222)11369</t>
  </si>
  <si>
    <t>D(2022)15895</t>
  </si>
  <si>
    <t>Unicité ED</t>
  </si>
  <si>
    <t>TOT Decommitted</t>
  </si>
  <si>
    <t>ED asked</t>
  </si>
  <si>
    <t>ED real</t>
  </si>
  <si>
    <t>oui</t>
  </si>
  <si>
    <t>I202208041</t>
  </si>
  <si>
    <t>I2022081101</t>
  </si>
  <si>
    <r>
      <t xml:space="preserve">Date
validité
</t>
    </r>
    <r>
      <rPr>
        <b/>
        <sz val="8"/>
        <color theme="1"/>
        <rFont val="Calibri"/>
        <family val="2"/>
        <scheme val="minor"/>
      </rPr>
      <t>(Provisionnel)</t>
    </r>
  </si>
  <si>
    <t>D(2022)25798</t>
  </si>
  <si>
    <t>D(2022)26409</t>
  </si>
  <si>
    <t>Order Form
N°
[SAFE/DIRC/]</t>
  </si>
  <si>
    <t>réf 
BC</t>
  </si>
  <si>
    <t>Réf
HERMES/GEDA</t>
  </si>
  <si>
    <t>Montant
Facture</t>
  </si>
  <si>
    <r>
      <t xml:space="preserve">Date
validité
</t>
    </r>
    <r>
      <rPr>
        <sz val="8"/>
        <color theme="1"/>
        <rFont val="Calibri"/>
        <family val="2"/>
        <scheme val="minor"/>
      </rPr>
      <t>(Provisionnel)</t>
    </r>
  </si>
  <si>
    <t>Somme BDP</t>
  </si>
  <si>
    <t>ajout de ED 2200002029 pour payer 8 licences sensor (2088€)</t>
  </si>
  <si>
    <t>I2022100601</t>
  </si>
  <si>
    <t>D(2022)244</t>
  </si>
  <si>
    <t>2021-223</t>
  </si>
  <si>
    <t>2022-244</t>
  </si>
  <si>
    <t>2022-195</t>
  </si>
  <si>
    <t>2022-186</t>
  </si>
  <si>
    <t>2022-121</t>
  </si>
  <si>
    <t>2022-097</t>
  </si>
  <si>
    <t>2021-318</t>
  </si>
  <si>
    <t>2021-305</t>
  </si>
  <si>
    <t>2021-268</t>
  </si>
  <si>
    <t>2021-239</t>
  </si>
  <si>
    <t>2020-405</t>
  </si>
  <si>
    <t>2020-340</t>
  </si>
  <si>
    <t>Date
Validité
BC</t>
  </si>
  <si>
    <t>Dépenses effectuées pour "autre que xxx" (Secteur IT, secteur Projets, etc)</t>
  </si>
  <si>
    <t>Pourcentage de dépenses faites pour "autre que xxx" par rapport au total des dépenses de l'année en Type III</t>
  </si>
  <si>
    <t>blabla</t>
  </si>
  <si>
    <t>Stock test 01</t>
  </si>
  <si>
    <t>Stock test 02</t>
  </si>
  <si>
    <t>Stock test 03</t>
  </si>
  <si>
    <t>Stock test 04</t>
  </si>
  <si>
    <t>Stock test 05</t>
  </si>
  <si>
    <t>Stock test 06</t>
  </si>
  <si>
    <t>Stock test 07</t>
  </si>
  <si>
    <t>Stock test 08</t>
  </si>
  <si>
    <t>Stock test 09</t>
  </si>
  <si>
    <t>Stock test 10</t>
  </si>
  <si>
    <t>Stock test 11</t>
  </si>
  <si>
    <t>Stock test 12</t>
  </si>
  <si>
    <t>Stock test 13</t>
  </si>
  <si>
    <t>Stock test 14</t>
  </si>
  <si>
    <t>Stock test 15</t>
  </si>
  <si>
    <t>Stock test 16</t>
  </si>
  <si>
    <t>Stock test 17</t>
  </si>
  <si>
    <t>Stock test 18</t>
  </si>
  <si>
    <t>Stock test 19</t>
  </si>
  <si>
    <t>Stock test 20</t>
  </si>
  <si>
    <t>Stock test 21</t>
  </si>
  <si>
    <t>Stock test 22</t>
  </si>
  <si>
    <t>Stock test 23</t>
  </si>
  <si>
    <t>Stock test 24</t>
  </si>
  <si>
    <t>Stock test 25</t>
  </si>
  <si>
    <t>Stock test 26</t>
  </si>
  <si>
    <t>Stock test 27</t>
  </si>
  <si>
    <t>Stock test 28</t>
  </si>
  <si>
    <t>Stock test 29</t>
  </si>
  <si>
    <t>facture test 01</t>
  </si>
  <si>
    <t>facture test 02</t>
  </si>
  <si>
    <t>facture test 03</t>
  </si>
  <si>
    <t>facture test 04</t>
  </si>
  <si>
    <t>facture test 05</t>
  </si>
  <si>
    <t>facture test 06</t>
  </si>
  <si>
    <t>facture test 07</t>
  </si>
  <si>
    <t>facture test 08</t>
  </si>
  <si>
    <t>facture test 09</t>
  </si>
  <si>
    <t>facture test 10</t>
  </si>
  <si>
    <t>facture test 11</t>
  </si>
  <si>
    <t>facture test 12</t>
  </si>
  <si>
    <t>facture test 13</t>
  </si>
  <si>
    <t>facture test 14</t>
  </si>
  <si>
    <t>facture test 15</t>
  </si>
  <si>
    <t>facture test 16</t>
  </si>
  <si>
    <t>facture test 17</t>
  </si>
  <si>
    <t>facture test 18</t>
  </si>
  <si>
    <t>facture test 19</t>
  </si>
  <si>
    <t>facture test 20</t>
  </si>
  <si>
    <t>facture test 21</t>
  </si>
  <si>
    <t>facture test 22</t>
  </si>
  <si>
    <t>facture test 23</t>
  </si>
  <si>
    <t>facture test 24</t>
  </si>
  <si>
    <t>facture test 25</t>
  </si>
  <si>
    <t>facture test 26</t>
  </si>
  <si>
    <t>facture test 27</t>
  </si>
  <si>
    <t>facture test 28</t>
  </si>
  <si>
    <t>facture test 29</t>
  </si>
  <si>
    <t>pour xxx?</t>
  </si>
  <si>
    <t>Site objet mail</t>
  </si>
  <si>
    <t>XXX</t>
  </si>
  <si>
    <t>Mail rappel 1 à</t>
  </si>
  <si>
    <t>jours de l'échéance</t>
  </si>
  <si>
    <t>Mail rappel 2 à</t>
  </si>
  <si>
    <t>Mail rappel 3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</si>
</sst>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0.0\ %"/>
    <numFmt numFmtId="165" formatCode="&quot;€&quot;#,##0.00"/>
    <numFmt numFmtId="166" formatCode="ddd\ dd/mm/yy"/>
    <numFmt numFmtId="167" formatCode="ddd\ dd/mm/yy;;;[Color3]General"/>
    <numFmt numFmtId="168" formatCode="#,##0.00\ &quot;€&quot;;;;[Red]General"/>
    <numFmt numFmtId="169" formatCode="[Red]#,##0.00\ &quot;€&quot;;;[Color10]0\ &quot;€&quot;;"/>
    <numFmt numFmtId="170" formatCode="#,##0.00\ &quot;€&quot;;;0\ &quot;€&quot;"/>
    <numFmt numFmtId="171" formatCode="######\ \ #####"/>
    <numFmt numFmtId="172" formatCode="\+\ #,###\ &quot;€&quot;;\-\ #,###\ &quot;€&quot;;0"/>
    <numFmt numFmtId="173" formatCode="#,##0.00&quot; €&quot;"/>
    <numFmt numFmtId="174" formatCode="#,##0&quot; €&quot;"/>
    <numFmt numFmtId="175" formatCode="dd/mm/yy;@"/>
    <numFmt numFmtId="176" formatCode="####\ \ ###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0"/>
      <name val="Century Gothic"/>
      <family val="2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0" fillId="0" borderId="2" xfId="0" applyBorder="1" applyAlignment="1">
      <alignment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4" fontId="3" fillId="7" borderId="4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4" borderId="2" xfId="0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64" fontId="2" fillId="7" borderId="3" xfId="0" applyNumberFormat="1" applyFont="1" applyFill="1" applyBorder="1" applyAlignment="1">
      <alignment horizontal="center" vertical="center"/>
    </xf>
    <xf numFmtId="0" fontId="9" fillId="0" borderId="0" xfId="1" applyBorder="1"/>
    <xf numFmtId="165" fontId="0" fillId="0" borderId="2" xfId="0" applyNumberForma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6" fontId="0" fillId="4" borderId="2" xfId="0" applyNumberFormat="1" applyFill="1" applyBorder="1" applyAlignment="1">
      <alignment horizontal="right" vertical="center" wrapText="1"/>
    </xf>
    <xf numFmtId="166" fontId="0" fillId="4" borderId="0" xfId="0" applyNumberFormat="1" applyFill="1" applyAlignment="1">
      <alignment horizontal="right" vertical="center" wrapText="1"/>
    </xf>
    <xf numFmtId="167" fontId="0" fillId="3" borderId="2" xfId="0" applyNumberFormat="1" applyFill="1" applyBorder="1" applyAlignment="1">
      <alignment horizontal="right" vertical="center" wrapText="1"/>
    </xf>
    <xf numFmtId="167" fontId="0" fillId="3" borderId="0" xfId="0" applyNumberFormat="1" applyFill="1" applyAlignment="1">
      <alignment horizontal="right" vertical="center" wrapText="1"/>
    </xf>
    <xf numFmtId="168" fontId="0" fillId="2" borderId="2" xfId="0" applyNumberFormat="1" applyFill="1" applyBorder="1" applyAlignment="1">
      <alignment vertical="center" wrapText="1"/>
    </xf>
    <xf numFmtId="168" fontId="0" fillId="2" borderId="0" xfId="0" applyNumberFormat="1" applyFill="1" applyAlignment="1">
      <alignment vertical="center" wrapText="1"/>
    </xf>
    <xf numFmtId="168" fontId="0" fillId="3" borderId="2" xfId="0" applyNumberFormat="1" applyFill="1" applyBorder="1" applyAlignment="1">
      <alignment vertical="center" wrapText="1"/>
    </xf>
    <xf numFmtId="168" fontId="0" fillId="3" borderId="0" xfId="0" applyNumberFormat="1" applyFill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vertical="center"/>
    </xf>
    <xf numFmtId="170" fontId="2" fillId="2" borderId="3" xfId="0" applyNumberFormat="1" applyFont="1" applyFill="1" applyBorder="1" applyAlignment="1">
      <alignment horizontal="center" vertical="center"/>
    </xf>
    <xf numFmtId="170" fontId="2" fillId="7" borderId="3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171" fontId="0" fillId="4" borderId="2" xfId="0" applyNumberFormat="1" applyFill="1" applyBorder="1" applyAlignment="1">
      <alignment horizontal="center" vertical="center" wrapText="1"/>
    </xf>
    <xf numFmtId="171" fontId="0" fillId="4" borderId="0" xfId="0" applyNumberFormat="1" applyFill="1" applyAlignment="1">
      <alignment horizontal="center" vertical="center" wrapText="1"/>
    </xf>
    <xf numFmtId="171" fontId="0" fillId="7" borderId="2" xfId="0" applyNumberFormat="1" applyFill="1" applyBorder="1" applyAlignment="1">
      <alignment vertical="center" wrapText="1"/>
    </xf>
    <xf numFmtId="171" fontId="0" fillId="7" borderId="2" xfId="0" applyNumberFormat="1" applyFill="1" applyBorder="1" applyAlignment="1">
      <alignment horizontal="right" vertical="center" wrapText="1"/>
    </xf>
    <xf numFmtId="171" fontId="0" fillId="7" borderId="0" xfId="0" applyNumberFormat="1" applyFill="1" applyAlignment="1">
      <alignment vertical="center" wrapText="1"/>
    </xf>
    <xf numFmtId="171" fontId="0" fillId="3" borderId="2" xfId="0" applyNumberFormat="1" applyFill="1" applyBorder="1" applyAlignment="1">
      <alignment horizontal="right" vertical="center" wrapText="1"/>
    </xf>
    <xf numFmtId="171" fontId="0" fillId="3" borderId="0" xfId="0" applyNumberFormat="1" applyFill="1" applyAlignment="1">
      <alignment vertical="center" wrapText="1"/>
    </xf>
    <xf numFmtId="0" fontId="0" fillId="0" borderId="0" xfId="0" applyBorder="1" applyAlignment="1">
      <alignment vertical="center" wrapText="1"/>
    </xf>
    <xf numFmtId="166" fontId="0" fillId="0" borderId="0" xfId="0" applyNumberFormat="1" applyFill="1" applyBorder="1" applyAlignment="1">
      <alignment horizontal="right" vertical="center" wrapText="1"/>
    </xf>
    <xf numFmtId="171" fontId="0" fillId="0" borderId="0" xfId="0" applyNumberFormat="1" applyFill="1" applyBorder="1" applyAlignment="1">
      <alignment vertical="center" wrapText="1"/>
    </xf>
    <xf numFmtId="168" fontId="0" fillId="0" borderId="0" xfId="0" applyNumberFormat="1" applyFill="1" applyBorder="1" applyAlignment="1">
      <alignment horizontal="right" vertical="center" wrapText="1"/>
    </xf>
    <xf numFmtId="166" fontId="0" fillId="0" borderId="2" xfId="0" applyNumberFormat="1" applyFill="1" applyBorder="1" applyAlignment="1">
      <alignment horizontal="right" vertical="center" wrapText="1"/>
    </xf>
    <xf numFmtId="171" fontId="0" fillId="0" borderId="2" xfId="0" applyNumberFormat="1" applyFill="1" applyBorder="1" applyAlignment="1">
      <alignment vertical="center" wrapText="1"/>
    </xf>
    <xf numFmtId="168" fontId="0" fillId="0" borderId="2" xfId="0" applyNumberFormat="1" applyFill="1" applyBorder="1" applyAlignment="1">
      <alignment horizontal="right"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172" fontId="16" fillId="0" borderId="0" xfId="0" applyNumberFormat="1" applyFont="1" applyFill="1" applyAlignment="1">
      <alignment vertical="center"/>
    </xf>
    <xf numFmtId="169" fontId="5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70" fontId="17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top" wrapText="1"/>
    </xf>
    <xf numFmtId="0" fontId="14" fillId="5" borderId="6" xfId="0" applyNumberFormat="1" applyFont="1" applyFill="1" applyBorder="1" applyAlignment="1">
      <alignment horizontal="center" vertical="top" wrapText="1"/>
    </xf>
    <xf numFmtId="0" fontId="1" fillId="5" borderId="6" xfId="0" applyNumberFormat="1" applyFont="1" applyFill="1" applyBorder="1" applyAlignment="1">
      <alignment horizontal="center" vertical="top" wrapText="1"/>
    </xf>
    <xf numFmtId="171" fontId="1" fillId="5" borderId="6" xfId="0" applyNumberFormat="1" applyFont="1" applyFill="1" applyBorder="1" applyAlignment="1">
      <alignment horizontal="center" vertical="top" wrapText="1"/>
    </xf>
    <xf numFmtId="171" fontId="1" fillId="9" borderId="6" xfId="0" applyNumberFormat="1" applyFont="1" applyFill="1" applyBorder="1" applyAlignment="1">
      <alignment horizontal="center" vertical="top" wrapText="1"/>
    </xf>
    <xf numFmtId="0" fontId="1" fillId="9" borderId="6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right"/>
    </xf>
    <xf numFmtId="166" fontId="18" fillId="4" borderId="2" xfId="0" applyNumberFormat="1" applyFont="1" applyFill="1" applyBorder="1" applyAlignment="1">
      <alignment horizontal="right" vertical="center" wrapText="1"/>
    </xf>
    <xf numFmtId="171" fontId="18" fillId="4" borderId="2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9" borderId="2" xfId="0" applyNumberFormat="1" applyFont="1" applyFill="1" applyBorder="1" applyAlignment="1">
      <alignment horizontal="center" vertical="top" wrapText="1"/>
    </xf>
    <xf numFmtId="0" fontId="0" fillId="3" borderId="0" xfId="0" applyFill="1"/>
    <xf numFmtId="171" fontId="0" fillId="0" borderId="2" xfId="0" applyNumberFormat="1" applyFill="1" applyBorder="1" applyAlignment="1">
      <alignment horizontal="right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73" fontId="0" fillId="0" borderId="2" xfId="0" applyNumberFormat="1" applyBorder="1" applyAlignment="1">
      <alignment vertical="center"/>
    </xf>
    <xf numFmtId="173" fontId="1" fillId="0" borderId="12" xfId="0" applyNumberFormat="1" applyFont="1" applyBorder="1" applyAlignment="1">
      <alignment vertical="center"/>
    </xf>
    <xf numFmtId="173" fontId="0" fillId="0" borderId="14" xfId="0" applyNumberFormat="1" applyBorder="1" applyAlignment="1">
      <alignment vertical="center"/>
    </xf>
    <xf numFmtId="171" fontId="0" fillId="0" borderId="2" xfId="0" applyNumberFormat="1" applyFont="1" applyBorder="1" applyAlignment="1">
      <alignment horizontal="center" vertical="center"/>
    </xf>
    <xf numFmtId="171" fontId="0" fillId="0" borderId="14" xfId="0" applyNumberFormat="1" applyFont="1" applyBorder="1" applyAlignment="1">
      <alignment horizontal="center" vertical="center"/>
    </xf>
    <xf numFmtId="171" fontId="1" fillId="0" borderId="24" xfId="0" applyNumberFormat="1" applyFont="1" applyFill="1" applyBorder="1" applyAlignment="1">
      <alignment horizontal="center" vertical="center"/>
    </xf>
    <xf numFmtId="171" fontId="1" fillId="0" borderId="26" xfId="0" applyNumberFormat="1" applyFont="1" applyFill="1" applyBorder="1" applyAlignment="1">
      <alignment horizontal="center" vertical="center"/>
    </xf>
    <xf numFmtId="0" fontId="9" fillId="0" borderId="5" xfId="1" applyBorder="1" applyAlignment="1"/>
    <xf numFmtId="0" fontId="0" fillId="0" borderId="29" xfId="0" applyBorder="1"/>
    <xf numFmtId="0" fontId="18" fillId="0" borderId="0" xfId="0" applyFont="1"/>
    <xf numFmtId="171" fontId="0" fillId="9" borderId="0" xfId="0" applyNumberFormat="1" applyFill="1"/>
    <xf numFmtId="171" fontId="0" fillId="10" borderId="0" xfId="0" applyNumberFormat="1" applyFill="1"/>
    <xf numFmtId="173" fontId="20" fillId="0" borderId="2" xfId="0" applyNumberFormat="1" applyFont="1" applyFill="1" applyBorder="1" applyAlignment="1">
      <alignment horizontal="right" vertical="center" wrapText="1"/>
    </xf>
    <xf numFmtId="174" fontId="5" fillId="2" borderId="9" xfId="0" applyNumberFormat="1" applyFont="1" applyFill="1" applyBorder="1" applyAlignment="1">
      <alignment horizontal="center" vertical="center"/>
    </xf>
    <xf numFmtId="174" fontId="5" fillId="7" borderId="9" xfId="0" applyNumberFormat="1" applyFont="1" applyFill="1" applyBorder="1" applyAlignment="1">
      <alignment horizontal="center" vertical="center"/>
    </xf>
    <xf numFmtId="174" fontId="5" fillId="7" borderId="10" xfId="0" applyNumberFormat="1" applyFont="1" applyFill="1" applyBorder="1" applyAlignment="1">
      <alignment horizontal="center" vertical="center"/>
    </xf>
    <xf numFmtId="174" fontId="5" fillId="2" borderId="2" xfId="0" applyNumberFormat="1" applyFont="1" applyFill="1" applyBorder="1" applyAlignment="1">
      <alignment horizontal="center" vertical="center"/>
    </xf>
    <xf numFmtId="174" fontId="5" fillId="7" borderId="2" xfId="0" applyNumberFormat="1" applyFont="1" applyFill="1" applyBorder="1" applyAlignment="1">
      <alignment horizontal="center" vertical="center"/>
    </xf>
    <xf numFmtId="174" fontId="5" fillId="7" borderId="12" xfId="0" applyNumberFormat="1" applyFont="1" applyFill="1" applyBorder="1" applyAlignment="1">
      <alignment horizontal="center" vertical="center"/>
    </xf>
    <xf numFmtId="174" fontId="5" fillId="2" borderId="14" xfId="0" applyNumberFormat="1" applyFont="1" applyFill="1" applyBorder="1" applyAlignment="1">
      <alignment horizontal="center" vertical="center"/>
    </xf>
    <xf numFmtId="174" fontId="5" fillId="7" borderId="14" xfId="0" applyNumberFormat="1" applyFont="1" applyFill="1" applyBorder="1" applyAlignment="1">
      <alignment horizontal="center" vertical="center"/>
    </xf>
    <xf numFmtId="174" fontId="5" fillId="7" borderId="15" xfId="0" applyNumberFormat="1" applyFont="1" applyFill="1" applyBorder="1" applyAlignment="1">
      <alignment horizontal="center" vertical="center"/>
    </xf>
    <xf numFmtId="174" fontId="17" fillId="2" borderId="9" xfId="0" applyNumberFormat="1" applyFont="1" applyFill="1" applyBorder="1" applyAlignment="1">
      <alignment horizontal="center" vertical="center"/>
    </xf>
    <xf numFmtId="174" fontId="17" fillId="7" borderId="9" xfId="0" applyNumberFormat="1" applyFont="1" applyFill="1" applyBorder="1" applyAlignment="1">
      <alignment horizontal="center" vertical="center"/>
    </xf>
    <xf numFmtId="174" fontId="17" fillId="7" borderId="10" xfId="0" applyNumberFormat="1" applyFont="1" applyFill="1" applyBorder="1" applyAlignment="1">
      <alignment horizontal="center" vertical="center"/>
    </xf>
    <xf numFmtId="174" fontId="17" fillId="2" borderId="14" xfId="0" applyNumberFormat="1" applyFont="1" applyFill="1" applyBorder="1" applyAlignment="1">
      <alignment horizontal="center" vertical="center"/>
    </xf>
    <xf numFmtId="174" fontId="17" fillId="7" borderId="14" xfId="0" applyNumberFormat="1" applyFont="1" applyFill="1" applyBorder="1" applyAlignment="1">
      <alignment horizontal="center" vertical="center"/>
    </xf>
    <xf numFmtId="174" fontId="17" fillId="7" borderId="15" xfId="0" applyNumberFormat="1" applyFont="1" applyFill="1" applyBorder="1" applyAlignment="1">
      <alignment horizontal="center" vertical="center"/>
    </xf>
    <xf numFmtId="173" fontId="0" fillId="0" borderId="2" xfId="0" applyNumberFormat="1" applyBorder="1" applyAlignment="1">
      <alignment horizontal="right" vertical="center"/>
    </xf>
    <xf numFmtId="0" fontId="0" fillId="0" borderId="30" xfId="0" applyBorder="1"/>
    <xf numFmtId="173" fontId="18" fillId="0" borderId="2" xfId="0" applyNumberFormat="1" applyFont="1" applyBorder="1" applyAlignment="1">
      <alignment vertical="center"/>
    </xf>
    <xf numFmtId="175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4" fontId="0" fillId="3" borderId="2" xfId="0" applyNumberForma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171" fontId="0" fillId="3" borderId="2" xfId="0" applyNumberFormat="1" applyFill="1" applyBorder="1" applyAlignment="1">
      <alignment horizontal="right" vertical="center"/>
    </xf>
    <xf numFmtId="176" fontId="0" fillId="4" borderId="2" xfId="0" applyNumberFormat="1" applyFill="1" applyBorder="1" applyAlignment="1">
      <alignment horizontal="center" vertical="center" wrapText="1"/>
    </xf>
    <xf numFmtId="176" fontId="18" fillId="4" borderId="2" xfId="0" applyNumberFormat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175" fontId="0" fillId="0" borderId="2" xfId="0" applyNumberFormat="1" applyFont="1" applyBorder="1" applyAlignment="1">
      <alignment horizontal="center" vertical="center"/>
    </xf>
    <xf numFmtId="175" fontId="0" fillId="0" borderId="14" xfId="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3" fontId="0" fillId="0" borderId="33" xfId="0" applyNumberFormat="1" applyBorder="1" applyAlignment="1">
      <alignment horizontal="center"/>
    </xf>
    <xf numFmtId="174" fontId="17" fillId="7" borderId="17" xfId="0" applyNumberFormat="1" applyFont="1" applyFill="1" applyBorder="1" applyAlignment="1">
      <alignment horizontal="center" vertical="center"/>
    </xf>
    <xf numFmtId="174" fontId="17" fillId="7" borderId="18" xfId="0" applyNumberFormat="1" applyFont="1" applyFill="1" applyBorder="1" applyAlignment="1">
      <alignment horizontal="center" vertical="center"/>
    </xf>
    <xf numFmtId="170" fontId="2" fillId="0" borderId="35" xfId="0" applyNumberFormat="1" applyFont="1" applyBorder="1" applyAlignment="1">
      <alignment horizontal="center" vertical="center"/>
    </xf>
    <xf numFmtId="170" fontId="2" fillId="0" borderId="3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6" fontId="0" fillId="0" borderId="2" xfId="0" applyNumberFormat="1" applyFont="1" applyFill="1" applyBorder="1" applyAlignment="1">
      <alignment horizontal="right" vertical="center" wrapText="1"/>
    </xf>
    <xf numFmtId="171" fontId="0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14" fillId="0" borderId="6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8" fillId="6" borderId="0" xfId="0" applyFont="1" applyFill="1" applyAlignment="1">
      <alignment horizontal="center"/>
    </xf>
    <xf numFmtId="0" fontId="8" fillId="6" borderId="29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 textRotation="30"/>
    </xf>
    <xf numFmtId="0" fontId="1" fillId="0" borderId="11" xfId="0" applyFont="1" applyBorder="1" applyAlignment="1">
      <alignment horizontal="center" vertical="center" textRotation="30"/>
    </xf>
    <xf numFmtId="0" fontId="1" fillId="0" borderId="13" xfId="0" applyFont="1" applyBorder="1" applyAlignment="1">
      <alignment horizontal="center" vertical="center" textRotation="30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20" xfId="1" applyBorder="1" applyAlignment="1">
      <alignment horizontal="center"/>
    </xf>
    <xf numFmtId="0" fontId="9" fillId="0" borderId="28" xfId="1" applyBorder="1" applyAlignment="1">
      <alignment horizontal="center"/>
    </xf>
    <xf numFmtId="0" fontId="9" fillId="0" borderId="21" xfId="1" applyBorder="1" applyAlignment="1">
      <alignment horizontal="center"/>
    </xf>
    <xf numFmtId="0" fontId="19" fillId="0" borderId="8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textRotation="90" wrapText="1"/>
    </xf>
    <xf numFmtId="168" fontId="0" fillId="3" borderId="6" xfId="0" applyNumberFormat="1" applyFill="1" applyBorder="1" applyAlignment="1">
      <alignment horizontal="center" vertical="center" wrapText="1"/>
    </xf>
    <xf numFmtId="168" fontId="0" fillId="3" borderId="32" xfId="0" applyNumberForma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 wrapText="1"/>
    </xf>
    <xf numFmtId="171" fontId="0" fillId="3" borderId="6" xfId="0" applyNumberFormat="1" applyFill="1" applyBorder="1" applyAlignment="1">
      <alignment horizontal="right" vertical="center"/>
    </xf>
    <xf numFmtId="171" fontId="0" fillId="3" borderId="32" xfId="0" applyNumberFormat="1" applyFill="1" applyBorder="1" applyAlignment="1">
      <alignment horizontal="right" vertical="center"/>
    </xf>
    <xf numFmtId="171" fontId="0" fillId="3" borderId="7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center" vertical="center" wrapText="1"/>
    </xf>
    <xf numFmtId="176" fontId="0" fillId="4" borderId="32" xfId="0" applyNumberFormat="1" applyFill="1" applyBorder="1" applyAlignment="1">
      <alignment horizontal="center" vertical="center" wrapText="1"/>
    </xf>
    <xf numFmtId="176" fontId="0" fillId="4" borderId="7" xfId="0" applyNumberFormat="1" applyFill="1" applyBorder="1" applyAlignment="1">
      <alignment horizontal="center" vertical="center" wrapText="1"/>
    </xf>
    <xf numFmtId="166" fontId="0" fillId="4" borderId="6" xfId="0" applyNumberFormat="1" applyFill="1" applyBorder="1" applyAlignment="1">
      <alignment horizontal="center" vertical="center" wrapText="1"/>
    </xf>
    <xf numFmtId="166" fontId="0" fillId="4" borderId="32" xfId="0" applyNumberFormat="1" applyFill="1" applyBorder="1" applyAlignment="1">
      <alignment horizontal="center" vertical="center" wrapText="1"/>
    </xf>
    <xf numFmtId="166" fontId="0" fillId="4" borderId="7" xfId="0" applyNumberFormat="1" applyFill="1" applyBorder="1" applyAlignment="1">
      <alignment horizontal="center" vertical="center" wrapText="1"/>
    </xf>
    <xf numFmtId="0" fontId="0" fillId="0" borderId="8" xfId="0" applyBorder="1"/>
    <xf numFmtId="0" fontId="0" fillId="0" borderId="31" xfId="0" applyBorder="1"/>
    <xf numFmtId="0" fontId="0" fillId="0" borderId="11" xfId="0" applyBorder="1"/>
    <xf numFmtId="0" fontId="0" fillId="0" borderId="13" xfId="0" applyBorder="1"/>
    <xf numFmtId="0" fontId="0" fillId="0" borderId="16" xfId="0" applyBorder="1"/>
    <xf numFmtId="0" fontId="0" fillId="0" borderId="37" xfId="0" applyBorder="1"/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Hyperlink" xfId="1" builtinId="8"/>
    <cellStyle name="Normal" xfId="0" builtinId="0"/>
  </cellStyles>
  <dxfs count="13">
    <dxf>
      <font>
        <color auto="1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rgb="FFFFCCFF"/>
        </patternFill>
      </fill>
    </dxf>
    <dxf>
      <font>
        <strike/>
      </font>
    </dxf>
    <dxf>
      <font>
        <strike val="0"/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strike val="0"/>
        <color theme="2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CFF"/>
        </patternFill>
      </fill>
    </dxf>
    <dxf>
      <fill>
        <patternFill>
          <bgColor theme="5" tint="0.79998168889431442"/>
        </patternFill>
      </fill>
    </dxf>
    <dxf>
      <font>
        <b/>
        <i val="0"/>
        <strike val="0"/>
        <color rgb="FFFF0000"/>
      </font>
      <fill>
        <patternFill>
          <bgColor rgb="FFFFC000"/>
        </patternFill>
      </fill>
    </dxf>
    <dxf>
      <font>
        <b/>
        <i val="0"/>
        <color rgb="FF00B05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X31"/>
  <sheetViews>
    <sheetView topLeftCell="A4" zoomScaleNormal="100" workbookViewId="0">
      <selection activeCell="Q15" sqref="Q15"/>
    </sheetView>
  </sheetViews>
  <sheetFormatPr defaultRowHeight="15" x14ac:dyDescent="0.25"/>
  <cols>
    <col min="1" max="1" width="9.85546875" customWidth="1"/>
    <col min="2" max="2" width="38.5703125" customWidth="1"/>
    <col min="3" max="6" width="15.140625" customWidth="1"/>
    <col min="7" max="7" width="16.140625" customWidth="1"/>
    <col min="8" max="8" width="12.7109375" customWidth="1"/>
    <col min="9" max="9" width="10.28515625" customWidth="1"/>
    <col min="10" max="10" width="12.140625" bestFit="1" customWidth="1"/>
    <col min="11" max="15" width="11.28515625" customWidth="1"/>
    <col min="16" max="16" width="11.5703125" customWidth="1"/>
    <col min="18" max="18" width="13" customWidth="1"/>
  </cols>
  <sheetData>
    <row r="1" spans="1:24" s="5" customFormat="1" ht="31.5" x14ac:dyDescent="0.5">
      <c r="A1" s="142" t="s">
        <v>22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24" s="6" customFormat="1" ht="23.25" x14ac:dyDescent="0.35">
      <c r="A2" s="143" t="str">
        <f>"Résumé budget                               TYPE III "&amp;Data!$J$2&amp;"                    TYPE III "&amp;Data!$J$2&amp;"                    TYPE III "&amp;Data!$J$2&amp;""</f>
        <v>Résumé budget                               TYPE III blabla                    TYPE III blabla                    TYPE III blabla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/>
      <c r="T2"/>
      <c r="U2"/>
      <c r="V2"/>
      <c r="W2"/>
      <c r="X2"/>
    </row>
    <row r="3" spans="1:24" s="6" customFormat="1" ht="23.25" x14ac:dyDescent="0.35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ht="15.75" thickBot="1" x14ac:dyDescent="0.3"/>
    <row r="5" spans="1:24" s="7" customFormat="1" ht="21" customHeight="1" x14ac:dyDescent="0.3">
      <c r="A5" s="146" t="s">
        <v>24</v>
      </c>
      <c r="B5" s="146"/>
      <c r="C5" s="146"/>
      <c r="D5" s="146"/>
      <c r="E5" s="146"/>
      <c r="F5" s="146"/>
      <c r="G5" s="147"/>
      <c r="H5" s="156" t="s">
        <v>65</v>
      </c>
      <c r="I5" s="157"/>
      <c r="J5" s="157"/>
      <c r="K5" s="157"/>
      <c r="L5" s="157"/>
      <c r="M5" s="157"/>
      <c r="N5" s="157"/>
      <c r="O5" s="157"/>
      <c r="P5" s="158"/>
    </row>
    <row r="6" spans="1:24" ht="15.75" thickBot="1" x14ac:dyDescent="0.3">
      <c r="H6" s="86"/>
      <c r="I6" s="128"/>
      <c r="J6" s="83"/>
      <c r="K6" s="84" t="s">
        <v>70</v>
      </c>
      <c r="L6" s="84" t="s">
        <v>70</v>
      </c>
      <c r="M6" s="84" t="s">
        <v>70</v>
      </c>
      <c r="N6" s="84" t="s">
        <v>70</v>
      </c>
      <c r="O6" s="84" t="s">
        <v>72</v>
      </c>
      <c r="P6" s="87" t="s">
        <v>68</v>
      </c>
      <c r="R6" s="144" t="s">
        <v>78</v>
      </c>
    </row>
    <row r="7" spans="1:24" ht="41.25" x14ac:dyDescent="0.25">
      <c r="B7" s="8"/>
      <c r="C7" s="9" t="s">
        <v>3</v>
      </c>
      <c r="D7" s="11" t="s">
        <v>4</v>
      </c>
      <c r="E7" s="9" t="s">
        <v>5</v>
      </c>
      <c r="F7" s="11" t="s">
        <v>6</v>
      </c>
      <c r="G7" s="56"/>
      <c r="H7" s="88" t="s">
        <v>74</v>
      </c>
      <c r="I7" s="131" t="s">
        <v>91</v>
      </c>
      <c r="J7" s="82" t="s">
        <v>67</v>
      </c>
      <c r="K7" s="85" t="s">
        <v>79</v>
      </c>
      <c r="L7" s="85" t="s">
        <v>80</v>
      </c>
      <c r="M7" s="85" t="s">
        <v>71</v>
      </c>
      <c r="N7" s="85" t="s">
        <v>69</v>
      </c>
      <c r="O7" s="85" t="s">
        <v>73</v>
      </c>
      <c r="P7" s="89" t="s">
        <v>66</v>
      </c>
      <c r="R7" s="145"/>
    </row>
    <row r="8" spans="1:24" ht="18.75" x14ac:dyDescent="0.25">
      <c r="B8" s="8" t="s">
        <v>1</v>
      </c>
      <c r="C8" s="10">
        <v>43983</v>
      </c>
      <c r="D8" s="12">
        <v>44348</v>
      </c>
      <c r="E8" s="10">
        <v>44713</v>
      </c>
      <c r="F8" s="12">
        <v>45078</v>
      </c>
      <c r="G8" s="56"/>
      <c r="H8" s="95">
        <f t="array" ref="H8">IFERROR(INDEX(ED!$C$2:$C$98,MATCH(0,IF(ISBLANK(ED!$C$2:$C$98),1,COUNTIF($H$7:H7,ED!$C$2:$C$98)),0)),"")</f>
        <v>2100004039</v>
      </c>
      <c r="I8" s="129" t="str">
        <f>_xlfn.IFNA(VLOOKUP(H8,ED!$C$2:$F$98,4,FALSE),"")</f>
        <v/>
      </c>
      <c r="J8" s="93" t="str">
        <f>_xlfn.IFNA(VLOOKUP(H8,ED!$C$2:$E$98,3,FALSE),"")</f>
        <v>Individuel</v>
      </c>
      <c r="K8" s="90">
        <f>IF(H8="","",IF(R8="",IF(SUMIF(ED!$C$2:$C$98,'Résumé Budget'!H8,ED!$D$2:$D$98)=0,"",SUMIF(ED!$C$2:$C$98,'Résumé Budget'!H8,ED!$D$2:$D$98)),(IF(SUMIF(ED!$C$2:$C$98,'Résumé Budget'!H8,ED!$D$2:$D$98)=0,"",SUMIF(ED!$C$2:$C$98,'Résumé Budget'!H8,ED!$D$2:$D$98))-R8)))</f>
        <v>1000</v>
      </c>
      <c r="L8" s="118" t="str">
        <f>IF(H8="","",IF(R8="","idem",IF(SUMIF(ED!$C$2:$C$98,'Résumé Budget'!H8,ED!$D$2:$D$98)=0,"",SUMIF(ED!$C$2:$C$98,'Résumé Budget'!H8,ED!$D$2:$D$98))))</f>
        <v>idem</v>
      </c>
      <c r="M8" s="90">
        <f>IF($K8="","",SUMIF('Suivi historique'!$M$2:$M$99,'Résumé Budget'!$H8,'Suivi historique'!$G$2:$G$99))</f>
        <v>1000</v>
      </c>
      <c r="N8" s="90">
        <f>IF($K8="","",SUMIF('Suivi historique'!$M$2:$M$99,'Résumé Budget'!$H8,'Suivi historique'!$P$2:$P$99))</f>
        <v>1000</v>
      </c>
      <c r="O8" s="90">
        <f t="shared" ref="O8:O29" si="0">IF(K8="","",M8-N8)</f>
        <v>0</v>
      </c>
      <c r="P8" s="91">
        <f>IF(K8="","",IF(R8="",K8-M8,L8-M8))</f>
        <v>0</v>
      </c>
      <c r="Q8" s="99" t="str">
        <f>IF(O8&lt;0,"!! Cumul Facturé &gt; Cumul BC !!","")</f>
        <v/>
      </c>
      <c r="R8" s="120" t="str">
        <f>IF(SUMIFS(ED!$D$2:$D$98,ED!C$2:C$98,'Résumé Budget'!H8,ED!D$2:D$98,"&lt;0")=0,"",SUMIFS(ED!$D$2:$D$98,ED!C$2:C$98,'Résumé Budget'!H8,ED!D$2:D$98,"&lt;0"))</f>
        <v/>
      </c>
    </row>
    <row r="9" spans="1:24" ht="18.75" x14ac:dyDescent="0.25">
      <c r="B9" s="8" t="s">
        <v>2</v>
      </c>
      <c r="C9" s="10">
        <v>44347</v>
      </c>
      <c r="D9" s="12">
        <v>44712</v>
      </c>
      <c r="E9" s="10">
        <v>45077</v>
      </c>
      <c r="F9" s="12">
        <v>45443</v>
      </c>
      <c r="G9" s="56"/>
      <c r="H9" s="95">
        <f t="array" ref="H9">IFERROR(INDEX(ED!$C$2:$C$98,MATCH(0,IF(ISBLANK(ED!$C$2:$C$98),1,COUNTIF($H$7:H8,ED!$C$2:$C$98)),0)),"")</f>
        <v>2200001845</v>
      </c>
      <c r="I9" s="129">
        <f>_xlfn.IFNA(VLOOKUP(H9,ED!$C$2:$F$98,4,FALSE),"")</f>
        <v>44561</v>
      </c>
      <c r="J9" s="93" t="str">
        <f>_xlfn.IFNA(VLOOKUP(H9,ED!$C$2:$E$98,3,FALSE),"")</f>
        <v>Provisionnel</v>
      </c>
      <c r="K9" s="90">
        <f>IF(H9="","",IF(R9="",IF(SUMIF(ED!$C$2:$C$98,'Résumé Budget'!H9,ED!$D$2:$D$98)=0,"",SUMIF(ED!$C$2:$C$98,'Résumé Budget'!H9,ED!$D$2:$D$98)),(IF(SUMIF(ED!$C$2:$C$98,'Résumé Budget'!H9,ED!$D$2:$D$98)=0,"",SUMIF(ED!$C$2:$C$98,'Résumé Budget'!H9,ED!$D$2:$D$98))-R9)))</f>
        <v>4000</v>
      </c>
      <c r="L9" s="118">
        <f>IF(H9="","",IF(R9="","idem",IF(SUMIF(ED!$C$2:$C$98,'Résumé Budget'!H9,ED!$D$2:$D$98)=0,"",SUMIF(ED!$C$2:$C$98,'Résumé Budget'!H9,ED!$D$2:$D$98))))</f>
        <v>3000</v>
      </c>
      <c r="M9" s="90">
        <f>IF($K9="","",SUMIF('Suivi historique'!$M$2:$M$99,'Résumé Budget'!$H9,'Suivi historique'!$G$2:$G$99))</f>
        <v>21000</v>
      </c>
      <c r="N9" s="90">
        <f>IF($K9="","",SUMIF('Suivi historique'!$M$2:$M$99,'Résumé Budget'!$H9,'Suivi historique'!$P$2:$P$99))</f>
        <v>5000</v>
      </c>
      <c r="O9" s="90">
        <f t="shared" si="0"/>
        <v>16000</v>
      </c>
      <c r="P9" s="91">
        <f t="shared" ref="P9:P29" si="1">IF(K9="","",IF(R9="",K9-M9,L9-M9))</f>
        <v>-18000</v>
      </c>
      <c r="Q9" s="99" t="str">
        <f t="shared" ref="Q9:Q29" si="2">IF(O9&lt;0,"!! Cumul Facturé &gt; Cumul BC !!","")</f>
        <v/>
      </c>
      <c r="R9" s="120">
        <f>IF(SUMIFS(ED!$D$2:$D$98,ED!C$2:C$98,'Résumé Budget'!H9,ED!D$2:D$98,"&lt;0")=0,"",SUMIFS(ED!$D$2:$D$98,ED!C$2:C$98,'Résumé Budget'!H9,ED!D$2:D$98,"&lt;0"))</f>
        <v>-1000</v>
      </c>
    </row>
    <row r="10" spans="1:24" ht="19.5" thickBot="1" x14ac:dyDescent="0.3">
      <c r="B10" s="8"/>
      <c r="C10" s="65"/>
      <c r="D10" s="65"/>
      <c r="E10" s="65"/>
      <c r="F10" s="65"/>
      <c r="G10" s="56"/>
      <c r="H10" s="95">
        <f t="array" ref="H10">IFERROR(INDEX(ED!$C$2:$C$98,MATCH(0,IF(ISBLANK(ED!$C$2:$C$98),1,COUNTIF($H$7:H9,ED!$C$2:$C$98)),0)),"")</f>
        <v>2100006056</v>
      </c>
      <c r="I10" s="129" t="str">
        <f>_xlfn.IFNA(VLOOKUP(H10,ED!$C$2:$F$98,4,FALSE),"")</f>
        <v/>
      </c>
      <c r="J10" s="93" t="str">
        <f>_xlfn.IFNA(VLOOKUP(H10,ED!$C$2:$E$98,3,FALSE),"")</f>
        <v>Individuel</v>
      </c>
      <c r="K10" s="90">
        <f>IF(H10="","",IF(R10="",IF(SUMIF(ED!$C$2:$C$98,'Résumé Budget'!H10,ED!$D$2:$D$98)=0,"",SUMIF(ED!$C$2:$C$98,'Résumé Budget'!H10,ED!$D$2:$D$98)),(IF(SUMIF(ED!$C$2:$C$98,'Résumé Budget'!H10,ED!$D$2:$D$98)=0,"",SUMIF(ED!$C$2:$C$98,'Résumé Budget'!H10,ED!$D$2:$D$98))-R10)))</f>
        <v>1000</v>
      </c>
      <c r="L10" s="118" t="str">
        <f>IF(H10="","",IF(R10="","idem",IF(SUMIF(ED!$C$2:$C$98,'Résumé Budget'!H10,ED!$D$2:$D$98)=0,"",SUMIF(ED!$C$2:$C$98,'Résumé Budget'!H10,ED!$D$2:$D$98))))</f>
        <v>idem</v>
      </c>
      <c r="M10" s="90">
        <f>IF($K10="","",SUMIF('Suivi historique'!$M$2:$M$99,'Résumé Budget'!$H10,'Suivi historique'!$G$2:$G$99))</f>
        <v>1000</v>
      </c>
      <c r="N10" s="90">
        <f>IF($K10="","",SUMIF('Suivi historique'!$M$2:$M$99,'Résumé Budget'!$H10,'Suivi historique'!$P$2:$P$99))</f>
        <v>1000</v>
      </c>
      <c r="O10" s="90">
        <f t="shared" si="0"/>
        <v>0</v>
      </c>
      <c r="P10" s="91">
        <f t="shared" si="1"/>
        <v>0</v>
      </c>
      <c r="Q10" s="99" t="str">
        <f t="shared" si="2"/>
        <v/>
      </c>
      <c r="R10" s="120" t="str">
        <f>IF(SUMIFS(ED!$D$2:$D$98,ED!C$2:C$98,'Résumé Budget'!H10,ED!D$2:D$98,"&lt;0")=0,"",SUMIFS(ED!$D$2:$D$98,ED!C$2:C$98,'Résumé Budget'!H10,ED!D$2:D$98,"&lt;0"))</f>
        <v/>
      </c>
    </row>
    <row r="11" spans="1:24" ht="21" x14ac:dyDescent="0.25">
      <c r="A11" s="148" t="s">
        <v>26</v>
      </c>
      <c r="B11" s="62" t="s">
        <v>33</v>
      </c>
      <c r="C11" s="103">
        <f>SUMIFS('Suivi historique'!$G:$G,'Suivi historique'!$H:$H,"&gt;="&amp;'Résumé Budget'!C$8,'Suivi historique'!$H:$H,"&lt;="&amp;'Résumé Budget'!C$9,'Suivi historique'!$N:$N,"="&amp;"Provisionnel")</f>
        <v>0</v>
      </c>
      <c r="D11" s="104">
        <f>SUMIFS('Suivi historique'!$G:$G,'Suivi historique'!$H:$H,"&gt;="&amp;'Résumé Budget'!D$8,'Suivi historique'!$H:$H,"&lt;="&amp;'Résumé Budget'!D$9,'Suivi historique'!$N:$N,"="&amp;"Provisionnel")</f>
        <v>23000</v>
      </c>
      <c r="E11" s="103">
        <f>SUMIFS('Suivi historique'!$G:$G,'Suivi historique'!$H:$H,"&gt;="&amp;'Résumé Budget'!E$8,'Suivi historique'!$H:$H,"&lt;="&amp;'Résumé Budget'!E$9,'Suivi historique'!$N:$N,"="&amp;"Provisionnel")</f>
        <v>2000</v>
      </c>
      <c r="F11" s="105">
        <f>SUMIFS('Suivi historique'!$G:$G,'Suivi historique'!$H:$H,"&gt;="&amp;'Résumé Budget'!F$8,'Suivi historique'!$H:$H,"&lt;="&amp;'Résumé Budget'!F$9,'Suivi historique'!$N:$N,"="&amp;"Provisionnel")</f>
        <v>0</v>
      </c>
      <c r="G11" s="56"/>
      <c r="H11" s="95">
        <f t="array" ref="H11">IFERROR(INDEX(ED!$C$2:$C$98,MATCH(0,IF(ISBLANK(ED!$C$2:$C$98),1,COUNTIF($H$7:H10,ED!$C$2:$C$98)),0)),"")</f>
        <v>2200002642</v>
      </c>
      <c r="I11" s="129">
        <f>_xlfn.IFNA(VLOOKUP(H11,ED!$C$2:$F$98,4,FALSE),"")</f>
        <v>45291</v>
      </c>
      <c r="J11" s="93" t="str">
        <f>_xlfn.IFNA(VLOOKUP(H11,ED!$C$2:$E$98,3,FALSE),"")</f>
        <v>Provisionnel</v>
      </c>
      <c r="K11" s="90">
        <f>IF(H11="","",IF(R11="",IF(SUMIF(ED!$C$2:$C$98,'Résumé Budget'!H11,ED!$D$2:$D$98)=0,"",SUMIF(ED!$C$2:$C$98,'Résumé Budget'!H11,ED!$D$2:$D$98)),(IF(SUMIF(ED!$C$2:$C$98,'Résumé Budget'!H11,ED!$D$2:$D$98)=0,"",SUMIF(ED!$C$2:$C$98,'Résumé Budget'!H11,ED!$D$2:$D$98))-R11)))</f>
        <v>2000</v>
      </c>
      <c r="L11" s="118" t="str">
        <f>IF(H11="","",IF(R11="","idem",IF(SUMIF(ED!$C$2:$C$98,'Résumé Budget'!H11,ED!$D$2:$D$98)=0,"",SUMIF(ED!$C$2:$C$98,'Résumé Budget'!H11,ED!$D$2:$D$98))))</f>
        <v>idem</v>
      </c>
      <c r="M11" s="90">
        <f>IF($K11="","",SUMIF('Suivi historique'!$M$2:$M$99,'Résumé Budget'!$H11,'Suivi historique'!$G$2:$G$99))</f>
        <v>4000</v>
      </c>
      <c r="N11" s="90">
        <f>IF($K11="","",SUMIF('Suivi historique'!$M$2:$M$99,'Résumé Budget'!$H11,'Suivi historique'!$P$2:$P$99))</f>
        <v>3000</v>
      </c>
      <c r="O11" s="90">
        <f t="shared" si="0"/>
        <v>1000</v>
      </c>
      <c r="P11" s="91">
        <f t="shared" si="1"/>
        <v>-2000</v>
      </c>
      <c r="Q11" s="99" t="str">
        <f t="shared" si="2"/>
        <v/>
      </c>
      <c r="R11" s="120" t="str">
        <f>IF(SUMIFS(ED!$D$2:$D$98,ED!C$2:C$98,'Résumé Budget'!H11,ED!D$2:D$98,"&lt;0")=0,"",SUMIFS(ED!$D$2:$D$98,ED!C$2:C$98,'Résumé Budget'!H11,ED!D$2:D$98,"&lt;0"))</f>
        <v/>
      </c>
    </row>
    <row r="12" spans="1:24" ht="21" x14ac:dyDescent="0.25">
      <c r="A12" s="149"/>
      <c r="B12" s="61" t="s">
        <v>34</v>
      </c>
      <c r="C12" s="106">
        <f>SUMIFS(ED!$D:$D,ED!$B:$B,"&gt;="&amp;'Résumé Budget'!C$8,ED!$B:$B,"&lt;="&amp;'Résumé Budget'!C$9,ED!$E:$E,"="&amp;"Provisionnel")</f>
        <v>2000</v>
      </c>
      <c r="D12" s="107">
        <f>SUMIFS(ED!$D:$D,ED!$B:$B,"&gt;="&amp;'Résumé Budget'!D$8,ED!$B:$B,"&lt;="&amp;'Résumé Budget'!D$9,ED!$E:$E,"="&amp;"Provisionnel")</f>
        <v>2000</v>
      </c>
      <c r="E12" s="106">
        <f>SUMIFS(ED!$D:$D,ED!$B:$B,"&gt;="&amp;'Résumé Budget'!E$8,ED!$B:$B,"&lt;="&amp;'Résumé Budget'!E$9,ED!$E:$E,"="&amp;"Provisionnel")</f>
        <v>2000</v>
      </c>
      <c r="F12" s="108">
        <f>SUMIFS(ED!$D:$D,ED!$B:$B,"&gt;="&amp;'Résumé Budget'!F$8,ED!$B:$B,"&lt;="&amp;'Résumé Budget'!F$9,ED!$E:$E,"="&amp;"Provisionnel")</f>
        <v>0</v>
      </c>
      <c r="G12" s="56"/>
      <c r="H12" s="95">
        <f t="array" ref="H12">IFERROR(INDEX(ED!$C$2:$C$98,MATCH(0,IF(ISBLANK(ED!$C$2:$C$98),1,COUNTIF($H$7:H11,ED!$C$2:$C$98)),0)),"")</f>
        <v>2100012869</v>
      </c>
      <c r="I12" s="129" t="str">
        <f>_xlfn.IFNA(VLOOKUP(H12,ED!$C$2:$F$98,4,FALSE),"")</f>
        <v/>
      </c>
      <c r="J12" s="93" t="str">
        <f>_xlfn.IFNA(VLOOKUP(H12,ED!$C$2:$E$98,3,FALSE),"")</f>
        <v>Individuel</v>
      </c>
      <c r="K12" s="90">
        <f>IF(H12="","",IF(R12="",IF(SUMIF(ED!$C$2:$C$98,'Résumé Budget'!H12,ED!$D$2:$D$98)=0,"",SUMIF(ED!$C$2:$C$98,'Résumé Budget'!H12,ED!$D$2:$D$98)),(IF(SUMIF(ED!$C$2:$C$98,'Résumé Budget'!H12,ED!$D$2:$D$98)=0,"",SUMIF(ED!$C$2:$C$98,'Résumé Budget'!H12,ED!$D$2:$D$98))-R12)))</f>
        <v>1000</v>
      </c>
      <c r="L12" s="118" t="str">
        <f>IF(H12="","",IF(R12="","idem",IF(SUMIF(ED!$C$2:$C$98,'Résumé Budget'!H12,ED!$D$2:$D$98)=0,"",SUMIF(ED!$C$2:$C$98,'Résumé Budget'!H12,ED!$D$2:$D$98))))</f>
        <v>idem</v>
      </c>
      <c r="M12" s="90">
        <f>IF($K12="","",SUMIF('Suivi historique'!$M$2:$M$99,'Résumé Budget'!$H12,'Suivi historique'!$G$2:$G$99))</f>
        <v>1000</v>
      </c>
      <c r="N12" s="90">
        <f>IF($K12="","",SUMIF('Suivi historique'!$M$2:$M$99,'Résumé Budget'!$H12,'Suivi historique'!$P$2:$P$99))</f>
        <v>1000</v>
      </c>
      <c r="O12" s="90">
        <f t="shared" si="0"/>
        <v>0</v>
      </c>
      <c r="P12" s="91">
        <f t="shared" si="1"/>
        <v>0</v>
      </c>
      <c r="Q12" s="99" t="str">
        <f t="shared" si="2"/>
        <v/>
      </c>
      <c r="R12" s="120" t="str">
        <f>IF(SUMIFS(ED!$D$2:$D$98,ED!C$2:C$98,'Résumé Budget'!H12,ED!D$2:D$98,"&lt;0")=0,"",SUMIFS(ED!$D$2:$D$98,ED!C$2:C$98,'Résumé Budget'!H12,ED!D$2:D$98,"&lt;0"))</f>
        <v/>
      </c>
    </row>
    <row r="13" spans="1:24" ht="21.75" thickBot="1" x14ac:dyDescent="0.3">
      <c r="A13" s="150"/>
      <c r="B13" s="63" t="str">
        <f>"Solde provisionnel est de "&amp;SUM(C13:F13)&amp;" €"</f>
        <v>Solde provisionnel est de -19000 €</v>
      </c>
      <c r="C13" s="109">
        <f>C12-C11</f>
        <v>2000</v>
      </c>
      <c r="D13" s="110">
        <f t="shared" ref="D13:F13" si="3">D12-D11</f>
        <v>-21000</v>
      </c>
      <c r="E13" s="109">
        <f t="shared" si="3"/>
        <v>0</v>
      </c>
      <c r="F13" s="111">
        <f t="shared" si="3"/>
        <v>0</v>
      </c>
      <c r="G13" s="57" t="str">
        <f>IF(SUM(C13:F13)&lt;=0,"ATTENTION ! prévoir provisionnel","")</f>
        <v>ATTENTION ! prévoir provisionnel</v>
      </c>
      <c r="H13" s="95">
        <f t="array" ref="H13">IFERROR(INDEX(ED!$C$2:$C$98,MATCH(0,IF(ISBLANK(ED!$C$2:$C$98),1,COUNTIF($H$7:H12,ED!$C$2:$C$98)),0)),"")</f>
        <v>2200004037</v>
      </c>
      <c r="I13" s="129">
        <f>_xlfn.IFNA(VLOOKUP(H13,ED!$C$2:$F$98,4,FALSE),"")</f>
        <v>45291</v>
      </c>
      <c r="J13" s="93" t="str">
        <f>_xlfn.IFNA(VLOOKUP(H13,ED!$C$2:$E$98,3,FALSE),"")</f>
        <v>Provisionnel</v>
      </c>
      <c r="K13" s="90">
        <f>IF(H13="","",IF(R13="",IF(SUMIF(ED!$C$2:$C$98,'Résumé Budget'!H13,ED!$D$2:$D$98)=0,"",SUMIF(ED!$C$2:$C$98,'Résumé Budget'!H13,ED!$D$2:$D$98)),(IF(SUMIF(ED!$C$2:$C$98,'Résumé Budget'!H13,ED!$D$2:$D$98)=0,"",SUMIF(ED!$C$2:$C$98,'Résumé Budget'!H13,ED!$D$2:$D$98))-R13)))</f>
        <v>1000</v>
      </c>
      <c r="L13" s="118" t="str">
        <f>IF(H13="","",IF(R13="","idem",IF(SUMIF(ED!$C$2:$C$98,'Résumé Budget'!H13,ED!$D$2:$D$98)=0,"",SUMIF(ED!$C$2:$C$98,'Résumé Budget'!H13,ED!$D$2:$D$98))))</f>
        <v>idem</v>
      </c>
      <c r="M13" s="90">
        <f>IF($K13="","",SUMIF('Suivi historique'!$M$2:$M$99,'Résumé Budget'!$H13,'Suivi historique'!$G$2:$G$99))</f>
        <v>0</v>
      </c>
      <c r="N13" s="90">
        <f>IF($K13="","",SUMIF('Suivi historique'!$M$2:$M$99,'Résumé Budget'!$H13,'Suivi historique'!$P$2:$P$99))</f>
        <v>0</v>
      </c>
      <c r="O13" s="90">
        <f t="shared" si="0"/>
        <v>0</v>
      </c>
      <c r="P13" s="91">
        <f t="shared" si="1"/>
        <v>1000</v>
      </c>
      <c r="Q13" s="99" t="str">
        <f t="shared" si="2"/>
        <v/>
      </c>
      <c r="R13" s="120" t="str">
        <f>IF(SUMIFS(ED!$D$2:$D$98,ED!C$2:C$98,'Résumé Budget'!H13,ED!D$2:D$98,"&lt;0")=0,"",SUMIFS(ED!$D$2:$D$98,ED!C$2:C$98,'Résumé Budget'!H13,ED!D$2:D$98,"&lt;0"))</f>
        <v/>
      </c>
    </row>
    <row r="14" spans="1:24" ht="21.75" thickBot="1" x14ac:dyDescent="0.3">
      <c r="A14" s="59"/>
      <c r="B14" s="35"/>
      <c r="C14" s="58"/>
      <c r="D14" s="58"/>
      <c r="E14" s="58"/>
      <c r="F14" s="58"/>
      <c r="G14" s="56"/>
      <c r="H14" s="95" t="str">
        <f t="array" ref="H14">IFERROR(INDEX(ED!$C$2:$C$98,MATCH(0,IF(ISBLANK(ED!$C$2:$C$98),1,COUNTIF($H$7:H13,ED!$C$2:$C$98)),0)),"")</f>
        <v/>
      </c>
      <c r="I14" s="129" t="str">
        <f>_xlfn.IFNA(VLOOKUP(H14,ED!$C$2:$F$98,4,FALSE),"")</f>
        <v/>
      </c>
      <c r="J14" s="93" t="str">
        <f>_xlfn.IFNA(VLOOKUP(H14,ED!$C$2:$E$98,3,FALSE),"")</f>
        <v/>
      </c>
      <c r="K14" s="90" t="str">
        <f>IF(H14="","",IF(R14="",IF(SUMIF(ED!$C$2:$C$98,'Résumé Budget'!H14,ED!$D$2:$D$98)=0,"",SUMIF(ED!$C$2:$C$98,'Résumé Budget'!H14,ED!$D$2:$D$98)),(IF(SUMIF(ED!$C$2:$C$98,'Résumé Budget'!H14,ED!$D$2:$D$98)=0,"",SUMIF(ED!$C$2:$C$98,'Résumé Budget'!H14,ED!$D$2:$D$98))-R14)))</f>
        <v/>
      </c>
      <c r="L14" s="118" t="str">
        <f>IF(H14="","",IF(R14="","idem",IF(SUMIF(ED!$C$2:$C$98,'Résumé Budget'!H14,ED!$D$2:$D$98)=0,"",SUMIF(ED!$C$2:$C$98,'Résumé Budget'!H14,ED!$D$2:$D$98))))</f>
        <v/>
      </c>
      <c r="M14" s="90" t="str">
        <f>IF($K14="","",SUMIF('Suivi historique'!$M$2:$M$99,'Résumé Budget'!$H14,'Suivi historique'!$G$2:$G$99))</f>
        <v/>
      </c>
      <c r="N14" s="90" t="str">
        <f>IF($K14="","",SUMIF('Suivi historique'!$M$2:$M$99,'Résumé Budget'!$H14,'Suivi historique'!$P$2:$P$99))</f>
        <v/>
      </c>
      <c r="O14" s="90" t="str">
        <f t="shared" si="0"/>
        <v/>
      </c>
      <c r="P14" s="91" t="str">
        <f t="shared" si="1"/>
        <v/>
      </c>
      <c r="Q14" s="99" t="str">
        <f t="shared" si="2"/>
        <v/>
      </c>
      <c r="R14" s="120" t="str">
        <f>IF(SUMIFS(ED!$D$2:$D$98,ED!C$2:C$98,'Résumé Budget'!H14,ED!D$2:D$98,"&lt;0")=0,"",SUMIFS(ED!$D$2:$D$98,ED!C$2:C$98,'Résumé Budget'!H14,ED!D$2:D$98,"&lt;0"))</f>
        <v/>
      </c>
    </row>
    <row r="15" spans="1:24" ht="21" x14ac:dyDescent="0.25">
      <c r="A15" s="148" t="s">
        <v>27</v>
      </c>
      <c r="B15" s="62" t="s">
        <v>35</v>
      </c>
      <c r="C15" s="112">
        <f>SUMIFS('Suivi historique'!$G:$G,'Suivi historique'!$H:$H,"&gt;="&amp;'Résumé Budget'!C$8,'Suivi historique'!$H:$H,"&lt;="&amp;'Résumé Budget'!C$9,'Suivi historique'!$N:$N,"="&amp;"Individuel")</f>
        <v>2000</v>
      </c>
      <c r="D15" s="113">
        <f>SUMIFS('Suivi historique'!$G:$G,'Suivi historique'!$H:$H,"&gt;="&amp;'Résumé Budget'!D$8,'Suivi historique'!$H:$H,"&lt;="&amp;'Résumé Budget'!D$9,'Suivi historique'!$N:$N,"="&amp;"Individuel")</f>
        <v>0</v>
      </c>
      <c r="E15" s="112">
        <f>SUMIFS('Suivi historique'!$G:$G,'Suivi historique'!$H:$H,"&gt;="&amp;'Résumé Budget'!E$8,'Suivi historique'!$H:$H,"&lt;="&amp;'Résumé Budget'!E$9,'Suivi historique'!$N:$N,"="&amp;"Individuel")</f>
        <v>1000</v>
      </c>
      <c r="F15" s="114">
        <f>SUMIFS('Suivi historique'!$G:$G,'Suivi historique'!$H:$H,"&gt;="&amp;'Résumé Budget'!F$8,'Suivi historique'!$H:$H,"&lt;="&amp;'Résumé Budget'!F$9,'Suivi historique'!$N:$N,"="&amp;"Individuel")</f>
        <v>0</v>
      </c>
      <c r="G15" s="56"/>
      <c r="H15" s="95" t="str">
        <f t="array" ref="H15">IFERROR(INDEX(ED!$C$2:$C$98,MATCH(0,IF(ISBLANK(ED!$C$2:$C$98),1,COUNTIF($H$7:H14,ED!$C$2:$C$98)),0)),"")</f>
        <v/>
      </c>
      <c r="I15" s="129" t="str">
        <f>_xlfn.IFNA(VLOOKUP(H15,ED!$C$2:$F$98,4,FALSE),"")</f>
        <v/>
      </c>
      <c r="J15" s="93" t="str">
        <f>_xlfn.IFNA(VLOOKUP(H15,ED!$C$2:$E$98,3,FALSE),"")</f>
        <v/>
      </c>
      <c r="K15" s="90" t="str">
        <f>IF(H15="","",IF(R15="",IF(SUMIF(ED!$C$2:$C$98,'Résumé Budget'!H15,ED!$D$2:$D$98)=0,"",SUMIF(ED!$C$2:$C$98,'Résumé Budget'!H15,ED!$D$2:$D$98)),(IF(SUMIF(ED!$C$2:$C$98,'Résumé Budget'!H15,ED!$D$2:$D$98)=0,"",SUMIF(ED!$C$2:$C$98,'Résumé Budget'!H15,ED!$D$2:$D$98))-R15)))</f>
        <v/>
      </c>
      <c r="L15" s="118" t="str">
        <f>IF(H15="","",IF(R15="","idem",IF(SUMIF(ED!$C$2:$C$98,'Résumé Budget'!H15,ED!$D$2:$D$98)=0,"",SUMIF(ED!$C$2:$C$98,'Résumé Budget'!H15,ED!$D$2:$D$98))))</f>
        <v/>
      </c>
      <c r="M15" s="90" t="str">
        <f>IF($K15="","",SUMIF('Suivi historique'!$M$2:$M$99,'Résumé Budget'!$H15,'Suivi historique'!$G$2:$G$99))</f>
        <v/>
      </c>
      <c r="N15" s="90" t="str">
        <f>IF($K15="","",SUMIF('Suivi historique'!$M$2:$M$99,'Résumé Budget'!$H15,'Suivi historique'!$P$2:$P$99))</f>
        <v/>
      </c>
      <c r="O15" s="90" t="str">
        <f t="shared" si="0"/>
        <v/>
      </c>
      <c r="P15" s="91" t="str">
        <f t="shared" si="1"/>
        <v/>
      </c>
      <c r="Q15" s="99" t="str">
        <f t="shared" si="2"/>
        <v/>
      </c>
      <c r="R15" s="120" t="str">
        <f>IF(SUMIFS(ED!$D$2:$D$98,ED!C$2:C$98,'Résumé Budget'!H15,ED!D$2:D$98,"&lt;0")=0,"",SUMIFS(ED!$D$2:$D$98,ED!C$2:C$98,'Résumé Budget'!H15,ED!D$2:D$98,"&lt;0"))</f>
        <v/>
      </c>
    </row>
    <row r="16" spans="1:24" ht="21.75" thickBot="1" x14ac:dyDescent="0.3">
      <c r="A16" s="150"/>
      <c r="B16" s="64" t="s">
        <v>36</v>
      </c>
      <c r="C16" s="115">
        <f>SUMIFS(ED!$D:$D,ED!$B:$B,"&gt;="&amp;'Résumé Budget'!C$8,ED!$B:$B,"&lt;="&amp;'Résumé Budget'!C$9,ED!$E:$E,"="&amp;"Individuel")</f>
        <v>2000</v>
      </c>
      <c r="D16" s="116">
        <f>SUMIFS(ED!$D:$D,ED!$B:$B,"&gt;="&amp;'Résumé Budget'!D$8,ED!$B:$B,"&lt;="&amp;'Résumé Budget'!D$9,ED!$E:$E,"="&amp;"Individuel")</f>
        <v>0</v>
      </c>
      <c r="E16" s="115">
        <f>SUMIFS(ED!$D:$D,ED!$B:$B,"&gt;="&amp;'Résumé Budget'!E$8,ED!$B:$B,"&lt;="&amp;'Résumé Budget'!E$9,ED!$E:$E,"="&amp;"Individuel")</f>
        <v>1000</v>
      </c>
      <c r="F16" s="117">
        <f>SUMIFS(ED!$D:$D,ED!$B:$B,"&gt;="&amp;'Résumé Budget'!F$8,ED!$B:$B,"&lt;="&amp;'Résumé Budget'!F$9,ED!$E:$E,"="&amp;"Individuel")</f>
        <v>0</v>
      </c>
      <c r="G16" s="56"/>
      <c r="H16" s="95" t="str">
        <f t="array" ref="H16">IFERROR(INDEX(ED!$C$2:$C$98,MATCH(0,IF(ISBLANK(ED!$C$2:$C$98),1,COUNTIF($H$7:H15,ED!$C$2:$C$98)),0)),"")</f>
        <v/>
      </c>
      <c r="I16" s="129" t="str">
        <f>_xlfn.IFNA(VLOOKUP(H16,ED!$C$2:$F$98,4,FALSE),"")</f>
        <v/>
      </c>
      <c r="J16" s="93" t="str">
        <f>_xlfn.IFNA(VLOOKUP(H16,ED!$C$2:$E$98,3,FALSE),"")</f>
        <v/>
      </c>
      <c r="K16" s="90" t="str">
        <f>IF(H16="","",IF(R16="",IF(SUMIF(ED!$C$2:$C$98,'Résumé Budget'!H16,ED!$D$2:$D$98)=0,"",SUMIF(ED!$C$2:$C$98,'Résumé Budget'!H16,ED!$D$2:$D$98)),(IF(SUMIF(ED!$C$2:$C$98,'Résumé Budget'!H16,ED!$D$2:$D$98)=0,"",SUMIF(ED!$C$2:$C$98,'Résumé Budget'!H16,ED!$D$2:$D$98))-R16)))</f>
        <v/>
      </c>
      <c r="L16" s="118" t="str">
        <f>IF(H16="","",IF(R16="","idem",IF(SUMIF(ED!$C$2:$C$98,'Résumé Budget'!H16,ED!$D$2:$D$98)=0,"",SUMIF(ED!$C$2:$C$98,'Résumé Budget'!H16,ED!$D$2:$D$98))))</f>
        <v/>
      </c>
      <c r="M16" s="90" t="str">
        <f>IF($K16="","",SUMIF('Suivi historique'!$M$2:$M$99,'Résumé Budget'!$H16,'Suivi historique'!$G$2:$G$99))</f>
        <v/>
      </c>
      <c r="N16" s="90" t="str">
        <f>IF($K16="","",SUMIF('Suivi historique'!$M$2:$M$99,'Résumé Budget'!$H16,'Suivi historique'!$P$2:$P$99))</f>
        <v/>
      </c>
      <c r="O16" s="90" t="str">
        <f t="shared" si="0"/>
        <v/>
      </c>
      <c r="P16" s="91" t="str">
        <f t="shared" si="1"/>
        <v/>
      </c>
      <c r="Q16" s="99" t="str">
        <f t="shared" si="2"/>
        <v/>
      </c>
      <c r="R16" s="120" t="str">
        <f>IF(SUMIFS(ED!$D$2:$D$98,ED!C$2:C$98,'Résumé Budget'!H16,ED!D$2:D$98,"&lt;0")=0,"",SUMIFS(ED!$D$2:$D$98,ED!C$2:C$98,'Résumé Budget'!H16,ED!D$2:D$98,"&lt;0"))</f>
        <v/>
      </c>
    </row>
    <row r="17" spans="1:24" ht="21.75" thickBot="1" x14ac:dyDescent="0.3">
      <c r="A17" s="59"/>
      <c r="B17" s="8"/>
      <c r="C17" s="60"/>
      <c r="D17" s="60"/>
      <c r="E17" s="60"/>
      <c r="F17" s="60"/>
      <c r="G17" s="138" t="s">
        <v>39</v>
      </c>
      <c r="H17" s="95" t="str">
        <f t="array" ref="H17">IFERROR(INDEX(ED!$C$2:$C$98,MATCH(0,IF(ISBLANK(ED!$C$2:$C$98),1,COUNTIF($H$7:H16,ED!$C$2:$C$98)),0)),"")</f>
        <v/>
      </c>
      <c r="I17" s="129" t="str">
        <f>_xlfn.IFNA(VLOOKUP(H17,ED!$C$2:$F$98,4,FALSE),"")</f>
        <v/>
      </c>
      <c r="J17" s="93" t="str">
        <f>_xlfn.IFNA(VLOOKUP(H17,ED!$C$2:$E$98,3,FALSE),"")</f>
        <v/>
      </c>
      <c r="K17" s="90" t="str">
        <f>IF(H17="","",IF(R17="",IF(SUMIF(ED!$C$2:$C$98,'Résumé Budget'!H17,ED!$D$2:$D$98)=0,"",SUMIF(ED!$C$2:$C$98,'Résumé Budget'!H17,ED!$D$2:$D$98)),(IF(SUMIF(ED!$C$2:$C$98,'Résumé Budget'!H17,ED!$D$2:$D$98)=0,"",SUMIF(ED!$C$2:$C$98,'Résumé Budget'!H17,ED!$D$2:$D$98))-R17)))</f>
        <v/>
      </c>
      <c r="L17" s="118" t="str">
        <f>IF(H17="","",IF(R17="","idem",IF(SUMIF(ED!$C$2:$C$98,'Résumé Budget'!H17,ED!$D$2:$D$98)=0,"",SUMIF(ED!$C$2:$C$98,'Résumé Budget'!H17,ED!$D$2:$D$98))))</f>
        <v/>
      </c>
      <c r="M17" s="90" t="str">
        <f>IF($K17="","",SUMIF('Suivi historique'!$M$2:$M$99,'Résumé Budget'!$H17,'Suivi historique'!$G$2:$G$99))</f>
        <v/>
      </c>
      <c r="N17" s="90" t="str">
        <f>IF($K17="","",SUMIF('Suivi historique'!$M$2:$M$99,'Résumé Budget'!$H17,'Suivi historique'!$P$2:$P$99))</f>
        <v/>
      </c>
      <c r="O17" s="90" t="str">
        <f t="shared" si="0"/>
        <v/>
      </c>
      <c r="P17" s="91" t="str">
        <f t="shared" si="1"/>
        <v/>
      </c>
      <c r="Q17" s="99" t="str">
        <f t="shared" si="2"/>
        <v/>
      </c>
      <c r="R17" s="120" t="str">
        <f>IF(SUMIFS(ED!$D$2:$D$98,ED!C$2:C$98,'Résumé Budget'!H17,ED!D$2:D$98,"&lt;0")=0,"",SUMIFS(ED!$D$2:$D$98,ED!C$2:C$98,'Résumé Budget'!H17,ED!D$2:D$98,"&lt;0"))</f>
        <v/>
      </c>
    </row>
    <row r="18" spans="1:24" ht="21" x14ac:dyDescent="0.25">
      <c r="A18" s="148" t="s">
        <v>40</v>
      </c>
      <c r="B18" s="62" t="s">
        <v>37</v>
      </c>
      <c r="C18" s="112">
        <f>C11+C15</f>
        <v>2000</v>
      </c>
      <c r="D18" s="113">
        <f t="shared" ref="D18:F18" si="4">D11+D15</f>
        <v>23000</v>
      </c>
      <c r="E18" s="112">
        <f t="shared" si="4"/>
        <v>3000</v>
      </c>
      <c r="F18" s="134">
        <f t="shared" si="4"/>
        <v>0</v>
      </c>
      <c r="G18" s="137">
        <f>SUM(C18:F18)</f>
        <v>28000</v>
      </c>
      <c r="H18" s="95" t="str">
        <f t="array" ref="H18">IFERROR(INDEX(ED!$C$2:$C$98,MATCH(0,IF(ISBLANK(ED!$C$2:$C$98),1,COUNTIF($H$7:H17,ED!$C$2:$C$98)),0)),"")</f>
        <v/>
      </c>
      <c r="I18" s="129" t="str">
        <f>_xlfn.IFNA(VLOOKUP(H18,ED!$C$2:$F$98,4,FALSE),"")</f>
        <v/>
      </c>
      <c r="J18" s="93" t="str">
        <f>_xlfn.IFNA(VLOOKUP(H18,ED!$C$2:$E$98,3,FALSE),"")</f>
        <v/>
      </c>
      <c r="K18" s="90" t="str">
        <f>IF(H18="","",IF(R18="",IF(SUMIF(ED!$C$2:$C$98,'Résumé Budget'!H18,ED!$D$2:$D$98)=0,"",SUMIF(ED!$C$2:$C$98,'Résumé Budget'!H18,ED!$D$2:$D$98)),(IF(SUMIF(ED!$C$2:$C$98,'Résumé Budget'!H18,ED!$D$2:$D$98)=0,"",SUMIF(ED!$C$2:$C$98,'Résumé Budget'!H18,ED!$D$2:$D$98))-R18)))</f>
        <v/>
      </c>
      <c r="L18" s="118" t="str">
        <f>IF(H18="","",IF(R18="","idem",IF(SUMIF(ED!$C$2:$C$98,'Résumé Budget'!H18,ED!$D$2:$D$98)=0,"",SUMIF(ED!$C$2:$C$98,'Résumé Budget'!H18,ED!$D$2:$D$98))))</f>
        <v/>
      </c>
      <c r="M18" s="90" t="str">
        <f>IF($K18="","",SUMIF('Suivi historique'!$M$2:$M$99,'Résumé Budget'!$H18,'Suivi historique'!$G$2:$G$99))</f>
        <v/>
      </c>
      <c r="N18" s="90" t="str">
        <f>IF($K18="","",SUMIF('Suivi historique'!$M$2:$M$99,'Résumé Budget'!$H18,'Suivi historique'!$P$2:$P$99))</f>
        <v/>
      </c>
      <c r="O18" s="90" t="str">
        <f t="shared" si="0"/>
        <v/>
      </c>
      <c r="P18" s="91" t="str">
        <f t="shared" si="1"/>
        <v/>
      </c>
      <c r="Q18" s="99" t="str">
        <f t="shared" si="2"/>
        <v/>
      </c>
      <c r="R18" s="120" t="str">
        <f>IF(SUMIFS(ED!$D$2:$D$98,ED!C$2:C$98,'Résumé Budget'!H18,ED!D$2:D$98,"&lt;0")=0,"",SUMIFS(ED!$D$2:$D$98,ED!C$2:C$98,'Résumé Budget'!H18,ED!D$2:D$98,"&lt;0"))</f>
        <v/>
      </c>
    </row>
    <row r="19" spans="1:24" ht="21.75" thickBot="1" x14ac:dyDescent="0.3">
      <c r="A19" s="150"/>
      <c r="B19" s="64" t="s">
        <v>38</v>
      </c>
      <c r="C19" s="115">
        <f>C12+C16</f>
        <v>4000</v>
      </c>
      <c r="D19" s="116">
        <f t="shared" ref="D19:F19" si="5">D12+D16</f>
        <v>2000</v>
      </c>
      <c r="E19" s="115">
        <f t="shared" si="5"/>
        <v>3000</v>
      </c>
      <c r="F19" s="135">
        <f t="shared" si="5"/>
        <v>0</v>
      </c>
      <c r="G19" s="136">
        <f>SUM(C19:F19)</f>
        <v>9000</v>
      </c>
      <c r="H19" s="95" t="str">
        <f t="array" ref="H19">IFERROR(INDEX(ED!$C$2:$C$98,MATCH(0,IF(ISBLANK(ED!$C$2:$C$98),1,COUNTIF($H$7:H18,ED!$C$2:$C$98)),0)),"")</f>
        <v/>
      </c>
      <c r="I19" s="129" t="str">
        <f>_xlfn.IFNA(VLOOKUP(H19,ED!$C$2:$F$98,4,FALSE),"")</f>
        <v/>
      </c>
      <c r="J19" s="93" t="str">
        <f>_xlfn.IFNA(VLOOKUP(H19,ED!$C$2:$E$98,3,FALSE),"")</f>
        <v/>
      </c>
      <c r="K19" s="90" t="str">
        <f>IF(H19="","",IF(R19="",IF(SUMIF(ED!$C$2:$C$98,'Résumé Budget'!H19,ED!$D$2:$D$98)=0,"",SUMIF(ED!$C$2:$C$98,'Résumé Budget'!H19,ED!$D$2:$D$98)),(IF(SUMIF(ED!$C$2:$C$98,'Résumé Budget'!H19,ED!$D$2:$D$98)=0,"",SUMIF(ED!$C$2:$C$98,'Résumé Budget'!H19,ED!$D$2:$D$98))-R19)))</f>
        <v/>
      </c>
      <c r="L19" s="118" t="str">
        <f>IF(H19="","",IF(R19="","idem",IF(SUMIF(ED!$C$2:$C$98,'Résumé Budget'!H19,ED!$D$2:$D$98)=0,"",SUMIF(ED!$C$2:$C$98,'Résumé Budget'!H19,ED!$D$2:$D$98))))</f>
        <v/>
      </c>
      <c r="M19" s="90" t="str">
        <f>IF($K19="","",SUMIF('Suivi historique'!$M$2:$M$99,'Résumé Budget'!$H19,'Suivi historique'!$G$2:$G$99))</f>
        <v/>
      </c>
      <c r="N19" s="90" t="str">
        <f>IF($K19="","",SUMIF('Suivi historique'!$M$2:$M$99,'Résumé Budget'!$H19,'Suivi historique'!$P$2:$P$99))</f>
        <v/>
      </c>
      <c r="O19" s="90" t="str">
        <f t="shared" si="0"/>
        <v/>
      </c>
      <c r="P19" s="91" t="str">
        <f t="shared" si="1"/>
        <v/>
      </c>
      <c r="Q19" s="99" t="str">
        <f t="shared" si="2"/>
        <v/>
      </c>
      <c r="R19" s="120" t="str">
        <f>IF(SUMIFS(ED!$D$2:$D$98,ED!C$2:C$98,'Résumé Budget'!H19,ED!D$2:D$98,"&lt;0")=0,"",SUMIFS(ED!$D$2:$D$98,ED!C$2:C$98,'Résumé Budget'!H19,ED!D$2:D$98,"&lt;0"))</f>
        <v/>
      </c>
    </row>
    <row r="20" spans="1:24" x14ac:dyDescent="0.25">
      <c r="G20" s="132" t="s">
        <v>92</v>
      </c>
      <c r="H20" s="95" t="str">
        <f t="array" ref="H20">IFERROR(INDEX(ED!$C$2:$C$98,MATCH(0,IF(ISBLANK(ED!$C$2:$C$98),1,COUNTIF($H$7:H19,ED!$C$2:$C$98)),0)),"")</f>
        <v/>
      </c>
      <c r="I20" s="129" t="str">
        <f>_xlfn.IFNA(VLOOKUP(H20,ED!$C$2:$F$98,4,FALSE),"")</f>
        <v/>
      </c>
      <c r="J20" s="93" t="str">
        <f>_xlfn.IFNA(VLOOKUP(H20,ED!$C$2:$E$98,3,FALSE),"")</f>
        <v/>
      </c>
      <c r="K20" s="90" t="str">
        <f>IF(H20="","",IF(R20="",IF(SUMIF(ED!$C$2:$C$98,'Résumé Budget'!H20,ED!$D$2:$D$98)=0,"",SUMIF(ED!$C$2:$C$98,'Résumé Budget'!H20,ED!$D$2:$D$98)),(IF(SUMIF(ED!$C$2:$C$98,'Résumé Budget'!H20,ED!$D$2:$D$98)=0,"",SUMIF(ED!$C$2:$C$98,'Résumé Budget'!H20,ED!$D$2:$D$98))-R20)))</f>
        <v/>
      </c>
      <c r="L20" s="118" t="str">
        <f>IF(H20="","",IF(R20="","idem",IF(SUMIF(ED!$C$2:$C$98,'Résumé Budget'!H20,ED!$D$2:$D$98)=0,"",SUMIF(ED!$C$2:$C$98,'Résumé Budget'!H20,ED!$D$2:$D$98))))</f>
        <v/>
      </c>
      <c r="M20" s="90" t="str">
        <f>IF($K20="","",SUMIF('Suivi historique'!$M$2:$M$99,'Résumé Budget'!$H20,'Suivi historique'!$G$2:$G$99))</f>
        <v/>
      </c>
      <c r="N20" s="90" t="str">
        <f>IF($K20="","",SUMIF('Suivi historique'!$M$2:$M$99,'Résumé Budget'!$H20,'Suivi historique'!$P$2:$P$99))</f>
        <v/>
      </c>
      <c r="O20" s="90" t="str">
        <f t="shared" si="0"/>
        <v/>
      </c>
      <c r="P20" s="91" t="str">
        <f t="shared" si="1"/>
        <v/>
      </c>
      <c r="Q20" s="99" t="str">
        <f t="shared" si="2"/>
        <v/>
      </c>
      <c r="R20" s="120" t="str">
        <f>IF(SUMIFS(ED!$D$2:$D$98,ED!C$2:C$98,'Résumé Budget'!H20,ED!D$2:D$98,"&lt;0")=0,"",SUMIFS(ED!$D$2:$D$98,ED!C$2:C$98,'Résumé Budget'!H20,ED!D$2:D$98,"&lt;0"))</f>
        <v/>
      </c>
    </row>
    <row r="21" spans="1:24" ht="15.75" thickBot="1" x14ac:dyDescent="0.3">
      <c r="B21" s="151" t="s">
        <v>13</v>
      </c>
      <c r="C21" s="152"/>
      <c r="D21" s="152"/>
      <c r="E21" s="152"/>
      <c r="F21" s="152"/>
      <c r="G21" s="133">
        <f>SUMIF('Suivi historique'!E2:E99,"BDP",'Suivi historique'!G2:G99)</f>
        <v>8000</v>
      </c>
      <c r="H21" s="95" t="str">
        <f t="array" ref="H21">IFERROR(INDEX(ED!$C$2:$C$98,MATCH(0,IF(ISBLANK(ED!$C$2:$C$98),1,COUNTIF($H$7:H20,ED!$C$2:$C$98)),0)),"")</f>
        <v/>
      </c>
      <c r="I21" s="129" t="str">
        <f>_xlfn.IFNA(VLOOKUP(H21,ED!$C$2:$F$98,4,FALSE),"")</f>
        <v/>
      </c>
      <c r="J21" s="93" t="str">
        <f>_xlfn.IFNA(VLOOKUP(H21,ED!$C$2:$E$98,3,FALSE),"")</f>
        <v/>
      </c>
      <c r="K21" s="90" t="str">
        <f>IF(H21="","",IF(R21="",IF(SUMIF(ED!$C$2:$C$98,'Résumé Budget'!H21,ED!$D$2:$D$98)=0,"",SUMIF(ED!$C$2:$C$98,'Résumé Budget'!H21,ED!$D$2:$D$98)),(IF(SUMIF(ED!$C$2:$C$98,'Résumé Budget'!H21,ED!$D$2:$D$98)=0,"",SUMIF(ED!$C$2:$C$98,'Résumé Budget'!H21,ED!$D$2:$D$98))-R21)))</f>
        <v/>
      </c>
      <c r="L21" s="118" t="str">
        <f>IF(H21="","",IF(R21="","idem",IF(SUMIF(ED!$C$2:$C$98,'Résumé Budget'!H21,ED!$D$2:$D$98)=0,"",SUMIF(ED!$C$2:$C$98,'Résumé Budget'!H21,ED!$D$2:$D$98))))</f>
        <v/>
      </c>
      <c r="M21" s="90" t="str">
        <f>IF($K21="","",SUMIF('Suivi historique'!$M$2:$M$99,'Résumé Budget'!$H21,'Suivi historique'!$G$2:$G$99))</f>
        <v/>
      </c>
      <c r="N21" s="90" t="str">
        <f>IF($K21="","",SUMIF('Suivi historique'!$M$2:$M$99,'Résumé Budget'!$H21,'Suivi historique'!$P$2:$P$99))</f>
        <v/>
      </c>
      <c r="O21" s="90" t="str">
        <f t="shared" si="0"/>
        <v/>
      </c>
      <c r="P21" s="91" t="str">
        <f t="shared" si="1"/>
        <v/>
      </c>
      <c r="Q21" s="99" t="str">
        <f t="shared" si="2"/>
        <v/>
      </c>
      <c r="R21" s="120" t="str">
        <f>IF(SUMIFS(ED!$D$2:$D$98,ED!C$2:C$98,'Résumé Budget'!H21,ED!D$2:D$98,"&lt;0")=0,"",SUMIFS(ED!$D$2:$D$98,ED!C$2:C$98,'Résumé Budget'!H21,ED!D$2:D$98,"&lt;0"))</f>
        <v/>
      </c>
    </row>
    <row r="22" spans="1:24" x14ac:dyDescent="0.25">
      <c r="B22" s="153"/>
      <c r="C22" s="154"/>
      <c r="D22" s="154"/>
      <c r="E22" s="154"/>
      <c r="F22" s="155"/>
      <c r="G22" s="97"/>
      <c r="H22" s="95" t="str">
        <f t="array" ref="H22">IFERROR(INDEX(ED!$C$2:$C$98,MATCH(0,IF(ISBLANK(ED!$C$2:$C$98),1,COUNTIF($H$7:H21,ED!$C$2:$C$98)),0)),"")</f>
        <v/>
      </c>
      <c r="I22" s="129" t="str">
        <f>_xlfn.IFNA(VLOOKUP(H22,ED!$C$2:$F$98,4,FALSE),"")</f>
        <v/>
      </c>
      <c r="J22" s="93" t="str">
        <f>_xlfn.IFNA(VLOOKUP(H22,ED!$C$2:$E$98,3,FALSE),"")</f>
        <v/>
      </c>
      <c r="K22" s="90" t="str">
        <f>IF(H22="","",IF(R22="",IF(SUMIF(ED!$C$2:$C$98,'Résumé Budget'!H22,ED!$D$2:$D$98)=0,"",SUMIF(ED!$C$2:$C$98,'Résumé Budget'!H22,ED!$D$2:$D$98)),(IF(SUMIF(ED!$C$2:$C$98,'Résumé Budget'!H22,ED!$D$2:$D$98)=0,"",SUMIF(ED!$C$2:$C$98,'Résumé Budget'!H22,ED!$D$2:$D$98))-R22)))</f>
        <v/>
      </c>
      <c r="L22" s="118" t="str">
        <f>IF(H22="","",IF(R22="","idem",IF(SUMIF(ED!$C$2:$C$98,'Résumé Budget'!H22,ED!$D$2:$D$98)=0,"",SUMIF(ED!$C$2:$C$98,'Résumé Budget'!H22,ED!$D$2:$D$98))))</f>
        <v/>
      </c>
      <c r="M22" s="90" t="str">
        <f>IF($K22="","",SUMIF('Suivi historique'!$M$2:$M$99,'Résumé Budget'!$H22,'Suivi historique'!$G$2:$G$99))</f>
        <v/>
      </c>
      <c r="N22" s="90" t="str">
        <f>IF($K22="","",SUMIF('Suivi historique'!$M$2:$M$99,'Résumé Budget'!$H22,'Suivi historique'!$P$2:$P$99))</f>
        <v/>
      </c>
      <c r="O22" s="90" t="str">
        <f t="shared" si="0"/>
        <v/>
      </c>
      <c r="P22" s="91" t="str">
        <f t="shared" si="1"/>
        <v/>
      </c>
      <c r="Q22" s="99" t="str">
        <f t="shared" si="2"/>
        <v/>
      </c>
      <c r="R22" s="120" t="str">
        <f>IF(SUMIFS(ED!$D$2:$D$98,ED!C$2:C$98,'Résumé Budget'!H22,ED!D$2:D$98,"&lt;0")=0,"",SUMIFS(ED!$D$2:$D$98,ED!C$2:C$98,'Résumé Budget'!H22,ED!D$2:D$98,"&lt;0"))</f>
        <v/>
      </c>
    </row>
    <row r="23" spans="1:24" x14ac:dyDescent="0.25">
      <c r="B23" s="22"/>
      <c r="C23" s="13"/>
      <c r="D23" s="13"/>
      <c r="E23" s="13"/>
      <c r="F23" s="13"/>
      <c r="G23" s="98"/>
      <c r="H23" s="95" t="str">
        <f t="array" ref="H23">IFERROR(INDEX(ED!$C$2:$C$98,MATCH(0,IF(ISBLANK(ED!$C$2:$C$98),1,COUNTIF($H$7:H22,ED!$C$2:$C$98)),0)),"")</f>
        <v/>
      </c>
      <c r="I23" s="129" t="str">
        <f>_xlfn.IFNA(VLOOKUP(H23,ED!$C$2:$F$98,4,FALSE),"")</f>
        <v/>
      </c>
      <c r="J23" s="93" t="str">
        <f>_xlfn.IFNA(VLOOKUP(H23,ED!$C$2:$E$98,3,FALSE),"")</f>
        <v/>
      </c>
      <c r="K23" s="90" t="str">
        <f>IF(H23="","",IF(R23="",IF(SUMIF(ED!$C$2:$C$98,'Résumé Budget'!H23,ED!$D$2:$D$98)=0,"",SUMIF(ED!$C$2:$C$98,'Résumé Budget'!H23,ED!$D$2:$D$98)),(IF(SUMIF(ED!$C$2:$C$98,'Résumé Budget'!H23,ED!$D$2:$D$98)=0,"",SUMIF(ED!$C$2:$C$98,'Résumé Budget'!H23,ED!$D$2:$D$98))-R23)))</f>
        <v/>
      </c>
      <c r="L23" s="118" t="str">
        <f>IF(H23="","",IF(R23="","idem",IF(SUMIF(ED!$C$2:$C$98,'Résumé Budget'!H23,ED!$D$2:$D$98)=0,"",SUMIF(ED!$C$2:$C$98,'Résumé Budget'!H23,ED!$D$2:$D$98))))</f>
        <v/>
      </c>
      <c r="M23" s="90" t="str">
        <f>IF($K23="","",SUMIF('Suivi historique'!$M$2:$M$99,'Résumé Budget'!$H23,'Suivi historique'!$G$2:$G$99))</f>
        <v/>
      </c>
      <c r="N23" s="90" t="str">
        <f>IF($K23="","",SUMIF('Suivi historique'!$M$2:$M$99,'Résumé Budget'!$H23,'Suivi historique'!$P$2:$P$99))</f>
        <v/>
      </c>
      <c r="O23" s="90" t="str">
        <f t="shared" si="0"/>
        <v/>
      </c>
      <c r="P23" s="91" t="str">
        <f t="shared" si="1"/>
        <v/>
      </c>
      <c r="Q23" s="99" t="str">
        <f t="shared" si="2"/>
        <v/>
      </c>
      <c r="R23" s="120" t="str">
        <f>IF(SUMIFS(ED!$D$2:$D$98,ED!C$2:C$98,'Résumé Budget'!H23,ED!D$2:D$98,"&lt;0")=0,"",SUMIFS(ED!$D$2:$D$98,ED!C$2:C$98,'Résumé Budget'!H23,ED!D$2:D$98,"&lt;0"))</f>
        <v/>
      </c>
    </row>
    <row r="24" spans="1:24" ht="15.75" x14ac:dyDescent="0.25">
      <c r="B24" s="4" t="s">
        <v>11</v>
      </c>
      <c r="H24" s="95" t="str">
        <f t="array" ref="H24">IFERROR(INDEX(ED!$C$2:$C$98,MATCH(0,IF(ISBLANK(ED!$C$2:$C$98),1,COUNTIF($H$7:H23,ED!$C$2:$C$98)),0)),"")</f>
        <v/>
      </c>
      <c r="I24" s="129" t="str">
        <f>_xlfn.IFNA(VLOOKUP(H24,ED!$C$2:$F$98,4,FALSE),"")</f>
        <v/>
      </c>
      <c r="J24" s="93" t="str">
        <f>_xlfn.IFNA(VLOOKUP(H24,ED!$C$2:$E$98,3,FALSE),"")</f>
        <v/>
      </c>
      <c r="K24" s="90" t="str">
        <f>IF(H24="","",IF(R24="",IF(SUMIF(ED!$C$2:$C$98,'Résumé Budget'!H24,ED!$D$2:$D$98)=0,"",SUMIF(ED!$C$2:$C$98,'Résumé Budget'!H24,ED!$D$2:$D$98)),(IF(SUMIF(ED!$C$2:$C$98,'Résumé Budget'!H24,ED!$D$2:$D$98)=0,"",SUMIF(ED!$C$2:$C$98,'Résumé Budget'!H24,ED!$D$2:$D$98))-R24)))</f>
        <v/>
      </c>
      <c r="L24" s="118" t="str">
        <f>IF(H24="","",IF(R24="","idem",IF(SUMIF(ED!$C$2:$C$98,'Résumé Budget'!H24,ED!$D$2:$D$98)=0,"",SUMIF(ED!$C$2:$C$98,'Résumé Budget'!H24,ED!$D$2:$D$98))))</f>
        <v/>
      </c>
      <c r="M24" s="90" t="str">
        <f>IF($K24="","",SUMIF('Suivi historique'!$M$2:$M$99,'Résumé Budget'!$H24,'Suivi historique'!$G$2:$G$99))</f>
        <v/>
      </c>
      <c r="N24" s="90" t="str">
        <f>IF($K24="","",SUMIF('Suivi historique'!$M$2:$M$99,'Résumé Budget'!$H24,'Suivi historique'!$P$2:$P$99))</f>
        <v/>
      </c>
      <c r="O24" s="90" t="str">
        <f t="shared" si="0"/>
        <v/>
      </c>
      <c r="P24" s="91" t="str">
        <f t="shared" si="1"/>
        <v/>
      </c>
      <c r="Q24" s="99" t="str">
        <f t="shared" si="2"/>
        <v/>
      </c>
      <c r="R24" s="120" t="str">
        <f>IF(SUMIFS(ED!$D$2:$D$98,ED!C$2:C$98,'Résumé Budget'!H24,ED!D$2:D$98,"&lt;0")=0,"",SUMIFS(ED!$D$2:$D$98,ED!C$2:C$98,'Résumé Budget'!H24,ED!D$2:D$98,"&lt;0"))</f>
        <v/>
      </c>
    </row>
    <row r="25" spans="1:24" ht="15.75" thickBot="1" x14ac:dyDescent="0.3">
      <c r="B25" t="s">
        <v>109</v>
      </c>
      <c r="H25" s="95" t="str">
        <f t="array" ref="H25">IFERROR(INDEX(ED!$C$2:$C$98,MATCH(0,IF(ISBLANK(ED!$C$2:$C$98),1,COUNTIF($H$7:H24,ED!$C$2:$C$98)),0)),"")</f>
        <v/>
      </c>
      <c r="I25" s="129" t="str">
        <f>_xlfn.IFNA(VLOOKUP(H25,ED!$C$2:$F$98,4,FALSE),"")</f>
        <v/>
      </c>
      <c r="J25" s="93" t="str">
        <f>_xlfn.IFNA(VLOOKUP(H25,ED!$C$2:$E$98,3,FALSE),"")</f>
        <v/>
      </c>
      <c r="K25" s="90" t="str">
        <f>IF(H25="","",IF(R25="",IF(SUMIF(ED!$C$2:$C$98,'Résumé Budget'!H25,ED!$D$2:$D$98)=0,"",SUMIF(ED!$C$2:$C$98,'Résumé Budget'!H25,ED!$D$2:$D$98)),(IF(SUMIF(ED!$C$2:$C$98,'Résumé Budget'!H25,ED!$D$2:$D$98)=0,"",SUMIF(ED!$C$2:$C$98,'Résumé Budget'!H25,ED!$D$2:$D$98))-R25)))</f>
        <v/>
      </c>
      <c r="L25" s="118" t="str">
        <f>IF(H25="","",IF(R25="","idem",IF(SUMIF(ED!$C$2:$C$98,'Résumé Budget'!H25,ED!$D$2:$D$98)=0,"",SUMIF(ED!$C$2:$C$98,'Résumé Budget'!H25,ED!$D$2:$D$98))))</f>
        <v/>
      </c>
      <c r="M25" s="90" t="str">
        <f>IF($K25="","",SUMIF('Suivi historique'!$M$2:$M$99,'Résumé Budget'!$H25,'Suivi historique'!$G$2:$G$99))</f>
        <v/>
      </c>
      <c r="N25" s="90" t="str">
        <f>IF($K25="","",SUMIF('Suivi historique'!$M$2:$M$99,'Résumé Budget'!$H25,'Suivi historique'!$P$2:$P$99))</f>
        <v/>
      </c>
      <c r="O25" s="90" t="str">
        <f t="shared" si="0"/>
        <v/>
      </c>
      <c r="P25" s="91" t="str">
        <f t="shared" si="1"/>
        <v/>
      </c>
      <c r="Q25" s="99" t="str">
        <f t="shared" si="2"/>
        <v/>
      </c>
      <c r="R25" s="120" t="str">
        <f>IF(SUMIFS(ED!$D$2:$D$98,ED!C$2:C$98,'Résumé Budget'!H25,ED!D$2:D$98,"&lt;0")=0,"",SUMIFS(ED!$D$2:$D$98,ED!C$2:C$98,'Résumé Budget'!H25,ED!D$2:D$98,"&lt;0"))</f>
        <v/>
      </c>
    </row>
    <row r="26" spans="1:24" ht="16.5" thickBot="1" x14ac:dyDescent="0.3">
      <c r="B26" s="73" t="s">
        <v>12</v>
      </c>
      <c r="C26" s="36">
        <f>SUMIFS('Suivi historique'!$G:$G,'Suivi historique'!$H:$H,"&gt;="&amp;'Résumé Budget'!C$8,'Suivi historique'!$H:$H,"&lt;="&amp;'Résumé Budget'!C$9,'Suivi historique'!$D:$D,"="&amp;Data!$A3)</f>
        <v>1000</v>
      </c>
      <c r="D26" s="37">
        <f>SUMIFS('Suivi historique'!$G:$G,'Suivi historique'!$H:$H,"&gt;="&amp;'Résumé Budget'!D$8,'Suivi historique'!$H:$H,"&lt;="&amp;'Résumé Budget'!D$9,'Suivi historique'!$D:$D,"="&amp;Data!$A3)</f>
        <v>4000</v>
      </c>
      <c r="E26" s="36">
        <f>SUMIFS('Suivi historique'!$G:$G,'Suivi historique'!$H:$H,"&gt;="&amp;'Résumé Budget'!E$8,'Suivi historique'!$H:$H,"&lt;="&amp;'Résumé Budget'!E$9,'Suivi historique'!$D:$D,"="&amp;Data!$A3)</f>
        <v>1000</v>
      </c>
      <c r="F26" s="37">
        <f>SUMIFS('Suivi historique'!$G:$G,'Suivi historique'!$H:$H,"&gt;="&amp;'Résumé Budget'!F$8,'Suivi historique'!$H:$H,"&lt;="&amp;'Résumé Budget'!F$9,'Suivi historique'!$D:$D,"="&amp;Data!$A3)</f>
        <v>0</v>
      </c>
      <c r="H26" s="95" t="str">
        <f t="array" ref="H26">IFERROR(INDEX(ED!$C$2:$C$98,MATCH(0,IF(ISBLANK(ED!$C$2:$C$98),1,COUNTIF($H$7:H25,ED!$C$2:$C$98)),0)),"")</f>
        <v/>
      </c>
      <c r="I26" s="129" t="str">
        <f>_xlfn.IFNA(VLOOKUP(H26,ED!$C$2:$F$98,4,FALSE),"")</f>
        <v/>
      </c>
      <c r="J26" s="93" t="str">
        <f>_xlfn.IFNA(VLOOKUP(H26,ED!$C$2:$E$98,3,FALSE),"")</f>
        <v/>
      </c>
      <c r="K26" s="90" t="str">
        <f>IF(H26="","",IF(R26="",IF(SUMIF(ED!$C$2:$C$98,'Résumé Budget'!H26,ED!$D$2:$D$98)=0,"",SUMIF(ED!$C$2:$C$98,'Résumé Budget'!H26,ED!$D$2:$D$98)),(IF(SUMIF(ED!$C$2:$C$98,'Résumé Budget'!H26,ED!$D$2:$D$98)=0,"",SUMIF(ED!$C$2:$C$98,'Résumé Budget'!H26,ED!$D$2:$D$98))-R26)))</f>
        <v/>
      </c>
      <c r="L26" s="118" t="str">
        <f>IF(H26="","",IF(R26="","idem",IF(SUMIF(ED!$C$2:$C$98,'Résumé Budget'!H26,ED!$D$2:$D$98)=0,"",SUMIF(ED!$C$2:$C$98,'Résumé Budget'!H26,ED!$D$2:$D$98))))</f>
        <v/>
      </c>
      <c r="M26" s="90" t="str">
        <f>IF($K26="","",SUMIF('Suivi historique'!$M$2:$M$99,'Résumé Budget'!$H26,'Suivi historique'!$G$2:$G$99))</f>
        <v/>
      </c>
      <c r="N26" s="90" t="str">
        <f>IF($K26="","",SUMIF('Suivi historique'!$M$2:$M$99,'Résumé Budget'!$H26,'Suivi historique'!$P$2:$P$99))</f>
        <v/>
      </c>
      <c r="O26" s="90" t="str">
        <f t="shared" si="0"/>
        <v/>
      </c>
      <c r="P26" s="91" t="str">
        <f t="shared" si="1"/>
        <v/>
      </c>
      <c r="Q26" s="99" t="str">
        <f t="shared" si="2"/>
        <v/>
      </c>
      <c r="R26" s="120" t="str">
        <f>IF(SUMIFS(ED!$D$2:$D$98,ED!C$2:C$98,'Résumé Budget'!H26,ED!D$2:D$98,"&lt;0")=0,"",SUMIFS(ED!$D$2:$D$98,ED!C$2:C$98,'Résumé Budget'!H26,ED!D$2:D$98,"&lt;0"))</f>
        <v/>
      </c>
    </row>
    <row r="27" spans="1:24" ht="15.75" thickBot="1" x14ac:dyDescent="0.3">
      <c r="B27" t="s">
        <v>110</v>
      </c>
      <c r="H27" s="95" t="str">
        <f t="array" ref="H27">IFERROR(INDEX(ED!$C$2:$C$98,MATCH(0,IF(ISBLANK(ED!$C$2:$C$98),1,COUNTIF($H$7:H26,ED!$C$2:$C$98)),0)),"")</f>
        <v/>
      </c>
      <c r="I27" s="129" t="str">
        <f>_xlfn.IFNA(VLOOKUP(H27,ED!$C$2:$F$98,4,FALSE),"")</f>
        <v/>
      </c>
      <c r="J27" s="93" t="str">
        <f>_xlfn.IFNA(VLOOKUP(H27,ED!$C$2:$E$98,3,FALSE),"")</f>
        <v/>
      </c>
      <c r="K27" s="90" t="str">
        <f>IF(H27="","",IF(R27="",IF(SUMIF(ED!$C$2:$C$98,'Résumé Budget'!H27,ED!$D$2:$D$98)=0,"",SUMIF(ED!$C$2:$C$98,'Résumé Budget'!H27,ED!$D$2:$D$98)),(IF(SUMIF(ED!$C$2:$C$98,'Résumé Budget'!H27,ED!$D$2:$D$98)=0,"",SUMIF(ED!$C$2:$C$98,'Résumé Budget'!H27,ED!$D$2:$D$98))-R27)))</f>
        <v/>
      </c>
      <c r="L27" s="118" t="str">
        <f>IF(H27="","",IF(R27="","idem",IF(SUMIF(ED!$C$2:$C$98,'Résumé Budget'!H27,ED!$D$2:$D$98)=0,"",SUMIF(ED!$C$2:$C$98,'Résumé Budget'!H27,ED!$D$2:$D$98))))</f>
        <v/>
      </c>
      <c r="M27" s="90" t="str">
        <f>IF($K27="","",SUMIF('Suivi historique'!$M$2:$M$99,'Résumé Budget'!$H27,'Suivi historique'!$G$2:$G$99))</f>
        <v/>
      </c>
      <c r="N27" s="90" t="str">
        <f>IF($K27="","",SUMIF('Suivi historique'!$M$2:$M$99,'Résumé Budget'!$H27,'Suivi historique'!$P$2:$P$99))</f>
        <v/>
      </c>
      <c r="O27" s="90" t="str">
        <f t="shared" si="0"/>
        <v/>
      </c>
      <c r="P27" s="91" t="str">
        <f t="shared" si="1"/>
        <v/>
      </c>
      <c r="Q27" s="99" t="str">
        <f t="shared" si="2"/>
        <v/>
      </c>
      <c r="R27" s="120" t="str">
        <f>IF(SUMIFS(ED!$D$2:$D$98,ED!C$2:C$98,'Résumé Budget'!H27,ED!D$2:D$98,"&lt;0")=0,"",SUMIFS(ED!$D$2:$D$98,ED!C$2:C$98,'Résumé Budget'!H27,ED!D$2:D$98,"&lt;0"))</f>
        <v/>
      </c>
    </row>
    <row r="28" spans="1:24" ht="16.5" thickBot="1" x14ac:dyDescent="0.3">
      <c r="C28" s="20">
        <f>IF(C26=0,"",C26/(C11+C15))</f>
        <v>0.5</v>
      </c>
      <c r="D28" s="21">
        <f>IF(D26=0,"",D26/(D11+D15))</f>
        <v>0.17391304347826086</v>
      </c>
      <c r="E28" s="20">
        <f>IF(E26=0,"",E26/(E11+E15))</f>
        <v>0.33333333333333331</v>
      </c>
      <c r="F28" s="21" t="str">
        <f>IF(F26=0,"",F26/(F11+F15))</f>
        <v/>
      </c>
      <c r="H28" s="95" t="str">
        <f t="array" ref="H28">IFERROR(INDEX(ED!$C$2:$C$98,MATCH(0,IF(ISBLANK(ED!$C$2:$C$98),1,COUNTIF($H$7:H27,ED!$C$2:$C$98)),0)),"")</f>
        <v/>
      </c>
      <c r="I28" s="129" t="str">
        <f>_xlfn.IFNA(VLOOKUP(H28,ED!$C$2:$F$98,4,FALSE),"")</f>
        <v/>
      </c>
      <c r="J28" s="93" t="str">
        <f>_xlfn.IFNA(VLOOKUP(H28,ED!$C$2:$E$98,3,FALSE),"")</f>
        <v/>
      </c>
      <c r="K28" s="90" t="str">
        <f>IF(H28="","",IF(R28="",IF(SUMIF(ED!$C$2:$C$98,'Résumé Budget'!H28,ED!$D$2:$D$98)=0,"",SUMIF(ED!$C$2:$C$98,'Résumé Budget'!H28,ED!$D$2:$D$98)),(IF(SUMIF(ED!$C$2:$C$98,'Résumé Budget'!H28,ED!$D$2:$D$98)=0,"",SUMIF(ED!$C$2:$C$98,'Résumé Budget'!H28,ED!$D$2:$D$98))-R28)))</f>
        <v/>
      </c>
      <c r="L28" s="118" t="str">
        <f>IF(H28="","",IF(R28="","idem",IF(SUMIF(ED!$C$2:$C$98,'Résumé Budget'!H28,ED!$D$2:$D$98)=0,"",SUMIF(ED!$C$2:$C$98,'Résumé Budget'!H28,ED!$D$2:$D$98))))</f>
        <v/>
      </c>
      <c r="M28" s="90" t="str">
        <f>IF($K28="","",SUMIF('Suivi historique'!$M$2:$M$99,'Résumé Budget'!$H28,'Suivi historique'!$G$2:$G$99))</f>
        <v/>
      </c>
      <c r="N28" s="90" t="str">
        <f>IF($K28="","",SUMIF('Suivi historique'!$M$2:$M$99,'Résumé Budget'!$H28,'Suivi historique'!$P$2:$P$99))</f>
        <v/>
      </c>
      <c r="O28" s="90" t="str">
        <f t="shared" si="0"/>
        <v/>
      </c>
      <c r="P28" s="91" t="str">
        <f t="shared" si="1"/>
        <v/>
      </c>
      <c r="Q28" s="99" t="str">
        <f t="shared" si="2"/>
        <v/>
      </c>
      <c r="R28" s="120" t="str">
        <f>IF(SUMIFS(ED!$D$2:$D$98,ED!C$2:C$98,'Résumé Budget'!H28,ED!D$2:D$98,"&lt;0")=0,"",SUMIFS(ED!$D$2:$D$98,ED!C$2:C$98,'Résumé Budget'!H28,ED!D$2:D$98,"&lt;0"))</f>
        <v/>
      </c>
    </row>
    <row r="29" spans="1:24" ht="15.75" thickBot="1" x14ac:dyDescent="0.3">
      <c r="H29" s="96" t="str">
        <f t="array" ref="H29">IFERROR(INDEX(ED!$C$2:$C$98,MATCH(0,IF(ISBLANK(ED!$C$2:$C$98),1,COUNTIF($H$7:H28,ED!$C$2:$C$98)),0)),"")</f>
        <v/>
      </c>
      <c r="I29" s="130" t="str">
        <f>_xlfn.IFNA(VLOOKUP(H29,ED!$C$2:$F$98,4,FALSE),"")</f>
        <v/>
      </c>
      <c r="J29" s="94" t="str">
        <f>_xlfn.IFNA(VLOOKUP(H29,ED!$C$2:$E$98,3,FALSE),"")</f>
        <v/>
      </c>
      <c r="K29" s="92" t="str">
        <f>IF(H29="","",IF(R29="",IF(SUMIF(ED!$C$2:$C$98,'Résumé Budget'!H29,ED!$D$2:$D$98)=0,"",SUMIF(ED!$C$2:$C$98,'Résumé Budget'!H29,ED!$D$2:$D$98)),(IF(SUMIF(ED!$C$2:$C$98,'Résumé Budget'!H29,ED!$D$2:$D$98)=0,"",SUMIF(ED!$C$2:$C$98,'Résumé Budget'!H29,ED!$D$2:$D$98))-R29)))</f>
        <v/>
      </c>
      <c r="L29" s="118" t="str">
        <f>IF(H29="","",IF(R29="","idem",IF(SUMIF(ED!$C$2:$C$98,'Résumé Budget'!H29,ED!$D$2:$D$98)=0,"",SUMIF(ED!$C$2:$C$98,'Résumé Budget'!H29,ED!$D$2:$D$98))))</f>
        <v/>
      </c>
      <c r="M29" s="92" t="str">
        <f>IF($K29="","",SUMIF('Suivi historique'!$M$2:$M$99,'Résumé Budget'!$H29,'Suivi historique'!$G$2:$G$99))</f>
        <v/>
      </c>
      <c r="N29" s="92" t="str">
        <f>IF($K29="","",SUMIF('Suivi historique'!$M$2:$M$99,'Résumé Budget'!$H29,'Suivi historique'!$P$2:$P$99))</f>
        <v/>
      </c>
      <c r="O29" s="92" t="str">
        <f t="shared" si="0"/>
        <v/>
      </c>
      <c r="P29" s="91" t="str">
        <f t="shared" si="1"/>
        <v/>
      </c>
      <c r="Q29" s="99" t="str">
        <f t="shared" si="2"/>
        <v/>
      </c>
      <c r="R29" s="120" t="str">
        <f>IF(SUMIFS(ED!$D$2:$D$98,ED!C$2:C$98,'Résumé Budget'!H29,ED!D$2:D$98,"&lt;0")=0,"",SUMIFS(ED!$D$2:$D$98,ED!C$2:C$98,'Résumé Budget'!H29,ED!D$2:D$98,"&lt;0"))</f>
        <v/>
      </c>
    </row>
    <row r="30" spans="1:24" x14ac:dyDescent="0.25">
      <c r="L30" s="119"/>
      <c r="P30" s="119"/>
    </row>
    <row r="31" spans="1:24" s="6" customFormat="1" ht="23.25" x14ac:dyDescent="0.35">
      <c r="A31" s="143" t="str">
        <f>"Résumé budget                               TYPE III "&amp;Data!$J$2&amp;"                    TYPE III "&amp;Data!$J$2&amp;"                    TYPE III "&amp;Data!$J$2&amp;""</f>
        <v>Résumé budget                               TYPE III blabla                    TYPE III blabla                    TYPE III blabla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/>
      <c r="T31"/>
      <c r="U31"/>
      <c r="V31"/>
      <c r="W31"/>
      <c r="X31"/>
    </row>
  </sheetData>
  <mergeCells count="11">
    <mergeCell ref="A1:R1"/>
    <mergeCell ref="A31:R31"/>
    <mergeCell ref="A2:R2"/>
    <mergeCell ref="R6:R7"/>
    <mergeCell ref="A5:G5"/>
    <mergeCell ref="A11:A13"/>
    <mergeCell ref="A15:A16"/>
    <mergeCell ref="A18:A19"/>
    <mergeCell ref="B21:F21"/>
    <mergeCell ref="B22:F22"/>
    <mergeCell ref="H5:P5"/>
  </mergeCells>
  <conditionalFormatting sqref="B13">
    <cfRule type="expression" dxfId="12" priority="3">
      <formula>SUM(C13:F13)&gt;0</formula>
    </cfRule>
    <cfRule type="expression" dxfId="11" priority="4">
      <formula>SUM(C13:F13)&lt;=0</formula>
    </cfRule>
  </conditionalFormatting>
  <conditionalFormatting sqref="H8:P29">
    <cfRule type="expression" dxfId="10" priority="2">
      <formula>$J8="Individuel"</formula>
    </cfRule>
  </conditionalFormatting>
  <conditionalFormatting sqref="R8:R29">
    <cfRule type="expression" dxfId="9" priority="1">
      <formula>$R8&lt;0</formula>
    </cfRule>
  </conditionalFormatting>
  <pageMargins left="0.25" right="0.25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99"/>
  <sheetViews>
    <sheetView tabSelected="1" zoomScaleNormal="100" workbookViewId="0">
      <pane xSplit="3" ySplit="1" topLeftCell="D2" activePane="bottomRight" state="frozen"/>
      <selection activeCell="O13" sqref="O13"/>
      <selection pane="topRight" activeCell="O13" sqref="O13"/>
      <selection pane="bottomLeft" activeCell="O13" sqref="O13"/>
      <selection pane="bottomRight" activeCell="I28" sqref="I28"/>
    </sheetView>
  </sheetViews>
  <sheetFormatPr defaultColWidth="9.140625" defaultRowHeight="15" x14ac:dyDescent="0.25"/>
  <cols>
    <col min="1" max="1" width="3.85546875" style="16" customWidth="1"/>
    <col min="2" max="2" width="4.42578125" style="15" customWidth="1"/>
    <col min="3" max="3" width="56.140625" style="16" customWidth="1"/>
    <col min="4" max="4" width="7.5703125" style="25" customWidth="1"/>
    <col min="5" max="5" width="14" style="29" customWidth="1"/>
    <col min="6" max="6" width="29.85546875" style="17" customWidth="1"/>
    <col min="7" max="7" width="10.42578125" style="31" customWidth="1"/>
    <col min="8" max="9" width="14" style="27" customWidth="1"/>
    <col min="10" max="10" width="12.28515625" style="40" customWidth="1"/>
    <col min="11" max="11" width="11.85546875" style="40" bestFit="1" customWidth="1"/>
    <col min="12" max="12" width="14.7109375" style="19" customWidth="1"/>
    <col min="13" max="13" width="12.5703125" style="43" customWidth="1"/>
    <col min="14" max="14" width="15.85546875" hidden="1" customWidth="1"/>
    <col min="15" max="15" width="12.85546875" style="45" customWidth="1"/>
    <col min="16" max="16" width="11" style="33" customWidth="1"/>
    <col min="17" max="17" width="12" style="79" customWidth="1"/>
    <col min="18" max="18" width="56.85546875" style="16" customWidth="1"/>
    <col min="19" max="19" width="19.5703125" style="16" customWidth="1"/>
    <col min="20" max="20" width="3.85546875" style="16" customWidth="1"/>
    <col min="21" max="16384" width="9.140625" style="16"/>
  </cols>
  <sheetData>
    <row r="1" spans="1:20" s="34" customFormat="1" ht="60" customHeight="1" x14ac:dyDescent="0.25">
      <c r="A1" s="159" t="str">
        <f>Data!$J$2&amp;"      TYPE III                         "&amp;Data!$J$2&amp;"      TYPE III                         "&amp;Data!$J$2&amp;"      TYPE III                         "&amp;Data!$J$2&amp;"      TYPE III"</f>
        <v>blabla      TYPE III                         blabla      TYPE III                         blabla      TYPE III                         blabla      TYPE III</v>
      </c>
      <c r="B1" s="67" t="s">
        <v>15</v>
      </c>
      <c r="C1" s="67" t="s">
        <v>0</v>
      </c>
      <c r="D1" s="67" t="s">
        <v>170</v>
      </c>
      <c r="E1" s="68" t="s">
        <v>20</v>
      </c>
      <c r="F1" s="69" t="s">
        <v>21</v>
      </c>
      <c r="G1" s="69" t="s">
        <v>16</v>
      </c>
      <c r="H1" s="69" t="s">
        <v>19</v>
      </c>
      <c r="I1" s="69" t="s">
        <v>108</v>
      </c>
      <c r="J1" s="70" t="s">
        <v>87</v>
      </c>
      <c r="K1" s="70" t="s">
        <v>88</v>
      </c>
      <c r="L1" s="69" t="s">
        <v>89</v>
      </c>
      <c r="M1" s="71" t="s">
        <v>17</v>
      </c>
      <c r="N1" s="71" t="s">
        <v>31</v>
      </c>
      <c r="O1" s="71" t="s">
        <v>18</v>
      </c>
      <c r="P1" s="72" t="s">
        <v>90</v>
      </c>
      <c r="Q1" s="78" t="s">
        <v>59</v>
      </c>
      <c r="R1" s="67" t="s">
        <v>7</v>
      </c>
      <c r="S1" s="77" t="s">
        <v>52</v>
      </c>
      <c r="T1" s="159" t="str">
        <f>Data!$J$2&amp;"      TYPE III                         "&amp;Data!$J$2&amp;"      TYPE III                         "&amp;Data!$J$2&amp;"      TYPE III                         "&amp;Data!$J$2&amp;"      TYPE III"</f>
        <v>blabla      TYPE III                         blabla      TYPE III                         blabla      TYPE III                         blabla      TYPE III</v>
      </c>
    </row>
    <row r="2" spans="1:20" x14ac:dyDescent="0.25">
      <c r="A2" s="159"/>
      <c r="B2" s="66">
        <v>0</v>
      </c>
      <c r="C2" s="1" t="s">
        <v>112</v>
      </c>
      <c r="D2" s="24" t="s">
        <v>9</v>
      </c>
      <c r="E2" s="28" t="s">
        <v>14</v>
      </c>
      <c r="F2" s="3" t="s">
        <v>14</v>
      </c>
      <c r="G2" s="30">
        <v>1000</v>
      </c>
      <c r="H2" s="26">
        <v>44025</v>
      </c>
      <c r="I2" s="26">
        <v>44950</v>
      </c>
      <c r="J2" s="126" t="s">
        <v>107</v>
      </c>
      <c r="K2" s="39">
        <v>1200005528</v>
      </c>
      <c r="L2" s="14" t="s">
        <v>49</v>
      </c>
      <c r="M2" s="41">
        <v>2100004039</v>
      </c>
      <c r="N2" s="122" t="str">
        <f>IF(ISBLANK(M2),"",VLOOKUP(M2,ED!C$2:E$98,3,FALSE))</f>
        <v>Individuel</v>
      </c>
      <c r="O2" s="44">
        <v>5110019239</v>
      </c>
      <c r="P2" s="32">
        <v>1000</v>
      </c>
      <c r="Q2" s="123">
        <v>44099</v>
      </c>
      <c r="R2" s="1" t="s">
        <v>141</v>
      </c>
      <c r="S2" s="1" t="s">
        <v>51</v>
      </c>
      <c r="T2" s="159"/>
    </row>
    <row r="3" spans="1:20" ht="22.5" x14ac:dyDescent="0.25">
      <c r="A3" s="159"/>
      <c r="B3" s="66">
        <v>0</v>
      </c>
      <c r="C3" s="1" t="s">
        <v>113</v>
      </c>
      <c r="D3" s="24" t="s">
        <v>23</v>
      </c>
      <c r="E3" s="28" t="s">
        <v>14</v>
      </c>
      <c r="F3" s="3" t="s">
        <v>14</v>
      </c>
      <c r="G3" s="30">
        <v>1000</v>
      </c>
      <c r="H3" s="26">
        <v>44175</v>
      </c>
      <c r="I3" s="26">
        <v>44951</v>
      </c>
      <c r="J3" s="126" t="s">
        <v>106</v>
      </c>
      <c r="K3" s="39">
        <v>1200009691</v>
      </c>
      <c r="L3" s="14" t="s">
        <v>54</v>
      </c>
      <c r="M3" s="41">
        <v>2100006056</v>
      </c>
      <c r="N3" s="122" t="str">
        <f>IF(ISBLANK(M3),"",VLOOKUP(M3,ED!C$2:E$98,3,FALSE))</f>
        <v>Individuel</v>
      </c>
      <c r="O3" s="44">
        <v>5110010753</v>
      </c>
      <c r="P3" s="32">
        <v>1000</v>
      </c>
      <c r="Q3" s="123">
        <v>44322</v>
      </c>
      <c r="R3" s="1" t="s">
        <v>142</v>
      </c>
      <c r="S3" s="1" t="s">
        <v>51</v>
      </c>
      <c r="T3" s="159"/>
    </row>
    <row r="4" spans="1:20" x14ac:dyDescent="0.25">
      <c r="A4" s="159"/>
      <c r="B4" s="66">
        <v>1</v>
      </c>
      <c r="C4" s="1" t="s">
        <v>114</v>
      </c>
      <c r="D4" s="24" t="s">
        <v>9</v>
      </c>
      <c r="E4" s="28" t="s">
        <v>14</v>
      </c>
      <c r="F4" s="2" t="s">
        <v>14</v>
      </c>
      <c r="G4" s="30">
        <v>1000</v>
      </c>
      <c r="H4" s="26">
        <v>44356</v>
      </c>
      <c r="I4" s="169">
        <v>44952</v>
      </c>
      <c r="J4" s="166" t="s">
        <v>96</v>
      </c>
      <c r="K4" s="39">
        <v>1200012773</v>
      </c>
      <c r="L4" s="14" t="s">
        <v>44</v>
      </c>
      <c r="M4" s="42">
        <v>2200001845</v>
      </c>
      <c r="N4" s="122" t="str">
        <f>IF(ISBLANK(M4),"",VLOOKUP(M4,ED!C$2:E$98,3,FALSE))</f>
        <v>Provisionnel</v>
      </c>
      <c r="O4" s="125">
        <v>5120019862</v>
      </c>
      <c r="P4" s="160">
        <v>1000</v>
      </c>
      <c r="Q4" s="123">
        <v>44407</v>
      </c>
      <c r="R4" s="1" t="s">
        <v>143</v>
      </c>
      <c r="S4" s="1" t="s">
        <v>51</v>
      </c>
      <c r="T4" s="159"/>
    </row>
    <row r="5" spans="1:20" x14ac:dyDescent="0.25">
      <c r="A5" s="159"/>
      <c r="B5" s="66">
        <v>1</v>
      </c>
      <c r="C5" s="1" t="s">
        <v>115</v>
      </c>
      <c r="D5" s="24" t="s">
        <v>9</v>
      </c>
      <c r="E5" s="28" t="s">
        <v>14</v>
      </c>
      <c r="F5" s="2" t="s">
        <v>14</v>
      </c>
      <c r="G5" s="30">
        <v>1000</v>
      </c>
      <c r="H5" s="26">
        <v>44356</v>
      </c>
      <c r="I5" s="170"/>
      <c r="J5" s="167"/>
      <c r="K5" s="39">
        <v>1200012773</v>
      </c>
      <c r="L5" s="14" t="s">
        <v>44</v>
      </c>
      <c r="M5" s="42">
        <v>2200001845</v>
      </c>
      <c r="N5" s="122" t="str">
        <f>IF(ISBLANK(M5),"",VLOOKUP(M5,ED!C$2:E$98,3,FALSE))</f>
        <v>Provisionnel</v>
      </c>
      <c r="O5" s="125">
        <v>5120019862</v>
      </c>
      <c r="P5" s="161"/>
      <c r="Q5" s="123">
        <v>44397</v>
      </c>
      <c r="R5" s="1" t="s">
        <v>144</v>
      </c>
      <c r="S5" s="1" t="s">
        <v>51</v>
      </c>
      <c r="T5" s="159"/>
    </row>
    <row r="6" spans="1:20" x14ac:dyDescent="0.25">
      <c r="A6" s="159"/>
      <c r="B6" s="66">
        <v>1</v>
      </c>
      <c r="C6" s="1" t="s">
        <v>116</v>
      </c>
      <c r="D6" s="24" t="s">
        <v>9</v>
      </c>
      <c r="E6" s="28" t="s">
        <v>14</v>
      </c>
      <c r="F6" s="3" t="s">
        <v>14</v>
      </c>
      <c r="G6" s="30">
        <v>1000</v>
      </c>
      <c r="H6" s="26">
        <v>44356</v>
      </c>
      <c r="I6" s="170"/>
      <c r="J6" s="167"/>
      <c r="K6" s="39">
        <v>1200012773</v>
      </c>
      <c r="L6" s="14" t="s">
        <v>44</v>
      </c>
      <c r="M6" s="42">
        <v>2200001845</v>
      </c>
      <c r="N6" s="122" t="str">
        <f>IF(ISBLANK(M6),"",VLOOKUP(M6,ED!C$2:E$98,3,FALSE))</f>
        <v>Provisionnel</v>
      </c>
      <c r="O6" s="125">
        <v>5120019862</v>
      </c>
      <c r="P6" s="161"/>
      <c r="Q6" s="123">
        <v>44397</v>
      </c>
      <c r="R6" s="1" t="s">
        <v>145</v>
      </c>
      <c r="S6" s="1" t="s">
        <v>51</v>
      </c>
      <c r="T6" s="159"/>
    </row>
    <row r="7" spans="1:20" x14ac:dyDescent="0.25">
      <c r="A7" s="159"/>
      <c r="B7" s="66">
        <v>1</v>
      </c>
      <c r="C7" s="1" t="s">
        <v>117</v>
      </c>
      <c r="D7" s="24" t="s">
        <v>9</v>
      </c>
      <c r="E7" s="28" t="s">
        <v>14</v>
      </c>
      <c r="F7" s="3" t="s">
        <v>14</v>
      </c>
      <c r="G7" s="30">
        <v>1000</v>
      </c>
      <c r="H7" s="26">
        <v>44356</v>
      </c>
      <c r="I7" s="170"/>
      <c r="J7" s="167"/>
      <c r="K7" s="39">
        <v>1200012773</v>
      </c>
      <c r="L7" s="14" t="s">
        <v>44</v>
      </c>
      <c r="M7" s="42">
        <v>2200001845</v>
      </c>
      <c r="N7" s="122" t="str">
        <f>IF(ISBLANK(M7),"",VLOOKUP(M7,ED!C$2:E$98,3,FALSE))</f>
        <v>Provisionnel</v>
      </c>
      <c r="O7" s="125">
        <v>5120019862</v>
      </c>
      <c r="P7" s="161"/>
      <c r="Q7" s="123">
        <v>44397</v>
      </c>
      <c r="R7" s="1" t="s">
        <v>146</v>
      </c>
      <c r="S7" s="1" t="s">
        <v>51</v>
      </c>
      <c r="T7" s="159"/>
    </row>
    <row r="8" spans="1:20" x14ac:dyDescent="0.25">
      <c r="A8" s="159"/>
      <c r="B8" s="66">
        <v>1</v>
      </c>
      <c r="C8" s="1" t="s">
        <v>118</v>
      </c>
      <c r="D8" s="24" t="s">
        <v>9</v>
      </c>
      <c r="E8" s="28" t="s">
        <v>14</v>
      </c>
      <c r="F8" s="3" t="s">
        <v>14</v>
      </c>
      <c r="G8" s="30">
        <v>1000</v>
      </c>
      <c r="H8" s="26">
        <v>44356</v>
      </c>
      <c r="I8" s="171"/>
      <c r="J8" s="168"/>
      <c r="K8" s="39">
        <v>1200012773</v>
      </c>
      <c r="L8" s="14" t="s">
        <v>44</v>
      </c>
      <c r="M8" s="42">
        <v>2200001845</v>
      </c>
      <c r="N8" s="122" t="str">
        <f>IF(ISBLANK(M8),"",VLOOKUP(M8,ED!C$2:E$98,3,FALSE))</f>
        <v>Provisionnel</v>
      </c>
      <c r="O8" s="44">
        <v>5120019862</v>
      </c>
      <c r="P8" s="162"/>
      <c r="Q8" s="123">
        <v>44397</v>
      </c>
      <c r="R8" s="1" t="s">
        <v>147</v>
      </c>
      <c r="S8" s="1" t="s">
        <v>51</v>
      </c>
      <c r="T8" s="159"/>
    </row>
    <row r="9" spans="1:20" x14ac:dyDescent="0.25">
      <c r="A9" s="159"/>
      <c r="B9" s="66">
        <v>2</v>
      </c>
      <c r="C9" s="1" t="s">
        <v>119</v>
      </c>
      <c r="D9" s="24" t="s">
        <v>9</v>
      </c>
      <c r="E9" s="28">
        <v>44362</v>
      </c>
      <c r="F9" s="3" t="s">
        <v>43</v>
      </c>
      <c r="G9" s="30">
        <v>1000</v>
      </c>
      <c r="H9" s="26">
        <v>44356</v>
      </c>
      <c r="I9" s="169">
        <v>44953</v>
      </c>
      <c r="J9" s="166" t="s">
        <v>105</v>
      </c>
      <c r="K9" s="39">
        <v>1200013227</v>
      </c>
      <c r="L9" s="14" t="s">
        <v>45</v>
      </c>
      <c r="M9" s="42">
        <v>2200001845</v>
      </c>
      <c r="N9" s="122" t="str">
        <f>IF(ISBLANK(M9),"",VLOOKUP(M9,ED!C$2:E$98,3,FALSE))</f>
        <v>Provisionnel</v>
      </c>
      <c r="O9" s="163">
        <v>5120020839</v>
      </c>
      <c r="P9" s="160">
        <v>1000</v>
      </c>
      <c r="Q9" s="123">
        <v>44454</v>
      </c>
      <c r="R9" s="1" t="s">
        <v>148</v>
      </c>
      <c r="S9" s="1" t="s">
        <v>51</v>
      </c>
      <c r="T9" s="159"/>
    </row>
    <row r="10" spans="1:20" x14ac:dyDescent="0.25">
      <c r="A10" s="159"/>
      <c r="B10" s="66">
        <v>2</v>
      </c>
      <c r="C10" s="1" t="s">
        <v>120</v>
      </c>
      <c r="D10" s="24" t="s">
        <v>9</v>
      </c>
      <c r="E10" s="28">
        <v>44362</v>
      </c>
      <c r="F10" s="3" t="s">
        <v>43</v>
      </c>
      <c r="G10" s="30">
        <v>1000</v>
      </c>
      <c r="H10" s="26">
        <v>44378</v>
      </c>
      <c r="I10" s="170"/>
      <c r="J10" s="167"/>
      <c r="K10" s="39">
        <v>1200013227</v>
      </c>
      <c r="L10" s="14" t="s">
        <v>45</v>
      </c>
      <c r="M10" s="42">
        <v>2200001845</v>
      </c>
      <c r="N10" s="122" t="str">
        <f>IF(ISBLANK(M10),"",VLOOKUP(M10,ED!C$2:E$98,3,FALSE))</f>
        <v>Provisionnel</v>
      </c>
      <c r="O10" s="164"/>
      <c r="P10" s="161"/>
      <c r="Q10" s="123">
        <v>44414</v>
      </c>
      <c r="R10" s="1" t="s">
        <v>149</v>
      </c>
      <c r="S10" s="1" t="s">
        <v>51</v>
      </c>
      <c r="T10" s="159"/>
    </row>
    <row r="11" spans="1:20" x14ac:dyDescent="0.25">
      <c r="A11" s="159"/>
      <c r="B11" s="66">
        <v>2</v>
      </c>
      <c r="C11" s="1" t="s">
        <v>121</v>
      </c>
      <c r="D11" s="24" t="s">
        <v>9</v>
      </c>
      <c r="E11" s="28">
        <v>44362</v>
      </c>
      <c r="F11" s="3" t="s">
        <v>43</v>
      </c>
      <c r="G11" s="30">
        <v>1000</v>
      </c>
      <c r="H11" s="26">
        <v>44378</v>
      </c>
      <c r="I11" s="170"/>
      <c r="J11" s="167"/>
      <c r="K11" s="39">
        <v>1200013227</v>
      </c>
      <c r="L11" s="14" t="s">
        <v>45</v>
      </c>
      <c r="M11" s="42">
        <v>2200001845</v>
      </c>
      <c r="N11" s="122" t="str">
        <f>IF(ISBLANK(M11),"",VLOOKUP(M11,ED!C$2:E$98,3,FALSE))</f>
        <v>Provisionnel</v>
      </c>
      <c r="O11" s="164"/>
      <c r="P11" s="161"/>
      <c r="Q11" s="123">
        <v>44414</v>
      </c>
      <c r="R11" s="1" t="s">
        <v>150</v>
      </c>
      <c r="S11" s="1" t="s">
        <v>51</v>
      </c>
      <c r="T11" s="159"/>
    </row>
    <row r="12" spans="1:20" ht="25.5" customHeight="1" x14ac:dyDescent="0.25">
      <c r="A12" s="159"/>
      <c r="B12" s="66">
        <v>2</v>
      </c>
      <c r="C12" s="1" t="s">
        <v>122</v>
      </c>
      <c r="D12" s="24" t="s">
        <v>9</v>
      </c>
      <c r="E12" s="28">
        <v>44362</v>
      </c>
      <c r="F12" s="3" t="s">
        <v>43</v>
      </c>
      <c r="G12" s="30">
        <v>1000</v>
      </c>
      <c r="H12" s="26">
        <v>44378</v>
      </c>
      <c r="I12" s="170"/>
      <c r="J12" s="167"/>
      <c r="K12" s="39">
        <v>1200013227</v>
      </c>
      <c r="L12" s="14" t="s">
        <v>45</v>
      </c>
      <c r="M12" s="42">
        <v>2200001845</v>
      </c>
      <c r="N12" s="122" t="str">
        <f>IF(ISBLANK(M12),"",VLOOKUP(M12,ED!C$2:E$98,3,FALSE))</f>
        <v>Provisionnel</v>
      </c>
      <c r="O12" s="164"/>
      <c r="P12" s="161"/>
      <c r="Q12" s="123">
        <v>44414</v>
      </c>
      <c r="R12" s="1" t="s">
        <v>151</v>
      </c>
      <c r="S12" s="1" t="s">
        <v>51</v>
      </c>
      <c r="T12" s="159"/>
    </row>
    <row r="13" spans="1:20" x14ac:dyDescent="0.25">
      <c r="A13" s="159"/>
      <c r="B13" s="66">
        <v>2</v>
      </c>
      <c r="C13" s="1" t="s">
        <v>123</v>
      </c>
      <c r="D13" s="24" t="s">
        <v>9</v>
      </c>
      <c r="E13" s="28">
        <v>44362</v>
      </c>
      <c r="F13" s="3" t="s">
        <v>43</v>
      </c>
      <c r="G13" s="30">
        <v>1000</v>
      </c>
      <c r="H13" s="26">
        <v>44378</v>
      </c>
      <c r="I13" s="170"/>
      <c r="J13" s="167"/>
      <c r="K13" s="39">
        <v>1200013227</v>
      </c>
      <c r="L13" s="14" t="s">
        <v>45</v>
      </c>
      <c r="M13" s="42">
        <v>2200001845</v>
      </c>
      <c r="N13" s="122" t="str">
        <f>IF(ISBLANK(M13),"",VLOOKUP(M13,ED!C$2:E$98,3,FALSE))</f>
        <v>Provisionnel</v>
      </c>
      <c r="O13" s="164"/>
      <c r="P13" s="161"/>
      <c r="Q13" s="123">
        <v>44414</v>
      </c>
      <c r="R13" s="1" t="s">
        <v>152</v>
      </c>
      <c r="S13" s="1" t="s">
        <v>51</v>
      </c>
      <c r="T13" s="159"/>
    </row>
    <row r="14" spans="1:20" x14ac:dyDescent="0.25">
      <c r="A14" s="159"/>
      <c r="B14" s="66">
        <v>2</v>
      </c>
      <c r="C14" s="1" t="s">
        <v>124</v>
      </c>
      <c r="D14" s="24" t="s">
        <v>9</v>
      </c>
      <c r="E14" s="28">
        <v>44362</v>
      </c>
      <c r="F14" s="3" t="s">
        <v>43</v>
      </c>
      <c r="G14" s="30">
        <v>1000</v>
      </c>
      <c r="H14" s="26">
        <v>44378</v>
      </c>
      <c r="I14" s="170"/>
      <c r="J14" s="167"/>
      <c r="K14" s="39">
        <v>1200013227</v>
      </c>
      <c r="L14" s="14" t="s">
        <v>45</v>
      </c>
      <c r="M14" s="42">
        <v>2200001845</v>
      </c>
      <c r="N14" s="122" t="str">
        <f>IF(ISBLANK(M14),"",VLOOKUP(M14,ED!C$2:E$98,3,FALSE))</f>
        <v>Provisionnel</v>
      </c>
      <c r="O14" s="164"/>
      <c r="P14" s="161"/>
      <c r="Q14" s="123">
        <v>44414</v>
      </c>
      <c r="R14" s="1" t="s">
        <v>153</v>
      </c>
      <c r="S14" s="1" t="s">
        <v>51</v>
      </c>
      <c r="T14" s="159"/>
    </row>
    <row r="15" spans="1:20" x14ac:dyDescent="0.25">
      <c r="A15" s="159"/>
      <c r="B15" s="66">
        <v>2</v>
      </c>
      <c r="C15" s="1" t="s">
        <v>125</v>
      </c>
      <c r="D15" s="24" t="s">
        <v>9</v>
      </c>
      <c r="E15" s="28">
        <v>44362</v>
      </c>
      <c r="F15" s="3" t="s">
        <v>43</v>
      </c>
      <c r="G15" s="30">
        <v>1000</v>
      </c>
      <c r="H15" s="26">
        <v>44378</v>
      </c>
      <c r="I15" s="170"/>
      <c r="J15" s="167"/>
      <c r="K15" s="39">
        <v>1200013227</v>
      </c>
      <c r="L15" s="14" t="s">
        <v>45</v>
      </c>
      <c r="M15" s="42">
        <v>2200001845</v>
      </c>
      <c r="N15" s="122" t="str">
        <f>IF(ISBLANK(M15),"",VLOOKUP(M15,ED!C$2:E$98,3,FALSE))</f>
        <v>Provisionnel</v>
      </c>
      <c r="O15" s="164"/>
      <c r="P15" s="161"/>
      <c r="Q15" s="123">
        <v>44414</v>
      </c>
      <c r="R15" s="1" t="s">
        <v>154</v>
      </c>
      <c r="S15" s="23" t="s">
        <v>51</v>
      </c>
      <c r="T15" s="159"/>
    </row>
    <row r="16" spans="1:20" x14ac:dyDescent="0.25">
      <c r="A16" s="159"/>
      <c r="B16" s="66">
        <v>2</v>
      </c>
      <c r="C16" s="1" t="s">
        <v>126</v>
      </c>
      <c r="D16" s="24" t="s">
        <v>9</v>
      </c>
      <c r="E16" s="28">
        <v>44362</v>
      </c>
      <c r="F16" s="3" t="s">
        <v>43</v>
      </c>
      <c r="G16" s="30">
        <v>1000</v>
      </c>
      <c r="H16" s="26">
        <v>44378</v>
      </c>
      <c r="I16" s="170"/>
      <c r="J16" s="167"/>
      <c r="K16" s="39">
        <v>1200013227</v>
      </c>
      <c r="L16" s="14" t="s">
        <v>45</v>
      </c>
      <c r="M16" s="42">
        <v>2200001845</v>
      </c>
      <c r="N16" s="122" t="str">
        <f>IF(ISBLANK(M16),"",VLOOKUP(M16,ED!C$2:E$98,3,FALSE))</f>
        <v>Provisionnel</v>
      </c>
      <c r="O16" s="164"/>
      <c r="P16" s="161"/>
      <c r="Q16" s="123">
        <v>44414</v>
      </c>
      <c r="R16" s="1" t="s">
        <v>155</v>
      </c>
      <c r="S16" s="1" t="s">
        <v>51</v>
      </c>
      <c r="T16" s="159"/>
    </row>
    <row r="17" spans="1:20" x14ac:dyDescent="0.25">
      <c r="A17" s="159"/>
      <c r="B17" s="66">
        <v>2</v>
      </c>
      <c r="C17" s="1" t="s">
        <v>127</v>
      </c>
      <c r="D17" s="24" t="s">
        <v>9</v>
      </c>
      <c r="E17" s="28">
        <v>44362</v>
      </c>
      <c r="F17" s="3" t="s">
        <v>43</v>
      </c>
      <c r="G17" s="30">
        <v>1000</v>
      </c>
      <c r="H17" s="26">
        <v>44378</v>
      </c>
      <c r="I17" s="170"/>
      <c r="J17" s="167"/>
      <c r="K17" s="39">
        <v>1200013227</v>
      </c>
      <c r="L17" s="14" t="s">
        <v>45</v>
      </c>
      <c r="M17" s="42">
        <v>2200001845</v>
      </c>
      <c r="N17" s="122" t="str">
        <f>IF(ISBLANK(M17),"",VLOOKUP(M17,ED!C$2:E$98,3,FALSE))</f>
        <v>Provisionnel</v>
      </c>
      <c r="O17" s="164"/>
      <c r="P17" s="161"/>
      <c r="Q17" s="123">
        <v>44454</v>
      </c>
      <c r="R17" s="1" t="s">
        <v>156</v>
      </c>
      <c r="S17" s="1" t="s">
        <v>51</v>
      </c>
      <c r="T17" s="159"/>
    </row>
    <row r="18" spans="1:20" x14ac:dyDescent="0.25">
      <c r="A18" s="159"/>
      <c r="B18" s="66">
        <v>2</v>
      </c>
      <c r="C18" s="1" t="s">
        <v>128</v>
      </c>
      <c r="D18" s="24" t="s">
        <v>9</v>
      </c>
      <c r="E18" s="28">
        <v>44362</v>
      </c>
      <c r="F18" s="3" t="s">
        <v>43</v>
      </c>
      <c r="G18" s="30">
        <v>1000</v>
      </c>
      <c r="H18" s="26">
        <v>44378</v>
      </c>
      <c r="I18" s="170"/>
      <c r="J18" s="167"/>
      <c r="K18" s="39">
        <v>1200013227</v>
      </c>
      <c r="L18" s="14" t="s">
        <v>45</v>
      </c>
      <c r="M18" s="42">
        <v>2200001845</v>
      </c>
      <c r="N18" s="122" t="str">
        <f>IF(ISBLANK(M18),"",VLOOKUP(M18,ED!C$2:E$98,3,FALSE))</f>
        <v>Provisionnel</v>
      </c>
      <c r="O18" s="164"/>
      <c r="P18" s="161"/>
      <c r="Q18" s="123">
        <v>44566</v>
      </c>
      <c r="R18" s="1" t="s">
        <v>157</v>
      </c>
      <c r="S18" s="1" t="s">
        <v>51</v>
      </c>
      <c r="T18" s="159"/>
    </row>
    <row r="19" spans="1:20" ht="22.5" x14ac:dyDescent="0.25">
      <c r="A19" s="159"/>
      <c r="B19" s="66">
        <v>2</v>
      </c>
      <c r="C19" s="1" t="s">
        <v>129</v>
      </c>
      <c r="D19" s="24" t="s">
        <v>23</v>
      </c>
      <c r="E19" s="28">
        <v>44362</v>
      </c>
      <c r="F19" s="3" t="s">
        <v>43</v>
      </c>
      <c r="G19" s="30">
        <v>1000</v>
      </c>
      <c r="H19" s="26">
        <v>44378</v>
      </c>
      <c r="I19" s="170"/>
      <c r="J19" s="167"/>
      <c r="K19" s="39">
        <v>1200013227</v>
      </c>
      <c r="L19" s="14" t="s">
        <v>45</v>
      </c>
      <c r="M19" s="41">
        <v>2200001845</v>
      </c>
      <c r="N19" s="122" t="str">
        <f>IF(ISBLANK(M19),"",VLOOKUP(M19,ED!C$2:E$98,3,FALSE))</f>
        <v>Provisionnel</v>
      </c>
      <c r="O19" s="164"/>
      <c r="P19" s="161"/>
      <c r="Q19" s="123">
        <v>44454</v>
      </c>
      <c r="R19" s="1" t="s">
        <v>158</v>
      </c>
      <c r="S19" s="1" t="s">
        <v>51</v>
      </c>
      <c r="T19" s="159"/>
    </row>
    <row r="20" spans="1:20" ht="22.5" x14ac:dyDescent="0.25">
      <c r="A20" s="159"/>
      <c r="B20" s="66">
        <v>2</v>
      </c>
      <c r="C20" s="1" t="s">
        <v>130</v>
      </c>
      <c r="D20" s="24" t="s">
        <v>23</v>
      </c>
      <c r="E20" s="28">
        <v>44362</v>
      </c>
      <c r="F20" s="3" t="s">
        <v>43</v>
      </c>
      <c r="G20" s="30">
        <v>1000</v>
      </c>
      <c r="H20" s="26">
        <v>44378</v>
      </c>
      <c r="I20" s="170"/>
      <c r="J20" s="167"/>
      <c r="K20" s="39">
        <v>1200013227</v>
      </c>
      <c r="L20" s="14" t="s">
        <v>45</v>
      </c>
      <c r="M20" s="41">
        <v>2200001845</v>
      </c>
      <c r="N20" s="122" t="str">
        <f>IF(ISBLANK(M20),"",VLOOKUP(M20,ED!C$2:E$98,3,FALSE))</f>
        <v>Provisionnel</v>
      </c>
      <c r="O20" s="164"/>
      <c r="P20" s="161"/>
      <c r="Q20" s="123">
        <v>44414</v>
      </c>
      <c r="R20" s="1" t="s">
        <v>159</v>
      </c>
      <c r="S20" s="1" t="s">
        <v>51</v>
      </c>
      <c r="T20" s="159"/>
    </row>
    <row r="21" spans="1:20" x14ac:dyDescent="0.25">
      <c r="A21" s="159"/>
      <c r="B21" s="66">
        <v>2</v>
      </c>
      <c r="C21" s="1" t="s">
        <v>131</v>
      </c>
      <c r="D21" s="24" t="s">
        <v>9</v>
      </c>
      <c r="E21" s="28">
        <v>44362</v>
      </c>
      <c r="F21" s="3" t="s">
        <v>43</v>
      </c>
      <c r="G21" s="30">
        <v>1000</v>
      </c>
      <c r="H21" s="26">
        <v>44378</v>
      </c>
      <c r="I21" s="171"/>
      <c r="J21" s="168"/>
      <c r="K21" s="39">
        <v>1200013227</v>
      </c>
      <c r="L21" s="14" t="s">
        <v>45</v>
      </c>
      <c r="M21" s="41">
        <v>2200001845</v>
      </c>
      <c r="N21" s="122" t="str">
        <f>IF(ISBLANK(M21),"",VLOOKUP(M21,ED!C$2:E$98,3,FALSE))</f>
        <v>Provisionnel</v>
      </c>
      <c r="O21" s="165"/>
      <c r="P21" s="162"/>
      <c r="Q21" s="123">
        <v>44482</v>
      </c>
      <c r="R21" s="1" t="s">
        <v>160</v>
      </c>
      <c r="S21" s="1" t="s">
        <v>51</v>
      </c>
      <c r="T21" s="159"/>
    </row>
    <row r="22" spans="1:20" x14ac:dyDescent="0.25">
      <c r="A22" s="159"/>
      <c r="B22" s="66"/>
      <c r="C22" s="1" t="s">
        <v>132</v>
      </c>
      <c r="D22" s="24" t="s">
        <v>9</v>
      </c>
      <c r="E22" s="28">
        <v>44228</v>
      </c>
      <c r="F22" s="2" t="s">
        <v>42</v>
      </c>
      <c r="G22" s="30">
        <v>1000</v>
      </c>
      <c r="H22" s="74" t="s">
        <v>46</v>
      </c>
      <c r="I22" s="74"/>
      <c r="J22" s="127"/>
      <c r="K22" s="75" t="s">
        <v>47</v>
      </c>
      <c r="L22" s="76" t="s">
        <v>48</v>
      </c>
      <c r="M22" s="41"/>
      <c r="N22" s="122" t="str">
        <f>IF(ISBLANK(M22),"",VLOOKUP(M22,ED!C$2:E$98,3,FALSE))</f>
        <v/>
      </c>
      <c r="O22" s="125"/>
      <c r="P22" s="32"/>
      <c r="Q22" s="124" t="str">
        <f t="shared" ref="Q22" si="0">IF(ISBLANK(K22),"","En attente...")</f>
        <v>En attente...</v>
      </c>
      <c r="R22" s="1" t="s">
        <v>161</v>
      </c>
      <c r="S22" s="1"/>
      <c r="T22" s="159"/>
    </row>
    <row r="23" spans="1:20" ht="22.5" x14ac:dyDescent="0.25">
      <c r="A23" s="159"/>
      <c r="B23" s="66">
        <v>3</v>
      </c>
      <c r="C23" s="1" t="s">
        <v>133</v>
      </c>
      <c r="D23" s="24" t="s">
        <v>23</v>
      </c>
      <c r="E23" s="28">
        <v>44466</v>
      </c>
      <c r="F23" s="3" t="s">
        <v>50</v>
      </c>
      <c r="G23" s="30">
        <v>1000</v>
      </c>
      <c r="H23" s="26">
        <v>44475</v>
      </c>
      <c r="I23" s="26">
        <v>44954</v>
      </c>
      <c r="J23" s="126" t="s">
        <v>104</v>
      </c>
      <c r="K23" s="39">
        <v>1200015161</v>
      </c>
      <c r="L23" s="14" t="s">
        <v>53</v>
      </c>
      <c r="M23" s="41">
        <v>2200001845</v>
      </c>
      <c r="N23" s="122" t="str">
        <f>IF(ISBLANK(M23),"",VLOOKUP(M23,ED!C$2:E$98,3,FALSE))</f>
        <v>Provisionnel</v>
      </c>
      <c r="O23" s="44">
        <v>5110021443</v>
      </c>
      <c r="P23" s="32">
        <v>1000</v>
      </c>
      <c r="Q23" s="123">
        <v>44510</v>
      </c>
      <c r="R23" s="1" t="s">
        <v>162</v>
      </c>
      <c r="S23" s="1" t="s">
        <v>51</v>
      </c>
      <c r="T23" s="159"/>
    </row>
    <row r="24" spans="1:20" ht="22.5" x14ac:dyDescent="0.25">
      <c r="A24" s="159"/>
      <c r="B24" s="66">
        <v>4</v>
      </c>
      <c r="C24" s="1" t="s">
        <v>134</v>
      </c>
      <c r="D24" s="24" t="s">
        <v>23</v>
      </c>
      <c r="E24" s="28">
        <v>44502</v>
      </c>
      <c r="F24" s="3" t="s">
        <v>62</v>
      </c>
      <c r="G24" s="30">
        <v>1000</v>
      </c>
      <c r="H24" s="26">
        <v>44504</v>
      </c>
      <c r="I24" s="26">
        <v>44955</v>
      </c>
      <c r="J24" s="126" t="s">
        <v>103</v>
      </c>
      <c r="K24" s="39">
        <v>1200015873</v>
      </c>
      <c r="L24" s="14" t="s">
        <v>60</v>
      </c>
      <c r="M24" s="41">
        <v>2200001845</v>
      </c>
      <c r="N24" s="122" t="str">
        <f>IF(ISBLANK(M24),"",VLOOKUP(M24,ED!C$2:E$98,3,FALSE))</f>
        <v>Provisionnel</v>
      </c>
      <c r="O24" s="44">
        <v>5120009235</v>
      </c>
      <c r="P24" s="32">
        <v>1000</v>
      </c>
      <c r="Q24" s="123">
        <v>44536</v>
      </c>
      <c r="R24" s="1" t="s">
        <v>163</v>
      </c>
      <c r="S24" s="38" t="s">
        <v>51</v>
      </c>
      <c r="T24" s="159"/>
    </row>
    <row r="25" spans="1:20" x14ac:dyDescent="0.25">
      <c r="A25" s="159"/>
      <c r="B25" s="66">
        <v>5</v>
      </c>
      <c r="C25" s="1" t="s">
        <v>135</v>
      </c>
      <c r="D25" s="24" t="s">
        <v>9</v>
      </c>
      <c r="E25" s="28">
        <v>44524</v>
      </c>
      <c r="F25" s="3" t="s">
        <v>63</v>
      </c>
      <c r="G25" s="30">
        <v>1000</v>
      </c>
      <c r="H25" s="26">
        <v>44536</v>
      </c>
      <c r="I25" s="26">
        <v>44956</v>
      </c>
      <c r="J25" s="126" t="s">
        <v>102</v>
      </c>
      <c r="K25" s="39">
        <v>1200016480</v>
      </c>
      <c r="L25" s="14" t="s">
        <v>61</v>
      </c>
      <c r="M25" s="41">
        <v>2200001845</v>
      </c>
      <c r="N25" s="122" t="str">
        <f>IF(ISBLANK(M25),"",VLOOKUP(M25,ED!C$2:E$98,3,FALSE))</f>
        <v>Provisionnel</v>
      </c>
      <c r="O25" s="44">
        <v>5120020838</v>
      </c>
      <c r="P25" s="32">
        <v>1000</v>
      </c>
      <c r="Q25" s="123">
        <v>44536</v>
      </c>
      <c r="R25" s="1" t="s">
        <v>164</v>
      </c>
      <c r="S25" s="1" t="s">
        <v>51</v>
      </c>
      <c r="T25" s="159"/>
    </row>
    <row r="26" spans="1:20" x14ac:dyDescent="0.25">
      <c r="A26" s="159"/>
      <c r="B26" s="66">
        <v>6</v>
      </c>
      <c r="C26" s="1" t="s">
        <v>136</v>
      </c>
      <c r="D26" s="24" t="s">
        <v>9</v>
      </c>
      <c r="E26" s="28">
        <v>44638</v>
      </c>
      <c r="F26" s="3" t="s">
        <v>64</v>
      </c>
      <c r="G26" s="30">
        <v>1000</v>
      </c>
      <c r="H26" s="26">
        <v>44659</v>
      </c>
      <c r="I26" s="26">
        <v>44957</v>
      </c>
      <c r="J26" s="126" t="s">
        <v>101</v>
      </c>
      <c r="K26" s="39">
        <v>1200018901</v>
      </c>
      <c r="L26" s="14" t="s">
        <v>75</v>
      </c>
      <c r="M26" s="41">
        <v>2200002642</v>
      </c>
      <c r="N26" s="122" t="str">
        <f>IF(ISBLANK(M26),"",VLOOKUP(M26,ED!C$2:E$98,3,FALSE))</f>
        <v>Provisionnel</v>
      </c>
      <c r="O26" s="44">
        <v>512009345</v>
      </c>
      <c r="P26" s="32">
        <v>1000</v>
      </c>
      <c r="Q26" s="123">
        <v>44677</v>
      </c>
      <c r="R26" s="1" t="s">
        <v>165</v>
      </c>
      <c r="S26" s="1" t="s">
        <v>51</v>
      </c>
      <c r="T26" s="159"/>
    </row>
    <row r="27" spans="1:20" x14ac:dyDescent="0.25">
      <c r="A27" s="159"/>
      <c r="B27" s="66">
        <v>7</v>
      </c>
      <c r="C27" s="1" t="s">
        <v>137</v>
      </c>
      <c r="D27" s="24" t="s">
        <v>81</v>
      </c>
      <c r="E27" s="28" t="s">
        <v>14</v>
      </c>
      <c r="F27" s="3" t="s">
        <v>14</v>
      </c>
      <c r="G27" s="30">
        <v>1000</v>
      </c>
      <c r="H27" s="26">
        <v>44699</v>
      </c>
      <c r="I27" s="26">
        <v>44958</v>
      </c>
      <c r="J27" s="126" t="s">
        <v>100</v>
      </c>
      <c r="K27" s="39">
        <v>1200020681</v>
      </c>
      <c r="L27" s="14" t="s">
        <v>76</v>
      </c>
      <c r="M27" s="41">
        <v>2200002642</v>
      </c>
      <c r="N27" s="122" t="str">
        <f>IF(ISBLANK(M27),"",VLOOKUP(M27,ED!C$2:E$98,3,FALSE))</f>
        <v>Provisionnel</v>
      </c>
      <c r="O27" s="44"/>
      <c r="P27" s="32">
        <v>1000</v>
      </c>
      <c r="Q27" s="123">
        <v>44735</v>
      </c>
      <c r="R27" s="1" t="s">
        <v>166</v>
      </c>
      <c r="S27" s="1"/>
      <c r="T27" s="159"/>
    </row>
    <row r="28" spans="1:20" ht="22.5" x14ac:dyDescent="0.25">
      <c r="A28" s="159"/>
      <c r="B28" s="66">
        <v>8</v>
      </c>
      <c r="C28" s="1" t="s">
        <v>138</v>
      </c>
      <c r="D28" s="24" t="s">
        <v>23</v>
      </c>
      <c r="E28" s="28">
        <v>44777</v>
      </c>
      <c r="F28" s="3" t="s">
        <v>82</v>
      </c>
      <c r="G28" s="30">
        <v>1000</v>
      </c>
      <c r="H28" s="26">
        <v>44798</v>
      </c>
      <c r="I28" s="26">
        <v>44959</v>
      </c>
      <c r="J28" s="126" t="s">
        <v>99</v>
      </c>
      <c r="K28" s="39">
        <v>1200022851</v>
      </c>
      <c r="L28" s="14" t="s">
        <v>85</v>
      </c>
      <c r="M28" s="41">
        <v>2100012869</v>
      </c>
      <c r="N28" s="122" t="str">
        <f>IF(ISBLANK(M28),"",VLOOKUP(M28,ED!C$2:E$98,3,FALSE))</f>
        <v>Individuel</v>
      </c>
      <c r="O28" s="44"/>
      <c r="P28" s="32">
        <v>1000</v>
      </c>
      <c r="Q28" s="123">
        <v>44872</v>
      </c>
      <c r="R28" s="1" t="s">
        <v>167</v>
      </c>
      <c r="S28" s="1" t="s">
        <v>51</v>
      </c>
      <c r="T28" s="159"/>
    </row>
    <row r="29" spans="1:20" x14ac:dyDescent="0.25">
      <c r="A29" s="159"/>
      <c r="B29" s="66">
        <v>9</v>
      </c>
      <c r="C29" s="1" t="s">
        <v>139</v>
      </c>
      <c r="D29" s="24" t="s">
        <v>9</v>
      </c>
      <c r="E29" s="28">
        <v>44784</v>
      </c>
      <c r="F29" s="3" t="s">
        <v>83</v>
      </c>
      <c r="G29" s="30">
        <v>1000</v>
      </c>
      <c r="H29" s="26">
        <v>44812</v>
      </c>
      <c r="I29" s="26">
        <v>44960</v>
      </c>
      <c r="J29" s="126" t="s">
        <v>98</v>
      </c>
      <c r="K29" s="39">
        <v>1200022958</v>
      </c>
      <c r="L29" s="14" t="s">
        <v>86</v>
      </c>
      <c r="M29" s="41">
        <v>2200002642</v>
      </c>
      <c r="N29" s="122" t="str">
        <f>IF(ISBLANK(M29),"",VLOOKUP(M29,ED!C$2:E$98,3,FALSE))</f>
        <v>Provisionnel</v>
      </c>
      <c r="O29" s="44">
        <v>512002254</v>
      </c>
      <c r="P29" s="32">
        <v>1000</v>
      </c>
      <c r="Q29" s="123">
        <v>44847</v>
      </c>
      <c r="R29" s="1" t="s">
        <v>168</v>
      </c>
      <c r="S29" s="1"/>
      <c r="T29" s="159"/>
    </row>
    <row r="30" spans="1:20" x14ac:dyDescent="0.25">
      <c r="A30" s="159"/>
      <c r="B30" s="66">
        <v>10</v>
      </c>
      <c r="C30" s="1" t="s">
        <v>140</v>
      </c>
      <c r="D30" s="24" t="s">
        <v>81</v>
      </c>
      <c r="E30" s="28">
        <v>44840</v>
      </c>
      <c r="F30" s="3" t="s">
        <v>94</v>
      </c>
      <c r="G30" s="30">
        <v>1000</v>
      </c>
      <c r="H30" s="26">
        <v>44889</v>
      </c>
      <c r="I30" s="26">
        <v>44961</v>
      </c>
      <c r="J30" s="126" t="s">
        <v>97</v>
      </c>
      <c r="K30" s="39">
        <v>1200024481</v>
      </c>
      <c r="L30" s="14" t="s">
        <v>95</v>
      </c>
      <c r="M30" s="41">
        <v>2200002642</v>
      </c>
      <c r="N30" s="122" t="str">
        <f>IF(ISBLANK(M30),"",VLOOKUP(M30,ED!C$2:E$98,3,FALSE))</f>
        <v>Provisionnel</v>
      </c>
      <c r="O30" s="44"/>
      <c r="P30" s="32"/>
      <c r="Q30" s="123">
        <v>44943</v>
      </c>
      <c r="R30" s="1" t="s">
        <v>169</v>
      </c>
      <c r="S30" s="1"/>
      <c r="T30" s="159"/>
    </row>
    <row r="31" spans="1:20" x14ac:dyDescent="0.25">
      <c r="A31" s="159"/>
      <c r="B31" s="66"/>
      <c r="C31" s="1"/>
      <c r="D31" s="24"/>
      <c r="E31" s="28"/>
      <c r="F31" s="3"/>
      <c r="G31" s="30"/>
      <c r="H31" s="26"/>
      <c r="I31" s="26"/>
      <c r="J31" s="126"/>
      <c r="K31" s="39"/>
      <c r="L31" s="18"/>
      <c r="M31" s="41"/>
      <c r="N31" s="122" t="str">
        <f>IF(ISBLANK(M31),"",VLOOKUP(M31,ED!C$2:E$98,3,FALSE))</f>
        <v/>
      </c>
      <c r="O31" s="44"/>
      <c r="P31" s="32"/>
      <c r="Q31" s="124"/>
      <c r="R31" s="1"/>
      <c r="S31" s="1"/>
      <c r="T31" s="159"/>
    </row>
    <row r="32" spans="1:20" x14ac:dyDescent="0.25">
      <c r="A32" s="159"/>
      <c r="B32" s="66"/>
      <c r="C32" s="1"/>
      <c r="D32" s="24"/>
      <c r="E32" s="28"/>
      <c r="F32" s="3"/>
      <c r="G32" s="30"/>
      <c r="H32" s="26"/>
      <c r="I32" s="26"/>
      <c r="J32" s="126"/>
      <c r="K32" s="39"/>
      <c r="L32" s="18"/>
      <c r="M32" s="41"/>
      <c r="N32" s="122" t="str">
        <f>IF(ISBLANK(M32),"",VLOOKUP(M32,ED!C$2:E$98,3,FALSE))</f>
        <v/>
      </c>
      <c r="O32" s="44"/>
      <c r="P32" s="32"/>
      <c r="Q32" s="124"/>
      <c r="R32" s="1"/>
      <c r="S32" s="1"/>
      <c r="T32" s="159"/>
    </row>
    <row r="33" spans="1:20" x14ac:dyDescent="0.25">
      <c r="A33" s="159"/>
      <c r="B33" s="66"/>
      <c r="C33" s="1"/>
      <c r="D33" s="24"/>
      <c r="E33" s="28"/>
      <c r="F33" s="3"/>
      <c r="G33" s="30"/>
      <c r="H33" s="26"/>
      <c r="I33" s="26"/>
      <c r="J33" s="126"/>
      <c r="K33" s="39"/>
      <c r="L33" s="18"/>
      <c r="M33" s="41"/>
      <c r="N33" s="122" t="str">
        <f>IF(ISBLANK(M33),"",VLOOKUP(M33,ED!C$2:E$98,3,FALSE))</f>
        <v/>
      </c>
      <c r="O33" s="44"/>
      <c r="P33" s="32"/>
      <c r="Q33" s="124"/>
      <c r="R33" s="1"/>
      <c r="S33" s="1"/>
      <c r="T33" s="159"/>
    </row>
    <row r="34" spans="1:20" x14ac:dyDescent="0.25">
      <c r="A34" s="159"/>
      <c r="B34" s="66"/>
      <c r="C34" s="1"/>
      <c r="D34" s="24"/>
      <c r="E34" s="28"/>
      <c r="F34" s="3"/>
      <c r="G34" s="30"/>
      <c r="H34" s="26"/>
      <c r="I34" s="26"/>
      <c r="J34" s="126"/>
      <c r="K34" s="39"/>
      <c r="L34" s="18"/>
      <c r="M34" s="41"/>
      <c r="N34" s="122" t="str">
        <f>IF(ISBLANK(M34),"",VLOOKUP(M34,ED!C$2:E$98,3,FALSE))</f>
        <v/>
      </c>
      <c r="O34" s="44"/>
      <c r="P34" s="32"/>
      <c r="Q34" s="124"/>
      <c r="R34" s="1"/>
      <c r="S34" s="1"/>
      <c r="T34" s="159"/>
    </row>
    <row r="35" spans="1:20" x14ac:dyDescent="0.25">
      <c r="A35" s="159"/>
      <c r="B35" s="66"/>
      <c r="C35" s="1"/>
      <c r="D35" s="24"/>
      <c r="E35" s="28"/>
      <c r="F35" s="3"/>
      <c r="G35" s="30"/>
      <c r="H35" s="26"/>
      <c r="I35" s="26"/>
      <c r="J35" s="126"/>
      <c r="K35" s="39"/>
      <c r="L35" s="18"/>
      <c r="M35" s="41"/>
      <c r="N35" s="122" t="str">
        <f>IF(ISBLANK(M35),"",VLOOKUP(M35,ED!C$2:E$98,3,FALSE))</f>
        <v/>
      </c>
      <c r="O35" s="44"/>
      <c r="P35" s="32"/>
      <c r="Q35" s="124"/>
      <c r="R35" s="1"/>
      <c r="S35" s="1"/>
      <c r="T35" s="159"/>
    </row>
    <row r="36" spans="1:20" x14ac:dyDescent="0.25">
      <c r="A36" s="159"/>
      <c r="B36" s="66"/>
      <c r="C36" s="1"/>
      <c r="D36" s="24"/>
      <c r="E36" s="28"/>
      <c r="F36" s="3"/>
      <c r="G36" s="30"/>
      <c r="H36" s="26"/>
      <c r="I36" s="26"/>
      <c r="J36" s="126"/>
      <c r="K36" s="39"/>
      <c r="L36" s="18"/>
      <c r="M36" s="41"/>
      <c r="N36" s="122" t="str">
        <f>IF(ISBLANK(M36),"",VLOOKUP(M36,ED!C$2:E$98,3,FALSE))</f>
        <v/>
      </c>
      <c r="O36" s="44"/>
      <c r="P36" s="32"/>
      <c r="Q36" s="124"/>
      <c r="R36" s="1"/>
      <c r="S36" s="1"/>
      <c r="T36" s="159"/>
    </row>
    <row r="37" spans="1:20" x14ac:dyDescent="0.25">
      <c r="A37" s="159"/>
      <c r="B37" s="66"/>
      <c r="C37" s="1"/>
      <c r="D37" s="24"/>
      <c r="E37" s="28"/>
      <c r="F37" s="3"/>
      <c r="G37" s="30"/>
      <c r="H37" s="26"/>
      <c r="I37" s="26"/>
      <c r="J37" s="126"/>
      <c r="K37" s="39"/>
      <c r="L37" s="18"/>
      <c r="M37" s="41"/>
      <c r="N37" s="122" t="str">
        <f>IF(ISBLANK(M37),"",VLOOKUP(M37,ED!C$2:E$98,3,FALSE))</f>
        <v/>
      </c>
      <c r="O37" s="44"/>
      <c r="P37" s="32"/>
      <c r="Q37" s="124"/>
      <c r="R37" s="1"/>
      <c r="S37" s="1"/>
      <c r="T37" s="159"/>
    </row>
    <row r="38" spans="1:20" x14ac:dyDescent="0.25">
      <c r="A38" s="159"/>
      <c r="B38" s="66"/>
      <c r="C38" s="1"/>
      <c r="D38" s="24"/>
      <c r="E38" s="28"/>
      <c r="F38" s="3"/>
      <c r="G38" s="30"/>
      <c r="H38" s="26"/>
      <c r="I38" s="26"/>
      <c r="J38" s="126"/>
      <c r="K38" s="39"/>
      <c r="L38" s="18"/>
      <c r="M38" s="41"/>
      <c r="N38" s="122" t="str">
        <f>IF(ISBLANK(M38),"",VLOOKUP(M38,ED!C$2:E$98,3,FALSE))</f>
        <v/>
      </c>
      <c r="O38" s="44"/>
      <c r="P38" s="32"/>
      <c r="Q38" s="124"/>
      <c r="R38" s="1"/>
      <c r="S38" s="1"/>
      <c r="T38" s="159"/>
    </row>
    <row r="39" spans="1:20" x14ac:dyDescent="0.25">
      <c r="A39" s="159"/>
      <c r="B39" s="66"/>
      <c r="C39" s="1"/>
      <c r="D39" s="24"/>
      <c r="E39" s="28"/>
      <c r="F39" s="3"/>
      <c r="G39" s="30"/>
      <c r="H39" s="26"/>
      <c r="I39" s="26"/>
      <c r="J39" s="126"/>
      <c r="K39" s="39"/>
      <c r="L39" s="18"/>
      <c r="M39" s="41"/>
      <c r="N39" s="122" t="str">
        <f>IF(ISBLANK(M39),"",VLOOKUP(M39,ED!C$2:E$98,3,FALSE))</f>
        <v/>
      </c>
      <c r="O39" s="44"/>
      <c r="P39" s="32"/>
      <c r="Q39" s="124"/>
      <c r="R39" s="1"/>
      <c r="S39" s="1"/>
      <c r="T39" s="159"/>
    </row>
    <row r="40" spans="1:20" x14ac:dyDescent="0.25">
      <c r="A40" s="159"/>
      <c r="B40" s="66"/>
      <c r="C40" s="1"/>
      <c r="D40" s="24"/>
      <c r="E40" s="28"/>
      <c r="F40" s="3"/>
      <c r="G40" s="30"/>
      <c r="H40" s="26"/>
      <c r="I40" s="26"/>
      <c r="J40" s="126"/>
      <c r="K40" s="39"/>
      <c r="L40" s="18"/>
      <c r="M40" s="41"/>
      <c r="N40" s="122" t="str">
        <f>IF(ISBLANK(M40),"",VLOOKUP(M40,ED!C$2:E$98,3,FALSE))</f>
        <v/>
      </c>
      <c r="O40" s="44"/>
      <c r="P40" s="32"/>
      <c r="Q40" s="124"/>
      <c r="R40" s="1"/>
      <c r="S40" s="1"/>
      <c r="T40" s="159"/>
    </row>
    <row r="41" spans="1:20" x14ac:dyDescent="0.25">
      <c r="A41" s="159"/>
      <c r="B41" s="66"/>
      <c r="C41" s="1"/>
      <c r="D41" s="24"/>
      <c r="E41" s="28"/>
      <c r="F41" s="3"/>
      <c r="G41" s="30"/>
      <c r="H41" s="26"/>
      <c r="I41" s="26"/>
      <c r="J41" s="126"/>
      <c r="K41" s="39"/>
      <c r="L41" s="18"/>
      <c r="M41" s="41"/>
      <c r="N41" s="122" t="str">
        <f>IF(ISBLANK(M41),"",VLOOKUP(M41,ED!C$2:E$98,3,FALSE))</f>
        <v/>
      </c>
      <c r="O41" s="44"/>
      <c r="P41" s="32"/>
      <c r="Q41" s="124"/>
      <c r="R41" s="1"/>
      <c r="S41" s="1"/>
      <c r="T41" s="159"/>
    </row>
    <row r="42" spans="1:20" x14ac:dyDescent="0.25">
      <c r="A42" s="159"/>
      <c r="B42" s="66"/>
      <c r="C42" s="1"/>
      <c r="D42" s="24"/>
      <c r="E42" s="28"/>
      <c r="F42" s="3"/>
      <c r="G42" s="30"/>
      <c r="H42" s="26"/>
      <c r="I42" s="26"/>
      <c r="J42" s="126"/>
      <c r="K42" s="39"/>
      <c r="L42" s="18"/>
      <c r="M42" s="41"/>
      <c r="N42" s="122" t="str">
        <f>IF(ISBLANK(M42),"",VLOOKUP(M42,ED!C$2:E$98,3,FALSE))</f>
        <v/>
      </c>
      <c r="O42" s="44"/>
      <c r="P42" s="32"/>
      <c r="Q42" s="124"/>
      <c r="R42" s="1"/>
      <c r="S42" s="1"/>
      <c r="T42" s="159"/>
    </row>
    <row r="43" spans="1:20" x14ac:dyDescent="0.25">
      <c r="A43" s="159"/>
      <c r="B43" s="66"/>
      <c r="C43" s="1"/>
      <c r="D43" s="24"/>
      <c r="E43" s="28"/>
      <c r="F43" s="3"/>
      <c r="G43" s="30"/>
      <c r="H43" s="26"/>
      <c r="I43" s="26"/>
      <c r="J43" s="126"/>
      <c r="K43" s="39"/>
      <c r="L43" s="18"/>
      <c r="M43" s="41"/>
      <c r="N43" s="122" t="str">
        <f>IF(ISBLANK(M43),"",VLOOKUP(M43,ED!C$2:E$98,3,FALSE))</f>
        <v/>
      </c>
      <c r="O43" s="44"/>
      <c r="P43" s="32"/>
      <c r="Q43" s="124"/>
      <c r="R43" s="1"/>
      <c r="S43" s="1"/>
      <c r="T43" s="159"/>
    </row>
    <row r="44" spans="1:20" x14ac:dyDescent="0.25">
      <c r="A44" s="159"/>
      <c r="B44" s="66"/>
      <c r="C44" s="1"/>
      <c r="D44" s="24"/>
      <c r="E44" s="28"/>
      <c r="F44" s="3"/>
      <c r="G44" s="30"/>
      <c r="H44" s="26"/>
      <c r="I44" s="26"/>
      <c r="J44" s="126"/>
      <c r="K44" s="39"/>
      <c r="L44" s="18"/>
      <c r="M44" s="41"/>
      <c r="N44" s="122" t="str">
        <f>IF(ISBLANK(M44),"",VLOOKUP(M44,ED!C$2:E$98,3,FALSE))</f>
        <v/>
      </c>
      <c r="O44" s="44"/>
      <c r="P44" s="32"/>
      <c r="Q44" s="124"/>
      <c r="R44" s="1"/>
      <c r="S44" s="1"/>
      <c r="T44" s="159"/>
    </row>
    <row r="45" spans="1:20" x14ac:dyDescent="0.25">
      <c r="A45" s="159"/>
      <c r="B45" s="66"/>
      <c r="C45" s="1"/>
      <c r="D45" s="24"/>
      <c r="E45" s="28"/>
      <c r="F45" s="3"/>
      <c r="G45" s="30"/>
      <c r="H45" s="26"/>
      <c r="I45" s="26"/>
      <c r="J45" s="126"/>
      <c r="K45" s="39"/>
      <c r="L45" s="18"/>
      <c r="M45" s="41"/>
      <c r="N45" s="122" t="str">
        <f>IF(ISBLANK(M45),"",VLOOKUP(M45,ED!C$2:E$98,3,FALSE))</f>
        <v/>
      </c>
      <c r="O45" s="44"/>
      <c r="P45" s="32"/>
      <c r="Q45" s="124"/>
      <c r="R45" s="1"/>
      <c r="S45" s="1"/>
      <c r="T45" s="159"/>
    </row>
    <row r="46" spans="1:20" x14ac:dyDescent="0.25">
      <c r="A46" s="159"/>
      <c r="B46" s="66"/>
      <c r="C46" s="1"/>
      <c r="D46" s="24"/>
      <c r="E46" s="28"/>
      <c r="F46" s="3"/>
      <c r="G46" s="30"/>
      <c r="H46" s="26"/>
      <c r="I46" s="26"/>
      <c r="J46" s="126"/>
      <c r="K46" s="39"/>
      <c r="L46" s="18"/>
      <c r="M46" s="41"/>
      <c r="N46" s="122" t="str">
        <f>IF(ISBLANK(M46),"",VLOOKUP(M46,ED!C$2:E$98,3,FALSE))</f>
        <v/>
      </c>
      <c r="O46" s="44"/>
      <c r="P46" s="32"/>
      <c r="Q46" s="124"/>
      <c r="R46" s="1"/>
      <c r="S46" s="1"/>
      <c r="T46" s="159"/>
    </row>
    <row r="47" spans="1:20" x14ac:dyDescent="0.25">
      <c r="A47" s="159"/>
      <c r="B47" s="66"/>
      <c r="C47" s="1"/>
      <c r="D47" s="24"/>
      <c r="E47" s="28"/>
      <c r="F47" s="3"/>
      <c r="G47" s="30"/>
      <c r="H47" s="26"/>
      <c r="I47" s="26"/>
      <c r="J47" s="126"/>
      <c r="K47" s="39"/>
      <c r="L47" s="18"/>
      <c r="M47" s="41"/>
      <c r="N47" s="122" t="str">
        <f>IF(ISBLANK(M47),"",VLOOKUP(M47,ED!C$2:E$98,3,FALSE))</f>
        <v/>
      </c>
      <c r="O47" s="44"/>
      <c r="P47" s="32"/>
      <c r="Q47" s="124"/>
      <c r="R47" s="1"/>
      <c r="S47" s="1"/>
      <c r="T47" s="159"/>
    </row>
    <row r="48" spans="1:20" x14ac:dyDescent="0.25">
      <c r="A48" s="159"/>
      <c r="B48" s="66"/>
      <c r="C48" s="1"/>
      <c r="D48" s="24"/>
      <c r="E48" s="28"/>
      <c r="F48" s="3"/>
      <c r="G48" s="30"/>
      <c r="H48" s="26"/>
      <c r="I48" s="26"/>
      <c r="J48" s="126"/>
      <c r="K48" s="39"/>
      <c r="L48" s="18"/>
      <c r="M48" s="41"/>
      <c r="N48" s="122" t="str">
        <f>IF(ISBLANK(M48),"",VLOOKUP(M48,ED!C$2:E$98,3,FALSE))</f>
        <v/>
      </c>
      <c r="O48" s="44"/>
      <c r="P48" s="32"/>
      <c r="Q48" s="124"/>
      <c r="R48" s="1"/>
      <c r="S48" s="1"/>
      <c r="T48" s="159"/>
    </row>
    <row r="49" spans="1:20" x14ac:dyDescent="0.25">
      <c r="A49" s="159"/>
      <c r="B49" s="66"/>
      <c r="C49" s="1"/>
      <c r="D49" s="24"/>
      <c r="E49" s="28"/>
      <c r="F49" s="3"/>
      <c r="G49" s="30"/>
      <c r="H49" s="26"/>
      <c r="I49" s="26"/>
      <c r="J49" s="126"/>
      <c r="K49" s="39"/>
      <c r="L49" s="18"/>
      <c r="M49" s="41"/>
      <c r="N49" s="122" t="str">
        <f>IF(ISBLANK(M49),"",VLOOKUP(M49,ED!C$2:E$98,3,FALSE))</f>
        <v/>
      </c>
      <c r="O49" s="44"/>
      <c r="P49" s="32"/>
      <c r="Q49" s="124"/>
      <c r="R49" s="1"/>
      <c r="S49" s="1"/>
      <c r="T49" s="159"/>
    </row>
    <row r="50" spans="1:20" x14ac:dyDescent="0.25">
      <c r="A50" s="159"/>
      <c r="B50" s="66"/>
      <c r="C50" s="1"/>
      <c r="D50" s="24"/>
      <c r="E50" s="28"/>
      <c r="F50" s="3"/>
      <c r="G50" s="30"/>
      <c r="H50" s="26"/>
      <c r="I50" s="26"/>
      <c r="J50" s="126"/>
      <c r="K50" s="39"/>
      <c r="L50" s="18"/>
      <c r="M50" s="41"/>
      <c r="N50" s="122" t="str">
        <f>IF(ISBLANK(M50),"",VLOOKUP(M50,ED!C$2:E$98,3,FALSE))</f>
        <v/>
      </c>
      <c r="O50" s="44"/>
      <c r="P50" s="32"/>
      <c r="Q50" s="124"/>
      <c r="R50" s="1"/>
      <c r="S50" s="1"/>
      <c r="T50" s="159"/>
    </row>
    <row r="51" spans="1:20" x14ac:dyDescent="0.25">
      <c r="A51" s="159"/>
      <c r="B51" s="66"/>
      <c r="C51" s="1"/>
      <c r="D51" s="24"/>
      <c r="E51" s="28"/>
      <c r="F51" s="3"/>
      <c r="G51" s="30"/>
      <c r="H51" s="26"/>
      <c r="I51" s="26"/>
      <c r="J51" s="126"/>
      <c r="K51" s="39"/>
      <c r="L51" s="18"/>
      <c r="M51" s="41"/>
      <c r="N51" s="122" t="str">
        <f>IF(ISBLANK(M51),"",VLOOKUP(M51,ED!C$2:E$98,3,FALSE))</f>
        <v/>
      </c>
      <c r="O51" s="44"/>
      <c r="P51" s="32"/>
      <c r="Q51" s="124"/>
      <c r="R51" s="1"/>
      <c r="S51" s="1"/>
      <c r="T51" s="159"/>
    </row>
    <row r="52" spans="1:20" x14ac:dyDescent="0.25">
      <c r="A52" s="159"/>
      <c r="B52" s="66"/>
      <c r="C52" s="1"/>
      <c r="D52" s="24"/>
      <c r="E52" s="28"/>
      <c r="F52" s="3"/>
      <c r="G52" s="30"/>
      <c r="H52" s="26"/>
      <c r="I52" s="26"/>
      <c r="J52" s="126"/>
      <c r="K52" s="39"/>
      <c r="L52" s="18"/>
      <c r="M52" s="41"/>
      <c r="N52" s="122" t="str">
        <f>IF(ISBLANK(M52),"",VLOOKUP(M52,ED!C$2:E$98,3,FALSE))</f>
        <v/>
      </c>
      <c r="O52" s="44"/>
      <c r="P52" s="32"/>
      <c r="Q52" s="124"/>
      <c r="R52" s="1"/>
      <c r="S52" s="1"/>
      <c r="T52" s="159"/>
    </row>
    <row r="53" spans="1:20" x14ac:dyDescent="0.25">
      <c r="A53" s="159"/>
      <c r="B53" s="66"/>
      <c r="C53" s="1"/>
      <c r="D53" s="24"/>
      <c r="E53" s="28"/>
      <c r="F53" s="3"/>
      <c r="G53" s="30"/>
      <c r="H53" s="26"/>
      <c r="I53" s="26"/>
      <c r="J53" s="126"/>
      <c r="K53" s="39"/>
      <c r="L53" s="18"/>
      <c r="M53" s="41"/>
      <c r="N53" s="122" t="str">
        <f>IF(ISBLANK(M53),"",VLOOKUP(M53,ED!C$2:E$98,3,FALSE))</f>
        <v/>
      </c>
      <c r="O53" s="44"/>
      <c r="P53" s="32"/>
      <c r="Q53" s="124"/>
      <c r="R53" s="1"/>
      <c r="S53" s="1"/>
      <c r="T53" s="159"/>
    </row>
    <row r="54" spans="1:20" x14ac:dyDescent="0.25">
      <c r="A54" s="159"/>
      <c r="B54" s="66"/>
      <c r="C54" s="1"/>
      <c r="D54" s="24"/>
      <c r="E54" s="28"/>
      <c r="F54" s="3"/>
      <c r="G54" s="30"/>
      <c r="H54" s="26"/>
      <c r="I54" s="26"/>
      <c r="J54" s="126"/>
      <c r="K54" s="39"/>
      <c r="L54" s="18"/>
      <c r="M54" s="41"/>
      <c r="N54" s="122" t="str">
        <f>IF(ISBLANK(M54),"",VLOOKUP(M54,ED!C$2:E$98,3,FALSE))</f>
        <v/>
      </c>
      <c r="O54" s="44"/>
      <c r="P54" s="32"/>
      <c r="Q54" s="124"/>
      <c r="R54" s="1"/>
      <c r="S54" s="1"/>
      <c r="T54" s="159"/>
    </row>
    <row r="55" spans="1:20" x14ac:dyDescent="0.25">
      <c r="A55" s="159"/>
      <c r="B55" s="66"/>
      <c r="C55" s="1"/>
      <c r="D55" s="24"/>
      <c r="E55" s="28"/>
      <c r="F55" s="3"/>
      <c r="G55" s="30"/>
      <c r="H55" s="26"/>
      <c r="I55" s="26"/>
      <c r="J55" s="126"/>
      <c r="K55" s="39"/>
      <c r="L55" s="18"/>
      <c r="M55" s="41"/>
      <c r="N55" s="122" t="str">
        <f>IF(ISBLANK(M55),"",VLOOKUP(M55,ED!C$2:E$98,3,FALSE))</f>
        <v/>
      </c>
      <c r="O55" s="44"/>
      <c r="P55" s="32"/>
      <c r="Q55" s="124"/>
      <c r="R55" s="1"/>
      <c r="S55" s="1"/>
      <c r="T55" s="159"/>
    </row>
    <row r="56" spans="1:20" x14ac:dyDescent="0.25">
      <c r="A56" s="159"/>
      <c r="B56" s="66"/>
      <c r="C56" s="1"/>
      <c r="D56" s="24"/>
      <c r="E56" s="28"/>
      <c r="F56" s="3"/>
      <c r="G56" s="30"/>
      <c r="H56" s="26"/>
      <c r="I56" s="26"/>
      <c r="J56" s="126"/>
      <c r="K56" s="39"/>
      <c r="L56" s="18"/>
      <c r="M56" s="41"/>
      <c r="N56" s="122" t="str">
        <f>IF(ISBLANK(M56),"",VLOOKUP(M56,ED!C$2:E$98,3,FALSE))</f>
        <v/>
      </c>
      <c r="O56" s="44"/>
      <c r="P56" s="32"/>
      <c r="Q56" s="124"/>
      <c r="R56" s="1"/>
      <c r="S56" s="1"/>
      <c r="T56" s="159"/>
    </row>
    <row r="57" spans="1:20" x14ac:dyDescent="0.25">
      <c r="A57" s="159"/>
      <c r="B57" s="66"/>
      <c r="C57" s="1"/>
      <c r="D57" s="24"/>
      <c r="E57" s="28"/>
      <c r="F57" s="3"/>
      <c r="G57" s="30"/>
      <c r="H57" s="26"/>
      <c r="I57" s="26"/>
      <c r="J57" s="126"/>
      <c r="K57" s="39"/>
      <c r="L57" s="18"/>
      <c r="M57" s="41"/>
      <c r="N57" s="122" t="str">
        <f>IF(ISBLANK(M57),"",VLOOKUP(M57,ED!C$2:E$98,3,FALSE))</f>
        <v/>
      </c>
      <c r="O57" s="44"/>
      <c r="P57" s="32"/>
      <c r="Q57" s="124"/>
      <c r="R57" s="1"/>
      <c r="S57" s="1"/>
      <c r="T57" s="159"/>
    </row>
    <row r="58" spans="1:20" x14ac:dyDescent="0.25">
      <c r="A58" s="159"/>
      <c r="B58" s="66"/>
      <c r="C58" s="1"/>
      <c r="D58" s="24"/>
      <c r="E58" s="28"/>
      <c r="F58" s="3"/>
      <c r="G58" s="30"/>
      <c r="H58" s="26"/>
      <c r="I58" s="26"/>
      <c r="J58" s="126"/>
      <c r="K58" s="39"/>
      <c r="L58" s="18"/>
      <c r="M58" s="41"/>
      <c r="N58" s="122" t="str">
        <f>IF(ISBLANK(M58),"",VLOOKUP(M58,ED!C$2:E$98,3,FALSE))</f>
        <v/>
      </c>
      <c r="O58" s="44"/>
      <c r="P58" s="32"/>
      <c r="Q58" s="124"/>
      <c r="R58" s="1"/>
      <c r="S58" s="1"/>
      <c r="T58" s="159"/>
    </row>
    <row r="59" spans="1:20" x14ac:dyDescent="0.25">
      <c r="A59" s="159"/>
      <c r="B59" s="66"/>
      <c r="C59" s="1"/>
      <c r="D59" s="24"/>
      <c r="E59" s="28"/>
      <c r="F59" s="3"/>
      <c r="G59" s="30"/>
      <c r="H59" s="26"/>
      <c r="I59" s="26"/>
      <c r="J59" s="126"/>
      <c r="K59" s="39"/>
      <c r="L59" s="18"/>
      <c r="M59" s="41"/>
      <c r="N59" s="122" t="str">
        <f>IF(ISBLANK(M59),"",VLOOKUP(M59,ED!C$2:E$98,3,FALSE))</f>
        <v/>
      </c>
      <c r="O59" s="44"/>
      <c r="P59" s="32"/>
      <c r="Q59" s="124"/>
      <c r="R59" s="1"/>
      <c r="S59" s="1"/>
      <c r="T59" s="159"/>
    </row>
    <row r="60" spans="1:20" x14ac:dyDescent="0.25">
      <c r="A60" s="159"/>
      <c r="B60" s="66"/>
      <c r="C60" s="1"/>
      <c r="D60" s="24"/>
      <c r="E60" s="28"/>
      <c r="F60" s="3"/>
      <c r="G60" s="30"/>
      <c r="H60" s="26"/>
      <c r="I60" s="26"/>
      <c r="J60" s="126"/>
      <c r="K60" s="39"/>
      <c r="L60" s="18"/>
      <c r="M60" s="41"/>
      <c r="N60" s="122" t="str">
        <f>IF(ISBLANK(M60),"",VLOOKUP(M60,ED!C$2:E$98,3,FALSE))</f>
        <v/>
      </c>
      <c r="O60" s="44"/>
      <c r="P60" s="32"/>
      <c r="Q60" s="124"/>
      <c r="R60" s="1"/>
      <c r="S60" s="1"/>
      <c r="T60" s="159"/>
    </row>
    <row r="61" spans="1:20" x14ac:dyDescent="0.25">
      <c r="A61" s="159"/>
      <c r="B61" s="66"/>
      <c r="C61" s="1"/>
      <c r="D61" s="24"/>
      <c r="E61" s="28"/>
      <c r="F61" s="3"/>
      <c r="G61" s="30"/>
      <c r="H61" s="26"/>
      <c r="I61" s="26"/>
      <c r="J61" s="126"/>
      <c r="K61" s="39"/>
      <c r="L61" s="18"/>
      <c r="M61" s="41"/>
      <c r="N61" s="122" t="str">
        <f>IF(ISBLANK(M61),"",VLOOKUP(M61,ED!C$2:E$98,3,FALSE))</f>
        <v/>
      </c>
      <c r="O61" s="44"/>
      <c r="P61" s="32"/>
      <c r="Q61" s="124"/>
      <c r="R61" s="1"/>
      <c r="S61" s="1"/>
      <c r="T61" s="159"/>
    </row>
    <row r="62" spans="1:20" x14ac:dyDescent="0.25">
      <c r="A62" s="159"/>
      <c r="B62" s="66"/>
      <c r="C62" s="1"/>
      <c r="D62" s="24"/>
      <c r="E62" s="28"/>
      <c r="F62" s="3"/>
      <c r="G62" s="30"/>
      <c r="H62" s="26"/>
      <c r="I62" s="26"/>
      <c r="J62" s="126"/>
      <c r="K62" s="39"/>
      <c r="L62" s="18"/>
      <c r="M62" s="41"/>
      <c r="N62" s="122" t="str">
        <f>IF(ISBLANK(M62),"",VLOOKUP(M62,ED!C$2:E$98,3,FALSE))</f>
        <v/>
      </c>
      <c r="O62" s="44"/>
      <c r="P62" s="32"/>
      <c r="Q62" s="124"/>
      <c r="R62" s="1"/>
      <c r="S62" s="1"/>
      <c r="T62" s="159"/>
    </row>
    <row r="63" spans="1:20" x14ac:dyDescent="0.25">
      <c r="A63" s="159"/>
      <c r="B63" s="66"/>
      <c r="C63" s="1"/>
      <c r="D63" s="24"/>
      <c r="E63" s="28"/>
      <c r="F63" s="3"/>
      <c r="G63" s="30"/>
      <c r="H63" s="26"/>
      <c r="I63" s="26"/>
      <c r="J63" s="126"/>
      <c r="K63" s="39"/>
      <c r="L63" s="18"/>
      <c r="M63" s="41"/>
      <c r="N63" s="122" t="str">
        <f>IF(ISBLANK(M63),"",VLOOKUP(M63,ED!C$2:E$98,3,FALSE))</f>
        <v/>
      </c>
      <c r="O63" s="44"/>
      <c r="P63" s="32"/>
      <c r="Q63" s="124"/>
      <c r="R63" s="1"/>
      <c r="S63" s="1"/>
      <c r="T63" s="159"/>
    </row>
    <row r="64" spans="1:20" x14ac:dyDescent="0.25">
      <c r="A64" s="159"/>
      <c r="B64" s="66"/>
      <c r="C64" s="1"/>
      <c r="D64" s="24"/>
      <c r="E64" s="28"/>
      <c r="F64" s="3"/>
      <c r="G64" s="30"/>
      <c r="H64" s="26"/>
      <c r="I64" s="26"/>
      <c r="J64" s="126"/>
      <c r="K64" s="39"/>
      <c r="L64" s="18"/>
      <c r="M64" s="41"/>
      <c r="N64" s="122" t="str">
        <f>IF(ISBLANK(M64),"",VLOOKUP(M64,ED!C$2:E$98,3,FALSE))</f>
        <v/>
      </c>
      <c r="O64" s="44"/>
      <c r="P64" s="32"/>
      <c r="Q64" s="124"/>
      <c r="R64" s="1"/>
      <c r="S64" s="1"/>
      <c r="T64" s="159"/>
    </row>
    <row r="65" spans="1:20" x14ac:dyDescent="0.25">
      <c r="A65" s="159"/>
      <c r="B65" s="66"/>
      <c r="C65" s="1"/>
      <c r="D65" s="24"/>
      <c r="E65" s="28"/>
      <c r="F65" s="3"/>
      <c r="G65" s="30"/>
      <c r="H65" s="26"/>
      <c r="I65" s="26"/>
      <c r="J65" s="126"/>
      <c r="K65" s="39"/>
      <c r="L65" s="18"/>
      <c r="M65" s="41"/>
      <c r="N65" s="122" t="str">
        <f>IF(ISBLANK(M65),"",VLOOKUP(M65,ED!C$2:E$98,3,FALSE))</f>
        <v/>
      </c>
      <c r="O65" s="44"/>
      <c r="P65" s="32"/>
      <c r="Q65" s="124"/>
      <c r="R65" s="1"/>
      <c r="S65" s="1"/>
      <c r="T65" s="159"/>
    </row>
    <row r="66" spans="1:20" x14ac:dyDescent="0.25">
      <c r="A66" s="159"/>
      <c r="B66" s="66"/>
      <c r="C66" s="1"/>
      <c r="D66" s="24"/>
      <c r="E66" s="28"/>
      <c r="F66" s="3"/>
      <c r="G66" s="30"/>
      <c r="H66" s="26"/>
      <c r="I66" s="26"/>
      <c r="J66" s="126"/>
      <c r="K66" s="39"/>
      <c r="L66" s="18"/>
      <c r="M66" s="41"/>
      <c r="N66" s="122" t="str">
        <f>IF(ISBLANK(M66),"",VLOOKUP(M66,ED!C$2:E$98,3,FALSE))</f>
        <v/>
      </c>
      <c r="O66" s="44"/>
      <c r="P66" s="32"/>
      <c r="Q66" s="124"/>
      <c r="R66" s="1"/>
      <c r="S66" s="1"/>
      <c r="T66" s="159"/>
    </row>
    <row r="67" spans="1:20" x14ac:dyDescent="0.25">
      <c r="A67" s="159"/>
      <c r="B67" s="66"/>
      <c r="C67" s="1"/>
      <c r="D67" s="24"/>
      <c r="E67" s="28"/>
      <c r="F67" s="3"/>
      <c r="G67" s="30"/>
      <c r="H67" s="26"/>
      <c r="I67" s="26"/>
      <c r="J67" s="126"/>
      <c r="K67" s="39"/>
      <c r="L67" s="18"/>
      <c r="M67" s="41"/>
      <c r="N67" s="122" t="str">
        <f>IF(ISBLANK(M67),"",VLOOKUP(M67,ED!C$2:E$98,3,FALSE))</f>
        <v/>
      </c>
      <c r="O67" s="44"/>
      <c r="P67" s="32"/>
      <c r="Q67" s="124"/>
      <c r="R67" s="1"/>
      <c r="S67" s="1"/>
      <c r="T67" s="159"/>
    </row>
    <row r="68" spans="1:20" x14ac:dyDescent="0.25">
      <c r="A68" s="159"/>
      <c r="B68" s="66"/>
      <c r="C68" s="1"/>
      <c r="D68" s="24"/>
      <c r="E68" s="28"/>
      <c r="F68" s="3"/>
      <c r="G68" s="30"/>
      <c r="H68" s="26"/>
      <c r="I68" s="26"/>
      <c r="J68" s="126"/>
      <c r="K68" s="39"/>
      <c r="L68" s="18"/>
      <c r="M68" s="41"/>
      <c r="N68" s="122" t="str">
        <f>IF(ISBLANK(M68),"",VLOOKUP(M68,ED!C$2:E$98,3,FALSE))</f>
        <v/>
      </c>
      <c r="O68" s="44"/>
      <c r="P68" s="32"/>
      <c r="Q68" s="124"/>
      <c r="R68" s="1"/>
      <c r="S68" s="1"/>
      <c r="T68" s="159"/>
    </row>
    <row r="69" spans="1:20" x14ac:dyDescent="0.25">
      <c r="A69" s="159"/>
      <c r="B69" s="66"/>
      <c r="C69" s="1"/>
      <c r="D69" s="24"/>
      <c r="E69" s="28"/>
      <c r="F69" s="3"/>
      <c r="G69" s="30"/>
      <c r="H69" s="26"/>
      <c r="I69" s="26"/>
      <c r="J69" s="126"/>
      <c r="K69" s="39"/>
      <c r="L69" s="18"/>
      <c r="M69" s="41"/>
      <c r="N69" s="122" t="str">
        <f>IF(ISBLANK(M69),"",VLOOKUP(M69,ED!C$2:E$98,3,FALSE))</f>
        <v/>
      </c>
      <c r="O69" s="44"/>
      <c r="P69" s="32"/>
      <c r="Q69" s="124"/>
      <c r="R69" s="1"/>
      <c r="S69" s="1"/>
      <c r="T69" s="159"/>
    </row>
    <row r="70" spans="1:20" x14ac:dyDescent="0.25">
      <c r="A70" s="159"/>
      <c r="B70" s="66"/>
      <c r="C70" s="1"/>
      <c r="D70" s="24"/>
      <c r="E70" s="28"/>
      <c r="F70" s="3"/>
      <c r="G70" s="30"/>
      <c r="H70" s="26"/>
      <c r="I70" s="26"/>
      <c r="J70" s="126"/>
      <c r="K70" s="39"/>
      <c r="L70" s="18"/>
      <c r="M70" s="41"/>
      <c r="N70" s="122" t="str">
        <f>IF(ISBLANK(M70),"",VLOOKUP(M70,ED!C$2:E$98,3,FALSE))</f>
        <v/>
      </c>
      <c r="O70" s="44"/>
      <c r="P70" s="32"/>
      <c r="Q70" s="124"/>
      <c r="R70" s="1"/>
      <c r="S70" s="1"/>
      <c r="T70" s="159"/>
    </row>
    <row r="71" spans="1:20" x14ac:dyDescent="0.25">
      <c r="A71" s="159"/>
      <c r="B71" s="66"/>
      <c r="C71" s="1"/>
      <c r="D71" s="24"/>
      <c r="E71" s="28"/>
      <c r="F71" s="3"/>
      <c r="G71" s="30"/>
      <c r="H71" s="26"/>
      <c r="I71" s="26"/>
      <c r="J71" s="126"/>
      <c r="K71" s="39"/>
      <c r="L71" s="18"/>
      <c r="M71" s="41"/>
      <c r="N71" s="122" t="str">
        <f>IF(ISBLANK(M71),"",VLOOKUP(M71,ED!C$2:E$98,3,FALSE))</f>
        <v/>
      </c>
      <c r="O71" s="44"/>
      <c r="P71" s="32"/>
      <c r="Q71" s="124"/>
      <c r="R71" s="1"/>
      <c r="S71" s="1"/>
      <c r="T71" s="159"/>
    </row>
    <row r="72" spans="1:20" x14ac:dyDescent="0.25">
      <c r="A72" s="159"/>
      <c r="B72" s="66"/>
      <c r="C72" s="1"/>
      <c r="D72" s="24"/>
      <c r="E72" s="28"/>
      <c r="F72" s="3"/>
      <c r="G72" s="30"/>
      <c r="H72" s="26"/>
      <c r="I72" s="26"/>
      <c r="J72" s="126"/>
      <c r="K72" s="39"/>
      <c r="L72" s="18"/>
      <c r="M72" s="41"/>
      <c r="N72" s="122" t="str">
        <f>IF(ISBLANK(M72),"",VLOOKUP(M72,ED!C$2:E$98,3,FALSE))</f>
        <v/>
      </c>
      <c r="O72" s="44"/>
      <c r="P72" s="32"/>
      <c r="Q72" s="124"/>
      <c r="R72" s="1"/>
      <c r="S72" s="1"/>
      <c r="T72" s="159"/>
    </row>
    <row r="73" spans="1:20" x14ac:dyDescent="0.25">
      <c r="A73" s="159"/>
      <c r="B73" s="66"/>
      <c r="C73" s="1"/>
      <c r="D73" s="24"/>
      <c r="E73" s="28"/>
      <c r="F73" s="3"/>
      <c r="G73" s="30"/>
      <c r="H73" s="26"/>
      <c r="I73" s="26"/>
      <c r="J73" s="126"/>
      <c r="K73" s="39"/>
      <c r="L73" s="18"/>
      <c r="M73" s="41"/>
      <c r="N73" s="122" t="str">
        <f>IF(ISBLANK(M73),"",VLOOKUP(M73,ED!C$2:E$98,3,FALSE))</f>
        <v/>
      </c>
      <c r="O73" s="44"/>
      <c r="P73" s="32"/>
      <c r="Q73" s="124"/>
      <c r="R73" s="1"/>
      <c r="S73" s="1"/>
      <c r="T73" s="159"/>
    </row>
    <row r="74" spans="1:20" x14ac:dyDescent="0.25">
      <c r="A74" s="159"/>
      <c r="B74" s="66"/>
      <c r="C74" s="1"/>
      <c r="D74" s="24"/>
      <c r="E74" s="28"/>
      <c r="F74" s="3"/>
      <c r="G74" s="30"/>
      <c r="H74" s="26"/>
      <c r="I74" s="26"/>
      <c r="J74" s="126"/>
      <c r="K74" s="39"/>
      <c r="L74" s="18"/>
      <c r="M74" s="41"/>
      <c r="N74" s="122" t="str">
        <f>IF(ISBLANK(M74),"",VLOOKUP(M74,ED!C$2:E$98,3,FALSE))</f>
        <v/>
      </c>
      <c r="O74" s="44"/>
      <c r="P74" s="32"/>
      <c r="Q74" s="124"/>
      <c r="R74" s="1"/>
      <c r="S74" s="1"/>
      <c r="T74" s="159"/>
    </row>
    <row r="75" spans="1:20" x14ac:dyDescent="0.25">
      <c r="A75" s="159"/>
      <c r="B75" s="66"/>
      <c r="C75" s="1"/>
      <c r="D75" s="24"/>
      <c r="E75" s="28"/>
      <c r="F75" s="3"/>
      <c r="G75" s="30"/>
      <c r="H75" s="26"/>
      <c r="I75" s="26"/>
      <c r="J75" s="126"/>
      <c r="K75" s="39"/>
      <c r="L75" s="18"/>
      <c r="M75" s="41"/>
      <c r="N75" s="122" t="str">
        <f>IF(ISBLANK(M75),"",VLOOKUP(M75,ED!C$2:E$98,3,FALSE))</f>
        <v/>
      </c>
      <c r="O75" s="44"/>
      <c r="P75" s="32"/>
      <c r="Q75" s="124"/>
      <c r="R75" s="1"/>
      <c r="S75" s="1"/>
      <c r="T75" s="159"/>
    </row>
    <row r="76" spans="1:20" x14ac:dyDescent="0.25">
      <c r="A76" s="159"/>
      <c r="B76" s="66"/>
      <c r="C76" s="1"/>
      <c r="D76" s="24"/>
      <c r="E76" s="28"/>
      <c r="F76" s="3"/>
      <c r="G76" s="30"/>
      <c r="H76" s="26"/>
      <c r="I76" s="26"/>
      <c r="J76" s="126"/>
      <c r="K76" s="39"/>
      <c r="L76" s="18"/>
      <c r="M76" s="41"/>
      <c r="N76" s="122" t="str">
        <f>IF(ISBLANK(M76),"",VLOOKUP(M76,ED!C$2:E$98,3,FALSE))</f>
        <v/>
      </c>
      <c r="O76" s="44"/>
      <c r="P76" s="32"/>
      <c r="Q76" s="124"/>
      <c r="R76" s="1"/>
      <c r="S76" s="1"/>
      <c r="T76" s="159"/>
    </row>
    <row r="77" spans="1:20" x14ac:dyDescent="0.25">
      <c r="A77" s="159"/>
      <c r="B77" s="66"/>
      <c r="C77" s="1"/>
      <c r="D77" s="24"/>
      <c r="E77" s="28"/>
      <c r="F77" s="3"/>
      <c r="G77" s="30"/>
      <c r="H77" s="26"/>
      <c r="I77" s="26"/>
      <c r="J77" s="126"/>
      <c r="K77" s="39"/>
      <c r="L77" s="18"/>
      <c r="M77" s="41"/>
      <c r="N77" s="122" t="str">
        <f>IF(ISBLANK(M77),"",VLOOKUP(M77,ED!C$2:E$98,3,FALSE))</f>
        <v/>
      </c>
      <c r="O77" s="44"/>
      <c r="P77" s="32"/>
      <c r="Q77" s="124"/>
      <c r="R77" s="1"/>
      <c r="S77" s="1"/>
      <c r="T77" s="159"/>
    </row>
    <row r="78" spans="1:20" x14ac:dyDescent="0.25">
      <c r="A78" s="159"/>
      <c r="B78" s="66"/>
      <c r="C78" s="1"/>
      <c r="D78" s="24"/>
      <c r="E78" s="28"/>
      <c r="F78" s="3"/>
      <c r="G78" s="30"/>
      <c r="H78" s="26"/>
      <c r="I78" s="26"/>
      <c r="J78" s="126"/>
      <c r="K78" s="39"/>
      <c r="L78" s="18"/>
      <c r="M78" s="41"/>
      <c r="N78" s="122" t="str">
        <f>IF(ISBLANK(M78),"",VLOOKUP(M78,ED!C$2:E$98,3,FALSE))</f>
        <v/>
      </c>
      <c r="O78" s="44"/>
      <c r="P78" s="32"/>
      <c r="Q78" s="124"/>
      <c r="R78" s="1"/>
      <c r="S78" s="1"/>
      <c r="T78" s="159"/>
    </row>
    <row r="79" spans="1:20" x14ac:dyDescent="0.25">
      <c r="A79" s="159"/>
      <c r="B79" s="66"/>
      <c r="C79" s="1"/>
      <c r="D79" s="24"/>
      <c r="E79" s="28"/>
      <c r="F79" s="3"/>
      <c r="G79" s="30"/>
      <c r="H79" s="26"/>
      <c r="I79" s="26"/>
      <c r="J79" s="126"/>
      <c r="K79" s="39"/>
      <c r="L79" s="18"/>
      <c r="M79" s="41"/>
      <c r="N79" s="122" t="str">
        <f>IF(ISBLANK(M79),"",VLOOKUP(M79,ED!C$2:E$98,3,FALSE))</f>
        <v/>
      </c>
      <c r="O79" s="44"/>
      <c r="P79" s="32"/>
      <c r="Q79" s="124"/>
      <c r="R79" s="1"/>
      <c r="S79" s="1"/>
      <c r="T79" s="159"/>
    </row>
    <row r="80" spans="1:20" x14ac:dyDescent="0.25">
      <c r="A80" s="159"/>
      <c r="B80" s="66"/>
      <c r="C80" s="1"/>
      <c r="D80" s="24"/>
      <c r="E80" s="28"/>
      <c r="F80" s="3"/>
      <c r="G80" s="30"/>
      <c r="H80" s="26"/>
      <c r="I80" s="26"/>
      <c r="J80" s="126"/>
      <c r="K80" s="39"/>
      <c r="L80" s="18"/>
      <c r="M80" s="41"/>
      <c r="N80" s="122" t="str">
        <f>IF(ISBLANK(M80),"",VLOOKUP(M80,ED!C$2:E$98,3,FALSE))</f>
        <v/>
      </c>
      <c r="O80" s="44"/>
      <c r="P80" s="32"/>
      <c r="Q80" s="124"/>
      <c r="R80" s="1"/>
      <c r="S80" s="1"/>
      <c r="T80" s="159"/>
    </row>
    <row r="81" spans="1:20" x14ac:dyDescent="0.25">
      <c r="A81" s="159"/>
      <c r="B81" s="66"/>
      <c r="C81" s="1"/>
      <c r="D81" s="24"/>
      <c r="E81" s="28"/>
      <c r="F81" s="3"/>
      <c r="G81" s="30"/>
      <c r="H81" s="26"/>
      <c r="I81" s="26"/>
      <c r="J81" s="126"/>
      <c r="K81" s="39"/>
      <c r="L81" s="18"/>
      <c r="M81" s="41"/>
      <c r="N81" s="122" t="str">
        <f>IF(ISBLANK(M81),"",VLOOKUP(M81,ED!C$2:E$98,3,FALSE))</f>
        <v/>
      </c>
      <c r="O81" s="44"/>
      <c r="P81" s="32"/>
      <c r="Q81" s="124"/>
      <c r="R81" s="1"/>
      <c r="S81" s="1"/>
      <c r="T81" s="159"/>
    </row>
    <row r="82" spans="1:20" x14ac:dyDescent="0.25">
      <c r="A82" s="159"/>
      <c r="B82" s="66"/>
      <c r="C82" s="1"/>
      <c r="D82" s="24"/>
      <c r="E82" s="28"/>
      <c r="F82" s="3"/>
      <c r="G82" s="30"/>
      <c r="H82" s="26"/>
      <c r="I82" s="26"/>
      <c r="J82" s="126"/>
      <c r="K82" s="39"/>
      <c r="L82" s="18"/>
      <c r="M82" s="41"/>
      <c r="N82" s="122" t="str">
        <f>IF(ISBLANK(M82),"",VLOOKUP(M82,ED!C$2:E$98,3,FALSE))</f>
        <v/>
      </c>
      <c r="O82" s="44"/>
      <c r="P82" s="32"/>
      <c r="Q82" s="124"/>
      <c r="R82" s="1"/>
      <c r="S82" s="1"/>
      <c r="T82" s="159"/>
    </row>
    <row r="83" spans="1:20" x14ac:dyDescent="0.25">
      <c r="A83" s="159"/>
      <c r="B83" s="66"/>
      <c r="C83" s="1"/>
      <c r="D83" s="24"/>
      <c r="E83" s="28"/>
      <c r="F83" s="3"/>
      <c r="G83" s="30"/>
      <c r="H83" s="26"/>
      <c r="I83" s="26"/>
      <c r="J83" s="126"/>
      <c r="K83" s="39"/>
      <c r="L83" s="18"/>
      <c r="M83" s="41"/>
      <c r="N83" s="122" t="str">
        <f>IF(ISBLANK(M83),"",VLOOKUP(M83,ED!C$2:E$98,3,FALSE))</f>
        <v/>
      </c>
      <c r="O83" s="44"/>
      <c r="P83" s="32"/>
      <c r="Q83" s="124"/>
      <c r="R83" s="1"/>
      <c r="S83" s="1"/>
      <c r="T83" s="159"/>
    </row>
    <row r="84" spans="1:20" x14ac:dyDescent="0.25">
      <c r="A84" s="159"/>
      <c r="B84" s="66"/>
      <c r="C84" s="1"/>
      <c r="D84" s="24"/>
      <c r="E84" s="28"/>
      <c r="F84" s="3"/>
      <c r="G84" s="30"/>
      <c r="H84" s="26"/>
      <c r="I84" s="26"/>
      <c r="J84" s="126"/>
      <c r="K84" s="39"/>
      <c r="L84" s="18"/>
      <c r="M84" s="41"/>
      <c r="N84" s="122" t="str">
        <f>IF(ISBLANK(M84),"",VLOOKUP(M84,ED!C$2:E$98,3,FALSE))</f>
        <v/>
      </c>
      <c r="O84" s="44"/>
      <c r="P84" s="32"/>
      <c r="Q84" s="124"/>
      <c r="R84" s="1"/>
      <c r="S84" s="1"/>
      <c r="T84" s="159"/>
    </row>
    <row r="85" spans="1:20" x14ac:dyDescent="0.25">
      <c r="A85" s="159"/>
      <c r="B85" s="66"/>
      <c r="C85" s="1"/>
      <c r="D85" s="24"/>
      <c r="E85" s="28"/>
      <c r="F85" s="3"/>
      <c r="G85" s="30"/>
      <c r="H85" s="26"/>
      <c r="I85" s="26"/>
      <c r="J85" s="126"/>
      <c r="K85" s="39"/>
      <c r="L85" s="18"/>
      <c r="M85" s="41"/>
      <c r="N85" s="122" t="str">
        <f>IF(ISBLANK(M85),"",VLOOKUP(M85,ED!C$2:E$98,3,FALSE))</f>
        <v/>
      </c>
      <c r="O85" s="44"/>
      <c r="P85" s="32"/>
      <c r="Q85" s="124"/>
      <c r="R85" s="1"/>
      <c r="S85" s="1"/>
      <c r="T85" s="159"/>
    </row>
    <row r="86" spans="1:20" x14ac:dyDescent="0.25">
      <c r="A86" s="159"/>
      <c r="B86" s="66"/>
      <c r="C86" s="1"/>
      <c r="D86" s="24"/>
      <c r="E86" s="28"/>
      <c r="F86" s="3"/>
      <c r="G86" s="30"/>
      <c r="H86" s="26"/>
      <c r="I86" s="26"/>
      <c r="J86" s="126"/>
      <c r="K86" s="39"/>
      <c r="L86" s="18"/>
      <c r="M86" s="41"/>
      <c r="N86" s="122" t="str">
        <f>IF(ISBLANK(M86),"",VLOOKUP(M86,ED!C$2:E$98,3,FALSE))</f>
        <v/>
      </c>
      <c r="O86" s="44"/>
      <c r="P86" s="32"/>
      <c r="Q86" s="124"/>
      <c r="R86" s="1"/>
      <c r="S86" s="1"/>
      <c r="T86" s="159"/>
    </row>
    <row r="87" spans="1:20" x14ac:dyDescent="0.25">
      <c r="A87" s="159"/>
      <c r="B87" s="66"/>
      <c r="C87" s="1"/>
      <c r="D87" s="24"/>
      <c r="E87" s="28"/>
      <c r="F87" s="3"/>
      <c r="G87" s="30"/>
      <c r="H87" s="26"/>
      <c r="I87" s="26"/>
      <c r="J87" s="126"/>
      <c r="K87" s="39"/>
      <c r="L87" s="18"/>
      <c r="M87" s="41"/>
      <c r="N87" s="122" t="str">
        <f>IF(ISBLANK(M87),"",VLOOKUP(M87,ED!C$2:E$98,3,FALSE))</f>
        <v/>
      </c>
      <c r="O87" s="44"/>
      <c r="P87" s="32"/>
      <c r="Q87" s="124"/>
      <c r="R87" s="1"/>
      <c r="S87" s="1"/>
      <c r="T87" s="159"/>
    </row>
    <row r="88" spans="1:20" x14ac:dyDescent="0.25">
      <c r="A88" s="159"/>
      <c r="B88" s="66"/>
      <c r="C88" s="1"/>
      <c r="D88" s="24"/>
      <c r="E88" s="28"/>
      <c r="F88" s="3"/>
      <c r="G88" s="30"/>
      <c r="H88" s="26"/>
      <c r="I88" s="26"/>
      <c r="J88" s="126"/>
      <c r="K88" s="39"/>
      <c r="L88" s="18"/>
      <c r="M88" s="41"/>
      <c r="N88" s="122" t="str">
        <f>IF(ISBLANK(M88),"",VLOOKUP(M88,ED!C$2:E$98,3,FALSE))</f>
        <v/>
      </c>
      <c r="O88" s="44"/>
      <c r="P88" s="32"/>
      <c r="Q88" s="124"/>
      <c r="R88" s="1"/>
      <c r="S88" s="1"/>
      <c r="T88" s="159"/>
    </row>
    <row r="89" spans="1:20" x14ac:dyDescent="0.25">
      <c r="A89" s="159"/>
      <c r="B89" s="66"/>
      <c r="C89" s="1"/>
      <c r="D89" s="24"/>
      <c r="E89" s="28"/>
      <c r="F89" s="3"/>
      <c r="G89" s="30"/>
      <c r="H89" s="26"/>
      <c r="I89" s="26"/>
      <c r="J89" s="126"/>
      <c r="K89" s="39"/>
      <c r="L89" s="18"/>
      <c r="M89" s="41"/>
      <c r="N89" s="122" t="str">
        <f>IF(ISBLANK(M89),"",VLOOKUP(M89,ED!C$2:E$98,3,FALSE))</f>
        <v/>
      </c>
      <c r="O89" s="44"/>
      <c r="P89" s="32"/>
      <c r="Q89" s="124"/>
      <c r="R89" s="1"/>
      <c r="S89" s="1"/>
      <c r="T89" s="159"/>
    </row>
    <row r="90" spans="1:20" x14ac:dyDescent="0.25">
      <c r="A90" s="159"/>
      <c r="B90" s="66"/>
      <c r="C90" s="1"/>
      <c r="D90" s="24"/>
      <c r="E90" s="28"/>
      <c r="F90" s="3"/>
      <c r="G90" s="30"/>
      <c r="H90" s="26"/>
      <c r="I90" s="26"/>
      <c r="J90" s="126"/>
      <c r="K90" s="39"/>
      <c r="L90" s="18"/>
      <c r="M90" s="41"/>
      <c r="N90" s="122" t="str">
        <f>IF(ISBLANK(M90),"",VLOOKUP(M90,ED!C$2:E$98,3,FALSE))</f>
        <v/>
      </c>
      <c r="O90" s="44"/>
      <c r="P90" s="32"/>
      <c r="Q90" s="124"/>
      <c r="R90" s="1"/>
      <c r="S90" s="1"/>
      <c r="T90" s="159"/>
    </row>
    <row r="91" spans="1:20" x14ac:dyDescent="0.25">
      <c r="A91" s="159"/>
      <c r="B91" s="66"/>
      <c r="C91" s="1"/>
      <c r="D91" s="24"/>
      <c r="E91" s="28"/>
      <c r="F91" s="3"/>
      <c r="G91" s="30"/>
      <c r="H91" s="26"/>
      <c r="I91" s="26"/>
      <c r="J91" s="126"/>
      <c r="K91" s="39"/>
      <c r="L91" s="18"/>
      <c r="M91" s="41"/>
      <c r="N91" s="122" t="str">
        <f>IF(ISBLANK(M91),"",VLOOKUP(M91,ED!C$2:E$98,3,FALSE))</f>
        <v/>
      </c>
      <c r="O91" s="44"/>
      <c r="P91" s="32"/>
      <c r="Q91" s="124"/>
      <c r="R91" s="1"/>
      <c r="S91" s="1"/>
      <c r="T91" s="159"/>
    </row>
    <row r="92" spans="1:20" x14ac:dyDescent="0.25">
      <c r="A92" s="159"/>
      <c r="B92" s="66"/>
      <c r="C92" s="1"/>
      <c r="D92" s="24"/>
      <c r="E92" s="28"/>
      <c r="F92" s="3"/>
      <c r="G92" s="30"/>
      <c r="H92" s="26"/>
      <c r="I92" s="26"/>
      <c r="J92" s="126"/>
      <c r="K92" s="39"/>
      <c r="L92" s="18"/>
      <c r="M92" s="41"/>
      <c r="N92" s="122" t="str">
        <f>IF(ISBLANK(M92),"",VLOOKUP(M92,ED!C$2:E$98,3,FALSE))</f>
        <v/>
      </c>
      <c r="O92" s="44"/>
      <c r="P92" s="32"/>
      <c r="Q92" s="124"/>
      <c r="R92" s="1"/>
      <c r="S92" s="1"/>
      <c r="T92" s="159"/>
    </row>
    <row r="93" spans="1:20" x14ac:dyDescent="0.25">
      <c r="A93" s="159"/>
      <c r="B93" s="66"/>
      <c r="C93" s="1"/>
      <c r="D93" s="24"/>
      <c r="E93" s="28"/>
      <c r="F93" s="3"/>
      <c r="G93" s="30"/>
      <c r="H93" s="26"/>
      <c r="I93" s="26"/>
      <c r="J93" s="126"/>
      <c r="K93" s="39"/>
      <c r="L93" s="18"/>
      <c r="M93" s="41"/>
      <c r="N93" s="122" t="str">
        <f>IF(ISBLANK(M93),"",VLOOKUP(M93,ED!C$2:E$98,3,FALSE))</f>
        <v/>
      </c>
      <c r="O93" s="44"/>
      <c r="P93" s="32"/>
      <c r="Q93" s="124"/>
      <c r="R93" s="1"/>
      <c r="S93" s="1"/>
      <c r="T93" s="159"/>
    </row>
    <row r="94" spans="1:20" x14ac:dyDescent="0.25">
      <c r="A94" s="159"/>
      <c r="B94" s="66"/>
      <c r="C94" s="1"/>
      <c r="D94" s="24"/>
      <c r="E94" s="28"/>
      <c r="F94" s="3"/>
      <c r="G94" s="30"/>
      <c r="H94" s="26"/>
      <c r="I94" s="26"/>
      <c r="J94" s="126"/>
      <c r="K94" s="39"/>
      <c r="L94" s="18"/>
      <c r="M94" s="41"/>
      <c r="N94" s="122" t="str">
        <f>IF(ISBLANK(M94),"",VLOOKUP(M94,ED!C$2:E$98,3,FALSE))</f>
        <v/>
      </c>
      <c r="O94" s="44"/>
      <c r="P94" s="32"/>
      <c r="Q94" s="124"/>
      <c r="R94" s="1"/>
      <c r="S94" s="1"/>
      <c r="T94" s="159"/>
    </row>
    <row r="95" spans="1:20" x14ac:dyDescent="0.25">
      <c r="A95" s="159"/>
      <c r="B95" s="66"/>
      <c r="C95" s="1"/>
      <c r="D95" s="24"/>
      <c r="E95" s="28"/>
      <c r="F95" s="3"/>
      <c r="G95" s="30"/>
      <c r="H95" s="26"/>
      <c r="I95" s="26"/>
      <c r="J95" s="126"/>
      <c r="K95" s="39"/>
      <c r="L95" s="18"/>
      <c r="M95" s="41"/>
      <c r="N95" s="122" t="str">
        <f>IF(ISBLANK(M95),"",VLOOKUP(M95,ED!C$2:E$98,3,FALSE))</f>
        <v/>
      </c>
      <c r="O95" s="44"/>
      <c r="P95" s="32"/>
      <c r="Q95" s="124"/>
      <c r="R95" s="1"/>
      <c r="S95" s="1"/>
      <c r="T95" s="159"/>
    </row>
    <row r="96" spans="1:20" x14ac:dyDescent="0.25">
      <c r="A96" s="159"/>
      <c r="B96" s="66"/>
      <c r="C96" s="1"/>
      <c r="D96" s="24"/>
      <c r="E96" s="28"/>
      <c r="F96" s="3"/>
      <c r="G96" s="30"/>
      <c r="H96" s="26"/>
      <c r="I96" s="26"/>
      <c r="J96" s="126"/>
      <c r="K96" s="39"/>
      <c r="L96" s="18"/>
      <c r="M96" s="41"/>
      <c r="N96" s="122" t="str">
        <f>IF(ISBLANK(M96),"",VLOOKUP(M96,ED!C$2:E$98,3,FALSE))</f>
        <v/>
      </c>
      <c r="O96" s="44"/>
      <c r="P96" s="32"/>
      <c r="Q96" s="124"/>
      <c r="R96" s="1"/>
      <c r="S96" s="1"/>
      <c r="T96" s="159"/>
    </row>
    <row r="97" spans="1:20" x14ac:dyDescent="0.25">
      <c r="A97" s="159"/>
      <c r="B97" s="66"/>
      <c r="C97" s="1"/>
      <c r="D97" s="24"/>
      <c r="E97" s="28"/>
      <c r="F97" s="3"/>
      <c r="G97" s="30"/>
      <c r="H97" s="26"/>
      <c r="I97" s="26"/>
      <c r="J97" s="126"/>
      <c r="K97" s="39"/>
      <c r="L97" s="18"/>
      <c r="M97" s="41"/>
      <c r="N97" s="122" t="str">
        <f>IF(ISBLANK(M97),"",VLOOKUP(M97,ED!C$2:E$98,3,FALSE))</f>
        <v/>
      </c>
      <c r="O97" s="44"/>
      <c r="P97" s="32"/>
      <c r="Q97" s="124"/>
      <c r="R97" s="1"/>
      <c r="S97" s="1"/>
      <c r="T97" s="159"/>
    </row>
    <row r="98" spans="1:20" x14ac:dyDescent="0.25">
      <c r="A98" s="159"/>
      <c r="B98" s="66"/>
      <c r="C98" s="1"/>
      <c r="D98" s="24"/>
      <c r="E98" s="28"/>
      <c r="F98" s="3"/>
      <c r="G98" s="30"/>
      <c r="H98" s="26"/>
      <c r="I98" s="26"/>
      <c r="J98" s="126"/>
      <c r="K98" s="39"/>
      <c r="L98" s="18"/>
      <c r="M98" s="41"/>
      <c r="N98" s="122" t="str">
        <f>IF(ISBLANK(M98),"",VLOOKUP(M98,ED!C$2:E$98,3,FALSE))</f>
        <v/>
      </c>
      <c r="O98" s="44"/>
      <c r="P98" s="32"/>
      <c r="Q98" s="124"/>
      <c r="R98" s="1"/>
      <c r="S98" s="1"/>
      <c r="T98" s="159"/>
    </row>
    <row r="99" spans="1:20" x14ac:dyDescent="0.25">
      <c r="A99" s="159"/>
      <c r="B99" s="66"/>
      <c r="C99" s="1"/>
      <c r="D99" s="24"/>
      <c r="E99" s="28"/>
      <c r="F99" s="3"/>
      <c r="G99" s="30"/>
      <c r="H99" s="26"/>
      <c r="I99" s="26"/>
      <c r="J99" s="126"/>
      <c r="K99" s="39"/>
      <c r="L99" s="18"/>
      <c r="M99" s="41"/>
      <c r="N99" s="122" t="str">
        <f>IF(ISBLANK(M99),"",VLOOKUP(M99,ED!C$2:E$98,3,FALSE))</f>
        <v/>
      </c>
      <c r="O99" s="44"/>
      <c r="P99" s="32"/>
      <c r="Q99" s="124"/>
      <c r="R99" s="1"/>
      <c r="S99" s="1"/>
      <c r="T99" s="159"/>
    </row>
  </sheetData>
  <autoFilter ref="A1:T99"/>
  <mergeCells count="9">
    <mergeCell ref="T1:T99"/>
    <mergeCell ref="A1:A99"/>
    <mergeCell ref="P4:P8"/>
    <mergeCell ref="O9:O21"/>
    <mergeCell ref="P9:P21"/>
    <mergeCell ref="J4:J8"/>
    <mergeCell ref="J9:J21"/>
    <mergeCell ref="I4:I8"/>
    <mergeCell ref="I9:I21"/>
  </mergeCells>
  <conditionalFormatting sqref="D1 D22:D1048576 D4:D8">
    <cfRule type="containsText" dxfId="8" priority="7" operator="containsText" text="NON">
      <formula>NOT(ISERROR(SEARCH("NON",D1)))</formula>
    </cfRule>
  </conditionalFormatting>
  <conditionalFormatting sqref="D2 D10:D21">
    <cfRule type="containsText" dxfId="7" priority="5" operator="containsText" text="NON">
      <formula>NOT(ISERROR(SEARCH("NON",D2)))</formula>
    </cfRule>
  </conditionalFormatting>
  <conditionalFormatting sqref="D3">
    <cfRule type="containsText" dxfId="6" priority="4" operator="containsText" text="NON">
      <formula>NOT(ISERROR(SEARCH("NON",D3)))</formula>
    </cfRule>
  </conditionalFormatting>
  <conditionalFormatting sqref="Q1:Q8 Q10:Q1048576">
    <cfRule type="expression" dxfId="5" priority="3">
      <formula>$Q1="En attente..."</formula>
    </cfRule>
  </conditionalFormatting>
  <conditionalFormatting sqref="D9">
    <cfRule type="containsText" dxfId="4" priority="2" operator="containsText" text="NON">
      <formula>NOT(ISERROR(SEARCH("NON",D9)))</formula>
    </cfRule>
  </conditionalFormatting>
  <conditionalFormatting sqref="Q9">
    <cfRule type="expression" dxfId="3" priority="1">
      <formula>$Q9="En attente..."</formula>
    </cfRule>
  </conditionalFormatting>
  <dataValidations count="6">
    <dataValidation allowBlank="1" showInputMessage="1" showErrorMessage="1" promptTitle="Commande à destination de ?" prompt="Cette commande est à destination et usage de l'Equipe Maintenance Sécurité?_x000a_ou_x000a_Cette commande a été faite pour dépanner des autres collègues? (Rachid IT, Rino, Nicolas Bellido, etc)_x000a_exemple: petit projet pour Rino? donc commande NON à destination de ETS" sqref="D1"/>
    <dataValidation allowBlank="1" showInputMessage="1" showErrorMessage="1" promptTitle="Engagements de Dépense [ED]" prompt="Encoder les ED dans l'onglet ED prévu à cet effet._x000a__x000a_Puis choisir ici parmi les ED encodés (menu déroulant)" sqref="M1"/>
    <dataValidation allowBlank="1" showInputMessage="1" showErrorMessage="1" promptTitle="Date du Bon de Commande [PO]" prompt="Encoder ici la date du BC._x000a__x000a_Tous les calculs sont basés sur la date du BC !!" sqref="H1"/>
    <dataValidation allowBlank="1" showInputMessage="1" showErrorMessage="1" promptTitle="IMPORTANT : Offre ou BDP ?" prompt="Offre spécifique? càd articles ne figurant pas dans le Bordereau de Prix?_x000a_--&gt; indiquez date de l'offre_x000a__x000a_OU_x000a__x000a_Commande d'articles du Bordereau de Prix [BDP]?_x000a_--&gt; indiquez BDP_x000a_________________________________________x000a_Sert au calcul du dépassement de seuil 10%" sqref="E1"/>
    <dataValidation allowBlank="1" showInputMessage="1" showErrorMessage="1" promptTitle="IMPORTANT: Offre ou BDP ?" prompt="Offre spécifique? càd articles ne figurant pas dans le Bordereau de Prix?_x000a_--&gt; indiquez date de l'offre_x000a__x000a_OU_x000a__x000a_Commande d'articles du Bordereau de Prix [BDP]?_x000a_--&gt; indiquez BDP_x000a_________________________________________x000a_Sert au calcul du dépassement de seuil 10%" sqref="E2:E99"/>
    <dataValidation allowBlank="1" showInputMessage="1" showErrorMessage="1" promptTitle="Date de validité BC [PO]" prompt="Encoder ici la date de validité du BC." sqref="I1"/>
  </dataValidations>
  <pageMargins left="0.25" right="0.25" top="0.75" bottom="0.75" header="0.3" footer="0.3"/>
  <pageSetup paperSize="9" scale="32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Data!$A$2:$A$3</xm:f>
          </x14:formula1>
          <xm:sqref>D3 D22:D99</xm:sqref>
        </x14:dataValidation>
        <x14:dataValidation type="list" allowBlank="1" showInputMessage="1" showErrorMessage="1">
          <x14:formula1>
            <xm:f>Data!#REF!</xm:f>
          </x14:formula1>
          <xm:sqref>D2 D4:D21</xm:sqref>
        </x14:dataValidation>
        <x14:dataValidation type="list" allowBlank="1" showInputMessage="1" showErrorMessage="1" errorTitle="Choix Engagement de Dépense [ED]" error="Encoder les ED dans l'onglet ED prévu à cet effet._x000a_Puis choisir ici parmi les ED encodés (menu déroulant)">
          <x14:formula1>
            <xm:f>OFFSET(Data!$F$2,0,0,COUNTA(Data!$F$1:$F$7)-1,1)</xm:f>
          </x14:formula1>
          <xm:sqref>M2:M99</xm:sqref>
        </x14:dataValidation>
        <x14:dataValidation type="list" allowBlank="1" showInputMessage="1" errorTitle="Erreur" error="Merci de choisir un élément dans la liste déroulante..." promptTitle="Document réception de commande" prompt="Avant de pouvoir payer, Budget nous demandera toujours:_x000a_*un bon de livraison signé,_x000a_*une feuille de prestations,_x000a_*un rapport d'intervention,_x000a_etc._x000a__x000a_Donc ces documents sont à mettre dans le dossier _x000a_05Reception Commandes">
          <x14:formula1>
            <xm:f>Data!$C$2:$C$5</xm:f>
          </x14:formula1>
          <xm:sqref>Q1:Q1048576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J98"/>
  <sheetViews>
    <sheetView zoomScale="120" zoomScaleNormal="120" workbookViewId="0">
      <pane ySplit="1" topLeftCell="A2" activePane="bottomLeft" state="frozen"/>
      <selection pane="bottomLeft" activeCell="D16" sqref="D16"/>
    </sheetView>
  </sheetViews>
  <sheetFormatPr defaultColWidth="9.140625" defaultRowHeight="15" x14ac:dyDescent="0.25"/>
  <cols>
    <col min="1" max="1" width="3.85546875" style="46" customWidth="1"/>
    <col min="2" max="2" width="15.140625" style="47" customWidth="1"/>
    <col min="3" max="3" width="14.5703125" style="48" customWidth="1"/>
    <col min="4" max="4" width="13" style="49" customWidth="1"/>
    <col min="5" max="5" width="14.42578125" style="55" customWidth="1"/>
    <col min="6" max="6" width="11.140625" style="55" customWidth="1"/>
    <col min="7" max="7" width="115.28515625" style="46" customWidth="1"/>
    <col min="8" max="8" width="3.85546875" style="46" customWidth="1"/>
    <col min="9" max="9" width="9.140625" style="13"/>
    <col min="10" max="10" width="11" style="13" bestFit="1" customWidth="1"/>
    <col min="11" max="16384" width="9.140625" style="13"/>
  </cols>
  <sheetData>
    <row r="1" spans="1:10" ht="45" customHeight="1" x14ac:dyDescent="0.25">
      <c r="A1" s="159" t="str">
        <f>Data!$J$2&amp;"      TYPE III                         "&amp;Data!$J$2&amp;"      TYPE III                         "&amp;Data!$J$2&amp;"      TYPE III                         "&amp;Data!$J$2&amp;"      TYPE III"</f>
        <v>blabla      TYPE III                         blabla      TYPE III                         blabla      TYPE III                         blabla      TYPE III</v>
      </c>
      <c r="B1" s="53" t="s">
        <v>28</v>
      </c>
      <c r="C1" s="53" t="s">
        <v>29</v>
      </c>
      <c r="D1" s="53" t="s">
        <v>30</v>
      </c>
      <c r="E1" s="53" t="s">
        <v>31</v>
      </c>
      <c r="F1" s="53" t="s">
        <v>84</v>
      </c>
      <c r="G1" s="53" t="s">
        <v>32</v>
      </c>
      <c r="H1" s="159" t="str">
        <f>Data!$J$2&amp;"      TYPE III                         "&amp;Data!$J$2&amp;"      TYPE III                         "&amp;Data!$J$2&amp;"      TYPE III                         "&amp;Data!$J$2&amp;"      TYPE III"</f>
        <v>blabla      TYPE III                         blabla      TYPE III                         blabla      TYPE III                         blabla      TYPE III</v>
      </c>
      <c r="J1" s="81"/>
    </row>
    <row r="2" spans="1:10" x14ac:dyDescent="0.25">
      <c r="A2" s="159"/>
      <c r="B2" s="50">
        <v>43983</v>
      </c>
      <c r="C2" s="51">
        <v>2100004039</v>
      </c>
      <c r="D2" s="52">
        <v>1000</v>
      </c>
      <c r="E2" s="54" t="s">
        <v>27</v>
      </c>
      <c r="F2" s="121" t="str">
        <f>IF(B2="","",IF(E2="Provisionnel",IF(D2&gt;0,DATE(YEAR(B2)+1,12,31),"DECOMMIT"),""))</f>
        <v/>
      </c>
      <c r="G2" s="1"/>
      <c r="H2" s="159"/>
    </row>
    <row r="3" spans="1:10" x14ac:dyDescent="0.25">
      <c r="A3" s="159"/>
      <c r="B3" s="50">
        <v>44139</v>
      </c>
      <c r="C3" s="51">
        <v>2200001845</v>
      </c>
      <c r="D3" s="52">
        <v>1000</v>
      </c>
      <c r="E3" s="54" t="s">
        <v>26</v>
      </c>
      <c r="F3" s="121">
        <f t="shared" ref="F3:F66" si="0">IF(B3="","",IF(E3="Provisionnel",IF(D3&gt;0,DATE(YEAR(B3)+1,12,31),"DECOMMIT"),""))</f>
        <v>44561</v>
      </c>
      <c r="G3" s="1" t="s">
        <v>93</v>
      </c>
      <c r="H3" s="159"/>
    </row>
    <row r="4" spans="1:10" x14ac:dyDescent="0.25">
      <c r="A4" s="159"/>
      <c r="B4" s="50">
        <v>44162</v>
      </c>
      <c r="C4" s="51">
        <v>2200001845</v>
      </c>
      <c r="D4" s="52">
        <v>1000</v>
      </c>
      <c r="E4" s="54" t="s">
        <v>26</v>
      </c>
      <c r="F4" s="121">
        <f t="shared" si="0"/>
        <v>44561</v>
      </c>
      <c r="G4" s="1"/>
      <c r="H4" s="159"/>
    </row>
    <row r="5" spans="1:10" x14ac:dyDescent="0.25">
      <c r="A5" s="159"/>
      <c r="B5" s="50">
        <v>44175</v>
      </c>
      <c r="C5" s="80">
        <v>2100006056</v>
      </c>
      <c r="D5" s="52">
        <v>1000</v>
      </c>
      <c r="E5" s="54" t="s">
        <v>27</v>
      </c>
      <c r="F5" s="121" t="str">
        <f t="shared" si="0"/>
        <v/>
      </c>
      <c r="G5" s="1" t="s">
        <v>111</v>
      </c>
      <c r="H5" s="159"/>
    </row>
    <row r="6" spans="1:10" x14ac:dyDescent="0.25">
      <c r="A6" s="159"/>
      <c r="B6" s="50">
        <v>44350</v>
      </c>
      <c r="C6" s="51">
        <v>2200001845</v>
      </c>
      <c r="D6" s="52">
        <v>1000</v>
      </c>
      <c r="E6" s="54" t="s">
        <v>26</v>
      </c>
      <c r="F6" s="121">
        <f t="shared" si="0"/>
        <v>44926</v>
      </c>
      <c r="G6" s="1"/>
      <c r="H6" s="159"/>
    </row>
    <row r="7" spans="1:10" x14ac:dyDescent="0.25">
      <c r="A7" s="159"/>
      <c r="B7" s="50">
        <v>44509</v>
      </c>
      <c r="C7" s="51">
        <v>2200001845</v>
      </c>
      <c r="D7" s="102">
        <v>-1000</v>
      </c>
      <c r="E7" s="54" t="s">
        <v>26</v>
      </c>
      <c r="F7" s="121" t="str">
        <f t="shared" si="0"/>
        <v>DECOMMIT</v>
      </c>
      <c r="G7" s="1"/>
      <c r="H7" s="159"/>
    </row>
    <row r="8" spans="1:10" x14ac:dyDescent="0.25">
      <c r="A8" s="159"/>
      <c r="B8" s="50">
        <v>44530</v>
      </c>
      <c r="C8" s="51">
        <v>2200001845</v>
      </c>
      <c r="D8" s="52">
        <v>1000</v>
      </c>
      <c r="E8" s="54" t="s">
        <v>26</v>
      </c>
      <c r="F8" s="121">
        <f t="shared" si="0"/>
        <v>44926</v>
      </c>
      <c r="G8" s="1"/>
      <c r="H8" s="159"/>
    </row>
    <row r="9" spans="1:10" x14ac:dyDescent="0.25">
      <c r="A9" s="159"/>
      <c r="B9" s="50">
        <v>44562</v>
      </c>
      <c r="C9" s="51">
        <v>2200002642</v>
      </c>
      <c r="D9" s="52">
        <v>1000</v>
      </c>
      <c r="E9" s="54" t="s">
        <v>26</v>
      </c>
      <c r="F9" s="121">
        <f t="shared" si="0"/>
        <v>45291</v>
      </c>
      <c r="G9" s="1"/>
      <c r="H9" s="159"/>
    </row>
    <row r="10" spans="1:10" x14ac:dyDescent="0.25">
      <c r="A10" s="159"/>
      <c r="B10" s="50">
        <v>44713</v>
      </c>
      <c r="C10" s="51">
        <v>2200002642</v>
      </c>
      <c r="D10" s="52">
        <v>1000</v>
      </c>
      <c r="E10" s="54" t="s">
        <v>26</v>
      </c>
      <c r="F10" s="121">
        <f t="shared" si="0"/>
        <v>45291</v>
      </c>
      <c r="G10" s="1"/>
      <c r="H10" s="159"/>
    </row>
    <row r="11" spans="1:10" x14ac:dyDescent="0.25">
      <c r="A11" s="159"/>
      <c r="B11" s="50">
        <v>44792</v>
      </c>
      <c r="C11" s="51">
        <v>2100012869</v>
      </c>
      <c r="D11" s="52">
        <v>1000</v>
      </c>
      <c r="E11" s="54" t="s">
        <v>27</v>
      </c>
      <c r="F11" s="121" t="str">
        <f t="shared" si="0"/>
        <v/>
      </c>
      <c r="G11" s="1" t="s">
        <v>111</v>
      </c>
      <c r="H11" s="159"/>
    </row>
    <row r="12" spans="1:10" x14ac:dyDescent="0.25">
      <c r="A12" s="159"/>
      <c r="B12" s="139">
        <v>44904</v>
      </c>
      <c r="C12" s="140">
        <v>2200004037</v>
      </c>
      <c r="D12" s="52">
        <v>1000</v>
      </c>
      <c r="E12" s="141" t="s">
        <v>26</v>
      </c>
      <c r="F12" s="121">
        <f t="shared" si="0"/>
        <v>45291</v>
      </c>
      <c r="G12" s="1"/>
      <c r="H12" s="159"/>
    </row>
    <row r="13" spans="1:10" x14ac:dyDescent="0.25">
      <c r="A13" s="159"/>
      <c r="B13" s="50"/>
      <c r="C13" s="51"/>
      <c r="D13" s="52"/>
      <c r="E13" s="54"/>
      <c r="F13" s="121" t="str">
        <f t="shared" si="0"/>
        <v/>
      </c>
      <c r="G13" s="1"/>
      <c r="H13" s="159"/>
    </row>
    <row r="14" spans="1:10" x14ac:dyDescent="0.25">
      <c r="A14" s="159"/>
      <c r="B14" s="50"/>
      <c r="C14" s="51"/>
      <c r="D14" s="52"/>
      <c r="E14" s="54"/>
      <c r="F14" s="121" t="str">
        <f t="shared" si="0"/>
        <v/>
      </c>
      <c r="G14" s="1"/>
      <c r="H14" s="159"/>
    </row>
    <row r="15" spans="1:10" x14ac:dyDescent="0.25">
      <c r="A15" s="159"/>
      <c r="B15" s="50"/>
      <c r="C15" s="51"/>
      <c r="D15" s="52"/>
      <c r="E15" s="54"/>
      <c r="F15" s="121" t="str">
        <f t="shared" si="0"/>
        <v/>
      </c>
      <c r="G15" s="1"/>
      <c r="H15" s="159"/>
    </row>
    <row r="16" spans="1:10" x14ac:dyDescent="0.25">
      <c r="A16" s="159"/>
      <c r="B16" s="50"/>
      <c r="C16" s="51"/>
      <c r="D16" s="52"/>
      <c r="E16" s="54"/>
      <c r="F16" s="121" t="str">
        <f t="shared" si="0"/>
        <v/>
      </c>
      <c r="G16" s="1"/>
      <c r="H16" s="159"/>
    </row>
    <row r="17" spans="1:8" x14ac:dyDescent="0.25">
      <c r="A17" s="159"/>
      <c r="B17" s="50"/>
      <c r="C17" s="51"/>
      <c r="D17" s="52"/>
      <c r="E17" s="54"/>
      <c r="F17" s="121" t="str">
        <f t="shared" si="0"/>
        <v/>
      </c>
      <c r="G17" s="1"/>
      <c r="H17" s="159"/>
    </row>
    <row r="18" spans="1:8" x14ac:dyDescent="0.25">
      <c r="A18" s="159"/>
      <c r="B18" s="50"/>
      <c r="C18" s="51"/>
      <c r="D18" s="52"/>
      <c r="E18" s="54"/>
      <c r="F18" s="121" t="str">
        <f t="shared" si="0"/>
        <v/>
      </c>
      <c r="G18" s="1"/>
      <c r="H18" s="159"/>
    </row>
    <row r="19" spans="1:8" x14ac:dyDescent="0.25">
      <c r="A19" s="159"/>
      <c r="B19" s="50"/>
      <c r="C19" s="51"/>
      <c r="D19" s="52"/>
      <c r="E19" s="54"/>
      <c r="F19" s="121" t="str">
        <f t="shared" si="0"/>
        <v/>
      </c>
      <c r="G19" s="1"/>
      <c r="H19" s="159"/>
    </row>
    <row r="20" spans="1:8" x14ac:dyDescent="0.25">
      <c r="A20" s="159"/>
      <c r="B20" s="50"/>
      <c r="C20" s="51"/>
      <c r="D20" s="52"/>
      <c r="E20" s="54"/>
      <c r="F20" s="121" t="str">
        <f t="shared" si="0"/>
        <v/>
      </c>
      <c r="G20" s="1"/>
      <c r="H20" s="159"/>
    </row>
    <row r="21" spans="1:8" x14ac:dyDescent="0.25">
      <c r="A21" s="159"/>
      <c r="B21" s="50"/>
      <c r="C21" s="51"/>
      <c r="D21" s="52"/>
      <c r="E21" s="54"/>
      <c r="F21" s="121" t="str">
        <f t="shared" si="0"/>
        <v/>
      </c>
      <c r="G21" s="1"/>
      <c r="H21" s="159"/>
    </row>
    <row r="22" spans="1:8" x14ac:dyDescent="0.25">
      <c r="A22" s="159"/>
      <c r="B22" s="50"/>
      <c r="C22" s="51"/>
      <c r="D22" s="52"/>
      <c r="E22" s="54"/>
      <c r="F22" s="121" t="str">
        <f t="shared" si="0"/>
        <v/>
      </c>
      <c r="G22" s="1"/>
      <c r="H22" s="159"/>
    </row>
    <row r="23" spans="1:8" x14ac:dyDescent="0.25">
      <c r="A23" s="159"/>
      <c r="B23" s="50"/>
      <c r="C23" s="51"/>
      <c r="D23" s="52"/>
      <c r="E23" s="54"/>
      <c r="F23" s="121" t="str">
        <f t="shared" si="0"/>
        <v/>
      </c>
      <c r="G23" s="1"/>
      <c r="H23" s="159"/>
    </row>
    <row r="24" spans="1:8" x14ac:dyDescent="0.25">
      <c r="A24" s="159"/>
      <c r="B24" s="50"/>
      <c r="C24" s="51"/>
      <c r="D24" s="52"/>
      <c r="E24" s="54"/>
      <c r="F24" s="121" t="str">
        <f t="shared" si="0"/>
        <v/>
      </c>
      <c r="G24" s="1"/>
      <c r="H24" s="159"/>
    </row>
    <row r="25" spans="1:8" x14ac:dyDescent="0.25">
      <c r="A25" s="159"/>
      <c r="B25" s="50"/>
      <c r="C25" s="51"/>
      <c r="D25" s="52"/>
      <c r="E25" s="54"/>
      <c r="F25" s="121" t="str">
        <f t="shared" si="0"/>
        <v/>
      </c>
      <c r="G25" s="1"/>
      <c r="H25" s="159"/>
    </row>
    <row r="26" spans="1:8" x14ac:dyDescent="0.25">
      <c r="A26" s="159"/>
      <c r="B26" s="50"/>
      <c r="C26" s="51"/>
      <c r="D26" s="52"/>
      <c r="E26" s="54"/>
      <c r="F26" s="121" t="str">
        <f t="shared" si="0"/>
        <v/>
      </c>
      <c r="G26" s="1"/>
      <c r="H26" s="159"/>
    </row>
    <row r="27" spans="1:8" x14ac:dyDescent="0.25">
      <c r="A27" s="159"/>
      <c r="B27" s="50"/>
      <c r="C27" s="51"/>
      <c r="D27" s="52"/>
      <c r="E27" s="54"/>
      <c r="F27" s="121" t="str">
        <f t="shared" si="0"/>
        <v/>
      </c>
      <c r="G27" s="1"/>
      <c r="H27" s="159"/>
    </row>
    <row r="28" spans="1:8" x14ac:dyDescent="0.25">
      <c r="A28" s="159"/>
      <c r="B28" s="50"/>
      <c r="C28" s="51"/>
      <c r="D28" s="52"/>
      <c r="E28" s="54"/>
      <c r="F28" s="121" t="str">
        <f t="shared" si="0"/>
        <v/>
      </c>
      <c r="G28" s="1"/>
      <c r="H28" s="159"/>
    </row>
    <row r="29" spans="1:8" x14ac:dyDescent="0.25">
      <c r="A29" s="159"/>
      <c r="B29" s="50"/>
      <c r="C29" s="51"/>
      <c r="D29" s="52"/>
      <c r="E29" s="54"/>
      <c r="F29" s="121" t="str">
        <f t="shared" si="0"/>
        <v/>
      </c>
      <c r="G29" s="1"/>
      <c r="H29" s="159"/>
    </row>
    <row r="30" spans="1:8" x14ac:dyDescent="0.25">
      <c r="A30" s="159"/>
      <c r="B30" s="50"/>
      <c r="C30" s="51"/>
      <c r="D30" s="52"/>
      <c r="E30" s="54"/>
      <c r="F30" s="121" t="str">
        <f t="shared" si="0"/>
        <v/>
      </c>
      <c r="G30" s="1"/>
      <c r="H30" s="159"/>
    </row>
    <row r="31" spans="1:8" x14ac:dyDescent="0.25">
      <c r="A31" s="159"/>
      <c r="B31" s="50"/>
      <c r="C31" s="51"/>
      <c r="D31" s="52"/>
      <c r="E31" s="54"/>
      <c r="F31" s="121" t="str">
        <f t="shared" si="0"/>
        <v/>
      </c>
      <c r="G31" s="1"/>
      <c r="H31" s="159"/>
    </row>
    <row r="32" spans="1:8" x14ac:dyDescent="0.25">
      <c r="A32" s="159"/>
      <c r="B32" s="50"/>
      <c r="C32" s="51"/>
      <c r="D32" s="52"/>
      <c r="E32" s="54"/>
      <c r="F32" s="121" t="str">
        <f t="shared" si="0"/>
        <v/>
      </c>
      <c r="G32" s="1"/>
      <c r="H32" s="159"/>
    </row>
    <row r="33" spans="1:8" x14ac:dyDescent="0.25">
      <c r="A33" s="159"/>
      <c r="B33" s="50"/>
      <c r="C33" s="51"/>
      <c r="D33" s="52"/>
      <c r="E33" s="54"/>
      <c r="F33" s="121" t="str">
        <f t="shared" si="0"/>
        <v/>
      </c>
      <c r="G33" s="1"/>
      <c r="H33" s="159"/>
    </row>
    <row r="34" spans="1:8" x14ac:dyDescent="0.25">
      <c r="A34" s="159"/>
      <c r="B34" s="50"/>
      <c r="C34" s="51"/>
      <c r="D34" s="52"/>
      <c r="E34" s="54"/>
      <c r="F34" s="121" t="str">
        <f t="shared" si="0"/>
        <v/>
      </c>
      <c r="G34" s="1"/>
      <c r="H34" s="159"/>
    </row>
    <row r="35" spans="1:8" x14ac:dyDescent="0.25">
      <c r="A35" s="159"/>
      <c r="B35" s="50"/>
      <c r="C35" s="51"/>
      <c r="D35" s="52"/>
      <c r="E35" s="54"/>
      <c r="F35" s="121" t="str">
        <f t="shared" si="0"/>
        <v/>
      </c>
      <c r="G35" s="1"/>
      <c r="H35" s="159"/>
    </row>
    <row r="36" spans="1:8" x14ac:dyDescent="0.25">
      <c r="A36" s="159"/>
      <c r="B36" s="50"/>
      <c r="C36" s="51"/>
      <c r="D36" s="52"/>
      <c r="E36" s="54"/>
      <c r="F36" s="121" t="str">
        <f t="shared" si="0"/>
        <v/>
      </c>
      <c r="G36" s="1"/>
      <c r="H36" s="159"/>
    </row>
    <row r="37" spans="1:8" x14ac:dyDescent="0.25">
      <c r="A37" s="159"/>
      <c r="B37" s="50"/>
      <c r="C37" s="51"/>
      <c r="D37" s="52"/>
      <c r="E37" s="54"/>
      <c r="F37" s="121" t="str">
        <f t="shared" si="0"/>
        <v/>
      </c>
      <c r="G37" s="1"/>
      <c r="H37" s="159"/>
    </row>
    <row r="38" spans="1:8" x14ac:dyDescent="0.25">
      <c r="A38" s="159"/>
      <c r="B38" s="50"/>
      <c r="C38" s="51"/>
      <c r="D38" s="52"/>
      <c r="E38" s="54"/>
      <c r="F38" s="121" t="str">
        <f t="shared" si="0"/>
        <v/>
      </c>
      <c r="G38" s="1"/>
      <c r="H38" s="159"/>
    </row>
    <row r="39" spans="1:8" x14ac:dyDescent="0.25">
      <c r="A39" s="159"/>
      <c r="B39" s="50"/>
      <c r="C39" s="51"/>
      <c r="D39" s="52"/>
      <c r="E39" s="54"/>
      <c r="F39" s="121" t="str">
        <f t="shared" si="0"/>
        <v/>
      </c>
      <c r="G39" s="1"/>
      <c r="H39" s="159"/>
    </row>
    <row r="40" spans="1:8" x14ac:dyDescent="0.25">
      <c r="A40" s="159"/>
      <c r="B40" s="50"/>
      <c r="C40" s="51"/>
      <c r="D40" s="52"/>
      <c r="E40" s="54"/>
      <c r="F40" s="121" t="str">
        <f t="shared" si="0"/>
        <v/>
      </c>
      <c r="G40" s="1"/>
      <c r="H40" s="159"/>
    </row>
    <row r="41" spans="1:8" x14ac:dyDescent="0.25">
      <c r="A41" s="159"/>
      <c r="B41" s="50"/>
      <c r="C41" s="51"/>
      <c r="D41" s="52"/>
      <c r="E41" s="54"/>
      <c r="F41" s="121" t="str">
        <f t="shared" si="0"/>
        <v/>
      </c>
      <c r="G41" s="1"/>
      <c r="H41" s="159"/>
    </row>
    <row r="42" spans="1:8" x14ac:dyDescent="0.25">
      <c r="A42" s="159"/>
      <c r="B42" s="50"/>
      <c r="C42" s="51"/>
      <c r="D42" s="52"/>
      <c r="E42" s="54"/>
      <c r="F42" s="121" t="str">
        <f t="shared" si="0"/>
        <v/>
      </c>
      <c r="G42" s="1"/>
      <c r="H42" s="159"/>
    </row>
    <row r="43" spans="1:8" x14ac:dyDescent="0.25">
      <c r="A43" s="159"/>
      <c r="B43" s="50"/>
      <c r="C43" s="51"/>
      <c r="D43" s="52"/>
      <c r="E43" s="54"/>
      <c r="F43" s="121" t="str">
        <f t="shared" si="0"/>
        <v/>
      </c>
      <c r="G43" s="1"/>
      <c r="H43" s="159"/>
    </row>
    <row r="44" spans="1:8" x14ac:dyDescent="0.25">
      <c r="A44" s="159"/>
      <c r="B44" s="50"/>
      <c r="C44" s="51"/>
      <c r="D44" s="52"/>
      <c r="E44" s="54"/>
      <c r="F44" s="121" t="str">
        <f t="shared" si="0"/>
        <v/>
      </c>
      <c r="G44" s="1"/>
      <c r="H44" s="159"/>
    </row>
    <row r="45" spans="1:8" x14ac:dyDescent="0.25">
      <c r="A45" s="159"/>
      <c r="B45" s="50"/>
      <c r="C45" s="51"/>
      <c r="D45" s="52"/>
      <c r="E45" s="54"/>
      <c r="F45" s="121" t="str">
        <f t="shared" si="0"/>
        <v/>
      </c>
      <c r="G45" s="1"/>
      <c r="H45" s="159"/>
    </row>
    <row r="46" spans="1:8" x14ac:dyDescent="0.25">
      <c r="A46" s="159"/>
      <c r="B46" s="50"/>
      <c r="C46" s="51"/>
      <c r="D46" s="52"/>
      <c r="E46" s="54"/>
      <c r="F46" s="121" t="str">
        <f t="shared" si="0"/>
        <v/>
      </c>
      <c r="G46" s="1"/>
      <c r="H46" s="159"/>
    </row>
    <row r="47" spans="1:8" x14ac:dyDescent="0.25">
      <c r="A47" s="159"/>
      <c r="B47" s="50"/>
      <c r="C47" s="51"/>
      <c r="D47" s="52"/>
      <c r="E47" s="54"/>
      <c r="F47" s="121" t="str">
        <f t="shared" si="0"/>
        <v/>
      </c>
      <c r="G47" s="1"/>
      <c r="H47" s="159"/>
    </row>
    <row r="48" spans="1:8" x14ac:dyDescent="0.25">
      <c r="A48" s="159"/>
      <c r="B48" s="50"/>
      <c r="C48" s="51"/>
      <c r="D48" s="52"/>
      <c r="E48" s="54"/>
      <c r="F48" s="121" t="str">
        <f t="shared" si="0"/>
        <v/>
      </c>
      <c r="G48" s="1"/>
      <c r="H48" s="159"/>
    </row>
    <row r="49" spans="1:8" x14ac:dyDescent="0.25">
      <c r="A49" s="159"/>
      <c r="B49" s="50"/>
      <c r="C49" s="51"/>
      <c r="D49" s="52"/>
      <c r="E49" s="54"/>
      <c r="F49" s="121" t="str">
        <f t="shared" si="0"/>
        <v/>
      </c>
      <c r="G49" s="1"/>
      <c r="H49" s="159"/>
    </row>
    <row r="50" spans="1:8" x14ac:dyDescent="0.25">
      <c r="A50" s="159"/>
      <c r="B50" s="50"/>
      <c r="C50" s="51"/>
      <c r="D50" s="52"/>
      <c r="E50" s="54"/>
      <c r="F50" s="121" t="str">
        <f t="shared" si="0"/>
        <v/>
      </c>
      <c r="G50" s="1"/>
      <c r="H50" s="159"/>
    </row>
    <row r="51" spans="1:8" x14ac:dyDescent="0.25">
      <c r="A51" s="159"/>
      <c r="B51" s="50"/>
      <c r="C51" s="51"/>
      <c r="D51" s="52"/>
      <c r="E51" s="54"/>
      <c r="F51" s="121" t="str">
        <f t="shared" si="0"/>
        <v/>
      </c>
      <c r="G51" s="1"/>
      <c r="H51" s="159"/>
    </row>
    <row r="52" spans="1:8" x14ac:dyDescent="0.25">
      <c r="A52" s="159"/>
      <c r="B52" s="50"/>
      <c r="C52" s="51"/>
      <c r="D52" s="52"/>
      <c r="E52" s="54"/>
      <c r="F52" s="121" t="str">
        <f t="shared" si="0"/>
        <v/>
      </c>
      <c r="G52" s="1"/>
      <c r="H52" s="159"/>
    </row>
    <row r="53" spans="1:8" x14ac:dyDescent="0.25">
      <c r="A53" s="159"/>
      <c r="B53" s="50"/>
      <c r="C53" s="51"/>
      <c r="D53" s="52"/>
      <c r="E53" s="54"/>
      <c r="F53" s="121" t="str">
        <f t="shared" si="0"/>
        <v/>
      </c>
      <c r="G53" s="1"/>
      <c r="H53" s="159"/>
    </row>
    <row r="54" spans="1:8" x14ac:dyDescent="0.25">
      <c r="A54" s="159"/>
      <c r="B54" s="50"/>
      <c r="C54" s="51"/>
      <c r="D54" s="52"/>
      <c r="E54" s="54"/>
      <c r="F54" s="121" t="str">
        <f t="shared" si="0"/>
        <v/>
      </c>
      <c r="G54" s="1"/>
      <c r="H54" s="159"/>
    </row>
    <row r="55" spans="1:8" x14ac:dyDescent="0.25">
      <c r="A55" s="159"/>
      <c r="B55" s="50"/>
      <c r="C55" s="51"/>
      <c r="D55" s="52"/>
      <c r="E55" s="54"/>
      <c r="F55" s="121" t="str">
        <f t="shared" si="0"/>
        <v/>
      </c>
      <c r="G55" s="1"/>
      <c r="H55" s="159"/>
    </row>
    <row r="56" spans="1:8" x14ac:dyDescent="0.25">
      <c r="A56" s="159"/>
      <c r="B56" s="50"/>
      <c r="C56" s="51"/>
      <c r="D56" s="52"/>
      <c r="E56" s="54"/>
      <c r="F56" s="121" t="str">
        <f t="shared" si="0"/>
        <v/>
      </c>
      <c r="G56" s="1"/>
      <c r="H56" s="159"/>
    </row>
    <row r="57" spans="1:8" x14ac:dyDescent="0.25">
      <c r="A57" s="159"/>
      <c r="B57" s="50"/>
      <c r="C57" s="51"/>
      <c r="D57" s="52"/>
      <c r="E57" s="54"/>
      <c r="F57" s="121" t="str">
        <f t="shared" si="0"/>
        <v/>
      </c>
      <c r="G57" s="1"/>
      <c r="H57" s="159"/>
    </row>
    <row r="58" spans="1:8" x14ac:dyDescent="0.25">
      <c r="A58" s="159"/>
      <c r="B58" s="50"/>
      <c r="C58" s="51"/>
      <c r="D58" s="52"/>
      <c r="E58" s="54"/>
      <c r="F58" s="121" t="str">
        <f t="shared" si="0"/>
        <v/>
      </c>
      <c r="G58" s="1"/>
      <c r="H58" s="159"/>
    </row>
    <row r="59" spans="1:8" x14ac:dyDescent="0.25">
      <c r="A59" s="159"/>
      <c r="B59" s="50"/>
      <c r="C59" s="51"/>
      <c r="D59" s="52"/>
      <c r="E59" s="54"/>
      <c r="F59" s="121" t="str">
        <f t="shared" si="0"/>
        <v/>
      </c>
      <c r="G59" s="1"/>
      <c r="H59" s="159"/>
    </row>
    <row r="60" spans="1:8" x14ac:dyDescent="0.25">
      <c r="A60" s="159"/>
      <c r="B60" s="50"/>
      <c r="C60" s="51"/>
      <c r="D60" s="52"/>
      <c r="E60" s="54"/>
      <c r="F60" s="121" t="str">
        <f t="shared" si="0"/>
        <v/>
      </c>
      <c r="G60" s="1"/>
      <c r="H60" s="159"/>
    </row>
    <row r="61" spans="1:8" x14ac:dyDescent="0.25">
      <c r="A61" s="159"/>
      <c r="B61" s="50"/>
      <c r="C61" s="51"/>
      <c r="D61" s="52"/>
      <c r="E61" s="54"/>
      <c r="F61" s="121" t="str">
        <f t="shared" si="0"/>
        <v/>
      </c>
      <c r="G61" s="1"/>
      <c r="H61" s="159"/>
    </row>
    <row r="62" spans="1:8" x14ac:dyDescent="0.25">
      <c r="A62" s="159"/>
      <c r="B62" s="50"/>
      <c r="C62" s="51"/>
      <c r="D62" s="52"/>
      <c r="E62" s="54"/>
      <c r="F62" s="121" t="str">
        <f t="shared" si="0"/>
        <v/>
      </c>
      <c r="G62" s="1"/>
      <c r="H62" s="159"/>
    </row>
    <row r="63" spans="1:8" x14ac:dyDescent="0.25">
      <c r="A63" s="159"/>
      <c r="B63" s="50"/>
      <c r="C63" s="51"/>
      <c r="D63" s="52"/>
      <c r="E63" s="54"/>
      <c r="F63" s="121" t="str">
        <f t="shared" si="0"/>
        <v/>
      </c>
      <c r="G63" s="1"/>
      <c r="H63" s="159"/>
    </row>
    <row r="64" spans="1:8" x14ac:dyDescent="0.25">
      <c r="A64" s="159"/>
      <c r="B64" s="50"/>
      <c r="C64" s="51"/>
      <c r="D64" s="52"/>
      <c r="E64" s="54"/>
      <c r="F64" s="121" t="str">
        <f t="shared" si="0"/>
        <v/>
      </c>
      <c r="G64" s="1"/>
      <c r="H64" s="159"/>
    </row>
    <row r="65" spans="1:8" x14ac:dyDescent="0.25">
      <c r="A65" s="159"/>
      <c r="B65" s="50"/>
      <c r="C65" s="51"/>
      <c r="D65" s="52"/>
      <c r="E65" s="54"/>
      <c r="F65" s="121" t="str">
        <f t="shared" si="0"/>
        <v/>
      </c>
      <c r="G65" s="1"/>
      <c r="H65" s="159"/>
    </row>
    <row r="66" spans="1:8" x14ac:dyDescent="0.25">
      <c r="A66" s="159"/>
      <c r="B66" s="50"/>
      <c r="C66" s="51"/>
      <c r="D66" s="52"/>
      <c r="E66" s="54"/>
      <c r="F66" s="121" t="str">
        <f t="shared" si="0"/>
        <v/>
      </c>
      <c r="G66" s="1"/>
      <c r="H66" s="159"/>
    </row>
    <row r="67" spans="1:8" x14ac:dyDescent="0.25">
      <c r="A67" s="159"/>
      <c r="B67" s="50"/>
      <c r="C67" s="51"/>
      <c r="D67" s="52"/>
      <c r="E67" s="54"/>
      <c r="F67" s="121" t="str">
        <f t="shared" ref="F67:F98" si="1">IF(B67="","",IF(E67="Provisionnel",IF(D67&gt;0,DATE(YEAR(B67)+1,12,31),"DECOMMIT"),""))</f>
        <v/>
      </c>
      <c r="G67" s="1"/>
      <c r="H67" s="159"/>
    </row>
    <row r="68" spans="1:8" x14ac:dyDescent="0.25">
      <c r="A68" s="159"/>
      <c r="B68" s="50"/>
      <c r="C68" s="51"/>
      <c r="D68" s="52"/>
      <c r="E68" s="54"/>
      <c r="F68" s="121" t="str">
        <f t="shared" si="1"/>
        <v/>
      </c>
      <c r="G68" s="1"/>
      <c r="H68" s="159"/>
    </row>
    <row r="69" spans="1:8" x14ac:dyDescent="0.25">
      <c r="A69" s="159"/>
      <c r="B69" s="50"/>
      <c r="C69" s="51"/>
      <c r="D69" s="52"/>
      <c r="E69" s="54"/>
      <c r="F69" s="121" t="str">
        <f t="shared" si="1"/>
        <v/>
      </c>
      <c r="G69" s="1"/>
      <c r="H69" s="159"/>
    </row>
    <row r="70" spans="1:8" x14ac:dyDescent="0.25">
      <c r="A70" s="159"/>
      <c r="B70" s="50"/>
      <c r="C70" s="51"/>
      <c r="D70" s="52"/>
      <c r="E70" s="54"/>
      <c r="F70" s="121" t="str">
        <f t="shared" si="1"/>
        <v/>
      </c>
      <c r="G70" s="1"/>
      <c r="H70" s="159"/>
    </row>
    <row r="71" spans="1:8" x14ac:dyDescent="0.25">
      <c r="A71" s="159"/>
      <c r="B71" s="50"/>
      <c r="C71" s="51"/>
      <c r="D71" s="52"/>
      <c r="E71" s="54"/>
      <c r="F71" s="121" t="str">
        <f t="shared" si="1"/>
        <v/>
      </c>
      <c r="G71" s="1"/>
      <c r="H71" s="159"/>
    </row>
    <row r="72" spans="1:8" x14ac:dyDescent="0.25">
      <c r="A72" s="159"/>
      <c r="B72" s="50"/>
      <c r="C72" s="51"/>
      <c r="D72" s="52"/>
      <c r="E72" s="54"/>
      <c r="F72" s="121" t="str">
        <f t="shared" si="1"/>
        <v/>
      </c>
      <c r="G72" s="1"/>
      <c r="H72" s="159"/>
    </row>
    <row r="73" spans="1:8" x14ac:dyDescent="0.25">
      <c r="A73" s="159"/>
      <c r="B73" s="50"/>
      <c r="C73" s="51"/>
      <c r="D73" s="52"/>
      <c r="E73" s="54"/>
      <c r="F73" s="121" t="str">
        <f t="shared" si="1"/>
        <v/>
      </c>
      <c r="G73" s="1"/>
      <c r="H73" s="159"/>
    </row>
    <row r="74" spans="1:8" x14ac:dyDescent="0.25">
      <c r="A74" s="159"/>
      <c r="B74" s="50"/>
      <c r="C74" s="51"/>
      <c r="D74" s="52"/>
      <c r="E74" s="54"/>
      <c r="F74" s="121" t="str">
        <f t="shared" si="1"/>
        <v/>
      </c>
      <c r="G74" s="1"/>
      <c r="H74" s="159"/>
    </row>
    <row r="75" spans="1:8" x14ac:dyDescent="0.25">
      <c r="A75" s="159"/>
      <c r="B75" s="50"/>
      <c r="C75" s="51"/>
      <c r="D75" s="52"/>
      <c r="E75" s="54"/>
      <c r="F75" s="121" t="str">
        <f t="shared" si="1"/>
        <v/>
      </c>
      <c r="G75" s="1"/>
      <c r="H75" s="159"/>
    </row>
    <row r="76" spans="1:8" x14ac:dyDescent="0.25">
      <c r="A76" s="159"/>
      <c r="B76" s="50"/>
      <c r="C76" s="51"/>
      <c r="D76" s="52"/>
      <c r="E76" s="54"/>
      <c r="F76" s="121" t="str">
        <f t="shared" si="1"/>
        <v/>
      </c>
      <c r="G76" s="1"/>
      <c r="H76" s="159"/>
    </row>
    <row r="77" spans="1:8" x14ac:dyDescent="0.25">
      <c r="A77" s="159"/>
      <c r="B77" s="50"/>
      <c r="C77" s="51"/>
      <c r="D77" s="52"/>
      <c r="E77" s="54"/>
      <c r="F77" s="121" t="str">
        <f t="shared" si="1"/>
        <v/>
      </c>
      <c r="G77" s="1"/>
      <c r="H77" s="159"/>
    </row>
    <row r="78" spans="1:8" x14ac:dyDescent="0.25">
      <c r="A78" s="159"/>
      <c r="B78" s="50"/>
      <c r="C78" s="51"/>
      <c r="D78" s="52"/>
      <c r="E78" s="54"/>
      <c r="F78" s="121" t="str">
        <f t="shared" si="1"/>
        <v/>
      </c>
      <c r="G78" s="1"/>
      <c r="H78" s="159"/>
    </row>
    <row r="79" spans="1:8" x14ac:dyDescent="0.25">
      <c r="A79" s="159"/>
      <c r="B79" s="50"/>
      <c r="C79" s="51"/>
      <c r="D79" s="52"/>
      <c r="E79" s="54"/>
      <c r="F79" s="121" t="str">
        <f t="shared" si="1"/>
        <v/>
      </c>
      <c r="G79" s="1"/>
      <c r="H79" s="159"/>
    </row>
    <row r="80" spans="1:8" x14ac:dyDescent="0.25">
      <c r="A80" s="159"/>
      <c r="B80" s="50"/>
      <c r="C80" s="51"/>
      <c r="D80" s="52"/>
      <c r="E80" s="54"/>
      <c r="F80" s="121" t="str">
        <f t="shared" si="1"/>
        <v/>
      </c>
      <c r="G80" s="1"/>
      <c r="H80" s="159"/>
    </row>
    <row r="81" spans="1:8" x14ac:dyDescent="0.25">
      <c r="A81" s="159"/>
      <c r="B81" s="50"/>
      <c r="C81" s="51"/>
      <c r="D81" s="52"/>
      <c r="E81" s="54"/>
      <c r="F81" s="121" t="str">
        <f t="shared" si="1"/>
        <v/>
      </c>
      <c r="G81" s="1"/>
      <c r="H81" s="159"/>
    </row>
    <row r="82" spans="1:8" x14ac:dyDescent="0.25">
      <c r="A82" s="159"/>
      <c r="B82" s="50"/>
      <c r="C82" s="51"/>
      <c r="D82" s="52"/>
      <c r="E82" s="54"/>
      <c r="F82" s="121" t="str">
        <f t="shared" si="1"/>
        <v/>
      </c>
      <c r="G82" s="1"/>
      <c r="H82" s="159"/>
    </row>
    <row r="83" spans="1:8" x14ac:dyDescent="0.25">
      <c r="A83" s="159"/>
      <c r="B83" s="50"/>
      <c r="C83" s="51"/>
      <c r="D83" s="52"/>
      <c r="E83" s="54"/>
      <c r="F83" s="121" t="str">
        <f t="shared" si="1"/>
        <v/>
      </c>
      <c r="G83" s="1"/>
      <c r="H83" s="159"/>
    </row>
    <row r="84" spans="1:8" x14ac:dyDescent="0.25">
      <c r="A84" s="159"/>
      <c r="B84" s="50"/>
      <c r="C84" s="51"/>
      <c r="D84" s="52"/>
      <c r="E84" s="54"/>
      <c r="F84" s="121" t="str">
        <f t="shared" si="1"/>
        <v/>
      </c>
      <c r="G84" s="1"/>
      <c r="H84" s="159"/>
    </row>
    <row r="85" spans="1:8" x14ac:dyDescent="0.25">
      <c r="A85" s="159"/>
      <c r="B85" s="50"/>
      <c r="C85" s="51"/>
      <c r="D85" s="52"/>
      <c r="E85" s="54"/>
      <c r="F85" s="121" t="str">
        <f t="shared" si="1"/>
        <v/>
      </c>
      <c r="G85" s="1"/>
      <c r="H85" s="159"/>
    </row>
    <row r="86" spans="1:8" x14ac:dyDescent="0.25">
      <c r="A86" s="159"/>
      <c r="B86" s="50"/>
      <c r="C86" s="51"/>
      <c r="D86" s="52"/>
      <c r="E86" s="54"/>
      <c r="F86" s="121" t="str">
        <f t="shared" si="1"/>
        <v/>
      </c>
      <c r="G86" s="1"/>
      <c r="H86" s="159"/>
    </row>
    <row r="87" spans="1:8" x14ac:dyDescent="0.25">
      <c r="A87" s="159"/>
      <c r="B87" s="50"/>
      <c r="C87" s="51"/>
      <c r="D87" s="52"/>
      <c r="E87" s="54"/>
      <c r="F87" s="121" t="str">
        <f t="shared" si="1"/>
        <v/>
      </c>
      <c r="G87" s="1"/>
      <c r="H87" s="159"/>
    </row>
    <row r="88" spans="1:8" x14ac:dyDescent="0.25">
      <c r="A88" s="159"/>
      <c r="B88" s="50"/>
      <c r="C88" s="51"/>
      <c r="D88" s="52"/>
      <c r="E88" s="54"/>
      <c r="F88" s="121" t="str">
        <f t="shared" si="1"/>
        <v/>
      </c>
      <c r="G88" s="1"/>
      <c r="H88" s="159"/>
    </row>
    <row r="89" spans="1:8" x14ac:dyDescent="0.25">
      <c r="A89" s="159"/>
      <c r="B89" s="50"/>
      <c r="C89" s="51"/>
      <c r="D89" s="52"/>
      <c r="E89" s="54"/>
      <c r="F89" s="121" t="str">
        <f t="shared" si="1"/>
        <v/>
      </c>
      <c r="G89" s="1"/>
      <c r="H89" s="159"/>
    </row>
    <row r="90" spans="1:8" x14ac:dyDescent="0.25">
      <c r="A90" s="159"/>
      <c r="B90" s="50"/>
      <c r="C90" s="51"/>
      <c r="D90" s="52"/>
      <c r="E90" s="54"/>
      <c r="F90" s="121" t="str">
        <f t="shared" si="1"/>
        <v/>
      </c>
      <c r="G90" s="1"/>
      <c r="H90" s="159"/>
    </row>
    <row r="91" spans="1:8" x14ac:dyDescent="0.25">
      <c r="A91" s="159"/>
      <c r="B91" s="50"/>
      <c r="C91" s="51"/>
      <c r="D91" s="52"/>
      <c r="E91" s="54"/>
      <c r="F91" s="121" t="str">
        <f t="shared" si="1"/>
        <v/>
      </c>
      <c r="G91" s="1"/>
      <c r="H91" s="159"/>
    </row>
    <row r="92" spans="1:8" x14ac:dyDescent="0.25">
      <c r="A92" s="159"/>
      <c r="B92" s="50"/>
      <c r="C92" s="51"/>
      <c r="D92" s="52"/>
      <c r="E92" s="54"/>
      <c r="F92" s="121" t="str">
        <f t="shared" si="1"/>
        <v/>
      </c>
      <c r="G92" s="1"/>
      <c r="H92" s="159"/>
    </row>
    <row r="93" spans="1:8" x14ac:dyDescent="0.25">
      <c r="A93" s="159"/>
      <c r="B93" s="50"/>
      <c r="C93" s="51"/>
      <c r="D93" s="52"/>
      <c r="E93" s="54"/>
      <c r="F93" s="121" t="str">
        <f t="shared" si="1"/>
        <v/>
      </c>
      <c r="G93" s="1"/>
      <c r="H93" s="159"/>
    </row>
    <row r="94" spans="1:8" x14ac:dyDescent="0.25">
      <c r="A94" s="159"/>
      <c r="B94" s="50"/>
      <c r="C94" s="51"/>
      <c r="D94" s="52"/>
      <c r="E94" s="54"/>
      <c r="F94" s="121" t="str">
        <f t="shared" si="1"/>
        <v/>
      </c>
      <c r="G94" s="1"/>
      <c r="H94" s="159"/>
    </row>
    <row r="95" spans="1:8" x14ac:dyDescent="0.25">
      <c r="A95" s="159"/>
      <c r="B95" s="50"/>
      <c r="C95" s="51"/>
      <c r="D95" s="52"/>
      <c r="E95" s="54"/>
      <c r="F95" s="121" t="str">
        <f t="shared" si="1"/>
        <v/>
      </c>
      <c r="G95" s="1"/>
      <c r="H95" s="159"/>
    </row>
    <row r="96" spans="1:8" x14ac:dyDescent="0.25">
      <c r="A96" s="159"/>
      <c r="B96" s="50"/>
      <c r="C96" s="51"/>
      <c r="D96" s="52"/>
      <c r="E96" s="54"/>
      <c r="F96" s="121" t="str">
        <f t="shared" si="1"/>
        <v/>
      </c>
      <c r="G96" s="1"/>
      <c r="H96" s="159"/>
    </row>
    <row r="97" spans="1:8" x14ac:dyDescent="0.25">
      <c r="A97" s="159"/>
      <c r="B97" s="50"/>
      <c r="C97" s="51"/>
      <c r="D97" s="52"/>
      <c r="E97" s="54"/>
      <c r="F97" s="121" t="str">
        <f t="shared" si="1"/>
        <v/>
      </c>
      <c r="G97" s="1"/>
      <c r="H97" s="159"/>
    </row>
    <row r="98" spans="1:8" x14ac:dyDescent="0.25">
      <c r="A98" s="159"/>
      <c r="B98" s="50"/>
      <c r="C98" s="51"/>
      <c r="D98" s="52"/>
      <c r="E98" s="54"/>
      <c r="F98" s="121" t="str">
        <f t="shared" si="1"/>
        <v/>
      </c>
      <c r="G98" s="1"/>
      <c r="H98" s="159"/>
    </row>
  </sheetData>
  <autoFilter ref="B1:G98">
    <sortState ref="B2:G99">
      <sortCondition ref="B1:B99"/>
    </sortState>
  </autoFilter>
  <dataConsolidate/>
  <mergeCells count="2">
    <mergeCell ref="A1:A98"/>
    <mergeCell ref="H1:H98"/>
  </mergeCells>
  <conditionalFormatting sqref="B2:G98">
    <cfRule type="expression" dxfId="2" priority="1">
      <formula>$F2&lt;TODAY()</formula>
    </cfRule>
    <cfRule type="expression" dxfId="1" priority="2">
      <formula>$D2&lt;0</formula>
    </cfRule>
    <cfRule type="expression" dxfId="0" priority="3">
      <formula>$E2="Individuel"</formula>
    </cfRule>
  </conditionalFormatting>
  <dataValidations count="1">
    <dataValidation allowBlank="1" showInputMessage="1" showErrorMessage="1" errorTitle="Type ED" error="Choisir Type ED entre Provisionnel et Individuel (menu déroulant)" sqref="F2:F98"/>
  </dataValidations>
  <pageMargins left="0.25" right="0.25" top="0.75" bottom="0.75" header="0.3" footer="0.3"/>
  <pageSetup paperSize="9" scale="4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Type ED" error="Choisir Type ED entre Provisionnel et Individuel (menu déroulant)">
          <x14:formula1>
            <xm:f>Data!$B$2:$B$3</xm:f>
          </x14:formula1>
          <xm:sqref>E2:E98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30"/>
  <sheetViews>
    <sheetView workbookViewId="0">
      <selection activeCell="M11" sqref="M11"/>
    </sheetView>
  </sheetViews>
  <sheetFormatPr defaultRowHeight="15" x14ac:dyDescent="0.25"/>
  <cols>
    <col min="1" max="1" width="16.42578125" customWidth="1"/>
    <col min="2" max="2" width="17.140625" customWidth="1"/>
    <col min="3" max="3" width="28.28515625" customWidth="1"/>
    <col min="4" max="4" width="11.85546875" bestFit="1" customWidth="1"/>
    <col min="6" max="6" width="11.85546875" bestFit="1" customWidth="1"/>
    <col min="10" max="10" width="17.7109375" customWidth="1"/>
  </cols>
  <sheetData>
    <row r="1" spans="1:13" x14ac:dyDescent="0.25">
      <c r="A1" t="s">
        <v>8</v>
      </c>
      <c r="B1" t="s">
        <v>25</v>
      </c>
      <c r="C1" t="s">
        <v>55</v>
      </c>
      <c r="D1" t="s">
        <v>77</v>
      </c>
      <c r="E1" t="s">
        <v>77</v>
      </c>
      <c r="F1" t="s">
        <v>77</v>
      </c>
      <c r="J1" t="s">
        <v>41</v>
      </c>
    </row>
    <row r="2" spans="1:13" x14ac:dyDescent="0.25">
      <c r="A2" t="s">
        <v>9</v>
      </c>
      <c r="B2" t="s">
        <v>26</v>
      </c>
      <c r="C2" t="s">
        <v>56</v>
      </c>
      <c r="D2" s="100">
        <f t="array" ref="D2">IFERROR(INDEX(ED!$C$2:$C$98,MATCH(0,COUNTIF(Data!$D$1:D1,ED!$C$2:$C$98),0)),"")</f>
        <v>2100004039</v>
      </c>
      <c r="E2">
        <f>COUNT(D2:D30)-1</f>
        <v>6</v>
      </c>
      <c r="F2" s="101">
        <f>IF(E2&lt;=0,"",INDEX(D$2:D$30,E2))</f>
        <v>2200004037</v>
      </c>
      <c r="J2" t="s">
        <v>111</v>
      </c>
    </row>
    <row r="3" spans="1:13" x14ac:dyDescent="0.25">
      <c r="A3" t="s">
        <v>10</v>
      </c>
      <c r="B3" t="s">
        <v>27</v>
      </c>
      <c r="C3" t="s">
        <v>58</v>
      </c>
      <c r="D3" s="100">
        <f t="array" ref="D3">IFERROR(INDEX(ED!$C$2:$C$98,MATCH(0,COUNTIF(Data!$D$1:D2,ED!$C$2:$C$98),0)),"")</f>
        <v>2200001845</v>
      </c>
      <c r="E3">
        <f t="shared" ref="E3:E30" si="0">COUNT(D3:D31)-1</f>
        <v>5</v>
      </c>
      <c r="F3" s="101">
        <f t="shared" ref="F3:F30" si="1">IF(E3&lt;=0,"",INDEX(D$2:D$30,E3))</f>
        <v>2100012869</v>
      </c>
    </row>
    <row r="4" spans="1:13" x14ac:dyDescent="0.25">
      <c r="C4" t="s">
        <v>57</v>
      </c>
      <c r="D4" s="100">
        <f t="array" ref="D4">IFERROR(INDEX(ED!$C$2:$C$98,MATCH(0,COUNTIF(Data!$D$1:D3,ED!$C$2:$C$98),0)),"")</f>
        <v>2100006056</v>
      </c>
      <c r="E4">
        <f t="shared" si="0"/>
        <v>4</v>
      </c>
      <c r="F4" s="101">
        <f t="shared" si="1"/>
        <v>2200002642</v>
      </c>
      <c r="J4" t="s">
        <v>171</v>
      </c>
    </row>
    <row r="5" spans="1:13" x14ac:dyDescent="0.25">
      <c r="D5" s="100">
        <f t="array" ref="D5">IFERROR(INDEX(ED!$C$2:$C$98,MATCH(0,COUNTIF(Data!$D$1:D4,ED!$C$2:$C$98),0)),"")</f>
        <v>2200002642</v>
      </c>
      <c r="E5">
        <f t="shared" si="0"/>
        <v>3</v>
      </c>
      <c r="F5" s="101">
        <f t="shared" si="1"/>
        <v>2100006056</v>
      </c>
      <c r="J5" t="s">
        <v>172</v>
      </c>
    </row>
    <row r="6" spans="1:13" ht="15.75" thickBot="1" x14ac:dyDescent="0.3">
      <c r="D6" s="100">
        <f t="array" ref="D6">IFERROR(INDEX(ED!$C$2:$C$98,MATCH(0,COUNTIF(Data!$D$1:D5,ED!$C$2:$C$98),0)),"")</f>
        <v>2100012869</v>
      </c>
      <c r="E6">
        <f t="shared" si="0"/>
        <v>2</v>
      </c>
      <c r="F6" s="101">
        <f t="shared" si="1"/>
        <v>2200001845</v>
      </c>
    </row>
    <row r="7" spans="1:13" x14ac:dyDescent="0.25">
      <c r="D7" s="100">
        <f t="array" ref="D7">IFERROR(INDEX(ED!$C$2:$C$98,MATCH(0,COUNTIF(Data!$D$1:D6,ED!$C$2:$C$98),0)),"")</f>
        <v>2200004037</v>
      </c>
      <c r="E7">
        <f t="shared" si="0"/>
        <v>1</v>
      </c>
      <c r="F7" s="101">
        <f t="shared" si="1"/>
        <v>2100004039</v>
      </c>
      <c r="J7" s="172" t="s">
        <v>173</v>
      </c>
      <c r="K7" s="178">
        <v>30</v>
      </c>
      <c r="L7" s="119" t="s">
        <v>174</v>
      </c>
      <c r="M7" s="173"/>
    </row>
    <row r="8" spans="1:13" x14ac:dyDescent="0.25">
      <c r="D8" s="100">
        <f t="array" ref="D8">IFERROR(INDEX(ED!$C$2:$C$98,MATCH(0,COUNTIF(Data!$D$1:D7,ED!$C$2:$C$98),0)),"")</f>
        <v>0</v>
      </c>
      <c r="E8">
        <f t="shared" si="0"/>
        <v>0</v>
      </c>
      <c r="F8" t="str">
        <f t="shared" si="1"/>
        <v/>
      </c>
      <c r="J8" s="174" t="s">
        <v>175</v>
      </c>
      <c r="K8" s="179">
        <v>15</v>
      </c>
      <c r="L8" s="13" t="s">
        <v>174</v>
      </c>
      <c r="M8" s="98"/>
    </row>
    <row r="9" spans="1:13" ht="15.75" thickBot="1" x14ac:dyDescent="0.3">
      <c r="D9" s="100" t="str">
        <f t="array" ref="D9">IFERROR(INDEX(ED!$C$2:$C$98,MATCH(0,COUNTIF(Data!$D$1:D8,ED!$C$2:$C$98),0)),"")</f>
        <v/>
      </c>
      <c r="E9">
        <f t="shared" si="0"/>
        <v>-1</v>
      </c>
      <c r="F9" t="str">
        <f t="shared" si="1"/>
        <v/>
      </c>
      <c r="J9" s="175" t="s">
        <v>176</v>
      </c>
      <c r="K9" s="180">
        <v>1</v>
      </c>
      <c r="L9" s="176" t="s">
        <v>174</v>
      </c>
      <c r="M9" s="177"/>
    </row>
    <row r="10" spans="1:13" x14ac:dyDescent="0.25">
      <c r="D10" s="100" t="str">
        <f t="array" ref="D10">IFERROR(INDEX(ED!$C$2:$C$98,MATCH(0,COUNTIF(Data!$D$1:D9,ED!$C$2:$C$98),0)),"")</f>
        <v/>
      </c>
      <c r="E10">
        <f t="shared" si="0"/>
        <v>-1</v>
      </c>
      <c r="F10" t="str">
        <f t="shared" si="1"/>
        <v/>
      </c>
    </row>
    <row r="11" spans="1:13" x14ac:dyDescent="0.25">
      <c r="D11" s="100" t="str">
        <f t="array" ref="D11">IFERROR(INDEX(ED!$C$2:$C$98,MATCH(0,COUNTIF(Data!$D$1:D10,ED!$C$2:$C$98),0)),"")</f>
        <v/>
      </c>
      <c r="E11">
        <f t="shared" si="0"/>
        <v>-1</v>
      </c>
      <c r="F11" t="str">
        <f t="shared" si="1"/>
        <v/>
      </c>
    </row>
    <row r="12" spans="1:13" x14ac:dyDescent="0.25">
      <c r="D12" s="100" t="str">
        <f t="array" ref="D12">IFERROR(INDEX(ED!$C$2:$C$98,MATCH(0,COUNTIF(Data!$D$1:D11,ED!$C$2:$C$98),0)),"")</f>
        <v/>
      </c>
      <c r="E12">
        <f t="shared" si="0"/>
        <v>-1</v>
      </c>
      <c r="F12" t="str">
        <f t="shared" si="1"/>
        <v/>
      </c>
    </row>
    <row r="13" spans="1:13" x14ac:dyDescent="0.25">
      <c r="D13" s="100" t="str">
        <f t="array" ref="D13">IFERROR(INDEX(ED!$C$2:$C$98,MATCH(0,COUNTIF(Data!$D$1:D12,ED!$C$2:$C$98),0)),"")</f>
        <v/>
      </c>
      <c r="E13">
        <f t="shared" si="0"/>
        <v>-1</v>
      </c>
      <c r="F13" t="str">
        <f t="shared" si="1"/>
        <v/>
      </c>
    </row>
    <row r="14" spans="1:13" x14ac:dyDescent="0.25">
      <c r="D14" s="100" t="str">
        <f t="array" ref="D14">IFERROR(INDEX(ED!$C$2:$C$98,MATCH(0,COUNTIF(Data!$D$1:D13,ED!$C$2:$C$98),0)),"")</f>
        <v/>
      </c>
      <c r="E14">
        <f t="shared" si="0"/>
        <v>-1</v>
      </c>
      <c r="F14" t="str">
        <f t="shared" si="1"/>
        <v/>
      </c>
    </row>
    <row r="15" spans="1:13" x14ac:dyDescent="0.25">
      <c r="D15" s="100" t="str">
        <f t="array" ref="D15">IFERROR(INDEX(ED!$C$2:$C$98,MATCH(0,COUNTIF(Data!$D$1:D14,ED!$C$2:$C$98),0)),"")</f>
        <v/>
      </c>
      <c r="E15">
        <f t="shared" si="0"/>
        <v>-1</v>
      </c>
      <c r="F15" t="str">
        <f t="shared" si="1"/>
        <v/>
      </c>
    </row>
    <row r="16" spans="1:13" x14ac:dyDescent="0.25">
      <c r="D16" s="100" t="str">
        <f t="array" ref="D16">IFERROR(INDEX(ED!$C$2:$C$98,MATCH(0,COUNTIF(Data!$D$1:D15,ED!$C$2:$C$98),0)),"")</f>
        <v/>
      </c>
      <c r="E16">
        <f t="shared" si="0"/>
        <v>-1</v>
      </c>
      <c r="F16" t="str">
        <f t="shared" si="1"/>
        <v/>
      </c>
    </row>
    <row r="17" spans="4:6" x14ac:dyDescent="0.25">
      <c r="D17" s="100" t="str">
        <f t="array" ref="D17">IFERROR(INDEX(ED!$C$2:$C$98,MATCH(0,COUNTIF(Data!$D$1:D16,ED!$C$2:$C$98),0)),"")</f>
        <v/>
      </c>
      <c r="E17">
        <f t="shared" si="0"/>
        <v>-1</v>
      </c>
      <c r="F17" t="str">
        <f t="shared" si="1"/>
        <v/>
      </c>
    </row>
    <row r="18" spans="4:6" x14ac:dyDescent="0.25">
      <c r="D18" s="100" t="str">
        <f t="array" ref="D18">IFERROR(INDEX(ED!$C$2:$C$98,MATCH(0,COUNTIF(Data!$D$1:D17,ED!$C$2:$C$98),0)),"")</f>
        <v/>
      </c>
      <c r="E18">
        <f t="shared" si="0"/>
        <v>-1</v>
      </c>
      <c r="F18" t="str">
        <f t="shared" si="1"/>
        <v/>
      </c>
    </row>
    <row r="19" spans="4:6" x14ac:dyDescent="0.25">
      <c r="D19" s="100" t="str">
        <f t="array" ref="D19">IFERROR(INDEX(ED!$C$2:$C$98,MATCH(0,COUNTIF(Data!$D$1:D18,ED!$C$2:$C$98),0)),"")</f>
        <v/>
      </c>
      <c r="E19">
        <f t="shared" si="0"/>
        <v>-1</v>
      </c>
      <c r="F19" t="str">
        <f t="shared" si="1"/>
        <v/>
      </c>
    </row>
    <row r="20" spans="4:6" x14ac:dyDescent="0.25">
      <c r="D20" s="100" t="str">
        <f t="array" ref="D20">IFERROR(INDEX(ED!$C$2:$C$98,MATCH(0,COUNTIF(Data!$D$1:D19,ED!$C$2:$C$98),0)),"")</f>
        <v/>
      </c>
      <c r="E20">
        <f t="shared" si="0"/>
        <v>-1</v>
      </c>
      <c r="F20" t="str">
        <f t="shared" si="1"/>
        <v/>
      </c>
    </row>
    <row r="21" spans="4:6" x14ac:dyDescent="0.25">
      <c r="D21" s="100" t="str">
        <f t="array" ref="D21">IFERROR(INDEX(ED!$C$2:$C$98,MATCH(0,COUNTIF(Data!$D$1:D20,ED!$C$2:$C$98),0)),"")</f>
        <v/>
      </c>
      <c r="E21">
        <f t="shared" si="0"/>
        <v>-1</v>
      </c>
      <c r="F21" t="str">
        <f t="shared" si="1"/>
        <v/>
      </c>
    </row>
    <row r="22" spans="4:6" x14ac:dyDescent="0.25">
      <c r="D22" s="100" t="str">
        <f t="array" ref="D22">IFERROR(INDEX(ED!$C$2:$C$98,MATCH(0,COUNTIF(Data!$D$1:D21,ED!$C$2:$C$98),0)),"")</f>
        <v/>
      </c>
      <c r="E22">
        <f t="shared" si="0"/>
        <v>-1</v>
      </c>
      <c r="F22" t="str">
        <f t="shared" si="1"/>
        <v/>
      </c>
    </row>
    <row r="23" spans="4:6" x14ac:dyDescent="0.25">
      <c r="D23" s="100" t="str">
        <f t="array" ref="D23">IFERROR(INDEX(ED!$C$2:$C$98,MATCH(0,COUNTIF(Data!$D$1:D22,ED!$C$2:$C$98),0)),"")</f>
        <v/>
      </c>
      <c r="E23">
        <f t="shared" si="0"/>
        <v>-1</v>
      </c>
      <c r="F23" t="str">
        <f t="shared" si="1"/>
        <v/>
      </c>
    </row>
    <row r="24" spans="4:6" x14ac:dyDescent="0.25">
      <c r="D24" s="100" t="str">
        <f t="array" ref="D24">IFERROR(INDEX(ED!$C$2:$C$98,MATCH(0,COUNTIF(Data!$D$1:D23,ED!$C$2:$C$98),0)),"")</f>
        <v/>
      </c>
      <c r="E24">
        <f t="shared" si="0"/>
        <v>-1</v>
      </c>
      <c r="F24" t="str">
        <f t="shared" si="1"/>
        <v/>
      </c>
    </row>
    <row r="25" spans="4:6" x14ac:dyDescent="0.25">
      <c r="D25" s="100" t="str">
        <f t="array" ref="D25">IFERROR(INDEX(ED!$C$2:$C$98,MATCH(0,COUNTIF(Data!$D$1:D24,ED!$C$2:$C$98),0)),"")</f>
        <v/>
      </c>
      <c r="E25">
        <f t="shared" si="0"/>
        <v>-1</v>
      </c>
      <c r="F25" t="str">
        <f t="shared" si="1"/>
        <v/>
      </c>
    </row>
    <row r="26" spans="4:6" x14ac:dyDescent="0.25">
      <c r="D26" s="100" t="str">
        <f t="array" ref="D26">IFERROR(INDEX(ED!$C$2:$C$98,MATCH(0,COUNTIF(Data!$D$1:D25,ED!$C$2:$C$98),0)),"")</f>
        <v/>
      </c>
      <c r="E26">
        <f t="shared" si="0"/>
        <v>-1</v>
      </c>
      <c r="F26" t="str">
        <f t="shared" si="1"/>
        <v/>
      </c>
    </row>
    <row r="27" spans="4:6" x14ac:dyDescent="0.25">
      <c r="D27" s="100" t="str">
        <f t="array" ref="D27">IFERROR(INDEX(ED!$C$2:$C$98,MATCH(0,COUNTIF(Data!$D$1:D26,ED!$C$2:$C$98),0)),"")</f>
        <v/>
      </c>
      <c r="E27">
        <f t="shared" si="0"/>
        <v>-1</v>
      </c>
      <c r="F27" t="str">
        <f t="shared" si="1"/>
        <v/>
      </c>
    </row>
    <row r="28" spans="4:6" x14ac:dyDescent="0.25">
      <c r="D28" s="100" t="str">
        <f t="array" ref="D28">IFERROR(INDEX(ED!$C$2:$C$98,MATCH(0,COUNTIF(Data!$D$1:D27,ED!$C$2:$C$98),0)),"")</f>
        <v/>
      </c>
      <c r="E28">
        <f t="shared" si="0"/>
        <v>-1</v>
      </c>
      <c r="F28" t="str">
        <f t="shared" si="1"/>
        <v/>
      </c>
    </row>
    <row r="29" spans="4:6" x14ac:dyDescent="0.25">
      <c r="D29" s="100" t="str">
        <f t="array" ref="D29">IFERROR(INDEX(ED!$C$2:$C$98,MATCH(0,COUNTIF(Data!$D$1:D28,ED!$C$2:$C$98),0)),"")</f>
        <v/>
      </c>
      <c r="E29">
        <f t="shared" si="0"/>
        <v>-1</v>
      </c>
      <c r="F29" t="str">
        <f t="shared" si="1"/>
        <v/>
      </c>
    </row>
    <row r="30" spans="4:6" x14ac:dyDescent="0.25">
      <c r="D30" s="100" t="str">
        <f t="array" ref="D30">IFERROR(INDEX(ED!$C$2:$C$98,MATCH(0,COUNTIF(Data!$D$1:D29,ED!$C$2:$C$98),0)),"")</f>
        <v/>
      </c>
      <c r="E30">
        <f t="shared" si="0"/>
        <v>-1</v>
      </c>
      <c r="F30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Résumé Budget</vt:lpstr>
      <vt:lpstr>Suivi historique</vt:lpstr>
      <vt:lpstr>ED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2023-01-23T13:48:49Z</dcterms:modified>
</cp:coreProperties>
</file>