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p\Desktop\"/>
    </mc:Choice>
  </mc:AlternateContent>
  <xr:revisionPtr revIDLastSave="0" documentId="13_ncr:1_{F14C8538-23BE-493C-8FCB-9C2875A1A629}" xr6:coauthVersionLast="47" xr6:coauthVersionMax="47" xr10:uidLastSave="{00000000-0000-0000-0000-000000000000}"/>
  <bookViews>
    <workbookView xWindow="-120" yWindow="-120" windowWidth="24240" windowHeight="13020" tabRatio="868" xr2:uid="{00000000-000D-0000-FFFF-FFFF00000000}"/>
  </bookViews>
  <sheets>
    <sheet name="Recap 2026" sheetId="7" r:id="rId1"/>
    <sheet name="Base" sheetId="1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26" i="1" l="1"/>
  <c r="AD25" i="1"/>
  <c r="AD3" i="1" l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K26" i="1"/>
  <c r="L26" i="1"/>
  <c r="M26" i="1"/>
  <c r="N26" i="1"/>
  <c r="O26" i="1"/>
  <c r="P26" i="1"/>
  <c r="Q26" i="1"/>
  <c r="R26" i="1"/>
  <c r="S26" i="1"/>
  <c r="T26" i="1"/>
  <c r="U26" i="1"/>
  <c r="J26" i="1"/>
  <c r="I26" i="1"/>
  <c r="Z26" i="1"/>
  <c r="D26" i="1"/>
  <c r="F26" i="1"/>
  <c r="E26" i="1"/>
  <c r="G26" i="1"/>
  <c r="AB26" i="1"/>
  <c r="AC26" i="1"/>
  <c r="H26" i="1"/>
  <c r="C26" i="1"/>
  <c r="B26" i="1"/>
  <c r="AA4" i="7" l="1"/>
  <c r="AA8" i="7"/>
  <c r="AA12" i="7"/>
  <c r="Z3" i="7"/>
  <c r="Z7" i="7"/>
  <c r="Z11" i="7"/>
  <c r="Z15" i="7"/>
  <c r="Y6" i="7"/>
  <c r="Y10" i="7"/>
  <c r="Y14" i="7"/>
  <c r="X5" i="7"/>
  <c r="X9" i="7"/>
  <c r="X13" i="7"/>
  <c r="W4" i="7"/>
  <c r="W8" i="7"/>
  <c r="W12" i="7"/>
  <c r="V3" i="7"/>
  <c r="V7" i="7"/>
  <c r="V11" i="7"/>
  <c r="V15" i="7"/>
  <c r="U6" i="7"/>
  <c r="U10" i="7"/>
  <c r="U14" i="7"/>
  <c r="T5" i="7"/>
  <c r="T9" i="7"/>
  <c r="T13" i="7"/>
  <c r="S4" i="7"/>
  <c r="S8" i="7"/>
  <c r="S12" i="7"/>
  <c r="R3" i="7"/>
  <c r="R7" i="7"/>
  <c r="R11" i="7"/>
  <c r="R15" i="7"/>
  <c r="Q6" i="7"/>
  <c r="Q10" i="7"/>
  <c r="Q14" i="7"/>
  <c r="P5" i="7"/>
  <c r="P9" i="7"/>
  <c r="P13" i="7"/>
  <c r="O4" i="7"/>
  <c r="O8" i="7"/>
  <c r="O12" i="7"/>
  <c r="N3" i="7"/>
  <c r="N7" i="7"/>
  <c r="N11" i="7"/>
  <c r="N15" i="7"/>
  <c r="M6" i="7"/>
  <c r="M10" i="7"/>
  <c r="M14" i="7"/>
  <c r="L5" i="7"/>
  <c r="L9" i="7"/>
  <c r="L13" i="7"/>
  <c r="K4" i="7"/>
  <c r="K8" i="7"/>
  <c r="K12" i="7"/>
  <c r="J3" i="7"/>
  <c r="J7" i="7"/>
  <c r="J11" i="7"/>
  <c r="J15" i="7"/>
  <c r="E15" i="7"/>
  <c r="I15" i="7"/>
  <c r="AD5" i="7"/>
  <c r="AD9" i="7"/>
  <c r="AD13" i="7"/>
  <c r="AA10" i="7"/>
  <c r="Z5" i="7"/>
  <c r="Z13" i="7"/>
  <c r="Y8" i="7"/>
  <c r="X3" i="7"/>
  <c r="X11" i="7"/>
  <c r="W6" i="7"/>
  <c r="W10" i="7"/>
  <c r="W14" i="7"/>
  <c r="V5" i="7"/>
  <c r="V9" i="7"/>
  <c r="AA5" i="7"/>
  <c r="AA9" i="7"/>
  <c r="AA13" i="7"/>
  <c r="Z4" i="7"/>
  <c r="Z8" i="7"/>
  <c r="Z12" i="7"/>
  <c r="Y3" i="7"/>
  <c r="Y7" i="7"/>
  <c r="Y11" i="7"/>
  <c r="Y15" i="7"/>
  <c r="X6" i="7"/>
  <c r="X10" i="7"/>
  <c r="X14" i="7"/>
  <c r="W5" i="7"/>
  <c r="W9" i="7"/>
  <c r="W13" i="7"/>
  <c r="V4" i="7"/>
  <c r="V8" i="7"/>
  <c r="V12" i="7"/>
  <c r="U3" i="7"/>
  <c r="U7" i="7"/>
  <c r="U11" i="7"/>
  <c r="U15" i="7"/>
  <c r="T6" i="7"/>
  <c r="T10" i="7"/>
  <c r="T14" i="7"/>
  <c r="S5" i="7"/>
  <c r="S9" i="7"/>
  <c r="S13" i="7"/>
  <c r="R4" i="7"/>
  <c r="R8" i="7"/>
  <c r="R12" i="7"/>
  <c r="Q3" i="7"/>
  <c r="Q7" i="7"/>
  <c r="Q11" i="7"/>
  <c r="Q15" i="7"/>
  <c r="P6" i="7"/>
  <c r="P10" i="7"/>
  <c r="P14" i="7"/>
  <c r="O5" i="7"/>
  <c r="O9" i="7"/>
  <c r="O13" i="7"/>
  <c r="N4" i="7"/>
  <c r="N8" i="7"/>
  <c r="N12" i="7"/>
  <c r="M3" i="7"/>
  <c r="M7" i="7"/>
  <c r="M11" i="7"/>
  <c r="M15" i="7"/>
  <c r="L6" i="7"/>
  <c r="L10" i="7"/>
  <c r="L14" i="7"/>
  <c r="K5" i="7"/>
  <c r="K9" i="7"/>
  <c r="K13" i="7"/>
  <c r="J4" i="7"/>
  <c r="J8" i="7"/>
  <c r="J12" i="7"/>
  <c r="H3" i="7"/>
  <c r="F15" i="7"/>
  <c r="AB15" i="7"/>
  <c r="AD6" i="7"/>
  <c r="AD10" i="7"/>
  <c r="AD14" i="7"/>
  <c r="AB11" i="7"/>
  <c r="AA6" i="7"/>
  <c r="AA14" i="7"/>
  <c r="Z9" i="7"/>
  <c r="Y4" i="7"/>
  <c r="Y12" i="7"/>
  <c r="X7" i="7"/>
  <c r="X15" i="7"/>
  <c r="AA3" i="7"/>
  <c r="Z6" i="7"/>
  <c r="Y9" i="7"/>
  <c r="X12" i="7"/>
  <c r="W15" i="7"/>
  <c r="V14" i="7"/>
  <c r="U9" i="7"/>
  <c r="T4" i="7"/>
  <c r="T12" i="7"/>
  <c r="S7" i="7"/>
  <c r="S15" i="7"/>
  <c r="R10" i="7"/>
  <c r="Q5" i="7"/>
  <c r="Q13" i="7"/>
  <c r="P8" i="7"/>
  <c r="O3" i="7"/>
  <c r="O11" i="7"/>
  <c r="N6" i="7"/>
  <c r="N14" i="7"/>
  <c r="M9" i="7"/>
  <c r="L4" i="7"/>
  <c r="L12" i="7"/>
  <c r="K7" i="7"/>
  <c r="K15" i="7"/>
  <c r="J10" i="7"/>
  <c r="D15" i="7"/>
  <c r="AD4" i="7"/>
  <c r="AD12" i="7"/>
  <c r="J5" i="7"/>
  <c r="G15" i="7"/>
  <c r="AD15" i="7"/>
  <c r="AA11" i="7"/>
  <c r="Z14" i="7"/>
  <c r="X4" i="7"/>
  <c r="W7" i="7"/>
  <c r="V10" i="7"/>
  <c r="U5" i="7"/>
  <c r="U13" i="7"/>
  <c r="T8" i="7"/>
  <c r="S3" i="7"/>
  <c r="S11" i="7"/>
  <c r="R6" i="7"/>
  <c r="R14" i="7"/>
  <c r="Q9" i="7"/>
  <c r="P4" i="7"/>
  <c r="P12" i="7"/>
  <c r="O7" i="7"/>
  <c r="O15" i="7"/>
  <c r="N10" i="7"/>
  <c r="M5" i="7"/>
  <c r="M13" i="7"/>
  <c r="L8" i="7"/>
  <c r="K3" i="7"/>
  <c r="K11" i="7"/>
  <c r="J6" i="7"/>
  <c r="J14" i="7"/>
  <c r="H15" i="7"/>
  <c r="AD8" i="7"/>
  <c r="AA15" i="7"/>
  <c r="Y5" i="7"/>
  <c r="X8" i="7"/>
  <c r="V13" i="7"/>
  <c r="U8" i="7"/>
  <c r="T3" i="7"/>
  <c r="T11" i="7"/>
  <c r="S6" i="7"/>
  <c r="S14" i="7"/>
  <c r="Q4" i="7"/>
  <c r="Q12" i="7"/>
  <c r="P15" i="7"/>
  <c r="N5" i="7"/>
  <c r="M8" i="7"/>
  <c r="L11" i="7"/>
  <c r="K14" i="7"/>
  <c r="C15" i="7"/>
  <c r="AD11" i="7"/>
  <c r="AA7" i="7"/>
  <c r="Z10" i="7"/>
  <c r="Y13" i="7"/>
  <c r="W3" i="7"/>
  <c r="V6" i="7"/>
  <c r="U4" i="7"/>
  <c r="U12" i="7"/>
  <c r="T7" i="7"/>
  <c r="T15" i="7"/>
  <c r="S10" i="7"/>
  <c r="R5" i="7"/>
  <c r="R13" i="7"/>
  <c r="Q8" i="7"/>
  <c r="P3" i="7"/>
  <c r="P11" i="7"/>
  <c r="O6" i="7"/>
  <c r="O14" i="7"/>
  <c r="N9" i="7"/>
  <c r="M4" i="7"/>
  <c r="M12" i="7"/>
  <c r="L7" i="7"/>
  <c r="L15" i="7"/>
  <c r="K10" i="7"/>
  <c r="J13" i="7"/>
  <c r="AD7" i="7"/>
  <c r="W11" i="7"/>
  <c r="R9" i="7"/>
  <c r="P7" i="7"/>
  <c r="O10" i="7"/>
  <c r="N13" i="7"/>
  <c r="L3" i="7"/>
  <c r="K6" i="7"/>
  <c r="J9" i="7"/>
  <c r="AC15" i="7"/>
  <c r="AB6" i="7"/>
  <c r="AC4" i="7"/>
  <c r="C3" i="7"/>
  <c r="D12" i="7"/>
  <c r="D10" i="7"/>
  <c r="D8" i="7"/>
  <c r="D6" i="7"/>
  <c r="D4" i="7"/>
  <c r="E3" i="7"/>
  <c r="I3" i="7"/>
  <c r="F14" i="7"/>
  <c r="G13" i="7"/>
  <c r="H12" i="7"/>
  <c r="I11" i="7"/>
  <c r="E11" i="7"/>
  <c r="F10" i="7"/>
  <c r="G9" i="7"/>
  <c r="H8" i="7"/>
  <c r="I7" i="7"/>
  <c r="E7" i="7"/>
  <c r="F6" i="7"/>
  <c r="G5" i="7"/>
  <c r="H4" i="7"/>
  <c r="AC13" i="7"/>
  <c r="AB12" i="7"/>
  <c r="AC9" i="7"/>
  <c r="AB8" i="7"/>
  <c r="AC5" i="7"/>
  <c r="AB4" i="7"/>
  <c r="D3" i="7"/>
  <c r="C12" i="7"/>
  <c r="C10" i="7"/>
  <c r="C8" i="7"/>
  <c r="C6" i="7"/>
  <c r="C4" i="7"/>
  <c r="F3" i="7"/>
  <c r="I14" i="7"/>
  <c r="E14" i="7"/>
  <c r="F13" i="7"/>
  <c r="G12" i="7"/>
  <c r="H11" i="7"/>
  <c r="I10" i="7"/>
  <c r="E10" i="7"/>
  <c r="F9" i="7"/>
  <c r="G8" i="7"/>
  <c r="H7" i="7"/>
  <c r="I6" i="7"/>
  <c r="E6" i="7"/>
  <c r="F5" i="7"/>
  <c r="G4" i="7"/>
  <c r="AB3" i="7"/>
  <c r="AC14" i="7"/>
  <c r="AB13" i="7"/>
  <c r="AC10" i="7"/>
  <c r="AB9" i="7"/>
  <c r="AC6" i="7"/>
  <c r="AB5" i="7"/>
  <c r="D13" i="7"/>
  <c r="D11" i="7"/>
  <c r="D9" i="7"/>
  <c r="D7" i="7"/>
  <c r="D5" i="7"/>
  <c r="D14" i="7"/>
  <c r="G3" i="7"/>
  <c r="H14" i="7"/>
  <c r="I13" i="7"/>
  <c r="E13" i="7"/>
  <c r="F12" i="7"/>
  <c r="G11" i="7"/>
  <c r="H10" i="7"/>
  <c r="I9" i="7"/>
  <c r="E9" i="7"/>
  <c r="F8" i="7"/>
  <c r="G7" i="7"/>
  <c r="H6" i="7"/>
  <c r="I5" i="7"/>
  <c r="E5" i="7"/>
  <c r="F4" i="7"/>
  <c r="AC3" i="7"/>
  <c r="AB14" i="7"/>
  <c r="AC11" i="7"/>
  <c r="AB10" i="7"/>
  <c r="AC7" i="7"/>
  <c r="C13" i="7"/>
  <c r="C11" i="7"/>
  <c r="C9" i="7"/>
  <c r="C7" i="7"/>
  <c r="C5" i="7"/>
  <c r="C14" i="7"/>
  <c r="G14" i="7"/>
  <c r="H13" i="7"/>
  <c r="I12" i="7"/>
  <c r="E12" i="7"/>
  <c r="F11" i="7"/>
  <c r="G10" i="7"/>
  <c r="H9" i="7"/>
  <c r="I8" i="7"/>
  <c r="E8" i="7"/>
  <c r="F7" i="7"/>
  <c r="G6" i="7"/>
  <c r="H5" i="7"/>
  <c r="I4" i="7"/>
  <c r="E4" i="7"/>
  <c r="AD3" i="7"/>
  <c r="AC12" i="7"/>
  <c r="AC8" i="7"/>
  <c r="AB7" i="7"/>
  <c r="W16" i="7" l="1"/>
  <c r="W17" i="7" s="1"/>
  <c r="S16" i="7"/>
  <c r="S17" i="7" s="1"/>
  <c r="U16" i="7"/>
  <c r="U17" i="7" s="1"/>
  <c r="L16" i="7"/>
  <c r="L17" i="7" s="1"/>
  <c r="Y16" i="7"/>
  <c r="Y17" i="7" s="1"/>
  <c r="R16" i="7"/>
  <c r="R17" i="7" s="1"/>
  <c r="P16" i="7"/>
  <c r="P17" i="7" s="1"/>
  <c r="M16" i="7"/>
  <c r="M17" i="7" s="1"/>
  <c r="X16" i="7"/>
  <c r="X17" i="7" s="1"/>
  <c r="V16" i="7"/>
  <c r="V17" i="7" s="1"/>
  <c r="K16" i="7"/>
  <c r="K17" i="7" s="1"/>
  <c r="AA16" i="7"/>
  <c r="AA17" i="7" s="1"/>
  <c r="Q16" i="7"/>
  <c r="Q17" i="7" s="1"/>
  <c r="J16" i="7"/>
  <c r="J17" i="7" s="1"/>
  <c r="Z16" i="7"/>
  <c r="Z17" i="7" s="1"/>
  <c r="T16" i="7"/>
  <c r="T17" i="7" s="1"/>
  <c r="O16" i="7"/>
  <c r="O17" i="7" s="1"/>
  <c r="N16" i="7"/>
  <c r="N17" i="7" s="1"/>
  <c r="AB16" i="7"/>
  <c r="AB17" i="7" s="1"/>
  <c r="D16" i="7"/>
  <c r="D17" i="7" s="1"/>
  <c r="H16" i="7"/>
  <c r="H17" i="7" s="1"/>
  <c r="F16" i="7"/>
  <c r="F17" i="7" s="1"/>
  <c r="C16" i="7"/>
  <c r="C17" i="7" s="1"/>
  <c r="AD16" i="7"/>
  <c r="AD17" i="7" s="1"/>
  <c r="AC16" i="7"/>
  <c r="AC17" i="7" s="1"/>
  <c r="I16" i="7"/>
  <c r="I17" i="7" s="1"/>
  <c r="G16" i="7"/>
  <c r="G17" i="7" s="1"/>
  <c r="E16" i="7"/>
  <c r="E17" i="7" s="1"/>
</calcChain>
</file>

<file path=xl/sharedStrings.xml><?xml version="1.0" encoding="utf-8"?>
<sst xmlns="http://schemas.openxmlformats.org/spreadsheetml/2006/main" count="108" uniqueCount="81">
  <si>
    <t>Dates</t>
  </si>
  <si>
    <t>Kcal</t>
  </si>
  <si>
    <t>km</t>
  </si>
  <si>
    <t>resist</t>
  </si>
  <si>
    <t>km/h</t>
  </si>
  <si>
    <t>rpm</t>
  </si>
  <si>
    <t>bpm</t>
  </si>
  <si>
    <t>Vélo éliptique</t>
  </si>
  <si>
    <t>Temps</t>
  </si>
  <si>
    <t xml:space="preserve">Km </t>
  </si>
  <si>
    <t xml:space="preserve">Calories </t>
  </si>
  <si>
    <t>Temps4</t>
  </si>
  <si>
    <t>Marche</t>
  </si>
  <si>
    <t>Totaux</t>
  </si>
  <si>
    <t>rpm2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</si>
  <si>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</si>
  <si>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</si>
  <si>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</si>
  <si>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</si>
  <si>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</si>
  <si>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</si>
  <si>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</si>
  <si>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</si>
  <si>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</si>
  <si>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</si>
  <si>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</si>
  <si>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</si>
  <si>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Moyenne/mois</t>
  </si>
  <si>
    <t xml:space="preserve">   Marche</t>
  </si>
  <si>
    <t>02/09/2026</t>
  </si>
  <si>
    <t>03/09/2026</t>
  </si>
  <si>
    <t>04/09/2026</t>
  </si>
  <si>
    <t>05/09/2026</t>
  </si>
  <si>
    <t>06/09/2026</t>
  </si>
  <si>
    <t>07/09/2026</t>
  </si>
  <si>
    <t>08/09/2026</t>
  </si>
  <si>
    <t>rowing</t>
  </si>
  <si>
    <t>frontal</t>
  </si>
  <si>
    <t>triceps</t>
  </si>
  <si>
    <t>fentes</t>
  </si>
  <si>
    <t>deadlift</t>
  </si>
  <si>
    <t>biceps</t>
  </si>
  <si>
    <t>laterales</t>
  </si>
  <si>
    <t>epaules</t>
  </si>
  <si>
    <t>derriere</t>
  </si>
  <si>
    <t>squats</t>
  </si>
  <si>
    <t>couche</t>
  </si>
  <si>
    <t>ecarté</t>
  </si>
  <si>
    <t>incline</t>
  </si>
  <si>
    <t>abdos</t>
  </si>
  <si>
    <t>09/09/2026</t>
  </si>
  <si>
    <t>10/09/2026</t>
  </si>
  <si>
    <t>11/09/2026</t>
  </si>
  <si>
    <t>12/09/2026</t>
  </si>
  <si>
    <t>13/09/2026</t>
  </si>
  <si>
    <t>14/09/2026</t>
  </si>
  <si>
    <t>15/09/2026</t>
  </si>
  <si>
    <t>16/09/2026</t>
  </si>
  <si>
    <t>17/09/2026</t>
  </si>
  <si>
    <t>18/09/2026</t>
  </si>
  <si>
    <t>19/09/2026</t>
  </si>
  <si>
    <t>20/09/2026</t>
  </si>
  <si>
    <t>21/09/2026</t>
  </si>
  <si>
    <t>22/09/2026</t>
  </si>
  <si>
    <t>23/09/2026</t>
  </si>
  <si>
    <t>Crunch sur banc</t>
  </si>
  <si>
    <t>penché avec haltères</t>
  </si>
  <si>
    <t>deadlife triceps der</t>
  </si>
  <si>
    <t>Relevés de genoux</t>
  </si>
  <si>
    <t>mois</t>
  </si>
  <si>
    <t>Temps6</t>
  </si>
  <si>
    <t>Mois</t>
  </si>
  <si>
    <t>Total</t>
  </si>
  <si>
    <t>Haltères</t>
  </si>
  <si>
    <t>24/09/2026</t>
  </si>
  <si>
    <t>laterale</t>
  </si>
  <si>
    <t>VELO</t>
  </si>
  <si>
    <t>HALTERE</t>
  </si>
  <si>
    <t>MARCHE</t>
  </si>
  <si>
    <t>Activite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</si>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</sst>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h]:mm"/>
    <numFmt numFmtId="166" formatCode="h:mm"/>
    <numFmt numFmtId="167" formatCode="h:mm;@"/>
  </numFmts>
  <fonts count="15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2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20" fontId="5" fillId="4" borderId="4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" fontId="6" fillId="4" borderId="2" xfId="0" applyNumberFormat="1" applyFont="1" applyFill="1" applyBorder="1" applyAlignment="1">
      <alignment horizontal="center"/>
    </xf>
    <xf numFmtId="164" fontId="6" fillId="4" borderId="2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20" fontId="6" fillId="4" borderId="6" xfId="0" applyNumberFormat="1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20" fontId="10" fillId="3" borderId="4" xfId="0" applyNumberFormat="1" applyFont="1" applyFill="1" applyBorder="1" applyAlignment="1">
      <alignment horizontal="center"/>
    </xf>
    <xf numFmtId="165" fontId="10" fillId="3" borderId="5" xfId="0" applyNumberFormat="1" applyFont="1" applyFill="1" applyBorder="1" applyAlignment="1">
      <alignment horizontal="center"/>
    </xf>
    <xf numFmtId="2" fontId="6" fillId="4" borderId="9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" fontId="5" fillId="2" borderId="9" xfId="0" applyNumberFormat="1" applyFont="1" applyFill="1" applyBorder="1" applyAlignment="1">
      <alignment horizontal="center"/>
    </xf>
    <xf numFmtId="2" fontId="5" fillId="2" borderId="9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1" fontId="12" fillId="4" borderId="18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/>
    </xf>
    <xf numFmtId="1" fontId="5" fillId="2" borderId="8" xfId="0" applyNumberFormat="1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/>
    </xf>
    <xf numFmtId="1" fontId="5" fillId="2" borderId="22" xfId="0" applyNumberFormat="1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 vertical="center" wrapText="1"/>
    </xf>
    <xf numFmtId="0" fontId="0" fillId="6" borderId="4" xfId="0" applyFill="1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quotePrefix="1" applyNumberFormat="1" applyAlignment="1">
      <alignment horizontal="center"/>
    </xf>
    <xf numFmtId="167" fontId="0" fillId="0" borderId="0" xfId="0" applyNumberFormat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28" xfId="0" applyBorder="1"/>
    <xf numFmtId="0" fontId="0" fillId="5" borderId="27" xfId="0" applyFill="1" applyBorder="1" applyAlignment="1">
      <alignment horizontal="center"/>
    </xf>
    <xf numFmtId="0" fontId="6" fillId="4" borderId="1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24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0" xfId="0" applyFont="1" applyAlignment="1">
      <alignment horizontal="center"/>
    </xf>
    <xf numFmtId="0" fontId="2" fillId="7" borderId="0" xfId="0" applyFont="1" applyFill="1" applyAlignment="1">
      <alignment horizontal="center"/>
    </xf>
    <xf numFmtId="0" fontId="2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3" fillId="2" borderId="15" xfId="0" applyFont="1" applyFill="1" applyBorder="1"/>
    <xf numFmtId="0" fontId="13" fillId="2" borderId="25" xfId="0" applyFont="1" applyFill="1" applyBorder="1" applyAlignment="1">
      <alignment horizontal="center"/>
    </xf>
    <xf numFmtId="0" fontId="14" fillId="2" borderId="16" xfId="0" applyFont="1" applyFill="1" applyBorder="1" applyAlignment="1">
      <alignment horizontal="center"/>
    </xf>
    <xf numFmtId="2" fontId="14" fillId="2" borderId="16" xfId="0" applyNumberFormat="1" applyFont="1" applyFill="1" applyBorder="1" applyAlignment="1">
      <alignment horizontal="center"/>
    </xf>
    <xf numFmtId="166" fontId="14" fillId="2" borderId="16" xfId="0" applyNumberFormat="1" applyFont="1" applyFill="1" applyBorder="1" applyAlignment="1">
      <alignment horizontal="center"/>
    </xf>
    <xf numFmtId="20" fontId="14" fillId="2" borderId="16" xfId="0" applyNumberFormat="1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8" fillId="4" borderId="7" xfId="0" applyFont="1" applyFill="1" applyBorder="1"/>
    <xf numFmtId="0" fontId="1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126">
    <dxf>
      <numFmt numFmtId="165" formatCode="[h]:mm"/>
      <alignment horizontal="center" vertical="bottom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/>
        <bottom/>
      </border>
    </dxf>
    <dxf>
      <numFmt numFmtId="167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66" formatCode="h:mm"/>
      <alignment horizontal="center" vertical="bottom" textRotation="0" wrapText="0" indent="0" justifyLastLine="0" shrinkToFit="0" readingOrder="0"/>
    </dxf>
    <dxf>
      <numFmt numFmtId="167" formatCode="h:mm;@"/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2" formatCode="0.0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indexed="64"/>
        </bottom>
      </border>
    </dxf>
    <dxf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 style="hair">
          <color indexed="64"/>
        </horizontal>
      </border>
    </dxf>
    <dxf>
      <border outline="0">
        <top style="hair">
          <color indexed="64"/>
        </top>
      </border>
    </dxf>
    <dxf>
      <fill>
        <patternFill patternType="solid">
          <fgColor indexed="64"/>
          <bgColor theme="0" tint="-0.249977111117893"/>
        </patternFill>
      </fill>
      <border diagonalUp="0" diagonalDown="0" outline="0">
        <left/>
        <right/>
        <top style="hair">
          <color indexed="64"/>
        </top>
        <bottom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numFmt numFmtId="165" formatCode="[h]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2" formatCode="0.00"/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8F8F8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 outline="0">
        <left style="hair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8F8F8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8F8F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numFmt numFmtId="25" formatCode="h:mm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hair">
          <color indexed="64"/>
        </right>
        <top style="hair">
          <color indexed="64"/>
        </top>
        <bottom/>
      </border>
    </dxf>
    <dxf>
      <fill>
        <patternFill patternType="solid">
          <fgColor indexed="64"/>
          <bgColor rgb="FFF8F8F8"/>
        </patternFill>
      </fill>
    </dxf>
    <dxf>
      <border outline="0">
        <top style="hair">
          <color indexed="64"/>
        </top>
      </border>
    </dxf>
    <dxf>
      <fill>
        <patternFill patternType="solid">
          <fgColor indexed="64"/>
          <bgColor theme="0" tint="-0.249977111117893"/>
        </patternFill>
      </fill>
    </dxf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border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8F8F8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9" defaultPivotStyle="PivotStyleLight16"/>
  <colors>
    <mruColors>
      <color rgb="FFFFFF99"/>
      <color rgb="FFCCECFF"/>
      <color rgb="FFCCFF99"/>
      <color rgb="FFFFCCFF"/>
      <color rgb="FFFFFF66"/>
      <color rgb="FFFFCC99"/>
      <color rgb="FF27F1B2"/>
      <color rgb="FF66FFFF"/>
      <color rgb="FFFFFFCC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147225</xdr:colOff>
      <xdr:row>0</xdr:row>
      <xdr:rowOff>0</xdr:rowOff>
    </xdr:from>
    <xdr:to>
      <xdr:col>2</xdr:col>
      <xdr:colOff>390525</xdr:colOff>
      <xdr:row>1</xdr:row>
      <xdr:rowOff>555144</xdr:rowOff>
    </xdr:to>
    <xdr:pic macro="[0]!enregistrer">
      <xdr:nvPicPr>
        <xdr:cNvPr id="14" name="Image 13" descr="Miaou - Détendu">
          <a:extLst>
            <a:ext uri="{FF2B5EF4-FFF2-40B4-BE49-F238E27FC236}">
              <a16:creationId xmlns:a16="http://schemas.microsoft.com/office/drawing/2014/main" id="{1094578E-B7FF-423C-9429-DD02A2308A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14769" r="12281" b="-27674"/>
        <a:stretch>
          <a:fillRect/>
        </a:stretch>
      </xdr:blipFill>
      <xdr:spPr>
        <a:xfrm flipH="1">
          <a:off x="147225" y="0"/>
          <a:ext cx="1157700" cy="1412394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9247</xdr:colOff>
      <xdr:row>0</xdr:row>
      <xdr:rowOff>27743</xdr:rowOff>
    </xdr:from>
    <xdr:to>
      <xdr:col>25</xdr:col>
      <xdr:colOff>577603</xdr:colOff>
      <xdr:row>1</xdr:row>
      <xdr:rowOff>18495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04FB967-DF66-B335-D8DA-AD7B2D055902}"/>
            </a:ext>
          </a:extLst>
        </xdr:cNvPr>
        <xdr:cNvSpPr/>
      </xdr:nvSpPr>
      <xdr:spPr>
        <a:xfrm>
          <a:off x="4817985" y="27743"/>
          <a:ext cx="10472506" cy="1128203"/>
        </a:xfrm>
        <a:prstGeom prst="rect">
          <a:avLst/>
        </a:prstGeom>
        <a:gradFill>
          <a:gsLst>
            <a:gs pos="28000">
              <a:srgbClr val="FFFF99"/>
            </a:gs>
            <a:gs pos="100000">
              <a:schemeClr val="bg1"/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600" b="1">
              <a:solidFill>
                <a:schemeClr val="tx1"/>
              </a:solidFill>
            </a:rPr>
            <a:t>séries</a:t>
          </a:r>
          <a:r>
            <a:rPr lang="fr-FR" sz="1600" b="1" baseline="0">
              <a:solidFill>
                <a:schemeClr val="tx1"/>
              </a:solidFill>
            </a:rPr>
            <a:t> de 12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28</xdr:col>
      <xdr:colOff>443885</xdr:colOff>
      <xdr:row>0</xdr:row>
      <xdr:rowOff>73981</xdr:rowOff>
    </xdr:from>
    <xdr:to>
      <xdr:col>31</xdr:col>
      <xdr:colOff>379151</xdr:colOff>
      <xdr:row>1</xdr:row>
      <xdr:rowOff>335225</xdr:rowOff>
    </xdr:to>
    <xdr:pic macro="[0]!enregistrer">
      <xdr:nvPicPr>
        <xdr:cNvPr id="9" name="Image 8" descr="Miaou - Détendu">
          <a:extLst>
            <a:ext uri="{FF2B5EF4-FFF2-40B4-BE49-F238E27FC236}">
              <a16:creationId xmlns:a16="http://schemas.microsoft.com/office/drawing/2014/main" id="{309760CD-4DF6-FA1F-F7FB-7A3D6B53A1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776" b="-11776"/>
        <a:stretch>
          <a:fillRect/>
        </a:stretch>
      </xdr:blipFill>
      <xdr:spPr>
        <a:xfrm>
          <a:off x="14574176" y="73981"/>
          <a:ext cx="1276164" cy="122299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209550</xdr:rowOff>
        </xdr:from>
        <xdr:to>
          <xdr:col>0</xdr:col>
          <xdr:colOff>1314450</xdr:colOff>
          <xdr:row>0</xdr:row>
          <xdr:rowOff>485775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19050</xdr:rowOff>
        </xdr:from>
        <xdr:to>
          <xdr:col>0</xdr:col>
          <xdr:colOff>933450</xdr:colOff>
          <xdr:row>0</xdr:row>
          <xdr:rowOff>238125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0</xdr:colOff>
      <xdr:row>0</xdr:row>
      <xdr:rowOff>0</xdr:rowOff>
    </xdr:from>
    <xdr:to>
      <xdr:col>26</xdr:col>
      <xdr:colOff>18496</xdr:colOff>
      <xdr:row>1</xdr:row>
      <xdr:rowOff>314416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16C0E0D5-DCAE-44F3-8B09-4C70B575C757}"/>
            </a:ext>
          </a:extLst>
        </xdr:cNvPr>
        <xdr:cNvGrpSpPr/>
      </xdr:nvGrpSpPr>
      <xdr:grpSpPr>
        <a:xfrm>
          <a:off x="5095413" y="0"/>
          <a:ext cx="10505243" cy="1276164"/>
          <a:chOff x="4780995" y="1738544"/>
          <a:chExt cx="10505243" cy="1378905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993C9C3A-FB00-483C-97DF-BF6B2A4DDB1A}"/>
              </a:ext>
            </a:extLst>
          </xdr:cNvPr>
          <xdr:cNvSpPr/>
        </xdr:nvSpPr>
        <xdr:spPr>
          <a:xfrm>
            <a:off x="4780995" y="1738544"/>
            <a:ext cx="10505243" cy="1044975"/>
          </a:xfrm>
          <a:prstGeom prst="rect">
            <a:avLst/>
          </a:prstGeom>
          <a:gradFill>
            <a:gsLst>
              <a:gs pos="23000">
                <a:srgbClr val="FFFF99"/>
              </a:gs>
              <a:gs pos="96000">
                <a:schemeClr val="bg1"/>
              </a:gs>
              <a:gs pos="83000">
                <a:schemeClr val="bg1"/>
              </a:gs>
              <a:gs pos="100000">
                <a:schemeClr val="bg1"/>
              </a:gs>
            </a:gsLst>
            <a:lin ang="5400000" scaled="1"/>
          </a:gra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600" b="1">
              <a:solidFill>
                <a:schemeClr val="tx1"/>
              </a:solidFill>
            </a:endParaRPr>
          </a:p>
        </xdr:txBody>
      </xdr:sp>
      <xdr:pic>
        <xdr:nvPicPr>
          <xdr:cNvPr id="22" name="Image 21" descr="Illustration du curl alterné debout avec haltères">
            <a:extLst>
              <a:ext uri="{FF2B5EF4-FFF2-40B4-BE49-F238E27FC236}">
                <a16:creationId xmlns:a16="http://schemas.microsoft.com/office/drawing/2014/main" id="{6844C768-FA1A-4257-A997-4A364F7B52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33446" y="1855029"/>
            <a:ext cx="665074" cy="9931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3" name="Image 22" descr="Illustration des élévations frontales avec haltères ">
            <a:extLst>
              <a:ext uri="{FF2B5EF4-FFF2-40B4-BE49-F238E27FC236}">
                <a16:creationId xmlns:a16="http://schemas.microsoft.com/office/drawing/2014/main" id="{8062B1F7-51DF-48C0-88B6-771637E8D6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546457" y="1856933"/>
            <a:ext cx="640169" cy="105727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4" name="Image 23" descr="Illustration des elévations latérales avec haltères">
            <a:extLst>
              <a:ext uri="{FF2B5EF4-FFF2-40B4-BE49-F238E27FC236}">
                <a16:creationId xmlns:a16="http://schemas.microsoft.com/office/drawing/2014/main" id="{8A5AA2F1-B54F-4A74-AA40-7DAA5E8854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36295" y="1795140"/>
            <a:ext cx="626326" cy="115252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5" name="Image 24" descr="Illustration du développé assis avec haltères">
            <a:extLst>
              <a:ext uri="{FF2B5EF4-FFF2-40B4-BE49-F238E27FC236}">
                <a16:creationId xmlns:a16="http://schemas.microsoft.com/office/drawing/2014/main" id="{24EFEB31-9A94-49C6-83A1-5ED74984B8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24424" y="1788354"/>
            <a:ext cx="713272" cy="116586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6" name="Image 25" descr="Illustration des fentes">
            <a:extLst>
              <a:ext uri="{FF2B5EF4-FFF2-40B4-BE49-F238E27FC236}">
                <a16:creationId xmlns:a16="http://schemas.microsoft.com/office/drawing/2014/main" id="{1B4EF683-8CB8-4779-9052-CDA8113A918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57710" y="1870786"/>
            <a:ext cx="666368" cy="1000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7" name="Image 26" descr="Illustration de l'extension des avant-bras assis avec un haltère">
            <a:extLst>
              <a:ext uri="{FF2B5EF4-FFF2-40B4-BE49-F238E27FC236}">
                <a16:creationId xmlns:a16="http://schemas.microsoft.com/office/drawing/2014/main" id="{7545D645-A3FB-4712-9BD8-51C8C6EF42B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75611" y="1812525"/>
            <a:ext cx="749100" cy="13049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8" name="Image 27" descr="Illustration du soulevé de terre avec haltères">
            <a:extLst>
              <a:ext uri="{FF2B5EF4-FFF2-40B4-BE49-F238E27FC236}">
                <a16:creationId xmlns:a16="http://schemas.microsoft.com/office/drawing/2014/main" id="{DB8EB825-7AC6-4404-907E-B797BDF86AF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07113" y="1922884"/>
            <a:ext cx="677281" cy="9334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9" name="Image 28" descr="Illustration du rowing debout avec haltères">
            <a:extLst>
              <a:ext uri="{FF2B5EF4-FFF2-40B4-BE49-F238E27FC236}">
                <a16:creationId xmlns:a16="http://schemas.microsoft.com/office/drawing/2014/main" id="{EB6ED155-0BEE-4395-8583-99903AD8592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27233" y="1747794"/>
            <a:ext cx="767550" cy="13525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0" name="Image 29" descr="Illustration du soulevé de terre roumain (jambes tendues) avec haltères">
            <a:extLst>
              <a:ext uri="{FF2B5EF4-FFF2-40B4-BE49-F238E27FC236}">
                <a16:creationId xmlns:a16="http://schemas.microsoft.com/office/drawing/2014/main" id="{E4CFDD64-04FD-4C8C-A7C4-383D1E12663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20723" y="1738544"/>
            <a:ext cx="634836" cy="11280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1" name="Image 30" descr="Illustration du rowing à un bras avec haltères">
            <a:extLst>
              <a:ext uri="{FF2B5EF4-FFF2-40B4-BE49-F238E27FC236}">
                <a16:creationId xmlns:a16="http://schemas.microsoft.com/office/drawing/2014/main" id="{9DE283C2-599A-4BCF-AA37-5C14003103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251866" y="1933578"/>
            <a:ext cx="682552" cy="11334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CF407E-0ED0-48DB-A589-DDEB9C4FCA64}" name="T_recap" displayName="T_recap" ref="A2:AD16" totalsRowCount="1" headerRowDxfId="60" headerRowBorderDxfId="59">
  <tableColumns count="30">
    <tableColumn id="1" xr3:uid="{EC314128-7612-4913-B201-75A89FD479B2}" name="Dates" totalsRowLabel="Total" dataDxfId="58"/>
    <tableColumn id="27" xr3:uid="{5545A8F0-8E8E-4469-BC7B-EC202F24A001}" name="mois" dataDxfId="57" totalsRowDxfId="56"/>
    <tableColumn id="2" xr3:uid="{0A00E400-73B5-446A-BB67-6BE0F425EB29}" name="Kcal" totalsRowFunction="sum" dataDxfId="55" totalsRowDxfId="54">
      <calculatedColumnFormula>SUMIFS(T_Sport[Kcal],T_Sport[Mois],T_recap[[#This Row],[mois]])</calculatedColumnFormula>
    </tableColumn>
    <tableColumn id="3" xr3:uid="{10909B41-6659-413D-985D-11067C4F9098}" name="km" totalsRowFunction="sum" dataDxfId="53" totalsRowDxfId="52">
      <calculatedColumnFormula>SUMIFS(T_Sport[km],T_Sport[Mois],T_recap[[#This Row],[mois]])</calculatedColumnFormula>
    </tableColumn>
    <tableColumn id="4" xr3:uid="{0E6E9E2D-1A52-400E-9FC8-95FB00245B27}" name="resist" totalsRowFunction="sum" dataDxfId="51" totalsRowDxfId="50">
      <calculatedColumnFormula>SUMIFS(T_Sport[resist],T_Sport[Mois],T_recap[[#This Row],[mois]])</calculatedColumnFormula>
    </tableColumn>
    <tableColumn id="5" xr3:uid="{178BD278-9CBE-4480-B603-D4DEE6B7FE98}" name="km/h" totalsRowFunction="sum" dataDxfId="49" totalsRowDxfId="48">
      <calculatedColumnFormula>SUMIFS(T_Sport[km/h],T_Sport[Mois],T_recap[[#This Row],[mois]])</calculatedColumnFormula>
    </tableColumn>
    <tableColumn id="6" xr3:uid="{07C56705-50A1-4314-957C-6FD078C6D683}" name="rpm" totalsRowFunction="sum" dataDxfId="47" totalsRowDxfId="46">
      <calculatedColumnFormula>SUMIFS(T_Sport[rpm2],T_Sport[Mois],T_recap[[#This Row],[mois]])</calculatedColumnFormula>
    </tableColumn>
    <tableColumn id="7" xr3:uid="{EACBE875-DD59-46EB-AEE9-00A29914035D}" name="bpm" totalsRowFunction="sum" dataDxfId="45" totalsRowDxfId="44">
      <calculatedColumnFormula>SUMIFS(T_Sport[bpm],T_Sport[Mois],T_recap[[#This Row],[mois]])</calculatedColumnFormula>
    </tableColumn>
    <tableColumn id="8" xr3:uid="{5F2086EB-9C5F-4414-88DE-5227D5660B8B}" name="Temps" totalsRowFunction="sum" dataDxfId="43" totalsRowDxfId="42">
      <calculatedColumnFormula>SUMIFS(T_Sport[Temps],T_Sport[Mois],T_recap[[#This Row],[mois]])</calculatedColumnFormula>
    </tableColumn>
    <tableColumn id="9" xr3:uid="{E4EF111C-C5D6-452D-B669-C95C4B2DED1A}" name="rowing" totalsRowFunction="sum" dataDxfId="41" totalsRowDxfId="40">
      <calculatedColumnFormula>SUMIFS(T_Sport[rowing],T_Sport[Mois],T_recap[[#This Row],[mois]])</calculatedColumnFormula>
    </tableColumn>
    <tableColumn id="10" xr3:uid="{ED9EB5F0-F1EF-48DD-909D-4D548609C6AB}" name="frontal" totalsRowFunction="sum" dataDxfId="39" totalsRowDxfId="38">
      <calculatedColumnFormula>SUMIFS(T_Sport[frontal],T_Sport[Mois],T_recap[[#This Row],[mois]])</calculatedColumnFormula>
    </tableColumn>
    <tableColumn id="11" xr3:uid="{3D83820D-605A-414D-99E0-CC15608BFC29}" name="triceps" totalsRowFunction="sum" dataDxfId="37" totalsRowDxfId="36">
      <calculatedColumnFormula>SUMIFS(T_Sport[triceps],T_Sport[Mois],T_recap[[#This Row],[mois]])</calculatedColumnFormula>
    </tableColumn>
    <tableColumn id="12" xr3:uid="{839391F6-40EA-4638-BD22-7B2B48CD188A}" name="fentes" totalsRowFunction="sum" dataDxfId="35" totalsRowDxfId="34">
      <calculatedColumnFormula>SUMIFS(T_Sport[fentes],T_Sport[Mois],T_recap[[#This Row],[mois]])</calculatedColumnFormula>
    </tableColumn>
    <tableColumn id="13" xr3:uid="{222F7307-C074-4CC6-8735-9DD9B2C9D9A5}" name="deadlift" totalsRowFunction="sum" dataDxfId="33" totalsRowDxfId="32">
      <calculatedColumnFormula>SUMIFS(T_Sport[deadlift],T_Sport[Mois],T_recap[[#This Row],[mois]])</calculatedColumnFormula>
    </tableColumn>
    <tableColumn id="14" xr3:uid="{84E4C071-D9A1-41C2-A155-19D58C54237C}" name="biceps" totalsRowFunction="sum" dataDxfId="31" totalsRowDxfId="30">
      <calculatedColumnFormula>SUMIFS(T_Sport[biceps],T_Sport[Mois],T_recap[[#This Row],[mois]])</calculatedColumnFormula>
    </tableColumn>
    <tableColumn id="15" xr3:uid="{CE3F6FEC-8C40-4B63-8FA0-058A6F2B3E76}" name="laterale" totalsRowFunction="sum" dataDxfId="29" totalsRowDxfId="28">
      <calculatedColumnFormula>SUMIFS(T_Sport[laterales],T_Sport[Mois],T_recap[[#This Row],[mois]])</calculatedColumnFormula>
    </tableColumn>
    <tableColumn id="16" xr3:uid="{2514D245-B255-4686-966D-7483ADE1A7EC}" name="epaules" totalsRowFunction="sum" dataDxfId="27" totalsRowDxfId="26">
      <calculatedColumnFormula>SUMIFS(T_Sport[epaules],T_Sport[Mois],T_recap[[#This Row],[mois]])</calculatedColumnFormula>
    </tableColumn>
    <tableColumn id="17" xr3:uid="{F7A5B3D1-C851-4AE1-B641-0C903A68AA78}" name="derriere" totalsRowFunction="sum" dataDxfId="25" totalsRowDxfId="24">
      <calculatedColumnFormula>SUMIFS(T_Sport[derriere],T_Sport[Mois],T_recap[[#This Row],[mois]])</calculatedColumnFormula>
    </tableColumn>
    <tableColumn id="18" xr3:uid="{93158944-A032-4FC4-BB9E-2E028C4A0A86}" name="squats" totalsRowFunction="sum" dataDxfId="23" totalsRowDxfId="22">
      <calculatedColumnFormula>SUMIFS(T_Sport[squats],T_Sport[Mois],T_recap[[#This Row],[mois]])</calculatedColumnFormula>
    </tableColumn>
    <tableColumn id="26" xr3:uid="{0C100991-89CF-4701-8871-76EE7332DF8E}" name="couche" totalsRowFunction="sum" dataDxfId="21" totalsRowDxfId="20">
      <calculatedColumnFormula>SUMIFS(T_Sport[couche],T_Sport[Mois],T_recap[[#This Row],[mois]])</calculatedColumnFormula>
    </tableColumn>
    <tableColumn id="28" xr3:uid="{FAD8C182-58C0-4CBE-A887-90BB40AB5973}" name="ecarté" totalsRowFunction="sum" dataDxfId="19" totalsRowDxfId="18">
      <calculatedColumnFormula>SUMIFS(T_Sport[ecarté],T_Sport[Mois],T_recap[[#This Row],[mois]])</calculatedColumnFormula>
    </tableColumn>
    <tableColumn id="29" xr3:uid="{3A72439E-220E-4C25-9BE7-271FFB009716}" name="incline" totalsRowFunction="sum" dataDxfId="17" totalsRowDxfId="16">
      <calculatedColumnFormula>SUMIFS(T_Sport[incline],T_Sport[Mois],T_recap[[#This Row],[mois]])</calculatedColumnFormula>
    </tableColumn>
    <tableColumn id="30" xr3:uid="{AD94FF2D-85FC-4D06-961F-52AA004FC94C}" name="deadlife triceps der" totalsRowFunction="sum" dataDxfId="15" totalsRowDxfId="14">
      <calculatedColumnFormula>SUMIFS(T_Sport[deadlife triceps der],T_Sport[Mois],T_recap[[#This Row],[mois]])</calculatedColumnFormula>
    </tableColumn>
    <tableColumn id="19" xr3:uid="{261C2655-3284-4A16-A6BD-6480C50A426A}" name="Crunch sur banc" totalsRowFunction="sum" dataDxfId="13" totalsRowDxfId="12">
      <calculatedColumnFormula>SUMIFS(T_Sport[Crunch sur banc],T_Sport[Mois],T_recap[[#This Row],[mois]])</calculatedColumnFormula>
    </tableColumn>
    <tableColumn id="20" xr3:uid="{B4639A57-A03B-44A0-BF32-5683F09BFE20}" name="Relevés de genoux" totalsRowFunction="sum" dataDxfId="11" totalsRowDxfId="10">
      <calculatedColumnFormula>SUMIFS(T_Sport[Relevés de genoux],T_Sport[Mois],T_recap[[#This Row],[mois]])</calculatedColumnFormula>
    </tableColumn>
    <tableColumn id="21" xr3:uid="{450F6967-BA39-4FF6-B289-E70398A77C26}" name="penché avec haltères" totalsRowFunction="sum" dataDxfId="9" totalsRowDxfId="8">
      <calculatedColumnFormula>SUMIFS(T_Sport[penché avec haltères],T_Sport[Mois],T_recap[[#This Row],[mois]])</calculatedColumnFormula>
    </tableColumn>
    <tableColumn id="22" xr3:uid="{EF05E737-36FE-43CE-9E86-3EF9E70E1FE9}" name="abdos" totalsRowFunction="sum" dataDxfId="7" totalsRowDxfId="6">
      <calculatedColumnFormula>SUMIFS(T_Sport[abdos],T_Sport[Mois],T_recap[[#This Row],[mois]])</calculatedColumnFormula>
    </tableColumn>
    <tableColumn id="23" xr3:uid="{93BE9C4E-A633-4F3B-9EC7-5E536449944C}" name="Km " totalsRowFunction="sum" dataDxfId="5" totalsRowDxfId="4">
      <calculatedColumnFormula>SUMIFS(T_Sport[km],T_Sport[Mois],T_recap[[#This Row],[mois]])</calculatedColumnFormula>
    </tableColumn>
    <tableColumn id="24" xr3:uid="{8755F14E-9960-4482-94E5-BD56A592A2CB}" name="Calories " totalsRowFunction="sum" dataDxfId="3" totalsRowDxfId="2">
      <calculatedColumnFormula>SUMIFS(T_Sport[[Calories ]],T_Sport[Mois],T_recap[[#This Row],[mois]])</calculatedColumnFormula>
    </tableColumn>
    <tableColumn id="25" xr3:uid="{0064C307-608A-4F88-880B-0CFBDC3ECB7B}" name="Temps6" totalsRowFunction="sum" dataDxfId="1" totalsRowDxfId="0">
      <calculatedColumnFormula>SUMIFS(T_Sport[Temps4],T_Sport[Mois],T_recap[[#This Row],[mois]])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Sport" displayName="T_Sport" ref="A2:AD26" insertRowShift="1" totalsRowCount="1" headerRowDxfId="125" totalsRowDxfId="122" headerRowBorderDxfId="124" tableBorderDxfId="123" totalsRowBorderDxfId="121">
  <tableColumns count="30">
    <tableColumn id="1" xr3:uid="{00000000-0010-0000-0000-000001000000}" name="Dates" totalsRowLabel="Totaux" dataDxfId="120" totalsRowDxfId="119"/>
    <tableColumn id="2" xr3:uid="{00000000-0010-0000-0000-000002000000}" name="Kcal" totalsRowFunction="custom" dataDxfId="118" totalsRowDxfId="117">
      <totalsRowFormula>SUM(T_Sport[Kcal])</totalsRowFormula>
    </tableColumn>
    <tableColumn id="3" xr3:uid="{00000000-0010-0000-0000-000003000000}" name="km" totalsRowFunction="sum" dataDxfId="116" totalsRowDxfId="115"/>
    <tableColumn id="4" xr3:uid="{00000000-0010-0000-0000-000004000000}" name="resist" totalsRowFunction="count" dataDxfId="114" totalsRowDxfId="113"/>
    <tableColumn id="5" xr3:uid="{00000000-0010-0000-0000-000005000000}" name="km/h" totalsRowFunction="count" dataDxfId="112" totalsRowDxfId="111"/>
    <tableColumn id="6" xr3:uid="{00000000-0010-0000-0000-000006000000}" name="bpm" totalsRowFunction="count" dataDxfId="110" totalsRowDxfId="109"/>
    <tableColumn id="7" xr3:uid="{00000000-0010-0000-0000-000007000000}" name="rpm2" totalsRowFunction="count" dataDxfId="108" totalsRowDxfId="107"/>
    <tableColumn id="19" xr3:uid="{00000000-0010-0000-0000-000013000000}" name="Temps" totalsRowFunction="custom" dataDxfId="106" totalsRowDxfId="105">
      <totalsRowFormula>SUM(T_Sport[Temps])</totalsRowFormula>
    </tableColumn>
    <tableColumn id="8" xr3:uid="{00000000-0010-0000-0000-000008000000}" name="rowing" totalsRowFunction="custom" dataDxfId="104" totalsRowDxfId="103">
      <totalsRowFormula>SUM(T_Sport[rowing])*12</totalsRowFormula>
    </tableColumn>
    <tableColumn id="9" xr3:uid="{00000000-0010-0000-0000-000009000000}" name="frontal" totalsRowFunction="custom" dataDxfId="102" totalsRowDxfId="101">
      <totalsRowFormula>SUM(T_Sport[frontal])*12</totalsRowFormula>
    </tableColumn>
    <tableColumn id="10" xr3:uid="{00000000-0010-0000-0000-00000A000000}" name="triceps" totalsRowFunction="custom" dataDxfId="100" totalsRowDxfId="99">
      <totalsRowFormula>SUM(T_Sport[triceps])*12</totalsRowFormula>
    </tableColumn>
    <tableColumn id="11" xr3:uid="{00000000-0010-0000-0000-00000B000000}" name="fentes" totalsRowFunction="custom" dataDxfId="98" totalsRowDxfId="97">
      <totalsRowFormula>SUM(T_Sport[fentes])*12</totalsRowFormula>
    </tableColumn>
    <tableColumn id="12" xr3:uid="{00000000-0010-0000-0000-00000C000000}" name="deadlift" totalsRowFunction="custom" dataDxfId="96" totalsRowDxfId="95">
      <totalsRowFormula>SUM(T_Sport[deadlift])*12</totalsRowFormula>
    </tableColumn>
    <tableColumn id="13" xr3:uid="{00000000-0010-0000-0000-00000D000000}" name="biceps" totalsRowFunction="custom" dataDxfId="94" totalsRowDxfId="93">
      <totalsRowFormula>SUM(T_Sport[biceps])*12</totalsRowFormula>
    </tableColumn>
    <tableColumn id="20" xr3:uid="{00000000-0010-0000-0000-000014000000}" name="laterales" totalsRowFunction="custom" dataDxfId="92" totalsRowDxfId="91">
      <totalsRowFormula>SUM(T_Sport[laterales])*12</totalsRowFormula>
    </tableColumn>
    <tableColumn id="14" xr3:uid="{00000000-0010-0000-0000-00000E000000}" name="epaules" totalsRowFunction="custom" dataDxfId="90" totalsRowDxfId="89">
      <totalsRowFormula>SUM(T_Sport[epaules])*12</totalsRowFormula>
    </tableColumn>
    <tableColumn id="15" xr3:uid="{00000000-0010-0000-0000-00000F000000}" name="derriere" totalsRowFunction="custom" dataDxfId="88" totalsRowDxfId="87">
      <totalsRowFormula>SUM(T_Sport[derriere])*12</totalsRowFormula>
    </tableColumn>
    <tableColumn id="16" xr3:uid="{00000000-0010-0000-0000-000010000000}" name="squats" totalsRowFunction="custom" dataDxfId="86" totalsRowDxfId="85">
      <totalsRowFormula>SUM(T_Sport[squats])*12</totalsRowFormula>
    </tableColumn>
    <tableColumn id="17" xr3:uid="{00000000-0010-0000-0000-000011000000}" name="couche" totalsRowFunction="custom" dataDxfId="84" totalsRowDxfId="83">
      <totalsRowFormula>SUM(T_Sport[couche])*12</totalsRowFormula>
    </tableColumn>
    <tableColumn id="26" xr3:uid="{00000000-0010-0000-0000-00001A000000}" name="ecarté" totalsRowFunction="custom" dataDxfId="82" totalsRowDxfId="81">
      <totalsRowFormula>SUM(T_Sport[ecarté])*12</totalsRowFormula>
    </tableColumn>
    <tableColumn id="27" xr3:uid="{00000000-0010-0000-0000-00001B000000}" name="incline" totalsRowFunction="custom" dataDxfId="80" totalsRowDxfId="79">
      <totalsRowFormula>SUM(T_Sport[incline])*12</totalsRowFormula>
    </tableColumn>
    <tableColumn id="29" xr3:uid="{69E70EF5-3D6C-4578-B26F-B6605D00D9D5}" name="deadlife triceps der" dataDxfId="78" totalsRowDxfId="77"/>
    <tableColumn id="25" xr3:uid="{9FBF0F6A-D904-4241-BF8A-171377723414}" name="Crunch sur banc" dataDxfId="76" totalsRowDxfId="75"/>
    <tableColumn id="30" xr3:uid="{4924DD4A-9C5C-4F86-84BE-4D47F38F1642}" name="Relevés de genoux" dataDxfId="74" totalsRowDxfId="73"/>
    <tableColumn id="24" xr3:uid="{3ADAAE0C-A5AD-471C-87DE-BE8C6FF83016}" name="penché avec haltères" dataDxfId="72" totalsRowDxfId="71"/>
    <tableColumn id="28" xr3:uid="{00000000-0010-0000-0000-00001C000000}" name="abdos" totalsRowFunction="sum" dataDxfId="70" totalsRowDxfId="69"/>
    <tableColumn id="21" xr3:uid="{00000000-0010-0000-0000-000015000000}" name="Km " totalsRowFunction="sum" dataDxfId="68" totalsRowDxfId="67"/>
    <tableColumn id="18" xr3:uid="{00000000-0010-0000-0000-000012000000}" name="Calories " totalsRowFunction="custom" dataDxfId="66" totalsRowDxfId="65">
      <totalsRowFormula>SUM(T_Sport[[Calories ]])</totalsRowFormula>
    </tableColumn>
    <tableColumn id="22" xr3:uid="{00000000-0010-0000-0000-000016000000}" name="Temps4" totalsRowFunction="custom" totalsRowDxfId="64">
      <totalsRowFormula>SUM(T_Sport[Temps4])</totalsRowFormula>
    </tableColumn>
    <tableColumn id="23" xr3:uid="{DB26BFAF-C80B-48CF-BA07-F942AEEDE403}" name="Mois" dataDxfId="63" totalsRowDxfId="62">
      <calculatedColumnFormula>MONTH(T_Sport[[#This Row],[Dates]])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EE0B9B-7610-4871-BDA7-007B0583B6DD}" name="T_activite" displayName="T_activite" ref="AJ3:AJ7" totalsRowShown="0" tableBorderDxfId="61">
  <autoFilter ref="AJ3:AJ7" xr:uid="{2BEE0B9B-7610-4871-BDA7-007B0583B6DD}"/>
  <tableColumns count="1">
    <tableColumn id="1" xr3:uid="{15D25B5E-BCFD-459C-B8A7-63D1D0F9BAEC}" name="Activi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gradFill>
          <a:gsLst>
            <a:gs pos="23000">
              <a:srgbClr val="FFFF99"/>
            </a:gs>
            <a:gs pos="96000">
              <a:schemeClr val="bg1"/>
            </a:gs>
            <a:gs pos="83000">
              <a:schemeClr val="bg1"/>
            </a:gs>
            <a:gs pos="100000">
              <a:schemeClr val="bg1"/>
            </a:gs>
          </a:gsLst>
          <a:lin ang="5400000" scaled="1"/>
        </a:gradFill>
      </a:spPr>
      <a:bodyPr vertOverflow="clip" horzOverflow="clip" rtlCol="0" anchor="ctr"/>
      <a:lstStyle>
        <a:defPPr algn="ctr">
          <a:defRPr sz="1600" b="1">
            <a:solidFill>
              <a:schemeClr val="tx1"/>
            </a:solidFill>
          </a:defRPr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rgb="FFCCFF99"/>
  </sheetPr>
  <dimension ref="A1:AE17"/>
  <sheetViews>
    <sheetView showGridLines="0" tabSelected="1" zoomScaleNormal="100" workbookViewId="0">
      <selection activeCell="AB1" sqref="AB1:AD1"/>
    </sheetView>
  </sheetViews>
  <sheetFormatPr baseColWidth="10" defaultRowHeight="15" x14ac:dyDescent="0.25"/>
  <cols>
    <col min="1" max="1" width="13.7109375" customWidth="1"/>
    <col min="2" max="2" width="12" style="45" hidden="1" customWidth="1"/>
    <col min="3" max="30" width="8.7109375" customWidth="1"/>
  </cols>
  <sheetData>
    <row r="1" spans="1:31" ht="67.5" customHeight="1" x14ac:dyDescent="0.25">
      <c r="A1" s="79" t="s">
        <v>7</v>
      </c>
      <c r="B1" s="79"/>
      <c r="C1" s="79"/>
      <c r="D1" s="79"/>
      <c r="E1" s="79"/>
      <c r="F1" s="79"/>
      <c r="G1" s="79"/>
      <c r="H1" s="79"/>
      <c r="I1" s="79"/>
      <c r="J1" s="79" t="s">
        <v>73</v>
      </c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 t="s">
        <v>12</v>
      </c>
      <c r="AC1" s="79"/>
      <c r="AD1" s="79"/>
    </row>
    <row r="2" spans="1:31" ht="47.25" customHeight="1" x14ac:dyDescent="0.25">
      <c r="A2" s="66" t="s">
        <v>0</v>
      </c>
      <c r="B2" s="66" t="s">
        <v>69</v>
      </c>
      <c r="C2" s="66" t="s">
        <v>1</v>
      </c>
      <c r="D2" s="66" t="s">
        <v>2</v>
      </c>
      <c r="E2" s="66" t="s">
        <v>3</v>
      </c>
      <c r="F2" s="66" t="s">
        <v>4</v>
      </c>
      <c r="G2" s="66" t="s">
        <v>5</v>
      </c>
      <c r="H2" s="66" t="s">
        <v>6</v>
      </c>
      <c r="I2" s="66" t="s">
        <v>8</v>
      </c>
      <c r="J2" s="60" t="s">
        <v>36</v>
      </c>
      <c r="K2" s="27" t="s">
        <v>37</v>
      </c>
      <c r="L2" s="27" t="s">
        <v>38</v>
      </c>
      <c r="M2" s="27" t="s">
        <v>39</v>
      </c>
      <c r="N2" s="27" t="s">
        <v>40</v>
      </c>
      <c r="O2" s="27" t="s">
        <v>41</v>
      </c>
      <c r="P2" s="27" t="s">
        <v>75</v>
      </c>
      <c r="Q2" s="27" t="s">
        <v>43</v>
      </c>
      <c r="R2" s="27" t="s">
        <v>44</v>
      </c>
      <c r="S2" s="27" t="s">
        <v>45</v>
      </c>
      <c r="T2" s="27" t="s">
        <v>46</v>
      </c>
      <c r="U2" s="30" t="s">
        <v>47</v>
      </c>
      <c r="V2" s="27" t="s">
        <v>48</v>
      </c>
      <c r="W2" s="27" t="s">
        <v>67</v>
      </c>
      <c r="X2" s="27" t="s">
        <v>65</v>
      </c>
      <c r="Y2" s="27" t="s">
        <v>68</v>
      </c>
      <c r="Z2" s="27" t="s">
        <v>66</v>
      </c>
      <c r="AA2" s="60" t="s">
        <v>49</v>
      </c>
      <c r="AB2" s="67" t="s">
        <v>9</v>
      </c>
      <c r="AC2" s="67" t="s">
        <v>10</v>
      </c>
      <c r="AD2" s="67" t="s">
        <v>70</v>
      </c>
      <c r="AE2" s="65"/>
    </row>
    <row r="3" spans="1:31" x14ac:dyDescent="0.25">
      <c r="A3" s="56" t="s">
        <v>15</v>
      </c>
      <c r="B3" s="57">
        <v>1</v>
      </c>
      <c r="C3" s="51">
        <f>SUMIFS(T_Sport[Kcal],T_Sport[Mois],T_recap[[#This Row],[mois]])</f>
        <v>0</v>
      </c>
      <c r="D3" s="46">
        <f>SUMIFS(T_Sport[km],T_Sport[Mois],T_recap[[#This Row],[mois]])</f>
        <v>0</v>
      </c>
      <c r="E3" s="46">
        <f>SUMIFS(T_Sport[resist],T_Sport[Mois],T_recap[[#This Row],[mois]])</f>
        <v>0</v>
      </c>
      <c r="F3" s="46">
        <f>SUMIFS(T_Sport[km/h],T_Sport[Mois],T_recap[[#This Row],[mois]])</f>
        <v>0</v>
      </c>
      <c r="G3" s="46">
        <f>SUMIFS(T_Sport[rpm2],T_Sport[Mois],T_recap[[#This Row],[mois]])</f>
        <v>0</v>
      </c>
      <c r="H3" s="46">
        <f>SUMIFS(T_Sport[bpm],T_Sport[Mois],T_recap[[#This Row],[mois]])</f>
        <v>0</v>
      </c>
      <c r="I3" s="52">
        <f>SUMIFS(T_Sport[Temps],T_Sport[Mois],T_recap[[#This Row],[mois]])</f>
        <v>0</v>
      </c>
      <c r="J3" s="51">
        <f>SUMIFS(T_Sport[rowing],T_Sport[Mois],T_recap[[#This Row],[mois]])</f>
        <v>0</v>
      </c>
      <c r="K3" s="46">
        <f>SUMIFS(T_Sport[frontal],T_Sport[Mois],T_recap[[#This Row],[mois]])</f>
        <v>0</v>
      </c>
      <c r="L3" s="46">
        <f>SUMIFS(T_Sport[triceps],T_Sport[Mois],T_recap[[#This Row],[mois]])</f>
        <v>0</v>
      </c>
      <c r="M3" s="46">
        <f>SUMIFS(T_Sport[fentes],T_Sport[Mois],T_recap[[#This Row],[mois]])</f>
        <v>0</v>
      </c>
      <c r="N3" s="46">
        <f>SUMIFS(T_Sport[deadlift],T_Sport[Mois],T_recap[[#This Row],[mois]])</f>
        <v>0</v>
      </c>
      <c r="O3" s="46">
        <f>SUMIFS(T_Sport[biceps],T_Sport[Mois],T_recap[[#This Row],[mois]])</f>
        <v>0</v>
      </c>
      <c r="P3" s="46">
        <f>SUMIFS(T_Sport[laterales],T_Sport[Mois],T_recap[[#This Row],[mois]])</f>
        <v>0</v>
      </c>
      <c r="Q3" s="46">
        <f>SUMIFS(T_Sport[epaules],T_Sport[Mois],T_recap[[#This Row],[mois]])</f>
        <v>0</v>
      </c>
      <c r="R3" s="46">
        <f>SUMIFS(T_Sport[derriere],T_Sport[Mois],T_recap[[#This Row],[mois]])</f>
        <v>0</v>
      </c>
      <c r="S3" s="46">
        <f>SUMIFS(T_Sport[squats],T_Sport[Mois],T_recap[[#This Row],[mois]])</f>
        <v>0</v>
      </c>
      <c r="T3" s="46">
        <f>SUMIFS(T_Sport[couche],T_Sport[Mois],T_recap[[#This Row],[mois]])</f>
        <v>0</v>
      </c>
      <c r="U3" s="46">
        <f>SUMIFS(T_Sport[ecarté],T_Sport[Mois],T_recap[[#This Row],[mois]])</f>
        <v>0</v>
      </c>
      <c r="V3" s="46">
        <f>SUMIFS(T_Sport[incline],T_Sport[Mois],T_recap[[#This Row],[mois]])</f>
        <v>0</v>
      </c>
      <c r="W3" s="46">
        <f>SUMIFS(T_Sport[deadlife triceps der],T_Sport[Mois],T_recap[[#This Row],[mois]])</f>
        <v>0</v>
      </c>
      <c r="X3" s="46">
        <f>SUMIFS(T_Sport[Crunch sur banc],T_Sport[Mois],T_recap[[#This Row],[mois]])</f>
        <v>0</v>
      </c>
      <c r="Y3" s="46">
        <f>SUMIFS(T_Sport[Relevés de genoux],T_Sport[Mois],T_recap[[#This Row],[mois]])</f>
        <v>0</v>
      </c>
      <c r="Z3" s="46">
        <f>SUMIFS(T_Sport[penché avec haltères],T_Sport[Mois],T_recap[[#This Row],[mois]])</f>
        <v>0</v>
      </c>
      <c r="AA3" s="46">
        <f>SUMIFS(T_Sport[abdos],T_Sport[Mois],T_recap[[#This Row],[mois]])</f>
        <v>0</v>
      </c>
      <c r="AB3" s="46">
        <f>SUMIFS(T_Sport[km],T_Sport[Mois],T_recap[[#This Row],[mois]])</f>
        <v>0</v>
      </c>
      <c r="AC3" s="46">
        <f>SUMIFS(T_Sport[[Calories ]],T_Sport[Mois],T_recap[[#This Row],[mois]])</f>
        <v>0</v>
      </c>
      <c r="AD3" s="61">
        <f>SUMIFS(T_Sport[Temps4],T_Sport[Mois],T_recap[[#This Row],[mois]])</f>
        <v>0</v>
      </c>
    </row>
    <row r="4" spans="1:31" ht="15.75" thickBot="1" x14ac:dyDescent="0.3">
      <c r="A4" s="54" t="s">
        <v>16</v>
      </c>
      <c r="B4" s="50">
        <v>2</v>
      </c>
      <c r="C4" s="51">
        <f>SUMIFS(T_Sport[Kcal],T_Sport[Mois],T_recap[[#This Row],[mois]])</f>
        <v>0</v>
      </c>
      <c r="D4" s="46">
        <f>SUMIFS(T_Sport[km],T_Sport[Mois],T_recap[[#This Row],[mois]])</f>
        <v>0</v>
      </c>
      <c r="E4" s="46">
        <f>SUMIFS(T_Sport[resist],T_Sport[Mois],T_recap[[#This Row],[mois]])</f>
        <v>0</v>
      </c>
      <c r="F4" s="46">
        <f>SUMIFS(T_Sport[km/h],T_Sport[Mois],T_recap[[#This Row],[mois]])</f>
        <v>0</v>
      </c>
      <c r="G4" s="46">
        <f>SUMIFS(T_Sport[rpm2],T_Sport[Mois],T_recap[[#This Row],[mois]])</f>
        <v>0</v>
      </c>
      <c r="H4" s="46">
        <f>SUMIFS(T_Sport[bpm],T_Sport[Mois],T_recap[[#This Row],[mois]])</f>
        <v>0</v>
      </c>
      <c r="I4" s="52">
        <f>SUMIFS(T_Sport[Temps],T_Sport[Mois],T_recap[[#This Row],[mois]])</f>
        <v>0</v>
      </c>
      <c r="J4" s="46">
        <f>SUMIFS(T_Sport[rowing],T_Sport[Mois],T_recap[[#This Row],[mois]])</f>
        <v>0</v>
      </c>
      <c r="K4" s="46">
        <f>SUMIFS(T_Sport[frontal],T_Sport[Mois],T_recap[[#This Row],[mois]])</f>
        <v>0</v>
      </c>
      <c r="L4" s="46">
        <f>SUMIFS(T_Sport[triceps],T_Sport[Mois],T_recap[[#This Row],[mois]])</f>
        <v>0</v>
      </c>
      <c r="M4" s="46">
        <f>SUMIFS(T_Sport[fentes],T_Sport[Mois],T_recap[[#This Row],[mois]])</f>
        <v>0</v>
      </c>
      <c r="N4" s="46">
        <f>SUMIFS(T_Sport[deadlift],T_Sport[Mois],T_recap[[#This Row],[mois]])</f>
        <v>0</v>
      </c>
      <c r="O4" s="46">
        <f>SUMIFS(T_Sport[biceps],T_Sport[Mois],T_recap[[#This Row],[mois]])</f>
        <v>0</v>
      </c>
      <c r="P4" s="45">
        <f>SUMIFS(T_Sport[laterales],T_Sport[Mois],T_recap[[#This Row],[mois]])</f>
        <v>0</v>
      </c>
      <c r="Q4" s="46">
        <f>SUMIFS(T_Sport[epaules],T_Sport[Mois],T_recap[[#This Row],[mois]])</f>
        <v>0</v>
      </c>
      <c r="R4" s="46">
        <f>SUMIFS(T_Sport[derriere],T_Sport[Mois],T_recap[[#This Row],[mois]])</f>
        <v>0</v>
      </c>
      <c r="S4" s="46">
        <f>SUMIFS(T_Sport[squats],T_Sport[Mois],T_recap[[#This Row],[mois]])</f>
        <v>0</v>
      </c>
      <c r="T4" s="46">
        <f>SUMIFS(T_Sport[couche],T_Sport[Mois],T_recap[[#This Row],[mois]])</f>
        <v>0</v>
      </c>
      <c r="U4" s="46">
        <f>SUMIFS(T_Sport[ecarté],T_Sport[Mois],T_recap[[#This Row],[mois]])</f>
        <v>0</v>
      </c>
      <c r="V4" s="46">
        <f>SUMIFS(T_Sport[incline],T_Sport[Mois],T_recap[[#This Row],[mois]])</f>
        <v>0</v>
      </c>
      <c r="W4" s="46">
        <f>SUMIFS(T_Sport[deadlife triceps der],T_Sport[Mois],T_recap[[#This Row],[mois]])</f>
        <v>0</v>
      </c>
      <c r="X4" s="46">
        <f>SUMIFS(T_Sport[Crunch sur banc],T_Sport[Mois],T_recap[[#This Row],[mois]])</f>
        <v>0</v>
      </c>
      <c r="Y4" s="46">
        <f>SUMIFS(T_Sport[Relevés de genoux],T_Sport[Mois],T_recap[[#This Row],[mois]])</f>
        <v>0</v>
      </c>
      <c r="Z4" s="46">
        <f>SUMIFS(T_Sport[penché avec haltères],T_Sport[Mois],T_recap[[#This Row],[mois]])</f>
        <v>0</v>
      </c>
      <c r="AA4" s="45">
        <f>SUMIFS(T_Sport[abdos],T_Sport[Mois],T_recap[[#This Row],[mois]])</f>
        <v>0</v>
      </c>
      <c r="AB4" s="46">
        <f>SUMIFS(T_Sport[km],T_Sport[Mois],T_recap[[#This Row],[mois]])</f>
        <v>0</v>
      </c>
      <c r="AC4" s="46">
        <f>SUMIFS(T_Sport[[Calories ]],T_Sport[Mois],T_recap[[#This Row],[mois]])</f>
        <v>0</v>
      </c>
      <c r="AD4" s="61">
        <f>SUMIFS(T_Sport[Temps4],T_Sport[Mois],T_recap[[#This Row],[mois]])</f>
        <v>0</v>
      </c>
    </row>
    <row r="5" spans="1:31" x14ac:dyDescent="0.25">
      <c r="A5" s="54" t="s">
        <v>17</v>
      </c>
      <c r="B5" s="49">
        <v>3</v>
      </c>
      <c r="C5" s="51">
        <f>SUMIFS(T_Sport[Kcal],T_Sport[Mois],T_recap[[#This Row],[mois]])</f>
        <v>0</v>
      </c>
      <c r="D5" s="46">
        <f>SUMIFS(T_Sport[km],T_Sport[Mois],T_recap[[#This Row],[mois]])</f>
        <v>0</v>
      </c>
      <c r="E5" s="46">
        <f>SUMIFS(T_Sport[resist],T_Sport[Mois],T_recap[[#This Row],[mois]])</f>
        <v>0</v>
      </c>
      <c r="F5" s="46">
        <f>SUMIFS(T_Sport[km/h],T_Sport[Mois],T_recap[[#This Row],[mois]])</f>
        <v>0</v>
      </c>
      <c r="G5" s="46">
        <f>SUMIFS(T_Sport[rpm2],T_Sport[Mois],T_recap[[#This Row],[mois]])</f>
        <v>0</v>
      </c>
      <c r="H5" s="46">
        <f>SUMIFS(T_Sport[bpm],T_Sport[Mois],T_recap[[#This Row],[mois]])</f>
        <v>0</v>
      </c>
      <c r="I5" s="52">
        <f>SUMIFS(T_Sport[Temps],T_Sport[Mois],T_recap[[#This Row],[mois]])</f>
        <v>0</v>
      </c>
      <c r="J5" s="46">
        <f>SUMIFS(T_Sport[rowing],T_Sport[Mois],T_recap[[#This Row],[mois]])</f>
        <v>0</v>
      </c>
      <c r="K5" s="46">
        <f>SUMIFS(T_Sport[frontal],T_Sport[Mois],T_recap[[#This Row],[mois]])</f>
        <v>0</v>
      </c>
      <c r="L5" s="46">
        <f>SUMIFS(T_Sport[triceps],T_Sport[Mois],T_recap[[#This Row],[mois]])</f>
        <v>0</v>
      </c>
      <c r="M5" s="46">
        <f>SUMIFS(T_Sport[fentes],T_Sport[Mois],T_recap[[#This Row],[mois]])</f>
        <v>0</v>
      </c>
      <c r="N5" s="46">
        <f>SUMIFS(T_Sport[deadlift],T_Sport[Mois],T_recap[[#This Row],[mois]])</f>
        <v>0</v>
      </c>
      <c r="O5" s="46">
        <f>SUMIFS(T_Sport[biceps],T_Sport[Mois],T_recap[[#This Row],[mois]])</f>
        <v>0</v>
      </c>
      <c r="P5" s="45">
        <f>SUMIFS(T_Sport[laterales],T_Sport[Mois],T_recap[[#This Row],[mois]])</f>
        <v>0</v>
      </c>
      <c r="Q5" s="46">
        <f>SUMIFS(T_Sport[epaules],T_Sport[Mois],T_recap[[#This Row],[mois]])</f>
        <v>0</v>
      </c>
      <c r="R5" s="46">
        <f>SUMIFS(T_Sport[derriere],T_Sport[Mois],T_recap[[#This Row],[mois]])</f>
        <v>0</v>
      </c>
      <c r="S5" s="46">
        <f>SUMIFS(T_Sport[squats],T_Sport[Mois],T_recap[[#This Row],[mois]])</f>
        <v>0</v>
      </c>
      <c r="T5" s="46">
        <f>SUMIFS(T_Sport[couche],T_Sport[Mois],T_recap[[#This Row],[mois]])</f>
        <v>0</v>
      </c>
      <c r="U5" s="46">
        <f>SUMIFS(T_Sport[ecarté],T_Sport[Mois],T_recap[[#This Row],[mois]])</f>
        <v>0</v>
      </c>
      <c r="V5" s="46">
        <f>SUMIFS(T_Sport[incline],T_Sport[Mois],T_recap[[#This Row],[mois]])</f>
        <v>0</v>
      </c>
      <c r="W5" s="46">
        <f>SUMIFS(T_Sport[deadlife triceps der],T_Sport[Mois],T_recap[[#This Row],[mois]])</f>
        <v>0</v>
      </c>
      <c r="X5" s="46">
        <f>SUMIFS(T_Sport[Crunch sur banc],T_Sport[Mois],T_recap[[#This Row],[mois]])</f>
        <v>0</v>
      </c>
      <c r="Y5" s="46">
        <f>SUMIFS(T_Sport[Relevés de genoux],T_Sport[Mois],T_recap[[#This Row],[mois]])</f>
        <v>0</v>
      </c>
      <c r="Z5" s="46">
        <f>SUMIFS(T_Sport[penché avec haltères],T_Sport[Mois],T_recap[[#This Row],[mois]])</f>
        <v>0</v>
      </c>
      <c r="AA5" s="45">
        <f>SUMIFS(T_Sport[abdos],T_Sport[Mois],T_recap[[#This Row],[mois]])</f>
        <v>0</v>
      </c>
      <c r="AB5" s="46">
        <f>SUMIFS(T_Sport[km],T_Sport[Mois],T_recap[[#This Row],[mois]])</f>
        <v>0</v>
      </c>
      <c r="AC5" s="46">
        <f>SUMIFS(T_Sport[[Calories ]],T_Sport[Mois],T_recap[[#This Row],[mois]])</f>
        <v>0</v>
      </c>
      <c r="AD5" s="61">
        <f>SUMIFS(T_Sport[Temps4],T_Sport[Mois],T_recap[[#This Row],[mois]])</f>
        <v>0</v>
      </c>
    </row>
    <row r="6" spans="1:31" ht="15.75" thickBot="1" x14ac:dyDescent="0.3">
      <c r="A6" s="54" t="s">
        <v>18</v>
      </c>
      <c r="B6" s="50">
        <v>4</v>
      </c>
      <c r="C6" s="51">
        <f>SUMIFS(T_Sport[Kcal],T_Sport[Mois],T_recap[[#This Row],[mois]])</f>
        <v>0</v>
      </c>
      <c r="D6" s="46">
        <f>SUMIFS(T_Sport[km],T_Sport[Mois],T_recap[[#This Row],[mois]])</f>
        <v>0</v>
      </c>
      <c r="E6" s="46">
        <f>SUMIFS(T_Sport[resist],T_Sport[Mois],T_recap[[#This Row],[mois]])</f>
        <v>0</v>
      </c>
      <c r="F6" s="46">
        <f>SUMIFS(T_Sport[km/h],T_Sport[Mois],T_recap[[#This Row],[mois]])</f>
        <v>0</v>
      </c>
      <c r="G6" s="46">
        <f>SUMIFS(T_Sport[rpm2],T_Sport[Mois],T_recap[[#This Row],[mois]])</f>
        <v>0</v>
      </c>
      <c r="H6" s="46">
        <f>SUMIFS(T_Sport[bpm],T_Sport[Mois],T_recap[[#This Row],[mois]])</f>
        <v>0</v>
      </c>
      <c r="I6" s="52">
        <f>SUMIFS(T_Sport[Temps],T_Sport[Mois],T_recap[[#This Row],[mois]])</f>
        <v>0</v>
      </c>
      <c r="J6" s="46">
        <f>SUMIFS(T_Sport[rowing],T_Sport[Mois],T_recap[[#This Row],[mois]])</f>
        <v>0</v>
      </c>
      <c r="K6" s="46">
        <f>SUMIFS(T_Sport[frontal],T_Sport[Mois],T_recap[[#This Row],[mois]])</f>
        <v>0</v>
      </c>
      <c r="L6" s="46">
        <f>SUMIFS(T_Sport[triceps],T_Sport[Mois],T_recap[[#This Row],[mois]])</f>
        <v>0</v>
      </c>
      <c r="M6" s="46">
        <f>SUMIFS(T_Sport[fentes],T_Sport[Mois],T_recap[[#This Row],[mois]])</f>
        <v>0</v>
      </c>
      <c r="N6" s="46">
        <f>SUMIFS(T_Sport[deadlift],T_Sport[Mois],T_recap[[#This Row],[mois]])</f>
        <v>0</v>
      </c>
      <c r="O6" s="46">
        <f>SUMIFS(T_Sport[biceps],T_Sport[Mois],T_recap[[#This Row],[mois]])</f>
        <v>0</v>
      </c>
      <c r="P6" s="45">
        <f>SUMIFS(T_Sport[laterales],T_Sport[Mois],T_recap[[#This Row],[mois]])</f>
        <v>0</v>
      </c>
      <c r="Q6" s="46">
        <f>SUMIFS(T_Sport[epaules],T_Sport[Mois],T_recap[[#This Row],[mois]])</f>
        <v>0</v>
      </c>
      <c r="R6" s="46">
        <f>SUMIFS(T_Sport[derriere],T_Sport[Mois],T_recap[[#This Row],[mois]])</f>
        <v>0</v>
      </c>
      <c r="S6" s="46">
        <f>SUMIFS(T_Sport[squats],T_Sport[Mois],T_recap[[#This Row],[mois]])</f>
        <v>0</v>
      </c>
      <c r="T6" s="46">
        <f>SUMIFS(T_Sport[couche],T_Sport[Mois],T_recap[[#This Row],[mois]])</f>
        <v>0</v>
      </c>
      <c r="U6" s="46">
        <f>SUMIFS(T_Sport[ecarté],T_Sport[Mois],T_recap[[#This Row],[mois]])</f>
        <v>0</v>
      </c>
      <c r="V6" s="46">
        <f>SUMIFS(T_Sport[incline],T_Sport[Mois],T_recap[[#This Row],[mois]])</f>
        <v>0</v>
      </c>
      <c r="W6" s="46">
        <f>SUMIFS(T_Sport[deadlife triceps der],T_Sport[Mois],T_recap[[#This Row],[mois]])</f>
        <v>0</v>
      </c>
      <c r="X6" s="46">
        <f>SUMIFS(T_Sport[Crunch sur banc],T_Sport[Mois],T_recap[[#This Row],[mois]])</f>
        <v>0</v>
      </c>
      <c r="Y6" s="46">
        <f>SUMIFS(T_Sport[Relevés de genoux],T_Sport[Mois],T_recap[[#This Row],[mois]])</f>
        <v>0</v>
      </c>
      <c r="Z6" s="46">
        <f>SUMIFS(T_Sport[penché avec haltères],T_Sport[Mois],T_recap[[#This Row],[mois]])</f>
        <v>0</v>
      </c>
      <c r="AA6" s="45">
        <f>SUMIFS(T_Sport[abdos],T_Sport[Mois],T_recap[[#This Row],[mois]])</f>
        <v>0</v>
      </c>
      <c r="AB6" s="46">
        <f>SUMIFS(T_Sport[km],T_Sport[Mois],T_recap[[#This Row],[mois]])</f>
        <v>0</v>
      </c>
      <c r="AC6" s="46">
        <f>SUMIFS(T_Sport[[Calories ]],T_Sport[Mois],T_recap[[#This Row],[mois]])</f>
        <v>0</v>
      </c>
      <c r="AD6" s="61">
        <f>SUMIFS(T_Sport[Temps4],T_Sport[Mois],T_recap[[#This Row],[mois]])</f>
        <v>0</v>
      </c>
    </row>
    <row r="7" spans="1:31" x14ac:dyDescent="0.25">
      <c r="A7" s="54" t="s">
        <v>19</v>
      </c>
      <c r="B7" s="49">
        <v>5</v>
      </c>
      <c r="C7" s="51">
        <f>SUMIFS(T_Sport[Kcal],T_Sport[Mois],T_recap[[#This Row],[mois]])</f>
        <v>0</v>
      </c>
      <c r="D7" s="46">
        <f>SUMIFS(T_Sport[km],T_Sport[Mois],T_recap[[#This Row],[mois]])</f>
        <v>0</v>
      </c>
      <c r="E7" s="46">
        <f>SUMIFS(T_Sport[resist],T_Sport[Mois],T_recap[[#This Row],[mois]])</f>
        <v>0</v>
      </c>
      <c r="F7" s="46">
        <f>SUMIFS(T_Sport[km/h],T_Sport[Mois],T_recap[[#This Row],[mois]])</f>
        <v>0</v>
      </c>
      <c r="G7" s="46">
        <f>SUMIFS(T_Sport[rpm2],T_Sport[Mois],T_recap[[#This Row],[mois]])</f>
        <v>0</v>
      </c>
      <c r="H7" s="46">
        <f>SUMIFS(T_Sport[bpm],T_Sport[Mois],T_recap[[#This Row],[mois]])</f>
        <v>0</v>
      </c>
      <c r="I7" s="52">
        <f>SUMIFS(T_Sport[Temps],T_Sport[Mois],T_recap[[#This Row],[mois]])</f>
        <v>0</v>
      </c>
      <c r="J7" s="53">
        <f>SUMIFS(T_Sport[rowing],T_Sport[Mois],T_recap[[#This Row],[mois]])</f>
        <v>0</v>
      </c>
      <c r="K7" s="53">
        <f>SUMIFS(T_Sport[frontal],T_Sport[Mois],T_recap[[#This Row],[mois]])</f>
        <v>0</v>
      </c>
      <c r="L7" s="53">
        <f>SUMIFS(T_Sport[triceps],T_Sport[Mois],T_recap[[#This Row],[mois]])</f>
        <v>0</v>
      </c>
      <c r="M7" s="53">
        <f>SUMIFS(T_Sport[fentes],T_Sport[Mois],T_recap[[#This Row],[mois]])</f>
        <v>0</v>
      </c>
      <c r="N7" s="53">
        <f>SUMIFS(T_Sport[deadlift],T_Sport[Mois],T_recap[[#This Row],[mois]])</f>
        <v>0</v>
      </c>
      <c r="O7" s="53">
        <f>SUMIFS(T_Sport[biceps],T_Sport[Mois],T_recap[[#This Row],[mois]])</f>
        <v>0</v>
      </c>
      <c r="P7" s="64">
        <f>SUMIFS(T_Sport[laterales],T_Sport[Mois],T_recap[[#This Row],[mois]])</f>
        <v>0</v>
      </c>
      <c r="Q7" s="53">
        <f>SUMIFS(T_Sport[epaules],T_Sport[Mois],T_recap[[#This Row],[mois]])</f>
        <v>0</v>
      </c>
      <c r="R7" s="53">
        <f>SUMIFS(T_Sport[derriere],T_Sport[Mois],T_recap[[#This Row],[mois]])</f>
        <v>0</v>
      </c>
      <c r="S7" s="53">
        <f>SUMIFS(T_Sport[squats],T_Sport[Mois],T_recap[[#This Row],[mois]])</f>
        <v>0</v>
      </c>
      <c r="T7" s="53">
        <f>SUMIFS(T_Sport[couche],T_Sport[Mois],T_recap[[#This Row],[mois]])</f>
        <v>0</v>
      </c>
      <c r="U7" s="53">
        <f>SUMIFS(T_Sport[ecarté],T_Sport[Mois],T_recap[[#This Row],[mois]])</f>
        <v>0</v>
      </c>
      <c r="V7" s="53">
        <f>SUMIFS(T_Sport[incline],T_Sport[Mois],T_recap[[#This Row],[mois]])</f>
        <v>0</v>
      </c>
      <c r="W7" s="53">
        <f>SUMIFS(T_Sport[deadlife triceps der],T_Sport[Mois],T_recap[[#This Row],[mois]])</f>
        <v>0</v>
      </c>
      <c r="X7" s="53">
        <f>SUMIFS(T_Sport[Crunch sur banc],T_Sport[Mois],T_recap[[#This Row],[mois]])</f>
        <v>0</v>
      </c>
      <c r="Y7" s="53">
        <f>SUMIFS(T_Sport[Relevés de genoux],T_Sport[Mois],T_recap[[#This Row],[mois]])</f>
        <v>0</v>
      </c>
      <c r="Z7" s="53">
        <f>SUMIFS(T_Sport[penché avec haltères],T_Sport[Mois],T_recap[[#This Row],[mois]])</f>
        <v>0</v>
      </c>
      <c r="AA7" s="64">
        <f>SUMIFS(T_Sport[abdos],T_Sport[Mois],T_recap[[#This Row],[mois]])</f>
        <v>0</v>
      </c>
      <c r="AB7" s="46">
        <f>SUMIFS(T_Sport[km],T_Sport[Mois],T_recap[[#This Row],[mois]])</f>
        <v>0</v>
      </c>
      <c r="AC7" s="46">
        <f>SUMIFS(T_Sport[[Calories ]],T_Sport[Mois],T_recap[[#This Row],[mois]])</f>
        <v>0</v>
      </c>
      <c r="AD7" s="61">
        <f>SUMIFS(T_Sport[Temps4],T_Sport[Mois],T_recap[[#This Row],[mois]])</f>
        <v>0</v>
      </c>
    </row>
    <row r="8" spans="1:31" ht="15.75" thickBot="1" x14ac:dyDescent="0.3">
      <c r="A8" s="54" t="s">
        <v>20</v>
      </c>
      <c r="B8" s="50">
        <v>6</v>
      </c>
      <c r="C8" s="51">
        <f>SUMIFS(T_Sport[Kcal],T_Sport[Mois],T_recap[[#This Row],[mois]])</f>
        <v>0</v>
      </c>
      <c r="D8" s="46">
        <f>SUMIFS(T_Sport[km],T_Sport[Mois],T_recap[[#This Row],[mois]])</f>
        <v>0</v>
      </c>
      <c r="E8" s="46">
        <f>SUMIFS(T_Sport[resist],T_Sport[Mois],T_recap[[#This Row],[mois]])</f>
        <v>0</v>
      </c>
      <c r="F8" s="46">
        <f>SUMIFS(T_Sport[km/h],T_Sport[Mois],T_recap[[#This Row],[mois]])</f>
        <v>0</v>
      </c>
      <c r="G8" s="46">
        <f>SUMIFS(T_Sport[rpm2],T_Sport[Mois],T_recap[[#This Row],[mois]])</f>
        <v>0</v>
      </c>
      <c r="H8" s="46">
        <f>SUMIFS(T_Sport[bpm],T_Sport[Mois],T_recap[[#This Row],[mois]])</f>
        <v>0</v>
      </c>
      <c r="I8" s="52">
        <f>SUMIFS(T_Sport[Temps],T_Sport[Mois],T_recap[[#This Row],[mois]])</f>
        <v>0</v>
      </c>
      <c r="J8" s="46">
        <f>SUMIFS(T_Sport[rowing],T_Sport[Mois],T_recap[[#This Row],[mois]])</f>
        <v>0</v>
      </c>
      <c r="K8" s="46">
        <f>SUMIFS(T_Sport[frontal],T_Sport[Mois],T_recap[[#This Row],[mois]])</f>
        <v>0</v>
      </c>
      <c r="L8" s="46">
        <f>SUMIFS(T_Sport[triceps],T_Sport[Mois],T_recap[[#This Row],[mois]])</f>
        <v>0</v>
      </c>
      <c r="M8" s="46">
        <f>SUMIFS(T_Sport[fentes],T_Sport[Mois],T_recap[[#This Row],[mois]])</f>
        <v>0</v>
      </c>
      <c r="N8" s="46">
        <f>SUMIFS(T_Sport[deadlift],T_Sport[Mois],T_recap[[#This Row],[mois]])</f>
        <v>0</v>
      </c>
      <c r="O8" s="46">
        <f>SUMIFS(T_Sport[biceps],T_Sport[Mois],T_recap[[#This Row],[mois]])</f>
        <v>0</v>
      </c>
      <c r="P8" s="45">
        <f>SUMIFS(T_Sport[laterales],T_Sport[Mois],T_recap[[#This Row],[mois]])</f>
        <v>0</v>
      </c>
      <c r="Q8" s="46">
        <f>SUMIFS(T_Sport[epaules],T_Sport[Mois],T_recap[[#This Row],[mois]])</f>
        <v>0</v>
      </c>
      <c r="R8" s="46">
        <f>SUMIFS(T_Sport[derriere],T_Sport[Mois],T_recap[[#This Row],[mois]])</f>
        <v>0</v>
      </c>
      <c r="S8" s="46">
        <f>SUMIFS(T_Sport[squats],T_Sport[Mois],T_recap[[#This Row],[mois]])</f>
        <v>0</v>
      </c>
      <c r="T8" s="46">
        <f>SUMIFS(T_Sport[couche],T_Sport[Mois],T_recap[[#This Row],[mois]])</f>
        <v>0</v>
      </c>
      <c r="U8" s="46">
        <f>SUMIFS(T_Sport[ecarté],T_Sport[Mois],T_recap[[#This Row],[mois]])</f>
        <v>0</v>
      </c>
      <c r="V8" s="46">
        <f>SUMIFS(T_Sport[incline],T_Sport[Mois],T_recap[[#This Row],[mois]])</f>
        <v>0</v>
      </c>
      <c r="W8" s="46">
        <f>SUMIFS(T_Sport[deadlife triceps der],T_Sport[Mois],T_recap[[#This Row],[mois]])</f>
        <v>0</v>
      </c>
      <c r="X8" s="46">
        <f>SUMIFS(T_Sport[Crunch sur banc],T_Sport[Mois],T_recap[[#This Row],[mois]])</f>
        <v>0</v>
      </c>
      <c r="Y8" s="46">
        <f>SUMIFS(T_Sport[Relevés de genoux],T_Sport[Mois],T_recap[[#This Row],[mois]])</f>
        <v>0</v>
      </c>
      <c r="Z8" s="46">
        <f>SUMIFS(T_Sport[penché avec haltères],T_Sport[Mois],T_recap[[#This Row],[mois]])</f>
        <v>0</v>
      </c>
      <c r="AA8" s="45">
        <f>SUMIFS(T_Sport[abdos],T_Sport[Mois],T_recap[[#This Row],[mois]])</f>
        <v>0</v>
      </c>
      <c r="AB8" s="46">
        <f>SUMIFS(T_Sport[km],T_Sport[Mois],T_recap[[#This Row],[mois]])</f>
        <v>0</v>
      </c>
      <c r="AC8" s="46">
        <f>SUMIFS(T_Sport[[Calories ]],T_Sport[Mois],T_recap[[#This Row],[mois]])</f>
        <v>0</v>
      </c>
      <c r="AD8" s="61">
        <f>SUMIFS(T_Sport[Temps4],T_Sport[Mois],T_recap[[#This Row],[mois]])</f>
        <v>0</v>
      </c>
    </row>
    <row r="9" spans="1:31" x14ac:dyDescent="0.25">
      <c r="A9" s="54" t="s">
        <v>21</v>
      </c>
      <c r="B9" s="49">
        <v>7</v>
      </c>
      <c r="C9" s="51">
        <f>SUMIFS(T_Sport[Kcal],T_Sport[Mois],T_recap[[#This Row],[mois]])</f>
        <v>0</v>
      </c>
      <c r="D9" s="46">
        <f>SUMIFS(T_Sport[km],T_Sport[Mois],T_recap[[#This Row],[mois]])</f>
        <v>0</v>
      </c>
      <c r="E9" s="46">
        <f>SUMIFS(T_Sport[resist],T_Sport[Mois],T_recap[[#This Row],[mois]])</f>
        <v>0</v>
      </c>
      <c r="F9" s="46">
        <f>SUMIFS(T_Sport[km/h],T_Sport[Mois],T_recap[[#This Row],[mois]])</f>
        <v>0</v>
      </c>
      <c r="G9" s="46">
        <f>SUMIFS(T_Sport[rpm2],T_Sport[Mois],T_recap[[#This Row],[mois]])</f>
        <v>0</v>
      </c>
      <c r="H9" s="46">
        <f>SUMIFS(T_Sport[bpm],T_Sport[Mois],T_recap[[#This Row],[mois]])</f>
        <v>0</v>
      </c>
      <c r="I9" s="52">
        <f>SUMIFS(T_Sport[Temps],T_Sport[Mois],T_recap[[#This Row],[mois]])</f>
        <v>0</v>
      </c>
      <c r="J9" s="46">
        <f>SUMIFS(T_Sport[rowing],T_Sport[Mois],T_recap[[#This Row],[mois]])</f>
        <v>0</v>
      </c>
      <c r="K9" s="46">
        <f>SUMIFS(T_Sport[frontal],T_Sport[Mois],T_recap[[#This Row],[mois]])</f>
        <v>0</v>
      </c>
      <c r="L9" s="46">
        <f>SUMIFS(T_Sport[triceps],T_Sport[Mois],T_recap[[#This Row],[mois]])</f>
        <v>0</v>
      </c>
      <c r="M9" s="46">
        <f>SUMIFS(T_Sport[fentes],T_Sport[Mois],T_recap[[#This Row],[mois]])</f>
        <v>0</v>
      </c>
      <c r="N9" s="46">
        <f>SUMIFS(T_Sport[deadlift],T_Sport[Mois],T_recap[[#This Row],[mois]])</f>
        <v>0</v>
      </c>
      <c r="O9" s="46">
        <f>SUMIFS(T_Sport[biceps],T_Sport[Mois],T_recap[[#This Row],[mois]])</f>
        <v>0</v>
      </c>
      <c r="P9" s="45">
        <f>SUMIFS(T_Sport[laterales],T_Sport[Mois],T_recap[[#This Row],[mois]])</f>
        <v>0</v>
      </c>
      <c r="Q9" s="46">
        <f>SUMIFS(T_Sport[epaules],T_Sport[Mois],T_recap[[#This Row],[mois]])</f>
        <v>0</v>
      </c>
      <c r="R9" s="46">
        <f>SUMIFS(T_Sport[derriere],T_Sport[Mois],T_recap[[#This Row],[mois]])</f>
        <v>0</v>
      </c>
      <c r="S9" s="46">
        <f>SUMIFS(T_Sport[squats],T_Sport[Mois],T_recap[[#This Row],[mois]])</f>
        <v>0</v>
      </c>
      <c r="T9" s="46">
        <f>SUMIFS(T_Sport[couche],T_Sport[Mois],T_recap[[#This Row],[mois]])</f>
        <v>0</v>
      </c>
      <c r="U9" s="46">
        <f>SUMIFS(T_Sport[ecarté],T_Sport[Mois],T_recap[[#This Row],[mois]])</f>
        <v>0</v>
      </c>
      <c r="V9" s="46">
        <f>SUMIFS(T_Sport[incline],T_Sport[Mois],T_recap[[#This Row],[mois]])</f>
        <v>0</v>
      </c>
      <c r="W9" s="46">
        <f>SUMIFS(T_Sport[deadlife triceps der],T_Sport[Mois],T_recap[[#This Row],[mois]])</f>
        <v>0</v>
      </c>
      <c r="X9" s="46">
        <f>SUMIFS(T_Sport[Crunch sur banc],T_Sport[Mois],T_recap[[#This Row],[mois]])</f>
        <v>0</v>
      </c>
      <c r="Y9" s="46">
        <f>SUMIFS(T_Sport[Relevés de genoux],T_Sport[Mois],T_recap[[#This Row],[mois]])</f>
        <v>0</v>
      </c>
      <c r="Z9" s="46">
        <f>SUMIFS(T_Sport[penché avec haltères],T_Sport[Mois],T_recap[[#This Row],[mois]])</f>
        <v>0</v>
      </c>
      <c r="AA9" s="45">
        <f>SUMIFS(T_Sport[abdos],T_Sport[Mois],T_recap[[#This Row],[mois]])</f>
        <v>0</v>
      </c>
      <c r="AB9" s="46">
        <f>SUMIFS(T_Sport[km],T_Sport[Mois],T_recap[[#This Row],[mois]])</f>
        <v>0</v>
      </c>
      <c r="AC9" s="46">
        <f>SUMIFS(T_Sport[[Calories ]],T_Sport[Mois],T_recap[[#This Row],[mois]])</f>
        <v>0</v>
      </c>
      <c r="AD9" s="61">
        <f>SUMIFS(T_Sport[Temps4],T_Sport[Mois],T_recap[[#This Row],[mois]])</f>
        <v>0</v>
      </c>
    </row>
    <row r="10" spans="1:31" ht="15.75" thickBot="1" x14ac:dyDescent="0.3">
      <c r="A10" s="54" t="s">
        <v>22</v>
      </c>
      <c r="B10" s="50">
        <v>8</v>
      </c>
      <c r="C10" s="51">
        <f>SUMIFS(T_Sport[Kcal],T_Sport[Mois],T_recap[[#This Row],[mois]])</f>
        <v>0</v>
      </c>
      <c r="D10" s="46">
        <f>SUMIFS(T_Sport[km],T_Sport[Mois],T_recap[[#This Row],[mois]])</f>
        <v>0</v>
      </c>
      <c r="E10" s="46">
        <f>SUMIFS(T_Sport[resist],T_Sport[Mois],T_recap[[#This Row],[mois]])</f>
        <v>0</v>
      </c>
      <c r="F10" s="46">
        <f>SUMIFS(T_Sport[km/h],T_Sport[Mois],T_recap[[#This Row],[mois]])</f>
        <v>0</v>
      </c>
      <c r="G10" s="46">
        <f>SUMIFS(T_Sport[rpm2],T_Sport[Mois],T_recap[[#This Row],[mois]])</f>
        <v>0</v>
      </c>
      <c r="H10" s="46">
        <f>SUMIFS(T_Sport[bpm],T_Sport[Mois],T_recap[[#This Row],[mois]])</f>
        <v>0</v>
      </c>
      <c r="I10" s="52">
        <f>SUMIFS(T_Sport[Temps],T_Sport[Mois],T_recap[[#This Row],[mois]])</f>
        <v>0</v>
      </c>
      <c r="J10" s="46">
        <f>SUMIFS(T_Sport[rowing],T_Sport[Mois],T_recap[[#This Row],[mois]])</f>
        <v>0</v>
      </c>
      <c r="K10" s="46">
        <f>SUMIFS(T_Sport[frontal],T_Sport[Mois],T_recap[[#This Row],[mois]])</f>
        <v>0</v>
      </c>
      <c r="L10" s="46">
        <f>SUMIFS(T_Sport[triceps],T_Sport[Mois],T_recap[[#This Row],[mois]])</f>
        <v>0</v>
      </c>
      <c r="M10" s="46">
        <f>SUMIFS(T_Sport[fentes],T_Sport[Mois],T_recap[[#This Row],[mois]])</f>
        <v>0</v>
      </c>
      <c r="N10" s="46">
        <f>SUMIFS(T_Sport[deadlift],T_Sport[Mois],T_recap[[#This Row],[mois]])</f>
        <v>0</v>
      </c>
      <c r="O10" s="46">
        <f>SUMIFS(T_Sport[biceps],T_Sport[Mois],T_recap[[#This Row],[mois]])</f>
        <v>0</v>
      </c>
      <c r="P10" s="45">
        <f>SUMIFS(T_Sport[laterales],T_Sport[Mois],T_recap[[#This Row],[mois]])</f>
        <v>0</v>
      </c>
      <c r="Q10" s="46">
        <f>SUMIFS(T_Sport[epaules],T_Sport[Mois],T_recap[[#This Row],[mois]])</f>
        <v>0</v>
      </c>
      <c r="R10" s="46">
        <f>SUMIFS(T_Sport[derriere],T_Sport[Mois],T_recap[[#This Row],[mois]])</f>
        <v>0</v>
      </c>
      <c r="S10" s="46">
        <f>SUMIFS(T_Sport[squats],T_Sport[Mois],T_recap[[#This Row],[mois]])</f>
        <v>0</v>
      </c>
      <c r="T10" s="46">
        <f>SUMIFS(T_Sport[couche],T_Sport[Mois],T_recap[[#This Row],[mois]])</f>
        <v>0</v>
      </c>
      <c r="U10" s="46">
        <f>SUMIFS(T_Sport[ecarté],T_Sport[Mois],T_recap[[#This Row],[mois]])</f>
        <v>0</v>
      </c>
      <c r="V10" s="46">
        <f>SUMIFS(T_Sport[incline],T_Sport[Mois],T_recap[[#This Row],[mois]])</f>
        <v>0</v>
      </c>
      <c r="W10" s="46">
        <f>SUMIFS(T_Sport[deadlife triceps der],T_Sport[Mois],T_recap[[#This Row],[mois]])</f>
        <v>0</v>
      </c>
      <c r="X10" s="46">
        <f>SUMIFS(T_Sport[Crunch sur banc],T_Sport[Mois],T_recap[[#This Row],[mois]])</f>
        <v>0</v>
      </c>
      <c r="Y10" s="46">
        <f>SUMIFS(T_Sport[Relevés de genoux],T_Sport[Mois],T_recap[[#This Row],[mois]])</f>
        <v>0</v>
      </c>
      <c r="Z10" s="46">
        <f>SUMIFS(T_Sport[penché avec haltères],T_Sport[Mois],T_recap[[#This Row],[mois]])</f>
        <v>0</v>
      </c>
      <c r="AA10" s="45">
        <f>SUMIFS(T_Sport[abdos],T_Sport[Mois],T_recap[[#This Row],[mois]])</f>
        <v>0</v>
      </c>
      <c r="AB10" s="46">
        <f>SUMIFS(T_Sport[km],T_Sport[Mois],T_recap[[#This Row],[mois]])</f>
        <v>0</v>
      </c>
      <c r="AC10" s="46">
        <f>SUMIFS(T_Sport[[Calories ]],T_Sport[Mois],T_recap[[#This Row],[mois]])</f>
        <v>0</v>
      </c>
      <c r="AD10" s="61">
        <f>SUMIFS(T_Sport[Temps4],T_Sport[Mois],T_recap[[#This Row],[mois]])</f>
        <v>0</v>
      </c>
    </row>
    <row r="11" spans="1:31" x14ac:dyDescent="0.25">
      <c r="A11" s="54" t="s">
        <v>23</v>
      </c>
      <c r="B11" s="49">
        <v>9</v>
      </c>
      <c r="C11" s="51">
        <f>SUMIFS(T_Sport[Kcal],T_Sport[Mois],T_recap[[#This Row],[mois]])</f>
        <v>1054</v>
      </c>
      <c r="D11" s="46">
        <f>SUMIFS(T_Sport[km],T_Sport[Mois],T_recap[[#This Row],[mois]])</f>
        <v>10.3</v>
      </c>
      <c r="E11" s="46">
        <f>SUMIFS(T_Sport[resist],T_Sport[Mois],T_recap[[#This Row],[mois]])</f>
        <v>22</v>
      </c>
      <c r="F11" s="46">
        <f>SUMIFS(T_Sport[km/h],T_Sport[Mois],T_recap[[#This Row],[mois]])</f>
        <v>77.599999999999994</v>
      </c>
      <c r="G11" s="46">
        <f>SUMIFS(T_Sport[rpm2],T_Sport[Mois],T_recap[[#This Row],[mois]])</f>
        <v>0</v>
      </c>
      <c r="H11" s="46">
        <f>SUMIFS(T_Sport[bpm],T_Sport[Mois],T_recap[[#This Row],[mois]])</f>
        <v>0</v>
      </c>
      <c r="I11" s="52">
        <f>SUMIFS(T_Sport[Temps],T_Sport[Mois],T_recap[[#This Row],[mois]])</f>
        <v>0.13888888888888887</v>
      </c>
      <c r="J11" s="46">
        <f>SUMIFS(T_Sport[rowing],T_Sport[Mois],T_recap[[#This Row],[mois]])</f>
        <v>9</v>
      </c>
      <c r="K11" s="46">
        <f>SUMIFS(T_Sport[frontal],T_Sport[Mois],T_recap[[#This Row],[mois]])</f>
        <v>24</v>
      </c>
      <c r="L11" s="46">
        <f>SUMIFS(T_Sport[triceps],T_Sport[Mois],T_recap[[#This Row],[mois]])</f>
        <v>24</v>
      </c>
      <c r="M11" s="46">
        <f>SUMIFS(T_Sport[fentes],T_Sport[Mois],T_recap[[#This Row],[mois]])</f>
        <v>6</v>
      </c>
      <c r="N11" s="46">
        <f>SUMIFS(T_Sport[deadlift],T_Sport[Mois],T_recap[[#This Row],[mois]])</f>
        <v>6</v>
      </c>
      <c r="O11" s="46">
        <f>SUMIFS(T_Sport[biceps],T_Sport[Mois],T_recap[[#This Row],[mois]])</f>
        <v>24</v>
      </c>
      <c r="P11" s="45">
        <f>SUMIFS(T_Sport[laterales],T_Sport[Mois],T_recap[[#This Row],[mois]])</f>
        <v>21</v>
      </c>
      <c r="Q11" s="46">
        <f>SUMIFS(T_Sport[epaules],T_Sport[Mois],T_recap[[#This Row],[mois]])</f>
        <v>18</v>
      </c>
      <c r="R11" s="46">
        <f>SUMIFS(T_Sport[derriere],T_Sport[Mois],T_recap[[#This Row],[mois]])</f>
        <v>3</v>
      </c>
      <c r="S11" s="46">
        <f>SUMIFS(T_Sport[squats],T_Sport[Mois],T_recap[[#This Row],[mois]])</f>
        <v>9</v>
      </c>
      <c r="T11" s="46">
        <f>SUMIFS(T_Sport[couche],T_Sport[Mois],T_recap[[#This Row],[mois]])</f>
        <v>21</v>
      </c>
      <c r="U11" s="46">
        <f>SUMIFS(T_Sport[ecarté],T_Sport[Mois],T_recap[[#This Row],[mois]])</f>
        <v>21</v>
      </c>
      <c r="V11" s="46">
        <f>SUMIFS(T_Sport[incline],T_Sport[Mois],T_recap[[#This Row],[mois]])</f>
        <v>18</v>
      </c>
      <c r="W11" s="46">
        <f>SUMIFS(T_Sport[deadlife triceps der],T_Sport[Mois],T_recap[[#This Row],[mois]])</f>
        <v>0</v>
      </c>
      <c r="X11" s="46">
        <f>SUMIFS(T_Sport[Crunch sur banc],T_Sport[Mois],T_recap[[#This Row],[mois]])</f>
        <v>0</v>
      </c>
      <c r="Y11" s="46">
        <f>SUMIFS(T_Sport[Relevés de genoux],T_Sport[Mois],T_recap[[#This Row],[mois]])</f>
        <v>0</v>
      </c>
      <c r="Z11" s="46">
        <f>SUMIFS(T_Sport[penché avec haltères],T_Sport[Mois],T_recap[[#This Row],[mois]])</f>
        <v>0</v>
      </c>
      <c r="AA11" s="45">
        <f>SUMIFS(T_Sport[abdos],T_Sport[Mois],T_recap[[#This Row],[mois]])</f>
        <v>510</v>
      </c>
      <c r="AB11" s="46">
        <f>SUMIFS(T_Sport[km],T_Sport[Mois],T_recap[[#This Row],[mois]])</f>
        <v>10.3</v>
      </c>
      <c r="AC11" s="46">
        <f>SUMIFS(T_Sport[[Calories ]],T_Sport[Mois],T_recap[[#This Row],[mois]])</f>
        <v>6507</v>
      </c>
      <c r="AD11" s="61">
        <f>SUMIFS(T_Sport[Temps4],T_Sport[Mois],T_recap[[#This Row],[mois]])</f>
        <v>0.92083333333333317</v>
      </c>
    </row>
    <row r="12" spans="1:31" ht="15.75" thickBot="1" x14ac:dyDescent="0.3">
      <c r="A12" s="54" t="s">
        <v>24</v>
      </c>
      <c r="B12" s="50">
        <v>10</v>
      </c>
      <c r="C12" s="51">
        <f>SUMIFS(T_Sport[Kcal],T_Sport[Mois],T_recap[[#This Row],[mois]])</f>
        <v>0</v>
      </c>
      <c r="D12" s="46">
        <f>SUMIFS(T_Sport[km],T_Sport[Mois],T_recap[[#This Row],[mois]])</f>
        <v>0</v>
      </c>
      <c r="E12" s="46">
        <f>SUMIFS(T_Sport[resist],T_Sport[Mois],T_recap[[#This Row],[mois]])</f>
        <v>0</v>
      </c>
      <c r="F12" s="46">
        <f>SUMIFS(T_Sport[km/h],T_Sport[Mois],T_recap[[#This Row],[mois]])</f>
        <v>0</v>
      </c>
      <c r="G12" s="46">
        <f>SUMIFS(T_Sport[rpm2],T_Sport[Mois],T_recap[[#This Row],[mois]])</f>
        <v>0</v>
      </c>
      <c r="H12" s="46">
        <f>SUMIFS(T_Sport[bpm],T_Sport[Mois],T_recap[[#This Row],[mois]])</f>
        <v>0</v>
      </c>
      <c r="I12" s="52">
        <f>SUMIFS(T_Sport[Temps],T_Sport[Mois],T_recap[[#This Row],[mois]])</f>
        <v>0</v>
      </c>
      <c r="J12" s="46">
        <f>SUMIFS(T_Sport[rowing],T_Sport[Mois],T_recap[[#This Row],[mois]])</f>
        <v>0</v>
      </c>
      <c r="K12" s="46">
        <f>SUMIFS(T_Sport[frontal],T_Sport[Mois],T_recap[[#This Row],[mois]])</f>
        <v>0</v>
      </c>
      <c r="L12" s="46">
        <f>SUMIFS(T_Sport[triceps],T_Sport[Mois],T_recap[[#This Row],[mois]])</f>
        <v>0</v>
      </c>
      <c r="M12" s="46">
        <f>SUMIFS(T_Sport[fentes],T_Sport[Mois],T_recap[[#This Row],[mois]])</f>
        <v>0</v>
      </c>
      <c r="N12" s="46">
        <f>SUMIFS(T_Sport[deadlift],T_Sport[Mois],T_recap[[#This Row],[mois]])</f>
        <v>0</v>
      </c>
      <c r="O12" s="46">
        <f>SUMIFS(T_Sport[biceps],T_Sport[Mois],T_recap[[#This Row],[mois]])</f>
        <v>0</v>
      </c>
      <c r="P12" s="45">
        <f>SUMIFS(T_Sport[laterales],T_Sport[Mois],T_recap[[#This Row],[mois]])</f>
        <v>0</v>
      </c>
      <c r="Q12" s="46">
        <f>SUMIFS(T_Sport[epaules],T_Sport[Mois],T_recap[[#This Row],[mois]])</f>
        <v>0</v>
      </c>
      <c r="R12" s="46">
        <f>SUMIFS(T_Sport[derriere],T_Sport[Mois],T_recap[[#This Row],[mois]])</f>
        <v>0</v>
      </c>
      <c r="S12" s="46">
        <f>SUMIFS(T_Sport[squats],T_Sport[Mois],T_recap[[#This Row],[mois]])</f>
        <v>0</v>
      </c>
      <c r="T12" s="46">
        <f>SUMIFS(T_Sport[couche],T_Sport[Mois],T_recap[[#This Row],[mois]])</f>
        <v>0</v>
      </c>
      <c r="U12" s="46">
        <f>SUMIFS(T_Sport[ecarté],T_Sport[Mois],T_recap[[#This Row],[mois]])</f>
        <v>0</v>
      </c>
      <c r="V12" s="46">
        <f>SUMIFS(T_Sport[incline],T_Sport[Mois],T_recap[[#This Row],[mois]])</f>
        <v>0</v>
      </c>
      <c r="W12" s="46">
        <f>SUMIFS(T_Sport[deadlife triceps der],T_Sport[Mois],T_recap[[#This Row],[mois]])</f>
        <v>0</v>
      </c>
      <c r="X12" s="46">
        <f>SUMIFS(T_Sport[Crunch sur banc],T_Sport[Mois],T_recap[[#This Row],[mois]])</f>
        <v>0</v>
      </c>
      <c r="Y12" s="46">
        <f>SUMIFS(T_Sport[Relevés de genoux],T_Sport[Mois],T_recap[[#This Row],[mois]])</f>
        <v>0</v>
      </c>
      <c r="Z12" s="46">
        <f>SUMIFS(T_Sport[penché avec haltères],T_Sport[Mois],T_recap[[#This Row],[mois]])</f>
        <v>0</v>
      </c>
      <c r="AA12" s="45">
        <f>SUMIFS(T_Sport[abdos],T_Sport[Mois],T_recap[[#This Row],[mois]])</f>
        <v>0</v>
      </c>
      <c r="AB12" s="46">
        <f>SUMIFS(T_Sport[km],T_Sport[Mois],T_recap[[#This Row],[mois]])</f>
        <v>0</v>
      </c>
      <c r="AC12" s="46">
        <f>SUMIFS(T_Sport[[Calories ]],T_Sport[Mois],T_recap[[#This Row],[mois]])</f>
        <v>0</v>
      </c>
      <c r="AD12" s="61">
        <f>SUMIFS(T_Sport[Temps4],T_Sport[Mois],T_recap[[#This Row],[mois]])</f>
        <v>0</v>
      </c>
    </row>
    <row r="13" spans="1:31" x14ac:dyDescent="0.25">
      <c r="A13" s="54" t="s">
        <v>25</v>
      </c>
      <c r="B13" s="49">
        <v>11</v>
      </c>
      <c r="C13" s="51">
        <f>SUMIFS(T_Sport[Kcal],T_Sport[Mois],T_recap[[#This Row],[mois]])</f>
        <v>0</v>
      </c>
      <c r="D13" s="46">
        <f>SUMIFS(T_Sport[km],T_Sport[Mois],T_recap[[#This Row],[mois]])</f>
        <v>0</v>
      </c>
      <c r="E13" s="46">
        <f>SUMIFS(T_Sport[resist],T_Sport[Mois],T_recap[[#This Row],[mois]])</f>
        <v>0</v>
      </c>
      <c r="F13" s="46">
        <f>SUMIFS(T_Sport[km/h],T_Sport[Mois],T_recap[[#This Row],[mois]])</f>
        <v>0</v>
      </c>
      <c r="G13" s="46">
        <f>SUMIFS(T_Sport[rpm2],T_Sport[Mois],T_recap[[#This Row],[mois]])</f>
        <v>0</v>
      </c>
      <c r="H13" s="46">
        <f>SUMIFS(T_Sport[bpm],T_Sport[Mois],T_recap[[#This Row],[mois]])</f>
        <v>0</v>
      </c>
      <c r="I13" s="52">
        <f>SUMIFS(T_Sport[Temps],T_Sport[Mois],T_recap[[#This Row],[mois]])</f>
        <v>0</v>
      </c>
      <c r="J13" s="46">
        <f>SUMIFS(T_Sport[rowing],T_Sport[Mois],T_recap[[#This Row],[mois]])</f>
        <v>0</v>
      </c>
      <c r="K13" s="46">
        <f>SUMIFS(T_Sport[frontal],T_Sport[Mois],T_recap[[#This Row],[mois]])</f>
        <v>0</v>
      </c>
      <c r="L13" s="46">
        <f>SUMIFS(T_Sport[triceps],T_Sport[Mois],T_recap[[#This Row],[mois]])</f>
        <v>0</v>
      </c>
      <c r="M13" s="46">
        <f>SUMIFS(T_Sport[fentes],T_Sport[Mois],T_recap[[#This Row],[mois]])</f>
        <v>0</v>
      </c>
      <c r="N13" s="46">
        <f>SUMIFS(T_Sport[deadlift],T_Sport[Mois],T_recap[[#This Row],[mois]])</f>
        <v>0</v>
      </c>
      <c r="O13" s="46">
        <f>SUMIFS(T_Sport[biceps],T_Sport[Mois],T_recap[[#This Row],[mois]])</f>
        <v>0</v>
      </c>
      <c r="P13" s="45">
        <f>SUMIFS(T_Sport[laterales],T_Sport[Mois],T_recap[[#This Row],[mois]])</f>
        <v>0</v>
      </c>
      <c r="Q13" s="46">
        <f>SUMIFS(T_Sport[epaules],T_Sport[Mois],T_recap[[#This Row],[mois]])</f>
        <v>0</v>
      </c>
      <c r="R13" s="46">
        <f>SUMIFS(T_Sport[derriere],T_Sport[Mois],T_recap[[#This Row],[mois]])</f>
        <v>0</v>
      </c>
      <c r="S13" s="46">
        <f>SUMIFS(T_Sport[squats],T_Sport[Mois],T_recap[[#This Row],[mois]])</f>
        <v>0</v>
      </c>
      <c r="T13" s="46">
        <f>SUMIFS(T_Sport[couche],T_Sport[Mois],T_recap[[#This Row],[mois]])</f>
        <v>0</v>
      </c>
      <c r="U13" s="46">
        <f>SUMIFS(T_Sport[ecarté],T_Sport[Mois],T_recap[[#This Row],[mois]])</f>
        <v>0</v>
      </c>
      <c r="V13" s="46">
        <f>SUMIFS(T_Sport[incline],T_Sport[Mois],T_recap[[#This Row],[mois]])</f>
        <v>0</v>
      </c>
      <c r="W13" s="46">
        <f>SUMIFS(T_Sport[deadlife triceps der],T_Sport[Mois],T_recap[[#This Row],[mois]])</f>
        <v>0</v>
      </c>
      <c r="X13" s="46">
        <f>SUMIFS(T_Sport[Crunch sur banc],T_Sport[Mois],T_recap[[#This Row],[mois]])</f>
        <v>0</v>
      </c>
      <c r="Y13" s="46">
        <f>SUMIFS(T_Sport[Relevés de genoux],T_Sport[Mois],T_recap[[#This Row],[mois]])</f>
        <v>0</v>
      </c>
      <c r="Z13" s="46">
        <f>SUMIFS(T_Sport[penché avec haltères],T_Sport[Mois],T_recap[[#This Row],[mois]])</f>
        <v>0</v>
      </c>
      <c r="AA13" s="45">
        <f>SUMIFS(T_Sport[abdos],T_Sport[Mois],T_recap[[#This Row],[mois]])</f>
        <v>0</v>
      </c>
      <c r="AB13" s="46">
        <f>SUMIFS(T_Sport[km],T_Sport[Mois],T_recap[[#This Row],[mois]])</f>
        <v>0</v>
      </c>
      <c r="AC13" s="46">
        <f>SUMIFS(T_Sport[[Calories ]],T_Sport[Mois],T_recap[[#This Row],[mois]])</f>
        <v>0</v>
      </c>
      <c r="AD13" s="61">
        <f>SUMIFS(T_Sport[Temps4],T_Sport[Mois],T_recap[[#This Row],[mois]])</f>
        <v>0</v>
      </c>
    </row>
    <row r="14" spans="1:31" x14ac:dyDescent="0.25">
      <c r="A14" s="55" t="s">
        <v>26</v>
      </c>
      <c r="B14" s="50">
        <v>12</v>
      </c>
      <c r="C14" s="51">
        <f>SUMIFS(T_Sport[Kcal],T_Sport[Mois],T_recap[[#This Row],[mois]])</f>
        <v>0</v>
      </c>
      <c r="D14" s="46">
        <f>SUMIFS(T_Sport[km],T_Sport[Mois],T_recap[[#This Row],[mois]])</f>
        <v>0</v>
      </c>
      <c r="E14" s="46">
        <f>SUMIFS(T_Sport[resist],T_Sport[Mois],T_recap[[#This Row],[mois]])</f>
        <v>0</v>
      </c>
      <c r="F14" s="46">
        <f>SUMIFS(T_Sport[km/h],T_Sport[Mois],T_recap[[#This Row],[mois]])</f>
        <v>0</v>
      </c>
      <c r="G14" s="46">
        <f>SUMIFS(T_Sport[rpm2],T_Sport[Mois],T_recap[[#This Row],[mois]])</f>
        <v>0</v>
      </c>
      <c r="H14" s="46">
        <f>SUMIFS(T_Sport[bpm],T_Sport[Mois],T_recap[[#This Row],[mois]])</f>
        <v>0</v>
      </c>
      <c r="I14" s="52">
        <f>SUMIFS(T_Sport[Temps],T_Sport[Mois],T_recap[[#This Row],[mois]])</f>
        <v>0</v>
      </c>
      <c r="J14" s="46">
        <f>SUMIFS(T_Sport[rowing],T_Sport[Mois],T_recap[[#This Row],[mois]])</f>
        <v>0</v>
      </c>
      <c r="K14" s="46">
        <f>SUMIFS(T_Sport[frontal],T_Sport[Mois],T_recap[[#This Row],[mois]])</f>
        <v>0</v>
      </c>
      <c r="L14" s="46">
        <f>SUMIFS(T_Sport[triceps],T_Sport[Mois],T_recap[[#This Row],[mois]])</f>
        <v>0</v>
      </c>
      <c r="M14" s="46">
        <f>SUMIFS(T_Sport[fentes],T_Sport[Mois],T_recap[[#This Row],[mois]])</f>
        <v>0</v>
      </c>
      <c r="N14" s="46">
        <f>SUMIFS(T_Sport[deadlift],T_Sport[Mois],T_recap[[#This Row],[mois]])</f>
        <v>0</v>
      </c>
      <c r="O14" s="46">
        <f>SUMIFS(T_Sport[biceps],T_Sport[Mois],T_recap[[#This Row],[mois]])</f>
        <v>0</v>
      </c>
      <c r="P14" s="45">
        <f>SUMIFS(T_Sport[laterales],T_Sport[Mois],T_recap[[#This Row],[mois]])</f>
        <v>0</v>
      </c>
      <c r="Q14" s="46">
        <f>SUMIFS(T_Sport[epaules],T_Sport[Mois],T_recap[[#This Row],[mois]])</f>
        <v>0</v>
      </c>
      <c r="R14" s="46">
        <f>SUMIFS(T_Sport[derriere],T_Sport[Mois],T_recap[[#This Row],[mois]])</f>
        <v>0</v>
      </c>
      <c r="S14" s="46">
        <f>SUMIFS(T_Sport[squats],T_Sport[Mois],T_recap[[#This Row],[mois]])</f>
        <v>0</v>
      </c>
      <c r="T14" s="46">
        <f>SUMIFS(T_Sport[couche],T_Sport[Mois],T_recap[[#This Row],[mois]])</f>
        <v>0</v>
      </c>
      <c r="U14" s="46">
        <f>SUMIFS(T_Sport[ecarté],T_Sport[Mois],T_recap[[#This Row],[mois]])</f>
        <v>0</v>
      </c>
      <c r="V14" s="46">
        <f>SUMIFS(T_Sport[incline],T_Sport[Mois],T_recap[[#This Row],[mois]])</f>
        <v>0</v>
      </c>
      <c r="W14" s="46">
        <f>SUMIFS(T_Sport[deadlife triceps der],T_Sport[Mois],T_recap[[#This Row],[mois]])</f>
        <v>0</v>
      </c>
      <c r="X14" s="46">
        <f>SUMIFS(T_Sport[Crunch sur banc],T_Sport[Mois],T_recap[[#This Row],[mois]])</f>
        <v>0</v>
      </c>
      <c r="Y14" s="46">
        <f>SUMIFS(T_Sport[Relevés de genoux],T_Sport[Mois],T_recap[[#This Row],[mois]])</f>
        <v>0</v>
      </c>
      <c r="Z14" s="46">
        <f>SUMIFS(T_Sport[penché avec haltères],T_Sport[Mois],T_recap[[#This Row],[mois]])</f>
        <v>0</v>
      </c>
      <c r="AA14" s="45">
        <f>SUMIFS(T_Sport[abdos],T_Sport[Mois],T_recap[[#This Row],[mois]])</f>
        <v>0</v>
      </c>
      <c r="AB14" s="46">
        <f>SUMIFS(T_Sport[km],T_Sport[Mois],T_recap[[#This Row],[mois]])</f>
        <v>0</v>
      </c>
      <c r="AC14" s="46">
        <f>SUMIFS(T_Sport[[Calories ]],T_Sport[Mois],T_recap[[#This Row],[mois]])</f>
        <v>0</v>
      </c>
      <c r="AD14" s="61">
        <f>SUMIFS(T_Sport[Temps4],T_Sport[Mois],T_recap[[#This Row],[mois]])</f>
        <v>0</v>
      </c>
    </row>
    <row r="15" spans="1:31" s="45" customFormat="1" x14ac:dyDescent="0.25">
      <c r="B15" s="63"/>
      <c r="C15" s="45">
        <f>SUMIFS(T_Sport[Kcal],T_Sport[Mois],T_recap[[#This Row],[mois]])</f>
        <v>0</v>
      </c>
      <c r="D15" s="46">
        <f>SUMIFS(T_Sport[km],T_Sport[Mois],T_recap[[#This Row],[mois]])</f>
        <v>0</v>
      </c>
      <c r="E15" s="45">
        <f>SUMIFS(T_Sport[resist],T_Sport[Mois],T_recap[[#This Row],[mois]])</f>
        <v>0</v>
      </c>
      <c r="F15" s="45">
        <f>SUMIFS(T_Sport[km/h],T_Sport[Mois],T_recap[[#This Row],[mois]])</f>
        <v>0</v>
      </c>
      <c r="G15" s="45">
        <f>SUMIFS(T_Sport[rpm2],T_Sport[Mois],T_recap[[#This Row],[mois]])</f>
        <v>0</v>
      </c>
      <c r="H15" s="45">
        <f>SUMIFS(T_Sport[bpm],T_Sport[Mois],T_recap[[#This Row],[mois]])</f>
        <v>0</v>
      </c>
      <c r="I15" s="52">
        <f>SUMIFS(T_Sport[Temps],T_Sport[Mois],T_recap[[#This Row],[mois]])</f>
        <v>0</v>
      </c>
      <c r="J15" s="46">
        <f>SUMIFS(T_Sport[rowing],T_Sport[Mois],T_recap[[#This Row],[mois]])</f>
        <v>0</v>
      </c>
      <c r="K15" s="46">
        <f>SUMIFS(T_Sport[frontal],T_Sport[Mois],T_recap[[#This Row],[mois]])</f>
        <v>0</v>
      </c>
      <c r="L15" s="46">
        <f>SUMIFS(T_Sport[triceps],T_Sport[Mois],T_recap[[#This Row],[mois]])</f>
        <v>0</v>
      </c>
      <c r="M15" s="46">
        <f>SUMIFS(T_Sport[fentes],T_Sport[Mois],T_recap[[#This Row],[mois]])</f>
        <v>0</v>
      </c>
      <c r="N15" s="46">
        <f>SUMIFS(T_Sport[deadlift],T_Sport[Mois],T_recap[[#This Row],[mois]])</f>
        <v>0</v>
      </c>
      <c r="O15" s="46">
        <f>SUMIFS(T_Sport[biceps],T_Sport[Mois],T_recap[[#This Row],[mois]])</f>
        <v>0</v>
      </c>
      <c r="P15" s="45">
        <f>SUMIFS(T_Sport[laterales],T_Sport[Mois],T_recap[[#This Row],[mois]])</f>
        <v>0</v>
      </c>
      <c r="Q15" s="46">
        <f>SUMIFS(T_Sport[epaules],T_Sport[Mois],T_recap[[#This Row],[mois]])</f>
        <v>0</v>
      </c>
      <c r="R15" s="46">
        <f>SUMIFS(T_Sport[derriere],T_Sport[Mois],T_recap[[#This Row],[mois]])</f>
        <v>0</v>
      </c>
      <c r="S15" s="46">
        <f>SUMIFS(T_Sport[squats],T_Sport[Mois],T_recap[[#This Row],[mois]])</f>
        <v>0</v>
      </c>
      <c r="T15" s="46">
        <f>SUMIFS(T_Sport[couche],T_Sport[Mois],T_recap[[#This Row],[mois]])</f>
        <v>0</v>
      </c>
      <c r="U15" s="46">
        <f>SUMIFS(T_Sport[ecarté],T_Sport[Mois],T_recap[[#This Row],[mois]])</f>
        <v>0</v>
      </c>
      <c r="V15" s="46">
        <f>SUMIFS(T_Sport[incline],T_Sport[Mois],T_recap[[#This Row],[mois]])</f>
        <v>0</v>
      </c>
      <c r="W15" s="46">
        <f>SUMIFS(T_Sport[deadlife triceps der],T_Sport[Mois],T_recap[[#This Row],[mois]])</f>
        <v>0</v>
      </c>
      <c r="X15" s="46">
        <f>SUMIFS(T_Sport[Crunch sur banc],T_Sport[Mois],T_recap[[#This Row],[mois]])</f>
        <v>0</v>
      </c>
      <c r="Y15" s="46">
        <f>SUMIFS(T_Sport[Relevés de genoux],T_Sport[Mois],T_recap[[#This Row],[mois]])</f>
        <v>0</v>
      </c>
      <c r="Z15" s="46">
        <f>SUMIFS(T_Sport[penché avec haltères],T_Sport[Mois],T_recap[[#This Row],[mois]])</f>
        <v>0</v>
      </c>
      <c r="AA15" s="45">
        <f>SUMIFS(T_Sport[abdos],T_Sport[Mois],T_recap[[#This Row],[mois]])</f>
        <v>0</v>
      </c>
      <c r="AB15" s="45">
        <f>SUMIFS(T_Sport[km],T_Sport[Mois],T_recap[[#This Row],[mois]])</f>
        <v>0</v>
      </c>
      <c r="AC15" s="45">
        <f>SUMIFS(T_Sport[[Calories ]],T_Sport[Mois],T_recap[[#This Row],[mois]])</f>
        <v>0</v>
      </c>
      <c r="AD15" s="61">
        <f>SUMIFS(T_Sport[Temps4],T_Sport[Mois],T_recap[[#This Row],[mois]])</f>
        <v>0</v>
      </c>
    </row>
    <row r="16" spans="1:31" x14ac:dyDescent="0.25">
      <c r="A16" t="s">
        <v>72</v>
      </c>
      <c r="C16" s="46">
        <f>SUBTOTAL(109,T_recap[Kcal])</f>
        <v>1054</v>
      </c>
      <c r="D16" s="46">
        <f>SUBTOTAL(109,T_recap[km])</f>
        <v>10.3</v>
      </c>
      <c r="E16" s="46">
        <f>SUBTOTAL(109,T_recap[resist])</f>
        <v>22</v>
      </c>
      <c r="F16" s="47">
        <f>SUBTOTAL(109,T_recap[km/h])</f>
        <v>77.599999999999994</v>
      </c>
      <c r="G16" s="47">
        <f>SUBTOTAL(109,T_recap[rpm])</f>
        <v>0</v>
      </c>
      <c r="H16" s="47">
        <f>SUBTOTAL(109,T_recap[bpm])</f>
        <v>0</v>
      </c>
      <c r="I16" s="48">
        <f>SUBTOTAL(109,T_recap[Temps])</f>
        <v>0.13888888888888887</v>
      </c>
      <c r="J16" s="46">
        <f>SUBTOTAL(109,T_recap[rowing])</f>
        <v>9</v>
      </c>
      <c r="K16" s="46">
        <f>SUBTOTAL(109,T_recap[frontal])</f>
        <v>24</v>
      </c>
      <c r="L16" s="46">
        <f>SUBTOTAL(109,T_recap[triceps])</f>
        <v>24</v>
      </c>
      <c r="M16" s="46">
        <f>SUBTOTAL(109,T_recap[fentes])</f>
        <v>6</v>
      </c>
      <c r="N16" s="46">
        <f>SUBTOTAL(109,T_recap[deadlift])</f>
        <v>6</v>
      </c>
      <c r="O16" s="46">
        <f>SUBTOTAL(109,T_recap[biceps])</f>
        <v>24</v>
      </c>
      <c r="P16" s="46">
        <f>SUBTOTAL(109,T_recap[laterale])</f>
        <v>21</v>
      </c>
      <c r="Q16" s="46">
        <f>SUBTOTAL(109,T_recap[epaules])</f>
        <v>18</v>
      </c>
      <c r="R16" s="46">
        <f>SUBTOTAL(109,T_recap[derriere])</f>
        <v>3</v>
      </c>
      <c r="S16" s="46">
        <f>SUBTOTAL(109,T_recap[squats])</f>
        <v>9</v>
      </c>
      <c r="T16" s="46">
        <f>SUBTOTAL(109,T_recap[couche])</f>
        <v>21</v>
      </c>
      <c r="U16" s="46">
        <f>SUBTOTAL(109,T_recap[ecarté])</f>
        <v>21</v>
      </c>
      <c r="V16" s="46">
        <f>SUBTOTAL(109,T_recap[incline])</f>
        <v>18</v>
      </c>
      <c r="W16" s="46">
        <f>SUBTOTAL(109,T_recap[deadlife triceps der])</f>
        <v>0</v>
      </c>
      <c r="X16" s="46">
        <f>SUBTOTAL(109,T_recap[Crunch sur banc])</f>
        <v>0</v>
      </c>
      <c r="Y16" s="46">
        <f>SUBTOTAL(109,T_recap[Relevés de genoux])</f>
        <v>0</v>
      </c>
      <c r="Z16" s="46">
        <f>SUBTOTAL(109,T_recap[penché avec haltères])</f>
        <v>0</v>
      </c>
      <c r="AA16" s="46">
        <f>SUBTOTAL(109,T_recap[abdos])</f>
        <v>510</v>
      </c>
      <c r="AB16" s="46">
        <f>SUBTOTAL(109,T_recap[[Km ]])</f>
        <v>10.3</v>
      </c>
      <c r="AC16" s="46">
        <f>SUBTOTAL(109,T_recap[[Calories ]])</f>
        <v>6507</v>
      </c>
      <c r="AD16" s="62">
        <f>SUBTOTAL(109,T_recap[Temps6])</f>
        <v>0.92083333333333317</v>
      </c>
    </row>
    <row r="17" spans="1:30" x14ac:dyDescent="0.25">
      <c r="A17" s="68" t="s">
        <v>27</v>
      </c>
      <c r="B17" s="69"/>
      <c r="C17" s="70">
        <f>T_recap[[#Totals],[Kcal]]</f>
        <v>1054</v>
      </c>
      <c r="D17" s="71">
        <f>T_recap[[#Totals],[km]]</f>
        <v>10.3</v>
      </c>
      <c r="E17" s="70">
        <f>T_recap[[#Totals],[resist]]</f>
        <v>22</v>
      </c>
      <c r="F17" s="70">
        <f>T_recap[[#Totals],[km/h]]</f>
        <v>77.599999999999994</v>
      </c>
      <c r="G17" s="70">
        <f>T_recap[[#Totals],[rpm]]</f>
        <v>0</v>
      </c>
      <c r="H17" s="70">
        <f>T_recap[[#Totals],[bpm]]</f>
        <v>0</v>
      </c>
      <c r="I17" s="72">
        <f>T_recap[[#Totals],[Temps]]</f>
        <v>0.13888888888888887</v>
      </c>
      <c r="J17" s="70">
        <f>T_recap[[#Totals],[rowing]]*12</f>
        <v>108</v>
      </c>
      <c r="K17" s="70">
        <f>T_recap[[#Totals],[frontal]]*12</f>
        <v>288</v>
      </c>
      <c r="L17" s="70">
        <f>T_recap[[#Totals],[triceps]]*12</f>
        <v>288</v>
      </c>
      <c r="M17" s="70">
        <f>T_recap[[#Totals],[fentes]]*12</f>
        <v>72</v>
      </c>
      <c r="N17" s="70">
        <f>T_recap[[#Totals],[deadlift]]*12</f>
        <v>72</v>
      </c>
      <c r="O17" s="70">
        <f>T_recap[[#Totals],[biceps]]*12</f>
        <v>288</v>
      </c>
      <c r="P17" s="70">
        <f>T_recap[[#Totals],[laterale]]*12</f>
        <v>252</v>
      </c>
      <c r="Q17" s="70">
        <f>T_recap[[#Totals],[epaules]]*12</f>
        <v>216</v>
      </c>
      <c r="R17" s="70">
        <f>T_recap[[#Totals],[derriere]]*12</f>
        <v>36</v>
      </c>
      <c r="S17" s="70">
        <f>T_recap[[#Totals],[squats]]*12</f>
        <v>108</v>
      </c>
      <c r="T17" s="70">
        <f>T_recap[[#Totals],[couche]]*12</f>
        <v>252</v>
      </c>
      <c r="U17" s="70">
        <f>T_recap[[#Totals],[ecarté]]*12</f>
        <v>252</v>
      </c>
      <c r="V17" s="70">
        <f>T_recap[[#Totals],[incline]]*12</f>
        <v>216</v>
      </c>
      <c r="W17" s="70">
        <f>T_recap[[#Totals],[deadlife triceps der]]*12</f>
        <v>0</v>
      </c>
      <c r="X17" s="70">
        <f>T_recap[[#Totals],[Crunch sur banc]]*12</f>
        <v>0</v>
      </c>
      <c r="Y17" s="70">
        <f>T_recap[[#Totals],[Relevés de genoux]]*12</f>
        <v>0</v>
      </c>
      <c r="Z17" s="70">
        <f>T_recap[[#Totals],[penché avec haltères]]*12</f>
        <v>0</v>
      </c>
      <c r="AA17" s="70">
        <f>T_recap[[#Totals],[abdos]]</f>
        <v>510</v>
      </c>
      <c r="AB17" s="71">
        <f>T_recap[[#Totals],[Km ]]</f>
        <v>10.3</v>
      </c>
      <c r="AC17" s="70">
        <f>T_recap[[#Totals],[Calories ]]</f>
        <v>6507</v>
      </c>
      <c r="AD17" s="73">
        <f>T_recap[[#Totals],[Temps6]]</f>
        <v>0.92083333333333317</v>
      </c>
    </row>
  </sheetData>
  <mergeCells count="3">
    <mergeCell ref="A1:I1"/>
    <mergeCell ref="AB1:AD1"/>
    <mergeCell ref="J1:AA1"/>
  </mergeCells>
  <phoneticPr fontId="7" type="noConversion"/>
  <pageMargins left="0.7" right="0.7" top="0.75" bottom="0.75" header="0.3" footer="0.3"/>
  <pageSetup paperSize="9" orientation="portrait" horizontalDpi="4294967292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99"/>
  </sheetPr>
  <dimension ref="A1:AJ26"/>
  <sheetViews>
    <sheetView showGridLines="0" zoomScale="103" workbookViewId="0">
      <pane ySplit="2" topLeftCell="A3" activePane="bottomLeft" state="frozen"/>
      <selection pane="bottomLeft" activeCell="E6" sqref="E6"/>
    </sheetView>
  </sheetViews>
  <sheetFormatPr baseColWidth="10" defaultRowHeight="15" x14ac:dyDescent="0.25"/>
  <cols>
    <col min="1" max="1" width="21.140625" customWidth="1"/>
    <col min="2" max="7" width="7.7109375" customWidth="1"/>
    <col min="8" max="29" width="8.7109375" customWidth="1"/>
    <col min="30" max="30" width="8.7109375" hidden="1" customWidth="1"/>
    <col min="36" max="36" width="11.42578125" customWidth="1"/>
  </cols>
  <sheetData>
    <row r="1" spans="1:36" ht="75.75" customHeight="1" x14ac:dyDescent="0.4">
      <c r="A1" s="75"/>
      <c r="B1" s="77" t="s">
        <v>7</v>
      </c>
      <c r="C1" s="77"/>
      <c r="D1" s="77"/>
      <c r="E1" s="77"/>
      <c r="F1" s="77"/>
      <c r="G1" s="77"/>
      <c r="H1" s="78"/>
      <c r="I1" s="25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4"/>
      <c r="V1" s="26"/>
      <c r="AA1" s="76" t="s">
        <v>28</v>
      </c>
      <c r="AB1" s="76"/>
      <c r="AC1" s="76"/>
    </row>
    <row r="2" spans="1:36" s="35" customFormat="1" ht="45.75" customHeight="1" x14ac:dyDescent="0.25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6</v>
      </c>
      <c r="G2" s="27" t="s">
        <v>14</v>
      </c>
      <c r="H2" s="28" t="s">
        <v>8</v>
      </c>
      <c r="I2" s="27" t="s">
        <v>36</v>
      </c>
      <c r="J2" s="27" t="s">
        <v>37</v>
      </c>
      <c r="K2" s="27" t="s">
        <v>38</v>
      </c>
      <c r="L2" s="27" t="s">
        <v>39</v>
      </c>
      <c r="M2" s="27" t="s">
        <v>40</v>
      </c>
      <c r="N2" s="37" t="s">
        <v>41</v>
      </c>
      <c r="O2" s="40" t="s">
        <v>42</v>
      </c>
      <c r="P2" s="29" t="s">
        <v>43</v>
      </c>
      <c r="Q2" s="27" t="s">
        <v>44</v>
      </c>
      <c r="R2" s="27" t="s">
        <v>45</v>
      </c>
      <c r="S2" s="27" t="s">
        <v>46</v>
      </c>
      <c r="T2" s="30" t="s">
        <v>47</v>
      </c>
      <c r="U2" s="31" t="s">
        <v>48</v>
      </c>
      <c r="V2" s="32" t="s">
        <v>67</v>
      </c>
      <c r="W2" s="32" t="s">
        <v>65</v>
      </c>
      <c r="X2" s="32" t="s">
        <v>68</v>
      </c>
      <c r="Y2" s="32" t="s">
        <v>66</v>
      </c>
      <c r="Z2" s="36" t="s">
        <v>49</v>
      </c>
      <c r="AA2" s="33" t="s">
        <v>9</v>
      </c>
      <c r="AB2" s="30" t="s">
        <v>10</v>
      </c>
      <c r="AC2" s="34" t="s">
        <v>11</v>
      </c>
      <c r="AD2" s="43" t="s">
        <v>71</v>
      </c>
      <c r="AJ2" s="74"/>
    </row>
    <row r="3" spans="1:36" ht="15.75" x14ac:dyDescent="0.25">
      <c r="A3" s="2" t="s">
        <v>29</v>
      </c>
      <c r="B3" s="3"/>
      <c r="C3" s="4"/>
      <c r="D3" s="5"/>
      <c r="E3" s="5"/>
      <c r="F3" s="5"/>
      <c r="G3" s="10"/>
      <c r="H3" s="1"/>
      <c r="I3" s="6"/>
      <c r="J3" s="6"/>
      <c r="K3" s="6"/>
      <c r="L3" s="6"/>
      <c r="M3" s="6"/>
      <c r="N3" s="38"/>
      <c r="O3" s="41"/>
      <c r="P3" s="2"/>
      <c r="Q3" s="2"/>
      <c r="R3" s="2"/>
      <c r="S3" s="2"/>
      <c r="T3" s="2"/>
      <c r="U3" s="8"/>
      <c r="V3" s="21"/>
      <c r="W3" s="21"/>
      <c r="X3" s="21"/>
      <c r="Y3" s="21"/>
      <c r="Z3" s="21"/>
      <c r="AA3" s="13">
        <v>2.21</v>
      </c>
      <c r="AB3" s="7">
        <v>224</v>
      </c>
      <c r="AC3" s="9">
        <v>3.125E-2</v>
      </c>
      <c r="AD3">
        <f>MONTH(T_Sport[[#This Row],[Dates]])</f>
        <v>9</v>
      </c>
      <c r="AJ3" t="s">
        <v>79</v>
      </c>
    </row>
    <row r="4" spans="1:36" ht="15.75" x14ac:dyDescent="0.25">
      <c r="A4" s="2" t="s">
        <v>30</v>
      </c>
      <c r="B4" s="3"/>
      <c r="C4" s="4"/>
      <c r="D4" s="5"/>
      <c r="E4" s="5"/>
      <c r="F4" s="5"/>
      <c r="G4" s="10"/>
      <c r="H4" s="1"/>
      <c r="I4" s="6"/>
      <c r="J4" s="6"/>
      <c r="K4" s="6"/>
      <c r="L4" s="6"/>
      <c r="M4" s="6"/>
      <c r="N4" s="38"/>
      <c r="O4" s="41"/>
      <c r="P4" s="2"/>
      <c r="Q4" s="2"/>
      <c r="R4" s="2"/>
      <c r="S4" s="2"/>
      <c r="T4" s="2"/>
      <c r="U4" s="8"/>
      <c r="V4" s="21"/>
      <c r="W4" s="21"/>
      <c r="X4" s="21"/>
      <c r="Y4" s="21"/>
      <c r="Z4" s="21"/>
      <c r="AA4" s="13">
        <v>3.32</v>
      </c>
      <c r="AB4" s="7">
        <v>420</v>
      </c>
      <c r="AC4" s="9">
        <v>5.8333333333333334E-2</v>
      </c>
      <c r="AD4">
        <f>MONTH(T_Sport[[#This Row],[Dates]])</f>
        <v>9</v>
      </c>
      <c r="AJ4" t="s">
        <v>76</v>
      </c>
    </row>
    <row r="5" spans="1:36" ht="15.75" x14ac:dyDescent="0.25">
      <c r="A5" s="2" t="s">
        <v>31</v>
      </c>
      <c r="B5" s="3"/>
      <c r="C5" s="4"/>
      <c r="D5" s="5"/>
      <c r="E5" s="5"/>
      <c r="F5" s="5"/>
      <c r="G5" s="10"/>
      <c r="H5" s="1"/>
      <c r="I5" s="6"/>
      <c r="J5" s="6"/>
      <c r="K5" s="6"/>
      <c r="L5" s="6"/>
      <c r="M5" s="6"/>
      <c r="N5" s="38"/>
      <c r="O5" s="41"/>
      <c r="P5" s="2"/>
      <c r="Q5" s="2"/>
      <c r="R5" s="2"/>
      <c r="S5" s="2"/>
      <c r="T5" s="2"/>
      <c r="U5" s="8"/>
      <c r="V5" s="21"/>
      <c r="W5" s="21"/>
      <c r="X5" s="21"/>
      <c r="Y5" s="21"/>
      <c r="Z5" s="21"/>
      <c r="AA5" s="13">
        <v>3.09</v>
      </c>
      <c r="AB5" s="7">
        <v>293</v>
      </c>
      <c r="AC5" s="9">
        <v>0.05</v>
      </c>
      <c r="AD5">
        <f>MONTH(T_Sport[[#This Row],[Dates]])</f>
        <v>9</v>
      </c>
      <c r="AJ5" t="s">
        <v>77</v>
      </c>
    </row>
    <row r="6" spans="1:36" ht="15.75" x14ac:dyDescent="0.25">
      <c r="A6" s="2" t="s">
        <v>32</v>
      </c>
      <c r="B6" s="3"/>
      <c r="C6" s="4"/>
      <c r="D6" s="5"/>
      <c r="E6" s="5"/>
      <c r="F6" s="5"/>
      <c r="G6" s="10"/>
      <c r="H6" s="1"/>
      <c r="I6" s="6"/>
      <c r="J6" s="6"/>
      <c r="K6" s="6"/>
      <c r="L6" s="6"/>
      <c r="M6" s="6"/>
      <c r="N6" s="38"/>
      <c r="O6" s="41"/>
      <c r="P6" s="2"/>
      <c r="Q6" s="2"/>
      <c r="R6" s="2"/>
      <c r="S6" s="2"/>
      <c r="T6" s="2"/>
      <c r="U6" s="8"/>
      <c r="V6" s="21"/>
      <c r="W6" s="21"/>
      <c r="X6" s="21"/>
      <c r="Y6" s="21"/>
      <c r="Z6" s="21"/>
      <c r="AA6" s="13">
        <v>1.64</v>
      </c>
      <c r="AB6" s="7">
        <v>301</v>
      </c>
      <c r="AC6" s="9">
        <v>3.6111111111111108E-2</v>
      </c>
      <c r="AD6">
        <f>MONTH(T_Sport[[#This Row],[Dates]])</f>
        <v>9</v>
      </c>
      <c r="AJ6" t="s">
        <v>78</v>
      </c>
    </row>
    <row r="7" spans="1:36" ht="15.75" x14ac:dyDescent="0.25">
      <c r="A7" s="2" t="s">
        <v>33</v>
      </c>
      <c r="B7" s="3"/>
      <c r="C7" s="4"/>
      <c r="D7" s="5"/>
      <c r="E7" s="5"/>
      <c r="F7" s="5"/>
      <c r="G7" s="10"/>
      <c r="H7" s="1"/>
      <c r="I7" s="6"/>
      <c r="J7" s="6"/>
      <c r="K7" s="6"/>
      <c r="L7" s="6"/>
      <c r="M7" s="6"/>
      <c r="N7" s="38"/>
      <c r="O7" s="41"/>
      <c r="P7" s="2"/>
      <c r="Q7" s="2"/>
      <c r="R7" s="2"/>
      <c r="S7" s="2"/>
      <c r="T7" s="2"/>
      <c r="U7" s="8"/>
      <c r="V7" s="21"/>
      <c r="W7" s="21"/>
      <c r="X7" s="21"/>
      <c r="Y7" s="21"/>
      <c r="Z7" s="21"/>
      <c r="AA7" s="13">
        <v>2.25</v>
      </c>
      <c r="AB7" s="7">
        <v>272</v>
      </c>
      <c r="AC7" s="9">
        <v>3.125E-2</v>
      </c>
      <c r="AD7">
        <f>MONTH(T_Sport[[#This Row],[Dates]])</f>
        <v>9</v>
      </c>
      <c r="AJ7" t="s">
        <v>80</v>
      </c>
    </row>
    <row r="8" spans="1:36" ht="15.75" x14ac:dyDescent="0.25">
      <c r="A8" s="2" t="s">
        <v>34</v>
      </c>
      <c r="B8" s="3">
        <v>158</v>
      </c>
      <c r="C8" s="4">
        <v>1.7</v>
      </c>
      <c r="D8" s="5">
        <v>3</v>
      </c>
      <c r="E8" s="5">
        <v>3.4</v>
      </c>
      <c r="F8" s="5"/>
      <c r="G8" s="10"/>
      <c r="H8" s="1">
        <v>2.0833333333333332E-2</v>
      </c>
      <c r="I8" s="6">
        <v>3</v>
      </c>
      <c r="J8" s="6">
        <v>3</v>
      </c>
      <c r="K8" s="6">
        <v>3</v>
      </c>
      <c r="L8" s="6">
        <v>3</v>
      </c>
      <c r="M8" s="6">
        <v>3</v>
      </c>
      <c r="N8" s="38">
        <v>3</v>
      </c>
      <c r="O8" s="41"/>
      <c r="P8" s="2"/>
      <c r="Q8" s="2"/>
      <c r="R8" s="2"/>
      <c r="S8" s="2"/>
      <c r="T8" s="2"/>
      <c r="U8" s="8"/>
      <c r="V8" s="21"/>
      <c r="W8" s="21"/>
      <c r="X8" s="21"/>
      <c r="Y8" s="21"/>
      <c r="Z8" s="21">
        <v>30</v>
      </c>
      <c r="AA8" s="13">
        <v>2.5299999999999998</v>
      </c>
      <c r="AB8" s="7">
        <v>343</v>
      </c>
      <c r="AC8" s="9">
        <v>4.1666666666666664E-2</v>
      </c>
      <c r="AD8">
        <f>MONTH(T_Sport[[#This Row],[Dates]])</f>
        <v>9</v>
      </c>
    </row>
    <row r="9" spans="1:36" ht="15.75" x14ac:dyDescent="0.25">
      <c r="A9" s="2" t="s">
        <v>35</v>
      </c>
      <c r="B9" s="3"/>
      <c r="C9" s="4"/>
      <c r="D9" s="5"/>
      <c r="E9" s="5"/>
      <c r="F9" s="5"/>
      <c r="G9" s="10"/>
      <c r="H9" s="1"/>
      <c r="I9" s="6">
        <v>3</v>
      </c>
      <c r="J9" s="6">
        <v>3</v>
      </c>
      <c r="K9" s="6">
        <v>3</v>
      </c>
      <c r="L9" s="6"/>
      <c r="M9" s="6"/>
      <c r="N9" s="38">
        <v>3</v>
      </c>
      <c r="O9" s="41">
        <v>3</v>
      </c>
      <c r="P9" s="2">
        <v>3</v>
      </c>
      <c r="Q9" s="2">
        <v>3</v>
      </c>
      <c r="R9" s="2">
        <v>3</v>
      </c>
      <c r="S9" s="2">
        <v>3</v>
      </c>
      <c r="T9" s="2">
        <v>3</v>
      </c>
      <c r="U9" s="8"/>
      <c r="V9" s="21"/>
      <c r="W9" s="21"/>
      <c r="X9" s="21"/>
      <c r="Y9" s="21"/>
      <c r="Z9" s="21">
        <v>90</v>
      </c>
      <c r="AA9" s="13">
        <v>2.04</v>
      </c>
      <c r="AB9" s="7">
        <v>196</v>
      </c>
      <c r="AC9" s="9">
        <v>3.125E-2</v>
      </c>
      <c r="AD9">
        <f>MONTH(T_Sport[[#This Row],[Dates]])</f>
        <v>9</v>
      </c>
    </row>
    <row r="10" spans="1:36" ht="15.75" x14ac:dyDescent="0.25">
      <c r="A10" s="2" t="s">
        <v>50</v>
      </c>
      <c r="B10" s="3">
        <v>227</v>
      </c>
      <c r="C10" s="4">
        <v>2</v>
      </c>
      <c r="D10" s="5">
        <v>3</v>
      </c>
      <c r="E10" s="5">
        <v>3.3</v>
      </c>
      <c r="F10" s="5"/>
      <c r="G10" s="10"/>
      <c r="H10" s="1">
        <v>3.125E-2</v>
      </c>
      <c r="I10" s="6"/>
      <c r="J10" s="6"/>
      <c r="K10" s="6"/>
      <c r="L10" s="6"/>
      <c r="M10" s="6"/>
      <c r="N10" s="38"/>
      <c r="O10" s="41"/>
      <c r="P10" s="2"/>
      <c r="Q10" s="2"/>
      <c r="R10" s="2"/>
      <c r="S10" s="2"/>
      <c r="T10" s="2"/>
      <c r="U10" s="8"/>
      <c r="V10" s="21"/>
      <c r="W10" s="21"/>
      <c r="X10" s="21"/>
      <c r="Y10" s="21"/>
      <c r="Z10" s="21"/>
      <c r="AA10" s="13">
        <v>2.2000000000000002</v>
      </c>
      <c r="AB10" s="7">
        <v>237</v>
      </c>
      <c r="AC10" s="9">
        <v>2.7777777777777776E-2</v>
      </c>
      <c r="AD10">
        <f>MONTH(T_Sport[[#This Row],[Dates]])</f>
        <v>9</v>
      </c>
    </row>
    <row r="11" spans="1:36" ht="15.75" x14ac:dyDescent="0.25">
      <c r="A11" s="2" t="s">
        <v>51</v>
      </c>
      <c r="B11" s="3"/>
      <c r="C11" s="4"/>
      <c r="D11" s="5"/>
      <c r="E11" s="5"/>
      <c r="F11" s="5"/>
      <c r="G11" s="10"/>
      <c r="H11" s="1"/>
      <c r="I11" s="6"/>
      <c r="J11" s="6">
        <v>3</v>
      </c>
      <c r="K11" s="6">
        <v>3</v>
      </c>
      <c r="L11" s="6"/>
      <c r="M11" s="6">
        <v>3</v>
      </c>
      <c r="N11" s="38">
        <v>3</v>
      </c>
      <c r="O11" s="41">
        <v>3</v>
      </c>
      <c r="P11" s="2">
        <v>3</v>
      </c>
      <c r="Q11" s="2"/>
      <c r="R11" s="2">
        <v>3</v>
      </c>
      <c r="S11" s="2">
        <v>3</v>
      </c>
      <c r="T11" s="2">
        <v>3</v>
      </c>
      <c r="U11" s="8">
        <v>3</v>
      </c>
      <c r="V11" s="21"/>
      <c r="W11" s="21"/>
      <c r="X11" s="21"/>
      <c r="Y11" s="21"/>
      <c r="Z11" s="21">
        <v>90</v>
      </c>
      <c r="AA11" s="13">
        <v>3.31</v>
      </c>
      <c r="AB11" s="7">
        <v>302</v>
      </c>
      <c r="AC11" s="9">
        <v>3.1944444444444442E-2</v>
      </c>
      <c r="AD11">
        <f>MONTH(T_Sport[[#This Row],[Dates]])</f>
        <v>9</v>
      </c>
    </row>
    <row r="12" spans="1:36" ht="15.75" x14ac:dyDescent="0.25">
      <c r="A12" s="2" t="s">
        <v>52</v>
      </c>
      <c r="B12" s="3"/>
      <c r="C12" s="4"/>
      <c r="D12" s="5"/>
      <c r="E12" s="5"/>
      <c r="F12" s="5"/>
      <c r="G12" s="10"/>
      <c r="H12" s="1"/>
      <c r="I12" s="6"/>
      <c r="J12" s="6"/>
      <c r="K12" s="6"/>
      <c r="L12" s="6"/>
      <c r="M12" s="6"/>
      <c r="N12" s="38"/>
      <c r="O12" s="41"/>
      <c r="P12" s="2"/>
      <c r="Q12" s="2"/>
      <c r="R12" s="2"/>
      <c r="S12" s="2"/>
      <c r="T12" s="2"/>
      <c r="U12" s="8"/>
      <c r="V12" s="21"/>
      <c r="W12" s="21"/>
      <c r="X12" s="21"/>
      <c r="Y12" s="21"/>
      <c r="Z12" s="21"/>
      <c r="AA12" s="13">
        <v>3.09</v>
      </c>
      <c r="AB12" s="7">
        <v>437</v>
      </c>
      <c r="AC12" s="9">
        <v>4.7222222222222221E-2</v>
      </c>
      <c r="AD12">
        <f>MONTH(T_Sport[[#This Row],[Dates]])</f>
        <v>9</v>
      </c>
    </row>
    <row r="13" spans="1:36" ht="15.75" x14ac:dyDescent="0.25">
      <c r="A13" s="2" t="s">
        <v>53</v>
      </c>
      <c r="B13" s="3"/>
      <c r="C13" s="4"/>
      <c r="D13" s="5"/>
      <c r="E13" s="5"/>
      <c r="F13" s="5"/>
      <c r="G13" s="10"/>
      <c r="H13" s="1"/>
      <c r="I13" s="6"/>
      <c r="J13" s="6"/>
      <c r="K13" s="6"/>
      <c r="L13" s="6"/>
      <c r="M13" s="6"/>
      <c r="N13" s="38"/>
      <c r="O13" s="41"/>
      <c r="P13" s="2"/>
      <c r="Q13" s="2"/>
      <c r="R13" s="2"/>
      <c r="S13" s="2"/>
      <c r="T13" s="2"/>
      <c r="U13" s="8"/>
      <c r="V13" s="21"/>
      <c r="W13" s="21"/>
      <c r="X13" s="21"/>
      <c r="Y13" s="21"/>
      <c r="Z13" s="21"/>
      <c r="AA13" s="13">
        <v>1.9</v>
      </c>
      <c r="AB13" s="7">
        <v>215</v>
      </c>
      <c r="AC13" s="9">
        <v>3.3333333333333333E-2</v>
      </c>
      <c r="AD13">
        <f>MONTH(T_Sport[[#This Row],[Dates]])</f>
        <v>9</v>
      </c>
    </row>
    <row r="14" spans="1:36" ht="15.75" x14ac:dyDescent="0.25">
      <c r="A14" s="2" t="s">
        <v>54</v>
      </c>
      <c r="B14" s="3"/>
      <c r="C14" s="4"/>
      <c r="D14" s="5"/>
      <c r="E14" s="5"/>
      <c r="F14" s="5"/>
      <c r="G14" s="10"/>
      <c r="H14" s="1"/>
      <c r="I14" s="6"/>
      <c r="J14" s="6"/>
      <c r="K14" s="6"/>
      <c r="L14" s="6"/>
      <c r="M14" s="6"/>
      <c r="N14" s="38"/>
      <c r="O14" s="41"/>
      <c r="P14" s="2"/>
      <c r="Q14" s="2"/>
      <c r="R14" s="2"/>
      <c r="S14" s="2"/>
      <c r="T14" s="2"/>
      <c r="U14" s="8"/>
      <c r="V14" s="21"/>
      <c r="W14" s="21"/>
      <c r="X14" s="21"/>
      <c r="Y14" s="21"/>
      <c r="Z14" s="21"/>
      <c r="AA14" s="13">
        <v>2.35</v>
      </c>
      <c r="AB14" s="7">
        <v>306</v>
      </c>
      <c r="AC14" s="9">
        <v>4.791666666666667E-2</v>
      </c>
      <c r="AD14">
        <f>MONTH(T_Sport[[#This Row],[Dates]])</f>
        <v>9</v>
      </c>
    </row>
    <row r="15" spans="1:36" ht="15.75" x14ac:dyDescent="0.25">
      <c r="A15" s="2" t="s">
        <v>55</v>
      </c>
      <c r="B15" s="3"/>
      <c r="C15" s="4"/>
      <c r="D15" s="5"/>
      <c r="E15" s="5"/>
      <c r="F15" s="5"/>
      <c r="G15" s="10"/>
      <c r="H15" s="1"/>
      <c r="I15" s="6"/>
      <c r="J15" s="6">
        <v>3</v>
      </c>
      <c r="K15" s="6">
        <v>3</v>
      </c>
      <c r="L15" s="6"/>
      <c r="M15" s="6"/>
      <c r="N15" s="38">
        <v>3</v>
      </c>
      <c r="O15" s="41">
        <v>3</v>
      </c>
      <c r="P15" s="2">
        <v>3</v>
      </c>
      <c r="Q15" s="2"/>
      <c r="R15" s="2"/>
      <c r="S15" s="2">
        <v>3</v>
      </c>
      <c r="T15" s="2">
        <v>3</v>
      </c>
      <c r="U15" s="8">
        <v>3</v>
      </c>
      <c r="V15" s="21"/>
      <c r="W15" s="21"/>
      <c r="X15" s="21"/>
      <c r="Y15" s="21"/>
      <c r="Z15" s="21">
        <v>120</v>
      </c>
      <c r="AA15" s="13">
        <v>1.55</v>
      </c>
      <c r="AB15" s="7">
        <v>235</v>
      </c>
      <c r="AC15" s="9">
        <v>2.7777777777777776E-2</v>
      </c>
      <c r="AD15">
        <f>MONTH(T_Sport[[#This Row],[Dates]])</f>
        <v>9</v>
      </c>
    </row>
    <row r="16" spans="1:36" ht="15.75" x14ac:dyDescent="0.25">
      <c r="A16" s="2" t="s">
        <v>56</v>
      </c>
      <c r="B16" s="3">
        <v>247</v>
      </c>
      <c r="C16" s="4">
        <v>2.5</v>
      </c>
      <c r="D16" s="5">
        <v>4</v>
      </c>
      <c r="E16" s="5">
        <v>3.4</v>
      </c>
      <c r="F16" s="5"/>
      <c r="G16" s="10"/>
      <c r="H16" s="1">
        <v>3.125E-2</v>
      </c>
      <c r="I16" s="6"/>
      <c r="J16" s="6"/>
      <c r="K16" s="6"/>
      <c r="L16" s="6"/>
      <c r="M16" s="6"/>
      <c r="N16" s="38"/>
      <c r="O16" s="41"/>
      <c r="P16" s="2"/>
      <c r="Q16" s="2"/>
      <c r="R16" s="2"/>
      <c r="S16" s="2"/>
      <c r="T16" s="2"/>
      <c r="U16" s="8"/>
      <c r="V16" s="21"/>
      <c r="W16" s="21"/>
      <c r="X16" s="21"/>
      <c r="Y16" s="21"/>
      <c r="Z16" s="21"/>
      <c r="AA16" s="13">
        <v>2.64</v>
      </c>
      <c r="AB16" s="7">
        <v>301</v>
      </c>
      <c r="AC16" s="9">
        <v>4.1666666666666664E-2</v>
      </c>
      <c r="AD16">
        <f>MONTH(T_Sport[[#This Row],[Dates]])</f>
        <v>9</v>
      </c>
    </row>
    <row r="17" spans="1:30" ht="15.75" x14ac:dyDescent="0.25">
      <c r="A17" s="2" t="s">
        <v>57</v>
      </c>
      <c r="B17" s="3"/>
      <c r="C17" s="4"/>
      <c r="D17" s="5"/>
      <c r="E17" s="5"/>
      <c r="F17" s="5"/>
      <c r="G17" s="10"/>
      <c r="H17" s="1"/>
      <c r="I17" s="6"/>
      <c r="J17" s="6">
        <v>3</v>
      </c>
      <c r="K17" s="6">
        <v>3</v>
      </c>
      <c r="L17" s="6"/>
      <c r="M17" s="6"/>
      <c r="N17" s="38">
        <v>3</v>
      </c>
      <c r="O17" s="41">
        <v>3</v>
      </c>
      <c r="P17" s="58">
        <v>3</v>
      </c>
      <c r="Q17" s="2"/>
      <c r="R17" s="2"/>
      <c r="S17" s="2">
        <v>3</v>
      </c>
      <c r="T17" s="2">
        <v>3</v>
      </c>
      <c r="U17" s="8">
        <v>3</v>
      </c>
      <c r="V17" s="21"/>
      <c r="W17" s="21"/>
      <c r="X17" s="21"/>
      <c r="Y17" s="21"/>
      <c r="Z17" s="21"/>
      <c r="AA17" s="13">
        <v>2.0499999999999998</v>
      </c>
      <c r="AB17" s="7">
        <v>208</v>
      </c>
      <c r="AC17" s="9">
        <v>4.4444444444444446E-2</v>
      </c>
      <c r="AD17">
        <f>MONTH(T_Sport[[#This Row],[Dates]])</f>
        <v>9</v>
      </c>
    </row>
    <row r="18" spans="1:30" ht="15.75" x14ac:dyDescent="0.25">
      <c r="A18" s="2" t="s">
        <v>58</v>
      </c>
      <c r="B18" s="3">
        <v>105</v>
      </c>
      <c r="C18" s="4">
        <v>1.1000000000000001</v>
      </c>
      <c r="D18" s="5">
        <v>4</v>
      </c>
      <c r="E18" s="5">
        <v>32</v>
      </c>
      <c r="F18" s="5"/>
      <c r="G18" s="10"/>
      <c r="H18" s="1">
        <v>1.3888888888888888E-2</v>
      </c>
      <c r="I18" s="6"/>
      <c r="J18" s="6"/>
      <c r="K18" s="6"/>
      <c r="L18" s="6"/>
      <c r="M18" s="6"/>
      <c r="N18" s="38"/>
      <c r="O18" s="41"/>
      <c r="P18" s="2"/>
      <c r="Q18" s="2"/>
      <c r="R18" s="2"/>
      <c r="S18" s="2"/>
      <c r="T18" s="2"/>
      <c r="U18" s="8"/>
      <c r="V18" s="21"/>
      <c r="W18" s="21"/>
      <c r="X18" s="21"/>
      <c r="Y18" s="21"/>
      <c r="Z18" s="21"/>
      <c r="AA18" s="13">
        <v>2</v>
      </c>
      <c r="AB18" s="7">
        <v>221</v>
      </c>
      <c r="AC18" s="9">
        <v>3.1944444444444442E-2</v>
      </c>
      <c r="AD18">
        <f>MONTH(T_Sport[[#This Row],[Dates]])</f>
        <v>9</v>
      </c>
    </row>
    <row r="19" spans="1:30" ht="15.75" x14ac:dyDescent="0.25">
      <c r="A19" s="2" t="s">
        <v>59</v>
      </c>
      <c r="B19" s="3"/>
      <c r="C19" s="4"/>
      <c r="D19" s="5"/>
      <c r="E19" s="5"/>
      <c r="F19" s="5"/>
      <c r="G19" s="10"/>
      <c r="H19" s="1"/>
      <c r="I19" s="6"/>
      <c r="J19" s="6">
        <v>3</v>
      </c>
      <c r="K19" s="6">
        <v>3</v>
      </c>
      <c r="L19" s="6"/>
      <c r="M19" s="6"/>
      <c r="N19" s="38">
        <v>3</v>
      </c>
      <c r="O19" s="41">
        <v>3</v>
      </c>
      <c r="P19" s="2">
        <v>3</v>
      </c>
      <c r="Q19" s="2"/>
      <c r="R19" s="2">
        <v>3</v>
      </c>
      <c r="S19" s="2">
        <v>3</v>
      </c>
      <c r="T19" s="2">
        <v>3</v>
      </c>
      <c r="U19" s="8">
        <v>3</v>
      </c>
      <c r="V19" s="21"/>
      <c r="W19" s="21"/>
      <c r="X19" s="21"/>
      <c r="Y19" s="21"/>
      <c r="Z19" s="21">
        <v>120</v>
      </c>
      <c r="AA19" s="13">
        <v>3.09</v>
      </c>
      <c r="AB19" s="7">
        <v>426</v>
      </c>
      <c r="AC19" s="9">
        <v>5.6250000000000001E-2</v>
      </c>
      <c r="AD19">
        <f>MONTH(T_Sport[[#This Row],[Dates]])</f>
        <v>9</v>
      </c>
    </row>
    <row r="20" spans="1:30" ht="15.75" x14ac:dyDescent="0.25">
      <c r="A20" s="2" t="s">
        <v>60</v>
      </c>
      <c r="B20" s="3"/>
      <c r="C20" s="4"/>
      <c r="D20" s="5"/>
      <c r="E20" s="5"/>
      <c r="F20" s="5"/>
      <c r="G20" s="10"/>
      <c r="H20" s="1"/>
      <c r="I20" s="6"/>
      <c r="J20" s="6"/>
      <c r="K20" s="6"/>
      <c r="L20" s="6"/>
      <c r="M20" s="6"/>
      <c r="N20" s="38"/>
      <c r="O20" s="41"/>
      <c r="P20" s="2"/>
      <c r="Q20" s="2"/>
      <c r="R20" s="2"/>
      <c r="S20" s="2"/>
      <c r="T20" s="2"/>
      <c r="U20" s="8"/>
      <c r="V20" s="21"/>
      <c r="W20" s="21"/>
      <c r="X20" s="21"/>
      <c r="Y20" s="21"/>
      <c r="Z20" s="21"/>
      <c r="AA20" s="13">
        <v>2.4300000000000002</v>
      </c>
      <c r="AB20" s="7">
        <v>238</v>
      </c>
      <c r="AC20" s="9">
        <v>4.7222222222222221E-2</v>
      </c>
      <c r="AD20">
        <f>MONTH(T_Sport[[#This Row],[Dates]])</f>
        <v>9</v>
      </c>
    </row>
    <row r="21" spans="1:30" ht="15.75" x14ac:dyDescent="0.25">
      <c r="A21" s="2" t="s">
        <v>61</v>
      </c>
      <c r="B21" s="3"/>
      <c r="C21" s="4"/>
      <c r="D21" s="5"/>
      <c r="E21" s="5"/>
      <c r="F21" s="5"/>
      <c r="G21" s="10"/>
      <c r="H21" s="1"/>
      <c r="I21" s="6"/>
      <c r="J21" s="6"/>
      <c r="K21" s="6"/>
      <c r="L21" s="6"/>
      <c r="M21" s="6"/>
      <c r="N21" s="38"/>
      <c r="O21" s="41"/>
      <c r="P21" s="2"/>
      <c r="Q21" s="2"/>
      <c r="R21" s="2"/>
      <c r="S21" s="2"/>
      <c r="T21" s="2"/>
      <c r="U21" s="8"/>
      <c r="V21" s="21"/>
      <c r="W21" s="21"/>
      <c r="X21" s="21"/>
      <c r="Y21" s="21"/>
      <c r="Z21" s="21"/>
      <c r="AA21" s="13">
        <v>2.16</v>
      </c>
      <c r="AB21" s="7">
        <v>250</v>
      </c>
      <c r="AC21" s="9">
        <v>4.1666666666666664E-2</v>
      </c>
      <c r="AD21">
        <f>MONTH(T_Sport[[#This Row],[Dates]])</f>
        <v>9</v>
      </c>
    </row>
    <row r="22" spans="1:30" ht="15.75" x14ac:dyDescent="0.25">
      <c r="A22" s="2" t="s">
        <v>62</v>
      </c>
      <c r="B22" s="3"/>
      <c r="C22" s="4"/>
      <c r="D22" s="5"/>
      <c r="E22" s="5"/>
      <c r="F22" s="5"/>
      <c r="G22" s="10"/>
      <c r="H22" s="1"/>
      <c r="I22" s="6"/>
      <c r="J22" s="6">
        <v>3</v>
      </c>
      <c r="K22" s="6">
        <v>3</v>
      </c>
      <c r="L22" s="6"/>
      <c r="M22" s="6"/>
      <c r="N22" s="38">
        <v>3</v>
      </c>
      <c r="O22" s="41">
        <v>3</v>
      </c>
      <c r="P22" s="2">
        <v>3</v>
      </c>
      <c r="Q22" s="2"/>
      <c r="R22" s="2"/>
      <c r="S22" s="2">
        <v>3</v>
      </c>
      <c r="T22" s="2">
        <v>3</v>
      </c>
      <c r="U22" s="8">
        <v>3</v>
      </c>
      <c r="V22" s="21"/>
      <c r="W22" s="21"/>
      <c r="X22" s="21"/>
      <c r="Y22" s="21"/>
      <c r="Z22" s="21">
        <v>60</v>
      </c>
      <c r="AA22" s="13">
        <v>2.39</v>
      </c>
      <c r="AB22" s="7">
        <v>295</v>
      </c>
      <c r="AC22" s="9">
        <v>4.1666666666666664E-2</v>
      </c>
      <c r="AD22">
        <f>MONTH(T_Sport[[#This Row],[Dates]])</f>
        <v>9</v>
      </c>
    </row>
    <row r="23" spans="1:30" ht="15.75" x14ac:dyDescent="0.25">
      <c r="A23" s="2" t="s">
        <v>63</v>
      </c>
      <c r="B23" s="3">
        <v>150</v>
      </c>
      <c r="C23" s="4">
        <v>1.3</v>
      </c>
      <c r="D23" s="5">
        <v>4</v>
      </c>
      <c r="E23" s="5">
        <v>32</v>
      </c>
      <c r="F23" s="5"/>
      <c r="G23" s="10"/>
      <c r="H23" s="1">
        <v>2.0833333333333332E-2</v>
      </c>
      <c r="I23" s="6"/>
      <c r="J23" s="6"/>
      <c r="K23" s="6"/>
      <c r="L23" s="6"/>
      <c r="M23" s="6"/>
      <c r="N23" s="38"/>
      <c r="O23" s="41"/>
      <c r="P23" s="2"/>
      <c r="Q23" s="2"/>
      <c r="R23" s="2"/>
      <c r="S23" s="2"/>
      <c r="T23" s="2"/>
      <c r="U23" s="8"/>
      <c r="V23" s="21"/>
      <c r="W23" s="21"/>
      <c r="X23" s="21"/>
      <c r="Y23" s="21"/>
      <c r="Z23" s="21"/>
      <c r="AA23" s="13">
        <v>2.35</v>
      </c>
      <c r="AB23" s="7">
        <v>210</v>
      </c>
      <c r="AC23" s="9">
        <v>4.1666666666666664E-2</v>
      </c>
      <c r="AD23">
        <f>MONTH(T_Sport[[#This Row],[Dates]])</f>
        <v>9</v>
      </c>
    </row>
    <row r="24" spans="1:30" ht="15.75" x14ac:dyDescent="0.25">
      <c r="A24" s="2" t="s">
        <v>64</v>
      </c>
      <c r="B24" s="3"/>
      <c r="C24" s="4"/>
      <c r="D24" s="5"/>
      <c r="E24" s="5"/>
      <c r="F24" s="5"/>
      <c r="G24" s="10"/>
      <c r="H24" s="1"/>
      <c r="I24" s="6">
        <v>3</v>
      </c>
      <c r="J24" s="6">
        <v>3</v>
      </c>
      <c r="K24" s="6">
        <v>3</v>
      </c>
      <c r="L24" s="6">
        <v>3</v>
      </c>
      <c r="M24" s="6"/>
      <c r="N24" s="38">
        <v>3</v>
      </c>
      <c r="O24" s="41">
        <v>3</v>
      </c>
      <c r="P24" s="2"/>
      <c r="Q24" s="2"/>
      <c r="R24" s="2"/>
      <c r="S24" s="2">
        <v>3</v>
      </c>
      <c r="T24" s="2">
        <v>3</v>
      </c>
      <c r="U24" s="8">
        <v>3</v>
      </c>
      <c r="V24" s="21"/>
      <c r="W24" s="21"/>
      <c r="X24" s="21"/>
      <c r="Y24" s="21"/>
      <c r="Z24" s="21"/>
      <c r="AA24" s="13">
        <v>2.31</v>
      </c>
      <c r="AB24" s="7">
        <v>339</v>
      </c>
      <c r="AC24" s="9">
        <v>3.6805555555555557E-2</v>
      </c>
      <c r="AD24">
        <f>MONTH(T_Sport[[#This Row],[Dates]])</f>
        <v>9</v>
      </c>
    </row>
    <row r="25" spans="1:30" ht="15.75" x14ac:dyDescent="0.25">
      <c r="A25" s="2" t="s">
        <v>74</v>
      </c>
      <c r="B25" s="3">
        <v>167</v>
      </c>
      <c r="C25" s="4">
        <v>1.7</v>
      </c>
      <c r="D25" s="5">
        <v>4</v>
      </c>
      <c r="E25" s="5">
        <v>3.5</v>
      </c>
      <c r="F25" s="5"/>
      <c r="G25" s="10"/>
      <c r="H25" s="1">
        <v>2.0833333333333332E-2</v>
      </c>
      <c r="I25" s="6"/>
      <c r="J25" s="6"/>
      <c r="K25" s="6"/>
      <c r="L25" s="6"/>
      <c r="M25" s="6"/>
      <c r="N25" s="7"/>
      <c r="O25" s="41"/>
      <c r="P25" s="2"/>
      <c r="Q25" s="2"/>
      <c r="R25" s="2"/>
      <c r="S25" s="2"/>
      <c r="T25" s="2"/>
      <c r="U25" s="8"/>
      <c r="V25" s="59"/>
      <c r="W25" s="59"/>
      <c r="X25" s="59"/>
      <c r="Y25" s="59"/>
      <c r="Z25" s="21"/>
      <c r="AA25" s="13">
        <v>2.14</v>
      </c>
      <c r="AB25" s="7">
        <v>238</v>
      </c>
      <c r="AC25" s="9">
        <v>4.1666666666666664E-2</v>
      </c>
      <c r="AD25">
        <f>MONTH(T_Sport[[#This Row],[Dates]])</f>
        <v>9</v>
      </c>
    </row>
    <row r="26" spans="1:30" ht="15.75" x14ac:dyDescent="0.25">
      <c r="A26" s="14" t="s">
        <v>13</v>
      </c>
      <c r="B26" s="15">
        <f>SUM(T_Sport[Kcal])</f>
        <v>1054</v>
      </c>
      <c r="C26" s="16">
        <f>SUBTOTAL(109,T_Sport[km])</f>
        <v>10.3</v>
      </c>
      <c r="D26" s="17">
        <f>SUBTOTAL(103,T_Sport[resist])</f>
        <v>6</v>
      </c>
      <c r="E26" s="17">
        <f>SUBTOTAL(103,T_Sport[km/h])</f>
        <v>6</v>
      </c>
      <c r="F26" s="17">
        <f>SUBTOTAL(103,T_Sport[bpm])</f>
        <v>0</v>
      </c>
      <c r="G26" s="17">
        <f>SUBTOTAL(103,T_Sport[rpm2])</f>
        <v>0</v>
      </c>
      <c r="H26" s="11">
        <f>SUM(T_Sport[Temps])</f>
        <v>0.13888888888888887</v>
      </c>
      <c r="I26" s="18">
        <f>SUM(T_Sport[rowing])*12</f>
        <v>108</v>
      </c>
      <c r="J26" s="18">
        <f>SUM(T_Sport[frontal])*12</f>
        <v>288</v>
      </c>
      <c r="K26" s="18">
        <f>SUM(T_Sport[triceps])*12</f>
        <v>288</v>
      </c>
      <c r="L26" s="18">
        <f>SUM(T_Sport[fentes])*12</f>
        <v>72</v>
      </c>
      <c r="M26" s="18">
        <f>SUM(T_Sport[deadlift])*12</f>
        <v>72</v>
      </c>
      <c r="N26" s="39">
        <f>SUM(T_Sport[biceps])*12</f>
        <v>288</v>
      </c>
      <c r="O26" s="42">
        <f>SUM(T_Sport[laterales])*12</f>
        <v>252</v>
      </c>
      <c r="P26" s="18">
        <f>SUM(T_Sport[epaules])*12</f>
        <v>216</v>
      </c>
      <c r="Q26" s="18">
        <f>SUM(T_Sport[derriere])*12</f>
        <v>36</v>
      </c>
      <c r="R26" s="18">
        <f>SUM(T_Sport[squats])*12</f>
        <v>108</v>
      </c>
      <c r="S26" s="18">
        <f>SUM(T_Sport[couche])*12</f>
        <v>252</v>
      </c>
      <c r="T26" s="18">
        <f>SUM(T_Sport[ecarté])*12</f>
        <v>252</v>
      </c>
      <c r="U26" s="18">
        <f>SUM(T_Sport[incline])*12</f>
        <v>216</v>
      </c>
      <c r="V26" s="18"/>
      <c r="W26" s="18"/>
      <c r="X26" s="18"/>
      <c r="Y26" s="18"/>
      <c r="Z26" s="22">
        <f>SUBTOTAL(109,T_Sport[abdos])</f>
        <v>510</v>
      </c>
      <c r="AA26" s="19">
        <f>SUBTOTAL(109,T_Sport[[Km ]])</f>
        <v>55.04</v>
      </c>
      <c r="AB26" s="20">
        <f>SUM(T_Sport[[Calories ]])</f>
        <v>6507</v>
      </c>
      <c r="AC26" s="12">
        <f>SUM(T_Sport[Temps4])</f>
        <v>0.92083333333333317</v>
      </c>
      <c r="AD26" s="44"/>
    </row>
  </sheetData>
  <mergeCells count="2">
    <mergeCell ref="AA1:AC1"/>
    <mergeCell ref="B1:H1"/>
  </mergeCells>
  <phoneticPr fontId="7" type="noConversion"/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0</xdr:col>
                <xdr:colOff>57150</xdr:colOff>
                <xdr:row>0</xdr:row>
                <xdr:rowOff>209550</xdr:rowOff>
              </from>
              <to>
                <xdr:col>0</xdr:col>
                <xdr:colOff>1314450</xdr:colOff>
                <xdr:row>0</xdr:row>
                <xdr:rowOff>485775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7" r:id="rId6" name="Label1">
          <controlPr defaultSize="0" autoLine="0" r:id="rId7">
            <anchor moveWithCells="1">
              <from>
                <xdr:col>0</xdr:col>
                <xdr:colOff>0</xdr:colOff>
                <xdr:row>0</xdr:row>
                <xdr:rowOff>19050</xdr:rowOff>
              </from>
              <to>
                <xdr:col>0</xdr:col>
                <xdr:colOff>933450</xdr:colOff>
                <xdr:row>0</xdr:row>
                <xdr:rowOff>238125</xdr:rowOff>
              </to>
            </anchor>
          </controlPr>
        </control>
      </mc:Choice>
      <mc:Fallback>
        <control shapeId="1027" r:id="rId6" name="Label1"/>
      </mc:Fallback>
    </mc:AlternateContent>
  </controls>
  <tableParts count="2"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2026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2024-08-14T08:55:22Z</dcterms:created>
  <dcterms:modified xsi:type="dcterms:W3CDTF">2026-09-25T10:27:07Z</dcterms:modified>
</cp:coreProperties>
</file>