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Nouveau dossier\"/>
    </mc:Choice>
  </mc:AlternateContent>
  <bookViews>
    <workbookView xWindow="0" yWindow="0" windowWidth="23040" windowHeight="11520" activeTab="2"/>
  </bookViews>
  <sheets>
    <sheet name="Saisie Deplt" sheetId="2" r:id="rId1"/>
    <sheet name="Feuil1" sheetId="1" r:id="rId2"/>
    <sheet name="Feuil3" sheetId="3" r:id="rId3"/>
  </sheets>
  <externalReferences>
    <externalReference r:id="rId4"/>
  </externalReferences>
  <definedNames>
    <definedName name="_Commune">[1]!T_Communes[Commune]</definedName>
    <definedName name="_Cv">'Saisie Deplt'!$I$22</definedName>
    <definedName name="_Date">[1]!T_RecapDeplt[DATE]</definedName>
    <definedName name="_DateCourante">'Saisie Deplt'!$I$2</definedName>
    <definedName name="_DateValid">[1]BASES!$I$16:$I$40</definedName>
    <definedName name="_DernDate">[1]BASES!$AQ$12</definedName>
    <definedName name="_EquivVSL">[1]!T_RecapDeplt[Evaluation du 
V S L]</definedName>
    <definedName name="_FraisPERSO">[1]!T_RecapDeplt[Frais Personnel
P E R]</definedName>
    <definedName name="_Km">[1]!T_RecapDeplt[Distance]</definedName>
    <definedName name="_KmPerso">[1]BASES!$T$4</definedName>
    <definedName name="_Logement">[1]!T_RecapDeplt[Logement]</definedName>
    <definedName name="_Matricule_Annuaire">[1]!T_Annuaire[Code 
Unique]</definedName>
    <definedName name="_NomAnnuaire">[1]!T_Annuaire[Nom]</definedName>
    <definedName name="_NomProfess">[1]!T_Profess[Nom]</definedName>
    <definedName name="_OldCommune">[1]!T_Communes[Ancienne commune]</definedName>
    <definedName name="_Park">[1]!T_RecapDeplt[Parking  Péages]</definedName>
    <definedName name="_RbtPERSO">[1]!T_RecapDeplt[Feuille SECU
Rbt - Franchise]</definedName>
    <definedName name="_Repas">[1]!T_RecapDeplt[[Repas ]]</definedName>
    <definedName name="_SecuAjour">[1]BASES!#REF!</definedName>
    <definedName name="_TVA1">[1]BASES!$AR$6</definedName>
    <definedName name="_Type">[1]!T_RecapDeplt[Type
Trans]</definedName>
    <definedName name="T_BaremeKm">[1]BASES!$I$16:$N$40</definedName>
    <definedName name="T_Vehicule">[1]BASES!$X$4:$AB$24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2" l="1"/>
  <c r="I22" i="2"/>
  <c r="D12" i="2" s="1"/>
  <c r="I14" i="2"/>
  <c r="D14" i="2"/>
  <c r="D13" i="2"/>
  <c r="D10" i="2"/>
  <c r="I8" i="2"/>
  <c r="I7" i="2"/>
  <c r="O5" i="2"/>
  <c r="P5" i="2" s="1"/>
  <c r="Q5" i="2" s="1"/>
  <c r="R5" i="2" s="1"/>
  <c r="S5" i="2" s="1"/>
  <c r="T5" i="2" s="1"/>
  <c r="U5" i="2" s="1"/>
  <c r="O6" i="2" s="1"/>
  <c r="I4" i="2"/>
  <c r="I3" i="2"/>
  <c r="O2" i="2"/>
  <c r="Z7" i="1"/>
  <c r="Z6" i="1"/>
  <c r="Z5" i="1"/>
  <c r="R2" i="1"/>
  <c r="Q2" i="1"/>
  <c r="N2" i="1"/>
  <c r="M2" i="1"/>
  <c r="L2" i="1"/>
  <c r="K2" i="1"/>
  <c r="J2" i="1"/>
  <c r="I2" i="1"/>
  <c r="G2" i="1"/>
  <c r="F2" i="1"/>
  <c r="A2" i="1"/>
  <c r="O4" i="2" l="1"/>
  <c r="P6" i="2"/>
  <c r="D15" i="2"/>
  <c r="I9" i="2"/>
  <c r="X16" i="2" s="1"/>
  <c r="D11" i="2"/>
  <c r="I15" i="2" l="1"/>
  <c r="Q6" i="2"/>
  <c r="P4" i="2"/>
  <c r="R6" i="2" l="1"/>
  <c r="Q4" i="2"/>
  <c r="I19" i="2"/>
  <c r="I18" i="2"/>
  <c r="R4" i="2" l="1"/>
  <c r="S6" i="2"/>
  <c r="S4" i="2" l="1"/>
  <c r="T6" i="2"/>
  <c r="T4" i="2" l="1"/>
  <c r="U6" i="2"/>
  <c r="O7" i="2" l="1"/>
  <c r="P7" i="2" s="1"/>
  <c r="Q7" i="2" s="1"/>
  <c r="R7" i="2" s="1"/>
  <c r="S7" i="2" s="1"/>
  <c r="T7" i="2" s="1"/>
  <c r="U7" i="2" s="1"/>
  <c r="O8" i="2" s="1"/>
  <c r="P8" i="2" s="1"/>
  <c r="Q8" i="2" s="1"/>
  <c r="R8" i="2" s="1"/>
  <c r="S8" i="2" s="1"/>
  <c r="T8" i="2" s="1"/>
  <c r="U8" i="2" s="1"/>
  <c r="O9" i="2" s="1"/>
  <c r="P9" i="2" s="1"/>
  <c r="Q9" i="2" s="1"/>
  <c r="R9" i="2" s="1"/>
  <c r="S9" i="2" s="1"/>
  <c r="T9" i="2" s="1"/>
  <c r="U9" i="2" s="1"/>
  <c r="O10" i="2" s="1"/>
  <c r="P10" i="2" s="1"/>
  <c r="Q10" i="2" s="1"/>
  <c r="R10" i="2" s="1"/>
  <c r="S10" i="2" s="1"/>
  <c r="T10" i="2" s="1"/>
  <c r="U10" i="2" s="1"/>
  <c r="U4" i="2"/>
</calcChain>
</file>

<file path=xl/comments1.xml><?xml version="1.0" encoding="utf-8"?>
<comments xmlns="http://schemas.openxmlformats.org/spreadsheetml/2006/main">
  <authors>
    <author>Jean-jacques</author>
  </authors>
  <commentList>
    <comment ref="O2" authorId="0" shapeId="0">
      <text>
        <r>
          <rPr>
            <sz val="10"/>
            <color indexed="81"/>
            <rFont val="Tahoma"/>
            <family val="2"/>
          </rPr>
          <t xml:space="preserve">"O"  = Remboursé
"N"  = Refus  Sécurité -Sociale
"X" = Non demandé -Non Remboursable
</t>
        </r>
      </text>
    </comment>
  </commentList>
</comments>
</file>

<file path=xl/sharedStrings.xml><?xml version="1.0" encoding="utf-8"?>
<sst xmlns="http://schemas.openxmlformats.org/spreadsheetml/2006/main" count="103" uniqueCount="76">
  <si>
    <t>Date</t>
  </si>
  <si>
    <t>Titre</t>
  </si>
  <si>
    <t>Prénom</t>
  </si>
  <si>
    <t>Nom</t>
  </si>
  <si>
    <t>Motif</t>
  </si>
  <si>
    <t>Lieu</t>
  </si>
  <si>
    <t>Distance</t>
  </si>
  <si>
    <t xml:space="preserve">Type </t>
  </si>
  <si>
    <t>Parking</t>
  </si>
  <si>
    <t>Repas</t>
  </si>
  <si>
    <t>Cout VSL</t>
  </si>
  <si>
    <t>à Charge</t>
  </si>
  <si>
    <r>
      <rPr>
        <sz val="14"/>
        <rFont val="Arial"/>
        <family val="2"/>
      </rPr>
      <t>Couleurs de Suivi des Déplacements de Santé</t>
    </r>
    <r>
      <rPr>
        <b/>
        <sz val="14"/>
        <color rgb="FF00B050"/>
        <rFont val="Arial"/>
        <family val="2"/>
      </rPr>
      <t xml:space="preserve">
Cumulés</t>
    </r>
    <r>
      <rPr>
        <b/>
        <sz val="14"/>
        <color theme="5"/>
        <rFont val="Arial"/>
        <family val="2"/>
      </rPr>
      <t xml:space="preserve"> -</t>
    </r>
    <r>
      <rPr>
        <b/>
        <sz val="14"/>
        <color rgb="FF00CCFF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12 Mois en Cours</t>
    </r>
    <r>
      <rPr>
        <b/>
        <sz val="14"/>
        <color rgb="FF00CCFF"/>
        <rFont val="Arial"/>
        <family val="2"/>
      </rPr>
      <t xml:space="preserve"> - 12 Mois 'PER'</t>
    </r>
  </si>
  <si>
    <r>
      <t xml:space="preserve">Rappel perso / </t>
    </r>
    <r>
      <rPr>
        <b/>
        <sz val="8"/>
        <color rgb="FFFF0000"/>
        <rFont val="Arial"/>
        <family val="2"/>
      </rPr>
      <t>12 mois tournants</t>
    </r>
  </si>
  <si>
    <t>VEHICULE UTILISE</t>
  </si>
  <si>
    <t>HORAIRES</t>
  </si>
  <si>
    <t>DATE</t>
  </si>
  <si>
    <t>Nom du  Médecin</t>
  </si>
  <si>
    <t>Motif  déplacement</t>
  </si>
  <si>
    <t>LIEU</t>
  </si>
  <si>
    <t xml:space="preserve">Barême
 Indemnité Km </t>
  </si>
  <si>
    <t>Type
Trans</t>
  </si>
  <si>
    <t>Parking  Péages</t>
  </si>
  <si>
    <t xml:space="preserve">Repas </t>
  </si>
  <si>
    <t>Logement</t>
  </si>
  <si>
    <r>
      <rPr>
        <b/>
        <sz val="10"/>
        <color rgb="FFFF0000"/>
        <rFont val="Arial"/>
        <family val="2"/>
      </rPr>
      <t>Evaluation du</t>
    </r>
    <r>
      <rPr>
        <sz val="10"/>
        <color rgb="FFFF0000"/>
        <rFont val="Arial"/>
        <family val="2"/>
      </rPr>
      <t xml:space="preserve"> </t>
    </r>
    <r>
      <rPr>
        <b/>
        <sz val="10"/>
        <color theme="1"/>
        <rFont val="Arial"/>
        <family val="2"/>
      </rPr>
      <t xml:space="preserve">
V S L</t>
    </r>
  </si>
  <si>
    <t>Frais Personnel
P E R</t>
  </si>
  <si>
    <t>Point 
Secu</t>
  </si>
  <si>
    <t>Date 
Pointage</t>
  </si>
  <si>
    <r>
      <t xml:space="preserve">Feuille SECU
</t>
    </r>
    <r>
      <rPr>
        <b/>
        <sz val="10"/>
        <color rgb="FFC00000"/>
        <rFont val="Arial"/>
        <family val="2"/>
      </rPr>
      <t>Rbt - Franchise</t>
    </r>
  </si>
  <si>
    <t>Net à charge</t>
  </si>
  <si>
    <t>Beneficiaire
 des soins</t>
  </si>
  <si>
    <t>Identification</t>
  </si>
  <si>
    <t>CV</t>
  </si>
  <si>
    <t>TITULAIRE</t>
  </si>
  <si>
    <t>Rendez
vous</t>
  </si>
  <si>
    <t>Depart</t>
  </si>
  <si>
    <t>Retour</t>
  </si>
  <si>
    <t>N° du Medecin</t>
  </si>
  <si>
    <t>Madame</t>
  </si>
  <si>
    <t>Aurélie</t>
  </si>
  <si>
    <t>Talon</t>
  </si>
  <si>
    <t>Soins Orthophonie</t>
  </si>
  <si>
    <t>Bosville</t>
  </si>
  <si>
    <t>PER</t>
  </si>
  <si>
    <t/>
  </si>
  <si>
    <t>Jean-Jacques</t>
  </si>
  <si>
    <t>GM211EB</t>
  </si>
  <si>
    <t>Sylvie Leblond</t>
  </si>
  <si>
    <t>Auto</t>
  </si>
  <si>
    <t>Médecin ou Service</t>
  </si>
  <si>
    <t>Motif  du Déplacement</t>
  </si>
  <si>
    <t>Contrôle tarif Km</t>
  </si>
  <si>
    <t>Barême Km Fiscal</t>
  </si>
  <si>
    <t>ligne selectionnée</t>
  </si>
  <si>
    <t>Type Trans</t>
  </si>
  <si>
    <t>Correction</t>
  </si>
  <si>
    <t>Parking Stationt Péages</t>
  </si>
  <si>
    <t>Mois</t>
  </si>
  <si>
    <t>Année</t>
  </si>
  <si>
    <t>Ligne Corrigée</t>
  </si>
  <si>
    <t>Repas extérieur</t>
  </si>
  <si>
    <t>Valeur Début</t>
  </si>
  <si>
    <t>Frais de Logement</t>
  </si>
  <si>
    <t>Date Courante</t>
  </si>
  <si>
    <r>
      <rPr>
        <sz val="10"/>
        <color rgb="FFFF0000"/>
        <rFont val="Arial"/>
        <family val="2"/>
      </rPr>
      <t xml:space="preserve">Comparaison </t>
    </r>
    <r>
      <rPr>
        <b/>
        <sz val="10"/>
        <rFont val="Arial"/>
        <family val="2"/>
      </rPr>
      <t>avec VSL</t>
    </r>
  </si>
  <si>
    <t>Nb de CV</t>
  </si>
  <si>
    <t>Total frais perso  
Hors VSL</t>
  </si>
  <si>
    <t>validation retour Secu</t>
  </si>
  <si>
    <t>Date pointage</t>
  </si>
  <si>
    <t>Rembt Transport Perso</t>
  </si>
  <si>
    <t>Bénéficiaire des Soins</t>
  </si>
  <si>
    <t>VEHICULE</t>
  </si>
  <si>
    <t>Puissance</t>
  </si>
  <si>
    <t>Titulaire</t>
  </si>
  <si>
    <t>DETAIL DE LA MCRO DE VALIDATION EN TRANSPOSITION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</si>
</sst>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0\ _€"/>
    <numFmt numFmtId="165" formatCode="d/m/yy"/>
    <numFmt numFmtId="166" formatCode="#,##0&quot; Km&quot;"/>
    <numFmt numFmtId="167" formatCode="#,##0.00&quot; €&quot;"/>
    <numFmt numFmtId="168" formatCode="#,##0&quot; €&quot;"/>
    <numFmt numFmtId="169" formatCode="#,##0\ &quot;€&quot;"/>
    <numFmt numFmtId="170" formatCode="0.000"/>
    <numFmt numFmtId="171" formatCode="h:mm;@"/>
    <numFmt numFmtId="172" formatCode="mmm\-yyyy"/>
    <numFmt numFmtId="173" formatCode="d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Arial"/>
      <family val="2"/>
    </font>
    <font>
      <b/>
      <sz val="14"/>
      <color rgb="FF00B050"/>
      <name val="Arial"/>
      <family val="2"/>
    </font>
    <font>
      <sz val="14"/>
      <name val="Arial"/>
      <family val="2"/>
    </font>
    <font>
      <b/>
      <sz val="14"/>
      <color theme="5"/>
      <name val="Arial"/>
      <family val="2"/>
    </font>
    <font>
      <b/>
      <sz val="14"/>
      <color rgb="FF00CCFF"/>
      <name val="Arial"/>
      <family val="2"/>
    </font>
    <font>
      <b/>
      <sz val="14"/>
      <color rgb="FFFF0000"/>
      <name val="Arial"/>
      <family val="2"/>
    </font>
    <font>
      <b/>
      <sz val="16"/>
      <color rgb="FF00B050"/>
      <name val="Arial"/>
      <family val="2"/>
    </font>
    <font>
      <b/>
      <sz val="16"/>
      <color rgb="FFFF0000"/>
      <name val="Segoe UI"/>
      <family val="2"/>
    </font>
    <font>
      <b/>
      <sz val="8"/>
      <color rgb="FF0772FC"/>
      <name val="Arial"/>
      <family val="2"/>
    </font>
    <font>
      <b/>
      <sz val="8"/>
      <color rgb="FFFF0000"/>
      <name val="Arial"/>
      <family val="2"/>
    </font>
    <font>
      <b/>
      <sz val="16"/>
      <color rgb="FF00CCFF"/>
      <name val="Segoe UI"/>
      <family val="2"/>
    </font>
    <font>
      <b/>
      <sz val="18"/>
      <color rgb="FF00CCFF"/>
      <name val="Arial"/>
      <family val="2"/>
    </font>
    <font>
      <b/>
      <sz val="18"/>
      <color rgb="FF00B050"/>
      <name val="Arial"/>
      <family val="2"/>
    </font>
    <font>
      <b/>
      <sz val="18"/>
      <name val="Arial"/>
      <family val="2"/>
    </font>
    <font>
      <b/>
      <sz val="18"/>
      <color theme="8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5"/>
      <color rgb="FF00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C00000"/>
      <name val="Arial"/>
      <family val="2"/>
    </font>
    <font>
      <sz val="14"/>
      <color theme="8"/>
      <name val="Arial"/>
      <family val="2"/>
    </font>
    <font>
      <sz val="10"/>
      <color theme="1"/>
      <name val="Arial"/>
      <family val="2"/>
    </font>
    <font>
      <i/>
      <sz val="10"/>
      <color rgb="FF000000"/>
      <name val="Arial"/>
      <family val="2"/>
    </font>
    <font>
      <sz val="10"/>
      <color indexed="81"/>
      <name val="Tahoma"/>
      <family val="2"/>
    </font>
    <font>
      <sz val="10"/>
      <color rgb="FF000000"/>
      <name val="Arial"/>
      <family val="2"/>
    </font>
    <font>
      <b/>
      <sz val="14"/>
      <color theme="4" tint="-0.249977111117893"/>
      <name val="Arial"/>
      <family val="2"/>
    </font>
    <font>
      <b/>
      <sz val="26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rgb="FFB47804"/>
      <name val="Arial"/>
      <family val="2"/>
    </font>
    <font>
      <b/>
      <sz val="12"/>
      <color theme="4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theme="9" tint="-0.249977111117893"/>
      <name val="Arial"/>
      <family val="2"/>
    </font>
    <font>
      <sz val="10"/>
      <color rgb="FFC00000"/>
      <name val="Arial"/>
      <family val="2"/>
    </font>
    <font>
      <b/>
      <sz val="12"/>
      <color rgb="FF000000"/>
      <name val="Arial"/>
      <family val="2"/>
    </font>
    <font>
      <b/>
      <sz val="11"/>
      <color rgb="FF00B050"/>
      <name val="Arial"/>
      <family val="2"/>
    </font>
    <font>
      <sz val="12"/>
      <color rgb="FFC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rgb="FFFFFF38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38"/>
        <bgColor rgb="FFFFFF38"/>
      </patternFill>
    </fill>
    <fill>
      <patternFill patternType="solid">
        <fgColor rgb="FFFFC000"/>
        <bgColor indexed="64"/>
      </patternFill>
    </fill>
    <fill>
      <patternFill patternType="solid">
        <fgColor rgb="FFB1F5F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FF"/>
      </patternFill>
    </fill>
    <fill>
      <patternFill patternType="solid">
        <fgColor rgb="FFFFB66C"/>
        <bgColor rgb="FFFFB66C"/>
      </patternFill>
    </fill>
    <fill>
      <patternFill patternType="solid">
        <fgColor rgb="FFBCEFBB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E1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D5FFE3"/>
        <bgColor indexed="64"/>
      </patternFill>
    </fill>
    <fill>
      <patternFill patternType="solid">
        <fgColor rgb="FFDDFFF4"/>
        <bgColor indexed="64"/>
      </patternFill>
    </fill>
    <fill>
      <patternFill patternType="lightUp">
        <bgColor rgb="FFFFFF00"/>
      </patternFill>
    </fill>
    <fill>
      <patternFill patternType="solid">
        <fgColor rgb="FFFFFF00"/>
        <bgColor rgb="FFFFF5CE"/>
      </patternFill>
    </fill>
    <fill>
      <patternFill patternType="solid">
        <fgColor rgb="FFB1F5F2"/>
        <bgColor rgb="FFFFF5CE"/>
      </patternFill>
    </fill>
  </fills>
  <borders count="60">
    <border>
      <left/>
      <right/>
      <top/>
      <bottom/>
      <diagonal/>
    </border>
    <border>
      <left style="double">
        <color rgb="FFFF0000"/>
      </left>
      <right style="thick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thick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rgb="FFFF0000"/>
      </left>
      <right style="thick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00CCFF"/>
      </left>
      <right style="medium">
        <color rgb="FF00CCFF"/>
      </right>
      <top/>
      <bottom style="double">
        <color rgb="FF00CCFF"/>
      </bottom>
      <diagonal/>
    </border>
    <border>
      <left style="medium">
        <color rgb="FF00CCFF"/>
      </left>
      <right style="medium">
        <color rgb="FF00CCFF"/>
      </right>
      <top/>
      <bottom style="double">
        <color rgb="FF00CCFF"/>
      </bottom>
      <diagonal/>
    </border>
    <border>
      <left style="medium">
        <color rgb="FF00CCFF"/>
      </left>
      <right/>
      <top/>
      <bottom style="double">
        <color rgb="FF00CCFF"/>
      </bottom>
      <diagonal/>
    </border>
    <border>
      <left style="double">
        <color rgb="FFC00000"/>
      </left>
      <right style="thick">
        <color rgb="FFC00000"/>
      </right>
      <top/>
      <bottom style="double">
        <color rgb="FFC00000"/>
      </bottom>
      <diagonal/>
    </border>
    <border>
      <left style="thick">
        <color rgb="FFC00000"/>
      </left>
      <right style="thick">
        <color rgb="FFC00000"/>
      </right>
      <top/>
      <bottom style="double">
        <color rgb="FFC00000"/>
      </bottom>
      <diagonal/>
    </border>
    <border>
      <left style="thick">
        <color rgb="FFC00000"/>
      </left>
      <right/>
      <top/>
      <bottom style="double">
        <color rgb="FFC00000"/>
      </bottom>
      <diagonal/>
    </border>
    <border>
      <left style="thick">
        <color theme="4" tint="-0.24994659260841701"/>
      </left>
      <right/>
      <top/>
      <bottom style="mediumDashed">
        <color theme="4" tint="-0.24994659260841701"/>
      </bottom>
      <diagonal/>
    </border>
    <border>
      <left style="medium">
        <color rgb="FF23B4FD"/>
      </left>
      <right style="medium">
        <color rgb="FF00CCFF"/>
      </right>
      <top/>
      <bottom style="double">
        <color rgb="FF00CCFF"/>
      </bottom>
      <diagonal/>
    </border>
    <border>
      <left style="medium">
        <color rgb="FF00CCFF"/>
      </left>
      <right style="double">
        <color rgb="FF00CCFF"/>
      </right>
      <top/>
      <bottom style="double">
        <color rgb="FF00CCFF"/>
      </bottom>
      <diagonal/>
    </border>
    <border>
      <left style="thick">
        <color theme="4" tint="-0.24994659260841701"/>
      </left>
      <right style="thick">
        <color theme="4" tint="-0.24994659260841701"/>
      </right>
      <top style="mediumDashed">
        <color theme="4" tint="-0.24994659260841701"/>
      </top>
      <bottom style="mediumDashed">
        <color theme="4" tint="-0.24994659260841701"/>
      </bottom>
      <diagonal/>
    </border>
    <border>
      <left style="thick">
        <color theme="4" tint="-0.24994659260841701"/>
      </left>
      <right style="medium">
        <color theme="4" tint="-0.24994659260841701"/>
      </right>
      <top style="double">
        <color rgb="FF00CCFF"/>
      </top>
      <bottom style="mediumDashed">
        <color theme="4" tint="-0.24994659260841701"/>
      </bottom>
      <diagonal/>
    </border>
    <border>
      <left style="medium">
        <color theme="4" tint="-0.24994659260841701"/>
      </left>
      <right style="double">
        <color theme="4" tint="-0.24994659260841701"/>
      </right>
      <top style="double">
        <color rgb="FF00CCFF"/>
      </top>
      <bottom style="mediumDashed">
        <color theme="4" tint="-0.24994659260841701"/>
      </bottom>
      <diagonal/>
    </border>
    <border>
      <left style="double">
        <color theme="5" tint="-0.24994659260841701"/>
      </left>
      <right style="medium">
        <color theme="5" tint="-0.24994659260841701"/>
      </right>
      <top/>
      <bottom style="medium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/>
      <bottom style="medium">
        <color theme="5" tint="-0.24994659260841701"/>
      </bottom>
      <diagonal/>
    </border>
    <border>
      <left style="medium">
        <color theme="5" tint="-0.24994659260841701"/>
      </left>
      <right/>
      <top/>
      <bottom style="medium">
        <color theme="5" tint="-0.24994659260841701"/>
      </bottom>
      <diagonal/>
    </border>
    <border>
      <left style="thick">
        <color theme="4" tint="-0.24994659260841701"/>
      </left>
      <right style="medium">
        <color theme="4" tint="-0.24994659260841701"/>
      </right>
      <top style="mediumDashed">
        <color theme="4" tint="-0.24994659260841701"/>
      </top>
      <bottom style="mediumDashed">
        <color theme="4" tint="-0.24994659260841701"/>
      </bottom>
      <diagonal/>
    </border>
    <border>
      <left style="medium">
        <color theme="4" tint="-0.24994659260841701"/>
      </left>
      <right style="double">
        <color theme="4" tint="-0.24994659260841701"/>
      </right>
      <top style="mediumDashed">
        <color theme="4" tint="-0.24994659260841701"/>
      </top>
      <bottom style="mediumDashed">
        <color theme="4" tint="-0.24994659260841701"/>
      </bottom>
      <diagonal/>
    </border>
    <border>
      <left style="double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medium">
        <color theme="5" tint="-0.2499465926084170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double">
        <color rgb="FFFF0000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rgb="FFFF0000"/>
      </right>
      <top style="medium">
        <color indexed="64"/>
      </top>
      <bottom/>
      <diagonal/>
    </border>
    <border>
      <left style="double">
        <color rgb="FFFF0000"/>
      </left>
      <right style="dashDot">
        <color rgb="FFB1F5F2"/>
      </right>
      <top/>
      <bottom style="dashDot">
        <color rgb="FFB1F5F2"/>
      </bottom>
      <diagonal/>
    </border>
    <border>
      <left style="dashDot">
        <color rgb="FFB1F5F2"/>
      </left>
      <right style="dashDot">
        <color rgb="FFB1F5F2"/>
      </right>
      <top/>
      <bottom style="dashDot">
        <color rgb="FFB1F5F2"/>
      </bottom>
      <diagonal/>
    </border>
    <border>
      <left style="dashDot">
        <color rgb="FFB1F5F2"/>
      </left>
      <right style="double">
        <color rgb="FFFF0000"/>
      </right>
      <top/>
      <bottom style="dashDot">
        <color rgb="FFB1F5F2"/>
      </bottom>
      <diagonal/>
    </border>
    <border>
      <left style="double">
        <color rgb="FFFF0000"/>
      </left>
      <right style="dashDot">
        <color rgb="FFB1F5F2"/>
      </right>
      <top style="dashDot">
        <color rgb="FFB1F5F2"/>
      </top>
      <bottom style="dashDot">
        <color rgb="FFB1F5F2"/>
      </bottom>
      <diagonal/>
    </border>
    <border>
      <left style="dashDot">
        <color rgb="FFB1F5F2"/>
      </left>
      <right style="dashDot">
        <color rgb="FFB1F5F2"/>
      </right>
      <top style="dashDot">
        <color rgb="FFB1F5F2"/>
      </top>
      <bottom style="dashDot">
        <color rgb="FFB1F5F2"/>
      </bottom>
      <diagonal/>
    </border>
    <border>
      <left style="dashDot">
        <color rgb="FFB1F5F2"/>
      </left>
      <right style="double">
        <color rgb="FFFF0000"/>
      </right>
      <top style="dashDot">
        <color rgb="FFB1F5F2"/>
      </top>
      <bottom style="dashDot">
        <color rgb="FFB1F5F2"/>
      </bottom>
      <diagonal/>
    </border>
    <border>
      <left style="thick">
        <color rgb="FFC00000"/>
      </left>
      <right style="dashed">
        <color rgb="FFC00000"/>
      </right>
      <top style="thick">
        <color rgb="FFC00000"/>
      </top>
      <bottom style="thick">
        <color rgb="FFC00000"/>
      </bottom>
      <diagonal/>
    </border>
    <border>
      <left style="dashed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double">
        <color rgb="FFC00000"/>
      </left>
      <right style="dashed">
        <color rgb="FFC00000"/>
      </right>
      <top/>
      <bottom style="dashed">
        <color rgb="FFC00000"/>
      </bottom>
      <diagonal/>
    </border>
    <border>
      <left style="dashed">
        <color rgb="FFC00000"/>
      </left>
      <right style="double">
        <color rgb="FFC00000"/>
      </right>
      <top/>
      <bottom style="dashed">
        <color rgb="FFC0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ashDot">
        <color rgb="FFB1F5F2"/>
      </right>
      <top style="dashDot">
        <color rgb="FFB1F5F2"/>
      </top>
      <bottom style="double">
        <color rgb="FFFF0000"/>
      </bottom>
      <diagonal/>
    </border>
    <border>
      <left style="dashDot">
        <color rgb="FFB1F5F2"/>
      </left>
      <right style="dashDot">
        <color rgb="FFB1F5F2"/>
      </right>
      <top style="dashDot">
        <color rgb="FFB1F5F2"/>
      </top>
      <bottom style="double">
        <color rgb="FFFF0000"/>
      </bottom>
      <diagonal/>
    </border>
    <border>
      <left style="dashDot">
        <color rgb="FFB1F5F2"/>
      </left>
      <right style="double">
        <color rgb="FFFF0000"/>
      </right>
      <top style="dashDot">
        <color rgb="FFB1F5F2"/>
      </top>
      <bottom style="double">
        <color rgb="FFFF0000"/>
      </bottom>
      <diagonal/>
    </border>
    <border>
      <left style="double">
        <color rgb="FFC00000"/>
      </left>
      <right style="dashed">
        <color rgb="FFC00000"/>
      </right>
      <top style="dashed">
        <color rgb="FFC00000"/>
      </top>
      <bottom style="dashed">
        <color rgb="FFC00000"/>
      </bottom>
      <diagonal/>
    </border>
    <border>
      <left style="dashed">
        <color rgb="FFC00000"/>
      </left>
      <right style="double">
        <color rgb="FFC00000"/>
      </right>
      <top style="dashed">
        <color rgb="FFC00000"/>
      </top>
      <bottom style="dashed">
        <color rgb="FFC00000"/>
      </bottom>
      <diagonal/>
    </border>
    <border>
      <left style="double">
        <color rgb="FFC00000"/>
      </left>
      <right style="dashed">
        <color rgb="FFC00000"/>
      </right>
      <top style="dashed">
        <color rgb="FFC00000"/>
      </top>
      <bottom style="double">
        <color rgb="FFC00000"/>
      </bottom>
      <diagonal/>
    </border>
    <border>
      <left style="dashed">
        <color rgb="FFC00000"/>
      </left>
      <right style="double">
        <color rgb="FFC00000"/>
      </right>
      <top style="dashed">
        <color rgb="FFC00000"/>
      </top>
      <bottom style="double">
        <color rgb="FFC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double">
        <color auto="1"/>
      </left>
      <right style="thin">
        <color rgb="FF000000"/>
      </right>
      <top style="double">
        <color auto="1"/>
      </top>
      <bottom style="thin">
        <color rgb="FF000000"/>
      </bottom>
      <diagonal/>
    </border>
    <border>
      <left style="double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auto="1"/>
      </bottom>
      <diagonal/>
    </border>
    <border>
      <left style="double">
        <color auto="1"/>
      </left>
      <right style="thin">
        <color rgb="FF000000"/>
      </right>
      <top style="thin">
        <color rgb="FF000000"/>
      </top>
      <bottom style="double">
        <color auto="1"/>
      </bottom>
      <diagonal/>
    </border>
  </borders>
  <cellStyleXfs count="3">
    <xf numFmtId="0" fontId="0" fillId="0" borderId="0"/>
    <xf numFmtId="0" fontId="28" fillId="0" borderId="0"/>
    <xf numFmtId="0" fontId="1" fillId="0" borderId="0"/>
  </cellStyleXfs>
  <cellXfs count="15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" fontId="0" fillId="0" borderId="0" xfId="0" applyNumberFormat="1"/>
    <xf numFmtId="1" fontId="3" fillId="2" borderId="1" xfId="0" applyNumberFormat="1" applyFont="1" applyFill="1" applyBorder="1" applyAlignment="1" applyProtection="1">
      <alignment horizontal="center" vertical="center"/>
    </xf>
    <xf numFmtId="165" fontId="4" fillId="2" borderId="2" xfId="0" applyNumberFormat="1" applyFont="1" applyFill="1" applyBorder="1" applyAlignment="1" applyProtection="1">
      <alignment horizontal="center" vertical="center" wrapText="1"/>
    </xf>
    <xf numFmtId="165" fontId="4" fillId="2" borderId="3" xfId="0" applyNumberFormat="1" applyFont="1" applyFill="1" applyBorder="1" applyAlignment="1" applyProtection="1">
      <alignment horizontal="center" vertical="center" wrapText="1"/>
    </xf>
    <xf numFmtId="165" fontId="4" fillId="2" borderId="4" xfId="0" applyNumberFormat="1" applyFont="1" applyFill="1" applyBorder="1" applyAlignment="1" applyProtection="1">
      <alignment horizontal="center" vertical="center" wrapText="1"/>
    </xf>
    <xf numFmtId="166" fontId="9" fillId="2" borderId="5" xfId="0" applyNumberFormat="1" applyFont="1" applyFill="1" applyBorder="1" applyAlignment="1" applyProtection="1">
      <alignment horizontal="center" vertical="center" wrapText="1"/>
    </xf>
    <xf numFmtId="166" fontId="10" fillId="3" borderId="5" xfId="0" applyNumberFormat="1" applyFont="1" applyFill="1" applyBorder="1" applyAlignment="1">
      <alignment horizontal="right" vertical="center"/>
    </xf>
    <xf numFmtId="14" fontId="11" fillId="4" borderId="5" xfId="0" applyNumberFormat="1" applyFont="1" applyFill="1" applyBorder="1" applyAlignment="1" applyProtection="1">
      <alignment horizontal="center" vertical="top" wrapText="1"/>
      <protection locked="0"/>
    </xf>
    <xf numFmtId="166" fontId="13" fillId="5" borderId="5" xfId="0" applyNumberFormat="1" applyFont="1" applyFill="1" applyBorder="1" applyAlignment="1">
      <alignment horizontal="right" vertical="center"/>
    </xf>
    <xf numFmtId="167" fontId="13" fillId="5" borderId="5" xfId="0" applyNumberFormat="1" applyFont="1" applyFill="1" applyBorder="1" applyAlignment="1">
      <alignment horizontal="right" vertical="center"/>
    </xf>
    <xf numFmtId="168" fontId="13" fillId="5" borderId="5" xfId="0" applyNumberFormat="1" applyFont="1" applyFill="1" applyBorder="1" applyAlignment="1">
      <alignment horizontal="right" vertical="center"/>
    </xf>
    <xf numFmtId="0" fontId="14" fillId="4" borderId="5" xfId="0" applyFont="1" applyFill="1" applyBorder="1" applyAlignment="1" applyProtection="1">
      <alignment horizontal="center" vertical="center" wrapText="1"/>
      <protection locked="0"/>
    </xf>
    <xf numFmtId="169" fontId="13" fillId="5" borderId="5" xfId="0" applyNumberFormat="1" applyFont="1" applyFill="1" applyBorder="1" applyAlignment="1">
      <alignment horizontal="right" vertical="center"/>
    </xf>
    <xf numFmtId="169" fontId="15" fillId="6" borderId="2" xfId="0" applyNumberFormat="1" applyFont="1" applyFill="1" applyBorder="1" applyAlignment="1" applyProtection="1">
      <alignment horizontal="center" vertical="center" wrapText="1"/>
    </xf>
    <xf numFmtId="169" fontId="15" fillId="6" borderId="4" xfId="0" applyNumberFormat="1" applyFont="1" applyFill="1" applyBorder="1" applyAlignment="1" applyProtection="1">
      <alignment horizontal="center" vertical="center" wrapText="1"/>
    </xf>
    <xf numFmtId="0" fontId="16" fillId="7" borderId="5" xfId="0" applyFont="1" applyFill="1" applyBorder="1" applyAlignment="1">
      <alignment vertical="center"/>
    </xf>
    <xf numFmtId="0" fontId="17" fillId="8" borderId="2" xfId="0" applyFont="1" applyFill="1" applyBorder="1" applyAlignment="1">
      <alignment horizontal="center" vertical="center"/>
    </xf>
    <xf numFmtId="0" fontId="17" fillId="8" borderId="3" xfId="0" applyFont="1" applyFill="1" applyBorder="1" applyAlignment="1">
      <alignment horizontal="center" vertical="center"/>
    </xf>
    <xf numFmtId="0" fontId="17" fillId="8" borderId="6" xfId="0" applyFont="1" applyFill="1" applyBorder="1" applyAlignment="1">
      <alignment horizontal="center" vertical="center"/>
    </xf>
    <xf numFmtId="165" fontId="18" fillId="0" borderId="0" xfId="0" applyNumberFormat="1" applyFont="1" applyFill="1" applyBorder="1" applyAlignment="1">
      <alignment horizontal="center" vertical="center" wrapText="1"/>
    </xf>
    <xf numFmtId="49" fontId="18" fillId="0" borderId="0" xfId="0" applyNumberFormat="1" applyFont="1" applyFill="1" applyBorder="1" applyAlignment="1">
      <alignment horizontal="center" vertical="center" wrapText="1"/>
    </xf>
    <xf numFmtId="2" fontId="18" fillId="0" borderId="0" xfId="0" applyNumberFormat="1" applyFont="1" applyFill="1" applyBorder="1" applyAlignment="1">
      <alignment horizontal="center" vertical="center" wrapText="1"/>
    </xf>
    <xf numFmtId="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wrapText="1"/>
    </xf>
    <xf numFmtId="0" fontId="19" fillId="0" borderId="0" xfId="0" applyFont="1" applyFill="1" applyBorder="1" applyAlignment="1">
      <alignment horizontal="center" vertical="center" wrapText="1"/>
    </xf>
    <xf numFmtId="3" fontId="2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165" fontId="18" fillId="9" borderId="7" xfId="0" applyNumberFormat="1" applyFont="1" applyFill="1" applyBorder="1" applyAlignment="1">
      <alignment horizontal="center" vertical="center" wrapText="1"/>
    </xf>
    <xf numFmtId="165" fontId="18" fillId="9" borderId="8" xfId="0" applyNumberFormat="1" applyFont="1" applyFill="1" applyBorder="1" applyAlignment="1">
      <alignment horizontal="center" vertical="center" wrapText="1"/>
    </xf>
    <xf numFmtId="49" fontId="18" fillId="10" borderId="8" xfId="0" applyNumberFormat="1" applyFont="1" applyFill="1" applyBorder="1" applyAlignment="1">
      <alignment horizontal="center" vertical="center" wrapText="1"/>
    </xf>
    <xf numFmtId="49" fontId="18" fillId="9" borderId="8" xfId="0" applyNumberFormat="1" applyFont="1" applyFill="1" applyBorder="1" applyAlignment="1">
      <alignment horizontal="center" vertical="center" wrapText="1"/>
    </xf>
    <xf numFmtId="2" fontId="18" fillId="9" borderId="8" xfId="0" applyNumberFormat="1" applyFont="1" applyFill="1" applyBorder="1" applyAlignment="1">
      <alignment horizontal="center" vertical="center" wrapText="1"/>
    </xf>
    <xf numFmtId="4" fontId="18" fillId="9" borderId="8" xfId="0" applyNumberFormat="1" applyFont="1" applyFill="1" applyBorder="1" applyAlignment="1">
      <alignment horizontal="center" vertical="center" wrapText="1"/>
    </xf>
    <xf numFmtId="0" fontId="18" fillId="10" borderId="8" xfId="0" applyFont="1" applyFill="1" applyBorder="1" applyAlignment="1">
      <alignment horizontal="center" vertical="center" wrapText="1"/>
    </xf>
    <xf numFmtId="2" fontId="18" fillId="10" borderId="8" xfId="0" applyNumberFormat="1" applyFont="1" applyFill="1" applyBorder="1" applyAlignment="1">
      <alignment horizontal="center" vertical="center" wrapText="1"/>
    </xf>
    <xf numFmtId="14" fontId="18" fillId="10" borderId="8" xfId="0" applyNumberFormat="1" applyFont="1" applyFill="1" applyBorder="1" applyAlignment="1">
      <alignment horizontal="center" vertical="center" wrapText="1"/>
    </xf>
    <xf numFmtId="0" fontId="18" fillId="9" borderId="9" xfId="0" applyFont="1" applyFill="1" applyBorder="1" applyAlignment="1">
      <alignment horizontal="center" wrapText="1"/>
    </xf>
    <xf numFmtId="0" fontId="19" fillId="11" borderId="10" xfId="0" applyFont="1" applyFill="1" applyBorder="1" applyAlignment="1">
      <alignment horizontal="center" vertical="center" wrapText="1"/>
    </xf>
    <xf numFmtId="3" fontId="20" fillId="11" borderId="11" xfId="0" applyNumberFormat="1" applyFont="1" applyFill="1" applyBorder="1" applyAlignment="1" applyProtection="1">
      <alignment horizontal="center" vertical="center" wrapText="1"/>
      <protection hidden="1"/>
    </xf>
    <xf numFmtId="0" fontId="19" fillId="11" borderId="12" xfId="0" applyFont="1" applyFill="1" applyBorder="1" applyAlignment="1" applyProtection="1">
      <alignment horizontal="center" vertical="center" wrapText="1"/>
      <protection hidden="1"/>
    </xf>
    <xf numFmtId="0" fontId="24" fillId="8" borderId="13" xfId="0" applyFont="1" applyFill="1" applyBorder="1" applyAlignment="1">
      <alignment horizontal="center" vertical="center" wrapText="1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vertical="center"/>
    </xf>
    <xf numFmtId="0" fontId="19" fillId="0" borderId="0" xfId="0" applyFont="1" applyAlignment="1">
      <alignment horizontal="center" vertical="center" wrapText="1"/>
    </xf>
    <xf numFmtId="14" fontId="25" fillId="0" borderId="0" xfId="0" applyNumberFormat="1" applyFont="1" applyFill="1"/>
    <xf numFmtId="0" fontId="25" fillId="0" borderId="0" xfId="0" applyFont="1" applyFill="1" applyAlignment="1">
      <alignment horizontal="center"/>
    </xf>
    <xf numFmtId="49" fontId="25" fillId="0" borderId="0" xfId="0" applyNumberFormat="1" applyFont="1" applyFill="1"/>
    <xf numFmtId="1" fontId="25" fillId="12" borderId="0" xfId="0" applyNumberFormat="1" applyFont="1" applyFill="1"/>
    <xf numFmtId="170" fontId="18" fillId="0" borderId="0" xfId="0" applyNumberFormat="1" applyFont="1" applyFill="1" applyAlignment="1">
      <alignment horizontal="right"/>
    </xf>
    <xf numFmtId="2" fontId="25" fillId="0" borderId="0" xfId="0" applyNumberFormat="1" applyFont="1" applyFill="1"/>
    <xf numFmtId="0" fontId="18" fillId="0" borderId="0" xfId="0" applyFont="1" applyFill="1" applyAlignment="1">
      <alignment horizontal="center"/>
    </xf>
    <xf numFmtId="2" fontId="25" fillId="13" borderId="0" xfId="0" applyNumberFormat="1" applyFont="1" applyFill="1" applyBorder="1" applyAlignment="1"/>
    <xf numFmtId="2" fontId="25" fillId="0" borderId="0" xfId="0" applyNumberFormat="1" applyFont="1" applyFill="1" applyBorder="1" applyAlignment="1"/>
    <xf numFmtId="4" fontId="0" fillId="14" borderId="0" xfId="0" applyNumberFormat="1" applyFill="1" applyBorder="1"/>
    <xf numFmtId="0" fontId="0" fillId="14" borderId="0" xfId="0" applyFill="1" applyBorder="1" applyAlignment="1">
      <alignment horizontal="center"/>
    </xf>
    <xf numFmtId="0" fontId="0" fillId="14" borderId="0" xfId="0" applyFill="1" applyBorder="1" applyAlignment="1"/>
    <xf numFmtId="171" fontId="26" fillId="15" borderId="16" xfId="0" applyNumberFormat="1" applyFont="1" applyFill="1" applyBorder="1" applyAlignment="1">
      <alignment horizontal="center"/>
    </xf>
    <xf numFmtId="171" fontId="26" fillId="15" borderId="17" xfId="0" applyNumberFormat="1" applyFont="1" applyFill="1" applyBorder="1" applyAlignment="1">
      <alignment horizontal="center"/>
    </xf>
    <xf numFmtId="171" fontId="26" fillId="15" borderId="18" xfId="0" applyNumberFormat="1" applyFont="1" applyFill="1" applyBorder="1" applyAlignment="1">
      <alignment horizontal="center"/>
    </xf>
    <xf numFmtId="4" fontId="0" fillId="14" borderId="19" xfId="0" applyNumberFormat="1" applyFill="1" applyBorder="1"/>
    <xf numFmtId="0" fontId="0" fillId="14" borderId="20" xfId="0" applyFill="1" applyBorder="1" applyAlignment="1">
      <alignment horizontal="center"/>
    </xf>
    <xf numFmtId="0" fontId="0" fillId="14" borderId="21" xfId="0" applyFill="1" applyBorder="1" applyAlignment="1"/>
    <xf numFmtId="171" fontId="26" fillId="15" borderId="16" xfId="0" applyNumberFormat="1" applyFont="1" applyFill="1" applyBorder="1" applyAlignment="1" applyProtection="1">
      <alignment horizontal="center"/>
      <protection locked="0"/>
    </xf>
    <xf numFmtId="171" fontId="26" fillId="15" borderId="22" xfId="0" applyNumberFormat="1" applyFont="1" applyFill="1" applyBorder="1" applyAlignment="1" applyProtection="1">
      <alignment horizontal="center"/>
      <protection locked="0"/>
    </xf>
    <xf numFmtId="171" fontId="26" fillId="15" borderId="23" xfId="0" applyNumberFormat="1" applyFont="1" applyFill="1" applyBorder="1" applyAlignment="1" applyProtection="1">
      <alignment horizontal="center"/>
      <protection locked="0"/>
    </xf>
    <xf numFmtId="4" fontId="0" fillId="14" borderId="24" xfId="0" applyNumberFormat="1" applyFill="1" applyBorder="1"/>
    <xf numFmtId="0" fontId="0" fillId="14" borderId="25" xfId="0" applyFill="1" applyBorder="1" applyAlignment="1">
      <alignment horizontal="center"/>
    </xf>
    <xf numFmtId="0" fontId="0" fillId="14" borderId="26" xfId="0" applyFill="1" applyBorder="1" applyAlignment="1"/>
    <xf numFmtId="14" fontId="0" fillId="0" borderId="0" xfId="0" applyNumberFormat="1"/>
    <xf numFmtId="0" fontId="28" fillId="0" borderId="0" xfId="1" applyBorder="1"/>
    <xf numFmtId="4" fontId="28" fillId="0" borderId="0" xfId="1" applyNumberFormat="1" applyBorder="1"/>
    <xf numFmtId="0" fontId="28" fillId="0" borderId="0" xfId="1" applyBorder="1" applyProtection="1"/>
    <xf numFmtId="0" fontId="28" fillId="0" borderId="0" xfId="1" applyBorder="1" applyAlignment="1">
      <alignment horizontal="center"/>
    </xf>
    <xf numFmtId="0" fontId="28" fillId="0" borderId="0" xfId="1"/>
    <xf numFmtId="4" fontId="28" fillId="0" borderId="0" xfId="1" applyNumberFormat="1"/>
    <xf numFmtId="0" fontId="1" fillId="0" borderId="0" xfId="2"/>
    <xf numFmtId="165" fontId="19" fillId="0" borderId="0" xfId="1" applyNumberFormat="1" applyFont="1" applyAlignment="1" applyProtection="1">
      <alignment horizontal="right" vertical="center" wrapText="1"/>
    </xf>
    <xf numFmtId="3" fontId="19" fillId="0" borderId="0" xfId="1" applyNumberFormat="1" applyFont="1" applyAlignment="1">
      <alignment horizontal="center"/>
    </xf>
    <xf numFmtId="14" fontId="29" fillId="3" borderId="27" xfId="1" applyNumberFormat="1" applyFont="1" applyFill="1" applyBorder="1" applyAlignment="1" applyProtection="1">
      <alignment horizontal="center"/>
      <protection locked="0"/>
    </xf>
    <xf numFmtId="0" fontId="28" fillId="0" borderId="0" xfId="1" applyAlignment="1">
      <alignment horizontal="center"/>
    </xf>
    <xf numFmtId="172" fontId="30" fillId="16" borderId="28" xfId="2" applyNumberFormat="1" applyFont="1" applyFill="1" applyBorder="1" applyAlignment="1">
      <alignment horizontal="center" vertical="center"/>
    </xf>
    <xf numFmtId="172" fontId="30" fillId="16" borderId="29" xfId="2" applyNumberFormat="1" applyFont="1" applyFill="1" applyBorder="1" applyAlignment="1">
      <alignment horizontal="center" vertical="center"/>
    </xf>
    <xf numFmtId="172" fontId="30" fillId="16" borderId="30" xfId="2" applyNumberFormat="1" applyFont="1" applyFill="1" applyBorder="1" applyAlignment="1">
      <alignment horizontal="center" vertical="center"/>
    </xf>
    <xf numFmtId="0" fontId="28" fillId="0" borderId="0" xfId="1" applyFill="1" applyAlignment="1" applyProtection="1">
      <alignment horizontal="right"/>
    </xf>
    <xf numFmtId="0" fontId="21" fillId="0" borderId="0" xfId="1" applyFont="1" applyAlignment="1">
      <alignment horizontal="center"/>
    </xf>
    <xf numFmtId="172" fontId="30" fillId="16" borderId="31" xfId="2" applyNumberFormat="1" applyFont="1" applyFill="1" applyBorder="1" applyAlignment="1">
      <alignment horizontal="center" vertical="center"/>
    </xf>
    <xf numFmtId="172" fontId="30" fillId="16" borderId="32" xfId="2" applyNumberFormat="1" applyFont="1" applyFill="1" applyBorder="1" applyAlignment="1">
      <alignment horizontal="center" vertical="center"/>
    </xf>
    <xf numFmtId="172" fontId="30" fillId="16" borderId="33" xfId="2" applyNumberFormat="1" applyFont="1" applyFill="1" applyBorder="1" applyAlignment="1">
      <alignment horizontal="center" vertical="center"/>
    </xf>
    <xf numFmtId="0" fontId="2" fillId="17" borderId="34" xfId="2" applyFont="1" applyFill="1" applyBorder="1" applyAlignment="1">
      <alignment horizontal="center"/>
    </xf>
    <xf numFmtId="0" fontId="2" fillId="17" borderId="35" xfId="2" applyFont="1" applyFill="1" applyBorder="1" applyAlignment="1">
      <alignment horizontal="center"/>
    </xf>
    <xf numFmtId="0" fontId="2" fillId="17" borderId="36" xfId="2" applyFont="1" applyFill="1" applyBorder="1" applyAlignment="1">
      <alignment horizontal="center"/>
    </xf>
    <xf numFmtId="0" fontId="1" fillId="0" borderId="0" xfId="2" applyFill="1"/>
    <xf numFmtId="0" fontId="28" fillId="0" borderId="0" xfId="1" applyBorder="1" applyAlignment="1">
      <alignment horizontal="center"/>
    </xf>
    <xf numFmtId="0" fontId="19" fillId="18" borderId="0" xfId="1" applyFont="1" applyFill="1" applyAlignment="1" applyProtection="1">
      <alignment horizontal="right" vertical="center" wrapText="1"/>
    </xf>
    <xf numFmtId="0" fontId="31" fillId="3" borderId="27" xfId="1" applyFont="1" applyFill="1" applyBorder="1" applyAlignment="1" applyProtection="1">
      <alignment horizontal="right"/>
      <protection locked="0"/>
    </xf>
    <xf numFmtId="173" fontId="1" fillId="0" borderId="37" xfId="2" applyNumberFormat="1" applyBorder="1" applyAlignment="1" applyProtection="1">
      <alignment horizontal="center"/>
      <protection locked="0"/>
    </xf>
    <xf numFmtId="173" fontId="1" fillId="0" borderId="38" xfId="2" applyNumberFormat="1" applyBorder="1" applyAlignment="1" applyProtection="1">
      <alignment horizontal="center"/>
      <protection locked="0"/>
    </xf>
    <xf numFmtId="173" fontId="1" fillId="0" borderId="39" xfId="2" applyNumberFormat="1" applyBorder="1" applyAlignment="1" applyProtection="1">
      <alignment horizontal="center"/>
      <protection locked="0"/>
    </xf>
    <xf numFmtId="14" fontId="28" fillId="0" borderId="0" xfId="1" applyNumberFormat="1" applyBorder="1"/>
    <xf numFmtId="0" fontId="32" fillId="3" borderId="27" xfId="1" applyFont="1" applyFill="1" applyBorder="1" applyAlignment="1" applyProtection="1">
      <alignment horizontal="right"/>
      <protection locked="0"/>
    </xf>
    <xf numFmtId="173" fontId="1" fillId="0" borderId="40" xfId="2" applyNumberFormat="1" applyBorder="1" applyAlignment="1" applyProtection="1">
      <alignment horizontal="center"/>
      <protection locked="0"/>
    </xf>
    <xf numFmtId="173" fontId="1" fillId="0" borderId="41" xfId="2" applyNumberFormat="1" applyBorder="1" applyAlignment="1" applyProtection="1">
      <alignment horizontal="center"/>
      <protection locked="0"/>
    </xf>
    <xf numFmtId="173" fontId="1" fillId="0" borderId="42" xfId="2" applyNumberFormat="1" applyBorder="1" applyAlignment="1" applyProtection="1">
      <alignment horizontal="center"/>
      <protection locked="0"/>
    </xf>
    <xf numFmtId="0" fontId="19" fillId="0" borderId="0" xfId="1" applyFont="1" applyAlignment="1" applyProtection="1">
      <alignment horizontal="right" vertical="center" wrapText="1"/>
    </xf>
    <xf numFmtId="1" fontId="33" fillId="0" borderId="0" xfId="1" applyNumberFormat="1" applyFont="1" applyFill="1" applyAlignment="1" applyProtection="1">
      <alignment horizontal="right"/>
    </xf>
    <xf numFmtId="0" fontId="28" fillId="0" borderId="0" xfId="1" applyProtection="1">
      <protection locked="0"/>
    </xf>
    <xf numFmtId="3" fontId="19" fillId="0" borderId="0" xfId="1" applyNumberFormat="1" applyFont="1" applyAlignment="1" applyProtection="1">
      <alignment horizontal="right" vertical="center" wrapText="1"/>
    </xf>
    <xf numFmtId="2" fontId="28" fillId="0" borderId="0" xfId="1" applyNumberFormat="1"/>
    <xf numFmtId="0" fontId="34" fillId="19" borderId="43" xfId="1" applyFont="1" applyFill="1" applyBorder="1" applyAlignment="1">
      <alignment horizontal="center"/>
    </xf>
    <xf numFmtId="0" fontId="34" fillId="19" borderId="44" xfId="1" applyFont="1" applyFill="1" applyBorder="1" applyAlignment="1">
      <alignment horizontal="center"/>
    </xf>
    <xf numFmtId="0" fontId="35" fillId="0" borderId="0" xfId="1" applyFont="1" applyBorder="1"/>
    <xf numFmtId="14" fontId="36" fillId="20" borderId="45" xfId="1" applyNumberFormat="1" applyFont="1" applyFill="1" applyBorder="1"/>
    <xf numFmtId="0" fontId="37" fillId="20" borderId="46" xfId="1" applyFont="1" applyFill="1" applyBorder="1"/>
    <xf numFmtId="2" fontId="31" fillId="3" borderId="47" xfId="1" applyNumberFormat="1" applyFont="1" applyFill="1" applyBorder="1" applyAlignment="1" applyProtection="1">
      <alignment horizontal="center"/>
      <protection locked="0"/>
    </xf>
    <xf numFmtId="173" fontId="1" fillId="0" borderId="48" xfId="2" applyNumberFormat="1" applyBorder="1" applyAlignment="1" applyProtection="1">
      <alignment horizontal="center"/>
      <protection locked="0"/>
    </xf>
    <xf numFmtId="173" fontId="1" fillId="0" borderId="49" xfId="2" applyNumberFormat="1" applyBorder="1" applyAlignment="1" applyProtection="1">
      <alignment horizontal="center"/>
      <protection locked="0"/>
    </xf>
    <xf numFmtId="173" fontId="1" fillId="0" borderId="50" xfId="2" applyNumberFormat="1" applyBorder="1" applyAlignment="1" applyProtection="1">
      <alignment horizontal="center"/>
      <protection locked="0"/>
    </xf>
    <xf numFmtId="0" fontId="36" fillId="20" borderId="51" xfId="1" applyFont="1" applyFill="1" applyBorder="1"/>
    <xf numFmtId="0" fontId="37" fillId="20" borderId="52" xfId="1" applyFont="1" applyFill="1" applyBorder="1"/>
    <xf numFmtId="4" fontId="19" fillId="18" borderId="0" xfId="1" applyNumberFormat="1" applyFont="1" applyFill="1" applyAlignment="1" applyProtection="1">
      <alignment horizontal="right" vertical="center" wrapText="1"/>
    </xf>
    <xf numFmtId="2" fontId="28" fillId="5" borderId="27" xfId="1" applyNumberFormat="1" applyFill="1" applyBorder="1" applyProtection="1">
      <protection locked="0"/>
    </xf>
    <xf numFmtId="0" fontId="2" fillId="0" borderId="0" xfId="2" applyFont="1" applyAlignment="1">
      <alignment horizontal="center"/>
    </xf>
    <xf numFmtId="0" fontId="28" fillId="0" borderId="0" xfId="1" applyFill="1"/>
    <xf numFmtId="0" fontId="38" fillId="3" borderId="0" xfId="1" applyFont="1" applyFill="1" applyAlignment="1" applyProtection="1">
      <alignment horizontal="center"/>
      <protection locked="0"/>
    </xf>
    <xf numFmtId="14" fontId="37" fillId="20" borderId="52" xfId="1" applyNumberFormat="1" applyFont="1" applyFill="1" applyBorder="1"/>
    <xf numFmtId="2" fontId="23" fillId="0" borderId="0" xfId="1" applyNumberFormat="1" applyFont="1" applyFill="1"/>
    <xf numFmtId="0" fontId="36" fillId="20" borderId="53" xfId="1" applyFont="1" applyFill="1" applyBorder="1"/>
    <xf numFmtId="0" fontId="37" fillId="20" borderId="54" xfId="1" applyFont="1" applyFill="1" applyBorder="1"/>
    <xf numFmtId="2" fontId="19" fillId="0" borderId="0" xfId="1" applyNumberFormat="1" applyFont="1" applyAlignment="1" applyProtection="1">
      <alignment horizontal="center" vertical="center" wrapText="1"/>
    </xf>
    <xf numFmtId="2" fontId="19" fillId="0" borderId="0" xfId="1" applyNumberFormat="1" applyFont="1" applyFill="1" applyProtection="1"/>
    <xf numFmtId="0" fontId="32" fillId="21" borderId="27" xfId="1" applyFont="1" applyFill="1" applyBorder="1" applyAlignment="1" applyProtection="1">
      <alignment horizontal="center"/>
    </xf>
    <xf numFmtId="14" fontId="32" fillId="21" borderId="27" xfId="1" applyNumberFormat="1" applyFont="1" applyFill="1" applyBorder="1" applyAlignment="1" applyProtection="1">
      <alignment horizontal="center"/>
    </xf>
    <xf numFmtId="2" fontId="28" fillId="0" borderId="0" xfId="1" applyNumberFormat="1" applyFill="1"/>
    <xf numFmtId="0" fontId="19" fillId="0" borderId="0" xfId="1" applyFont="1" applyAlignment="1" applyProtection="1">
      <alignment horizontal="right" vertical="center"/>
    </xf>
    <xf numFmtId="0" fontId="39" fillId="0" borderId="0" xfId="1" applyFont="1" applyAlignment="1" applyProtection="1">
      <alignment horizontal="right" vertical="center"/>
    </xf>
    <xf numFmtId="14" fontId="22" fillId="3" borderId="55" xfId="1" applyNumberFormat="1" applyFont="1" applyFill="1" applyBorder="1" applyAlignment="1" applyProtection="1">
      <alignment horizontal="center"/>
      <protection locked="0"/>
    </xf>
    <xf numFmtId="0" fontId="23" fillId="11" borderId="56" xfId="1" applyFont="1" applyFill="1" applyBorder="1" applyAlignment="1">
      <alignment horizontal="right" vertical="center" wrapText="1"/>
    </xf>
    <xf numFmtId="0" fontId="32" fillId="22" borderId="27" xfId="1" applyFont="1" applyFill="1" applyBorder="1" applyAlignment="1" applyProtection="1">
      <alignment horizontal="right"/>
      <protection locked="0"/>
    </xf>
    <xf numFmtId="3" fontId="40" fillId="11" borderId="57" xfId="1" applyNumberFormat="1" applyFont="1" applyFill="1" applyBorder="1" applyAlignment="1" applyProtection="1">
      <alignment horizontal="right" vertical="center"/>
      <protection hidden="1"/>
    </xf>
    <xf numFmtId="0" fontId="28" fillId="23" borderId="58" xfId="1" applyFont="1" applyFill="1" applyBorder="1" applyAlignment="1" applyProtection="1">
      <alignment horizontal="right"/>
    </xf>
    <xf numFmtId="0" fontId="40" fillId="11" borderId="59" xfId="1" applyFont="1" applyFill="1" applyBorder="1" applyAlignment="1" applyProtection="1">
      <alignment horizontal="right" vertical="center"/>
      <protection hidden="1"/>
    </xf>
  </cellXfs>
  <cellStyles count="3">
    <cellStyle name="Normal" xfId="0" builtinId="0"/>
    <cellStyle name="Normal 2" xfId="1"/>
    <cellStyle name="Normal 2 2" xfId="2"/>
  </cellStyles>
  <dxfs count="8">
    <dxf>
      <font>
        <b/>
        <i/>
        <color theme="0"/>
      </font>
      <numFmt numFmtId="19" formatCode="dd/mm/yyyy"/>
      <fill>
        <patternFill patternType="gray0625">
          <fgColor auto="1"/>
          <bgColor rgb="FFFE6D50"/>
        </patternFill>
      </fill>
    </dxf>
    <dxf>
      <fill>
        <patternFill>
          <bgColor theme="7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ont>
        <b/>
        <i/>
        <color rgb="FFFF0000"/>
      </font>
      <fill>
        <patternFill>
          <bgColor theme="4" tint="0.79998168889431442"/>
        </patternFill>
      </fill>
    </dxf>
    <dxf>
      <font>
        <b/>
        <i/>
        <color rgb="FFFF0000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21779</xdr:colOff>
      <xdr:row>18</xdr:row>
      <xdr:rowOff>137160</xdr:rowOff>
    </xdr:from>
    <xdr:to>
      <xdr:col>13</xdr:col>
      <xdr:colOff>148259</xdr:colOff>
      <xdr:row>22</xdr:row>
      <xdr:rowOff>246600</xdr:rowOff>
    </xdr:to>
    <xdr:sp macro="[1]!Valider_Transport" textlink="">
      <xdr:nvSpPr>
        <xdr:cNvPr id="2" name="Forme 4"/>
        <xdr:cNvSpPr/>
      </xdr:nvSpPr>
      <xdr:spPr>
        <a:xfrm>
          <a:off x="10293539" y="4686300"/>
          <a:ext cx="1620000" cy="111528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FFFFD7"/>
        </a:solidFill>
        <a:ln w="25400">
          <a:solidFill>
            <a:srgbClr val="3465A4"/>
          </a:solidFill>
          <a:prstDash val="solid"/>
        </a:ln>
      </xdr:spPr>
      <xdr:txBody>
        <a:bodyPr vertOverflow="clip" horzOverflow="clip" vert="horz" wrap="none" lIns="0" tIns="0" rIns="0" bIns="0" anchor="ctr" anchorCtr="0" compatLnSpc="0">
          <a:noAutofit/>
        </a:bodyPr>
        <a:lstStyle/>
        <a:p>
          <a:pPr lvl="0" algn="ctr" rtl="0" hangingPunct="0">
            <a:buNone/>
            <a:tabLst/>
            <a:defRPr b="1"/>
          </a:pPr>
          <a:r>
            <a:rPr lang="fr-FR" sz="1600" b="1" kern="1200">
              <a:latin typeface="Liberation Serif" pitchFamily="18"/>
              <a:ea typeface="Segoe UI" pitchFamily="2"/>
              <a:cs typeface="Tahoma" pitchFamily="2"/>
            </a:rPr>
            <a:t>ENREGISTRER</a:t>
          </a:r>
        </a:p>
      </xdr:txBody>
    </xdr:sp>
    <xdr:clientData/>
  </xdr:twoCellAnchor>
  <xdr:oneCellAnchor>
    <xdr:from>
      <xdr:col>1</xdr:col>
      <xdr:colOff>327661</xdr:colOff>
      <xdr:row>0</xdr:row>
      <xdr:rowOff>30480</xdr:rowOff>
    </xdr:from>
    <xdr:ext cx="4229099" cy="1577340"/>
    <xdr:sp macro="" textlink="">
      <xdr:nvSpPr>
        <xdr:cNvPr id="3" name="Rectangle 2"/>
        <xdr:cNvSpPr/>
      </xdr:nvSpPr>
      <xdr:spPr>
        <a:xfrm>
          <a:off x="975361" y="30480"/>
          <a:ext cx="4229099" cy="157734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8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Transport &amp; Deplacement</a:t>
          </a:r>
          <a:endParaRPr lang="fr-FR" sz="48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twoCellAnchor>
    <xdr:from>
      <xdr:col>19</xdr:col>
      <xdr:colOff>220980</xdr:colOff>
      <xdr:row>1</xdr:row>
      <xdr:rowOff>30480</xdr:rowOff>
    </xdr:from>
    <xdr:to>
      <xdr:col>20</xdr:col>
      <xdr:colOff>381000</xdr:colOff>
      <xdr:row>2</xdr:row>
      <xdr:rowOff>198120</xdr:rowOff>
    </xdr:to>
    <xdr:sp macro="[1]!Feuil8.MoisSuivant" textlink="">
      <xdr:nvSpPr>
        <xdr:cNvPr id="4" name="Flèche droite 3"/>
        <xdr:cNvSpPr/>
      </xdr:nvSpPr>
      <xdr:spPr>
        <a:xfrm>
          <a:off x="14478000" y="220980"/>
          <a:ext cx="594360" cy="419100"/>
        </a:xfrm>
        <a:prstGeom prst="rightArrow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45720</xdr:colOff>
      <xdr:row>1</xdr:row>
      <xdr:rowOff>38100</xdr:rowOff>
    </xdr:from>
    <xdr:to>
      <xdr:col>15</xdr:col>
      <xdr:colOff>167640</xdr:colOff>
      <xdr:row>2</xdr:row>
      <xdr:rowOff>205740</xdr:rowOff>
    </xdr:to>
    <xdr:sp macro="[1]!Feuil8.MoisPrecedent" textlink="">
      <xdr:nvSpPr>
        <xdr:cNvPr id="5" name="Flèche droite 4"/>
        <xdr:cNvSpPr/>
      </xdr:nvSpPr>
      <xdr:spPr>
        <a:xfrm rot="10800000">
          <a:off x="12252960" y="228600"/>
          <a:ext cx="594360" cy="419100"/>
        </a:xfrm>
        <a:prstGeom prst="rightArrow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381000</xdr:colOff>
      <xdr:row>10</xdr:row>
      <xdr:rowOff>53340</xdr:rowOff>
    </xdr:from>
    <xdr:to>
      <xdr:col>21</xdr:col>
      <xdr:colOff>144780</xdr:colOff>
      <xdr:row>13</xdr:row>
      <xdr:rowOff>152400</xdr:rowOff>
    </xdr:to>
    <xdr:sp macro="[1]!Feuil8.RetourMoisEncours" textlink="">
      <xdr:nvSpPr>
        <xdr:cNvPr id="6" name="Étoile à 16 branches 5"/>
        <xdr:cNvSpPr/>
      </xdr:nvSpPr>
      <xdr:spPr>
        <a:xfrm>
          <a:off x="14188440" y="2499360"/>
          <a:ext cx="1043940" cy="853440"/>
        </a:xfrm>
        <a:prstGeom prst="star16">
          <a:avLst/>
        </a:prstGeom>
        <a:solidFill>
          <a:srgbClr val="BCEFBB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CE JOUR</a:t>
          </a:r>
        </a:p>
      </xdr:txBody>
    </xdr:sp>
    <xdr:clientData/>
  </xdr:twoCellAnchor>
  <xdr:twoCellAnchor>
    <xdr:from>
      <xdr:col>11</xdr:col>
      <xdr:colOff>38100</xdr:colOff>
      <xdr:row>13</xdr:row>
      <xdr:rowOff>190500</xdr:rowOff>
    </xdr:from>
    <xdr:to>
      <xdr:col>13</xdr:col>
      <xdr:colOff>137160</xdr:colOff>
      <xdr:row>16</xdr:row>
      <xdr:rowOff>38100</xdr:rowOff>
    </xdr:to>
    <xdr:sp macro="[1]!Consulter_Secu" textlink="">
      <xdr:nvSpPr>
        <xdr:cNvPr id="7" name="Rectangle à coins arrondis 6"/>
        <xdr:cNvSpPr/>
      </xdr:nvSpPr>
      <xdr:spPr>
        <a:xfrm>
          <a:off x="10309860" y="3390900"/>
          <a:ext cx="1592580" cy="693420"/>
        </a:xfrm>
        <a:prstGeom prst="roundRect">
          <a:avLst/>
        </a:prstGeom>
        <a:solidFill>
          <a:srgbClr val="BCEFBB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Consulter</a:t>
          </a:r>
        </a:p>
        <a:p>
          <a:pPr algn="ctr"/>
          <a:r>
            <a:rPr lang="fr-FR" sz="1600" b="1">
              <a:solidFill>
                <a:schemeClr val="tx1"/>
              </a:solidFill>
            </a:rPr>
            <a:t> la liste</a:t>
          </a:r>
        </a:p>
      </xdr:txBody>
    </xdr:sp>
    <xdr:clientData/>
  </xdr:twoCellAnchor>
  <xdr:twoCellAnchor>
    <xdr:from>
      <xdr:col>11</xdr:col>
      <xdr:colOff>22860</xdr:colOff>
      <xdr:row>10</xdr:row>
      <xdr:rowOff>129540</xdr:rowOff>
    </xdr:from>
    <xdr:to>
      <xdr:col>13</xdr:col>
      <xdr:colOff>106680</xdr:colOff>
      <xdr:row>13</xdr:row>
      <xdr:rowOff>91440</xdr:rowOff>
    </xdr:to>
    <xdr:sp macro="[1]!VoirRecap" textlink="">
      <xdr:nvSpPr>
        <xdr:cNvPr id="8" name="Rectangle à coins arrondis 7"/>
        <xdr:cNvSpPr/>
      </xdr:nvSpPr>
      <xdr:spPr>
        <a:xfrm>
          <a:off x="10294620" y="2575560"/>
          <a:ext cx="1577340" cy="71628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27000">
              <a:schemeClr val="accent1">
                <a:lumMod val="45000"/>
                <a:lumOff val="55000"/>
              </a:schemeClr>
            </a:gs>
            <a:gs pos="49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Correction sur Recap</a:t>
          </a:r>
          <a:r>
            <a:rPr lang="fr-FR" sz="1600" b="1" baseline="0">
              <a:solidFill>
                <a:schemeClr val="bg1"/>
              </a:solidFill>
            </a:rPr>
            <a:t> Deplt</a:t>
          </a:r>
        </a:p>
      </xdr:txBody>
    </xdr:sp>
    <xdr:clientData/>
  </xdr:twoCellAnchor>
  <xdr:twoCellAnchor>
    <xdr:from>
      <xdr:col>11</xdr:col>
      <xdr:colOff>45720</xdr:colOff>
      <xdr:row>16</xdr:row>
      <xdr:rowOff>167640</xdr:rowOff>
    </xdr:from>
    <xdr:to>
      <xdr:col>13</xdr:col>
      <xdr:colOff>129540</xdr:colOff>
      <xdr:row>17</xdr:row>
      <xdr:rowOff>190500</xdr:rowOff>
    </xdr:to>
    <xdr:sp macro="[1]!Annuler_Deplct" textlink="">
      <xdr:nvSpPr>
        <xdr:cNvPr id="9" name="Rectangle à coins arrondis 8"/>
        <xdr:cNvSpPr/>
      </xdr:nvSpPr>
      <xdr:spPr>
        <a:xfrm>
          <a:off x="10317480" y="4213860"/>
          <a:ext cx="1577340" cy="274320"/>
        </a:xfrm>
        <a:prstGeom prst="roundRect">
          <a:avLst/>
        </a:prstGeom>
        <a:solidFill>
          <a:srgbClr val="FE6D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ANNULER</a:t>
          </a:r>
        </a:p>
      </xdr:txBody>
    </xdr:sp>
    <xdr:clientData/>
  </xdr:twoCellAnchor>
  <xdr:twoCellAnchor>
    <xdr:from>
      <xdr:col>7</xdr:col>
      <xdr:colOff>38100</xdr:colOff>
      <xdr:row>4</xdr:row>
      <xdr:rowOff>38100</xdr:rowOff>
    </xdr:from>
    <xdr:to>
      <xdr:col>7</xdr:col>
      <xdr:colOff>228600</xdr:colOff>
      <xdr:row>4</xdr:row>
      <xdr:rowOff>243840</xdr:rowOff>
    </xdr:to>
    <xdr:sp macro="[1]!OuvreCreMedecin" textlink="">
      <xdr:nvSpPr>
        <xdr:cNvPr id="10" name="Étoile à 10 branches 9"/>
        <xdr:cNvSpPr/>
      </xdr:nvSpPr>
      <xdr:spPr>
        <a:xfrm>
          <a:off x="6896100" y="98298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5</xdr:row>
      <xdr:rowOff>60960</xdr:rowOff>
    </xdr:from>
    <xdr:to>
      <xdr:col>7</xdr:col>
      <xdr:colOff>228600</xdr:colOff>
      <xdr:row>6</xdr:row>
      <xdr:rowOff>15240</xdr:rowOff>
    </xdr:to>
    <xdr:sp macro="[1]!OuvreCreMotif" textlink="">
      <xdr:nvSpPr>
        <xdr:cNvPr id="11" name="Étoile à 10 branches 10"/>
        <xdr:cNvSpPr/>
      </xdr:nvSpPr>
      <xdr:spPr>
        <a:xfrm>
          <a:off x="6896100" y="125730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9</xdr:row>
      <xdr:rowOff>30480</xdr:rowOff>
    </xdr:from>
    <xdr:to>
      <xdr:col>7</xdr:col>
      <xdr:colOff>228600</xdr:colOff>
      <xdr:row>9</xdr:row>
      <xdr:rowOff>236220</xdr:rowOff>
    </xdr:to>
    <xdr:sp macro="[1]!OuvreCreTransport" textlink="">
      <xdr:nvSpPr>
        <xdr:cNvPr id="12" name="Étoile à 10 branches 11"/>
        <xdr:cNvSpPr/>
      </xdr:nvSpPr>
      <xdr:spPr>
        <a:xfrm>
          <a:off x="6896100" y="222504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19</xdr:row>
      <xdr:rowOff>22860</xdr:rowOff>
    </xdr:from>
    <xdr:to>
      <xdr:col>7</xdr:col>
      <xdr:colOff>228600</xdr:colOff>
      <xdr:row>19</xdr:row>
      <xdr:rowOff>228600</xdr:rowOff>
    </xdr:to>
    <xdr:sp macro="[1]!OuvreCreBenefSoins" textlink="">
      <xdr:nvSpPr>
        <xdr:cNvPr id="13" name="Étoile à 10 branches 12"/>
        <xdr:cNvSpPr/>
      </xdr:nvSpPr>
      <xdr:spPr>
        <a:xfrm>
          <a:off x="6896100" y="482346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</xdr:colOff>
      <xdr:row>20</xdr:row>
      <xdr:rowOff>53340</xdr:rowOff>
    </xdr:from>
    <xdr:to>
      <xdr:col>7</xdr:col>
      <xdr:colOff>228600</xdr:colOff>
      <xdr:row>21</xdr:row>
      <xdr:rowOff>7620</xdr:rowOff>
    </xdr:to>
    <xdr:sp macro="[1]!OuvreCreVehicule" textlink="">
      <xdr:nvSpPr>
        <xdr:cNvPr id="14" name="Étoile à 10 branches 13"/>
        <xdr:cNvSpPr/>
      </xdr:nvSpPr>
      <xdr:spPr>
        <a:xfrm>
          <a:off x="6896100" y="510540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121920</xdr:colOff>
      <xdr:row>20</xdr:row>
      <xdr:rowOff>30480</xdr:rowOff>
    </xdr:from>
    <xdr:to>
      <xdr:col>4</xdr:col>
      <xdr:colOff>1310640</xdr:colOff>
      <xdr:row>21</xdr:row>
      <xdr:rowOff>38100</xdr:rowOff>
    </xdr:to>
    <xdr:sp macro="" textlink="">
      <xdr:nvSpPr>
        <xdr:cNvPr id="15" name="ZoneTexte 14"/>
        <xdr:cNvSpPr txBox="1"/>
      </xdr:nvSpPr>
      <xdr:spPr>
        <a:xfrm>
          <a:off x="1417320" y="5082540"/>
          <a:ext cx="3200400" cy="259080"/>
        </a:xfrm>
        <a:prstGeom prst="rect">
          <a:avLst/>
        </a:prstGeom>
        <a:solidFill>
          <a:schemeClr val="lt1"/>
        </a:solidFill>
        <a:ln w="19050" cmpd="dbl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100"/>
            <a:t>Appuyer           pour </a:t>
          </a:r>
          <a:r>
            <a:rPr lang="fr-FR" sz="1200" b="1"/>
            <a:t>Créer</a:t>
          </a:r>
          <a:r>
            <a:rPr lang="fr-FR" sz="1100"/>
            <a:t> une  rubrique</a:t>
          </a:r>
          <a:r>
            <a:rPr lang="fr-FR" sz="1100" baseline="0"/>
            <a:t> </a:t>
          </a:r>
          <a:r>
            <a:rPr lang="fr-FR" sz="1100"/>
            <a:t>Manquante</a:t>
          </a:r>
        </a:p>
      </xdr:txBody>
    </xdr:sp>
    <xdr:clientData/>
  </xdr:twoCellAnchor>
  <xdr:twoCellAnchor>
    <xdr:from>
      <xdr:col>2</xdr:col>
      <xdr:colOff>815340</xdr:colOff>
      <xdr:row>20</xdr:row>
      <xdr:rowOff>68580</xdr:rowOff>
    </xdr:from>
    <xdr:to>
      <xdr:col>2</xdr:col>
      <xdr:colOff>1005840</xdr:colOff>
      <xdr:row>21</xdr:row>
      <xdr:rowOff>22860</xdr:rowOff>
    </xdr:to>
    <xdr:sp macro="" textlink="">
      <xdr:nvSpPr>
        <xdr:cNvPr id="16" name="Étoile à 10 branches 15"/>
        <xdr:cNvSpPr/>
      </xdr:nvSpPr>
      <xdr:spPr>
        <a:xfrm>
          <a:off x="2110740" y="512064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1</xdr:row>
      <xdr:rowOff>0</xdr:rowOff>
    </xdr:from>
    <xdr:to>
      <xdr:col>0</xdr:col>
      <xdr:colOff>271780</xdr:colOff>
      <xdr:row>1</xdr:row>
      <xdr:rowOff>510370</xdr:rowOff>
    </xdr:to>
    <xdr:pic macro="[1]!form_BoutonListe">
      <xdr:nvPicPr>
        <xdr:cNvPr id="4" name="BoutonEdit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PencilSketch pressure="46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00" y="175260"/>
          <a:ext cx="259080" cy="510370"/>
        </a:xfrm>
        <a:prstGeom prst="rect">
          <a:avLst/>
        </a:prstGeom>
        <a:effectLst>
          <a:glow rad="114300">
            <a:srgbClr val="FFFF00">
              <a:alpha val="57000"/>
            </a:srgbClr>
          </a:glow>
        </a:effectLst>
      </xdr:spPr>
    </xdr:pic>
    <xdr:clientData/>
  </xdr:twoCellAnchor>
  <xdr:twoCellAnchor>
    <xdr:from>
      <xdr:col>7</xdr:col>
      <xdr:colOff>45720</xdr:colOff>
      <xdr:row>1</xdr:row>
      <xdr:rowOff>396240</xdr:rowOff>
    </xdr:from>
    <xdr:to>
      <xdr:col>8</xdr:col>
      <xdr:colOff>411480</xdr:colOff>
      <xdr:row>1</xdr:row>
      <xdr:rowOff>403860</xdr:rowOff>
    </xdr:to>
    <xdr:cxnSp macro="">
      <xdr:nvCxnSpPr>
        <xdr:cNvPr id="5" name="Connecteur droit avec flèche 4"/>
        <xdr:cNvCxnSpPr/>
      </xdr:nvCxnSpPr>
      <xdr:spPr>
        <a:xfrm>
          <a:off x="6545580" y="571500"/>
          <a:ext cx="746760" cy="762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784860</xdr:colOff>
      <xdr:row>2</xdr:row>
      <xdr:rowOff>152400</xdr:rowOff>
    </xdr:from>
    <xdr:to>
      <xdr:col>16</xdr:col>
      <xdr:colOff>30480</xdr:colOff>
      <xdr:row>67</xdr:row>
      <xdr:rowOff>53340</xdr:rowOff>
    </xdr:to>
    <xdr:sp macro="" textlink="">
      <xdr:nvSpPr>
        <xdr:cNvPr id="2" name="ZoneTexte 1"/>
        <xdr:cNvSpPr txBox="1"/>
      </xdr:nvSpPr>
      <xdr:spPr>
        <a:xfrm>
          <a:off x="1577340" y="518160"/>
          <a:ext cx="11132820" cy="11788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'****************************************************</a:t>
          </a:r>
        </a:p>
        <a:p>
          <a:r>
            <a:rPr lang="fr-FR" sz="1100"/>
            <a:t>'***                 Transport Macro                                                      ***</a:t>
          </a:r>
        </a:p>
        <a:p>
          <a:r>
            <a:rPr lang="fr-FR" sz="1100"/>
            <a:t>'***    nouvelle macro de validation des transports                  ***</a:t>
          </a:r>
        </a:p>
        <a:p>
          <a:r>
            <a:rPr lang="fr-FR" sz="1100"/>
            <a:t>'***                 Valider_Transport                                                    ***</a:t>
          </a:r>
        </a:p>
        <a:p>
          <a:r>
            <a:rPr lang="fr-FR" sz="1100"/>
            <a:t>'****************************************************</a:t>
          </a:r>
        </a:p>
        <a:p>
          <a:endParaRPr lang="fr-FR" sz="1100"/>
        </a:p>
        <a:p>
          <a:r>
            <a:rPr lang="fr-FR" sz="1100"/>
            <a:t>Sub Valider_Transport()</a:t>
          </a:r>
        </a:p>
        <a:p>
          <a:endParaRPr lang="fr-FR" sz="1100"/>
        </a:p>
        <a:p>
          <a:r>
            <a:rPr lang="fr-FR" sz="1100"/>
            <a:t>If Range("I21") = "" Then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' Obligation d'un véhicule de Trasnport</a:t>
          </a:r>
          <a:endParaRPr lang="fr-FR" sz="1100"/>
        </a:p>
        <a:p>
          <a:r>
            <a:rPr lang="fr-FR" sz="1100"/>
            <a:t>    MsgBox (" Votre Fiche ne contient pas d'information Véhicule")</a:t>
          </a:r>
        </a:p>
        <a:p>
          <a:r>
            <a:rPr lang="fr-FR" sz="1100"/>
            <a:t>    Exit Sub                               </a:t>
          </a:r>
        </a:p>
        <a:p>
          <a:r>
            <a:rPr lang="fr-FR" sz="1100"/>
            <a:t>    Else</a:t>
          </a:r>
        </a:p>
        <a:p>
          <a:r>
            <a:rPr lang="fr-FR" sz="1100"/>
            <a:t>    Application.ScreenUpdating = False        	  ' Empêcher le rafraichissement d'écran</a:t>
          </a:r>
        </a:p>
        <a:p>
          <a:r>
            <a:rPr lang="fr-FR" sz="1100"/>
            <a:t>    Feuil8.Unprotect ["JJL"]</a:t>
          </a:r>
        </a:p>
        <a:p>
          <a:r>
            <a:rPr lang="fr-FR" sz="1100"/>
            <a:t>    Feuil9.Unprotect ["JJL"]                  	  ' Oter la protection des feuilles 8 &amp; 9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			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'=============================================================================</a:t>
          </a:r>
          <a:endParaRPr lang="fr-FR" sz="1100"/>
        </a:p>
        <a:p>
          <a:r>
            <a:rPr lang="fr-FR" sz="1100"/>
            <a:t>    Feuil4.Range("AQ12").Value = Range("I2")  	  ' **** ATTENTION </a:t>
          </a:r>
          <a:r>
            <a:rPr lang="fr-FR" sz="1100" baseline="0"/>
            <a:t> cette</a:t>
          </a:r>
          <a:r>
            <a:rPr lang="fr-FR" sz="1100"/>
            <a:t> référence de cellule est mémorisée dans la Feuille4 ( "BASES" ) </a:t>
          </a:r>
          <a:r>
            <a:rPr lang="fr-FR" sz="1100" baseline="0"/>
            <a:t>   ****</a:t>
          </a:r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	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'=============================================================================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        Range("I2:I23").Select</a:t>
          </a:r>
        </a:p>
        <a:p>
          <a:r>
            <a:rPr lang="fr-FR" sz="1100"/>
            <a:t>        Selection.Copy</a:t>
          </a:r>
        </a:p>
        <a:p>
          <a:r>
            <a:rPr lang="fr-FR" sz="1100"/>
            <a:t>        Sheets("Recap Deplt").Select</a:t>
          </a:r>
        </a:p>
        <a:p>
          <a:r>
            <a:rPr lang="fr-FR" sz="1100"/>
            <a:t>        Range("A4").Select</a:t>
          </a:r>
        </a:p>
        <a:p>
          <a:r>
            <a:rPr lang="fr-FR" sz="1100"/>
            <a:t>        Selection.PasteSpecial Paste:=xlPasteValues, Operation:=xlNone, SkipBlanks _</a:t>
          </a:r>
        </a:p>
        <a:p>
          <a:r>
            <a:rPr lang="fr-FR" sz="1100"/>
            <a:t>        :=False, Transpose:=True                                                ' copie des informations saisies</a:t>
          </a:r>
        </a:p>
        <a:p>
          <a:r>
            <a:rPr lang="fr-FR" sz="1100"/>
            <a:t>        Application.CutCopyMode = False                                         ' vide le presse papier</a:t>
          </a:r>
        </a:p>
        <a:p>
          <a:r>
            <a:rPr lang="fr-FR" sz="1100"/>
            <a:t>        Rows("4:4").Select                                                      ' selectionne la ligne 3 de la feuille 9</a:t>
          </a:r>
        </a:p>
        <a:p>
          <a:r>
            <a:rPr lang="fr-FR" sz="1100"/>
            <a:t>        Selection.Insert Shift:=xlDown, CopyOrigin:=xlFormatFromRightOrBelow    ' insérer une ligne au format de la ligne du dessous</a:t>
          </a:r>
        </a:p>
        <a:p>
          <a:r>
            <a:rPr lang="fr-FR" sz="1100"/>
            <a:t>    </a:t>
          </a:r>
        </a:p>
        <a:p>
          <a:r>
            <a:rPr lang="fr-FR" sz="1100"/>
            <a:t>        Feuil8.Select                                                           ' sélection de la feuille 8</a:t>
          </a:r>
        </a:p>
        <a:p>
          <a:r>
            <a:rPr lang="fr-FR" sz="1100"/>
            <a:t>        Range("I2,I5,I6,I10,I11,I12,I13,I16,I17,I20,I21").Select                ' sélection des celulles à effacer en sortie</a:t>
          </a:r>
        </a:p>
        <a:p>
          <a:r>
            <a:rPr lang="fr-FR" sz="1100"/>
            <a:t>        Selection.ClearContents                                                 ' Effacer</a:t>
          </a:r>
        </a:p>
        <a:p>
          <a:r>
            <a:rPr lang="fr-FR" sz="1100"/>
            <a:t>        Range("I2").Select                                                      ' Position en I2 pour saisie de la prochaine Date</a:t>
          </a:r>
        </a:p>
        <a:p>
          <a:r>
            <a:rPr lang="fr-FR" sz="1100"/>
            <a:t>End If</a:t>
          </a:r>
        </a:p>
        <a:p>
          <a:endParaRPr lang="fr-FR" sz="1100"/>
        </a:p>
        <a:p>
          <a:r>
            <a:rPr lang="fr-FR" sz="1100"/>
            <a:t>Feuil8.Protect ["JJL"] ' remise en fonction des protections</a:t>
          </a:r>
        </a:p>
        <a:p>
          <a:r>
            <a:rPr lang="fr-FR" sz="1100"/>
            <a:t>Feuil9.Protect ["JJL"]</a:t>
          </a:r>
        </a:p>
        <a:p>
          <a:endParaRPr lang="fr-FR" sz="1100"/>
        </a:p>
        <a:p>
          <a:r>
            <a:rPr lang="fr-FR" sz="1100"/>
            <a:t>Application.ScreenUpdating = True                                               ' remise en fonction rafraichissement Ecran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'******************************************</a:t>
          </a:r>
        </a:p>
        <a:p>
          <a:r>
            <a:rPr lang="fr-FR" sz="1100"/>
            <a:t>'***                 Annuler_Deplct ( Macro )                 ***</a:t>
          </a:r>
        </a:p>
        <a:p>
          <a:r>
            <a:rPr lang="fr-FR" sz="1100"/>
            <a:t>'***         Annuler la saisie d'un Deplacement,      ***</a:t>
          </a:r>
        </a:p>
        <a:p>
          <a:r>
            <a:rPr lang="fr-FR" sz="1100"/>
            <a:t>'***                ( ne l'enregistre pas )                         ***</a:t>
          </a:r>
        </a:p>
        <a:p>
          <a:r>
            <a:rPr lang="fr-FR" sz="1100"/>
            <a:t>'******************************************</a:t>
          </a:r>
        </a:p>
        <a:p>
          <a:endParaRPr lang="fr-FR" sz="1100"/>
        </a:p>
        <a:p>
          <a:r>
            <a:rPr lang="fr-FR" sz="1100"/>
            <a:t>Sub Annuler_Deplct()</a:t>
          </a:r>
        </a:p>
        <a:p>
          <a:r>
            <a:rPr lang="fr-FR" sz="1100"/>
            <a:t>Feuil8.Unprotect ["JJL"]</a:t>
          </a:r>
        </a:p>
        <a:p>
          <a:r>
            <a:rPr lang="fr-FR" sz="1100"/>
            <a:t>    ' Effacer uniquement les zones de saisie, ne pas effacer les champs de calculs automatiques</a:t>
          </a:r>
        </a:p>
        <a:p>
          <a:r>
            <a:rPr lang="fr-FR" sz="1100"/>
            <a:t>   	 Range("I2,I5,I6,I10,I11,I12,I13,I16,I17,I20,I21").Select</a:t>
          </a:r>
        </a:p>
        <a:p>
          <a:r>
            <a:rPr lang="fr-FR" sz="1100"/>
            <a:t>    Selection.ClearContents</a:t>
          </a:r>
        </a:p>
        <a:p>
          <a:r>
            <a:rPr lang="fr-FR" sz="1100"/>
            <a:t>    </a:t>
          </a:r>
        </a:p>
        <a:p>
          <a:r>
            <a:rPr lang="fr-FR" sz="1100"/>
            <a:t>    Range("I2").Select 	' en sortie se positionner sur saisie prochaine Date</a:t>
          </a:r>
        </a:p>
        <a:p>
          <a:r>
            <a:rPr lang="fr-FR" sz="1100"/>
            <a:t>    </a:t>
          </a:r>
        </a:p>
        <a:p>
          <a:r>
            <a:rPr lang="fr-FR" sz="1100"/>
            <a:t>Feuil8.Protect ["JJL"]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%20FAMILLE%20-/3%20-%20Activit&#233;s%20%20&amp;%20Loisirs%20Jean-Jacques/Programmation%20EXCEL/Travaux%20personnels/ESSAI%202023%20Transport%20D&#233;placement.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Energies"/>
      <sheetName val="Saisie Deplt"/>
      <sheetName val="Recap Deplt"/>
      <sheetName val="BASES"/>
      <sheetName val="Centralisation Energie"/>
      <sheetName val="T C D Statistiques"/>
      <sheetName val="Annuaire"/>
      <sheetName val="Codes postaux"/>
      <sheetName val="Codes de pays - iso3166"/>
      <sheetName val="Export"/>
    </sheetNames>
    <definedNames>
      <definedName name="Annuler_Deplct"/>
      <definedName name="Consulter_Secu"/>
      <definedName name="Feuil8.MoisPrecedent"/>
      <definedName name="Feuil8.MoisSuivant"/>
      <definedName name="Feuil8.RetourMoisEncours"/>
      <definedName name="form_BoutonListe"/>
      <definedName name="OuvreCreBenefSoins"/>
      <definedName name="OuvreCreMedecin"/>
      <definedName name="OuvreCreMotif"/>
      <definedName name="OuvreCreTransport"/>
      <definedName name="OuvreCreVehicule"/>
      <definedName name="Valider_Transport"/>
      <definedName name="VoirRecap"/>
    </definedNames>
    <sheetDataSet>
      <sheetData sheetId="0"/>
      <sheetData sheetId="1"/>
      <sheetData sheetId="2"/>
      <sheetData sheetId="3"/>
      <sheetData sheetId="4">
        <row r="4">
          <cell r="R4">
            <v>0.3</v>
          </cell>
          <cell r="T4">
            <v>6026.2999999999947</v>
          </cell>
          <cell r="X4" t="str">
            <v>CA677KX</v>
          </cell>
          <cell r="Y4" t="str">
            <v>DACIA</v>
          </cell>
          <cell r="Z4" t="str">
            <v>Duster 4x4</v>
          </cell>
          <cell r="AA4">
            <v>6</v>
          </cell>
          <cell r="AB4" t="str">
            <v>Sylvie Leblond</v>
          </cell>
        </row>
        <row r="5">
          <cell r="X5" t="str">
            <v>Céline</v>
          </cell>
          <cell r="Y5" t="str">
            <v>Cooper</v>
          </cell>
          <cell r="Z5" t="str">
            <v>Mini Cooper</v>
          </cell>
          <cell r="AA5">
            <v>7</v>
          </cell>
          <cell r="AB5" t="str">
            <v>Céline Leblond</v>
          </cell>
        </row>
        <row r="6">
          <cell r="X6" t="str">
            <v>Côte Albatre</v>
          </cell>
          <cell r="Y6" t="str">
            <v>Renault</v>
          </cell>
          <cell r="Z6" t="str">
            <v>Talisman</v>
          </cell>
          <cell r="AA6">
            <v>11</v>
          </cell>
          <cell r="AB6" t="str">
            <v>Amb Côte Albatre</v>
          </cell>
          <cell r="AR6">
            <v>0.20599999999999999</v>
          </cell>
        </row>
        <row r="7">
          <cell r="X7" t="str">
            <v>Daphné</v>
          </cell>
          <cell r="Y7" t="str">
            <v>VW</v>
          </cell>
          <cell r="Z7" t="str">
            <v>Clio</v>
          </cell>
          <cell r="AA7">
            <v>5</v>
          </cell>
          <cell r="AB7" t="str">
            <v>Daphné Leblond</v>
          </cell>
        </row>
        <row r="8">
          <cell r="X8" t="str">
            <v>GB149DJ</v>
          </cell>
          <cell r="Y8" t="str">
            <v>Renault</v>
          </cell>
          <cell r="Z8" t="str">
            <v>Clio</v>
          </cell>
          <cell r="AA8">
            <v>5</v>
          </cell>
          <cell r="AB8" t="str">
            <v>Leclerc Location</v>
          </cell>
        </row>
        <row r="9">
          <cell r="X9" t="str">
            <v>GC311DP</v>
          </cell>
          <cell r="Y9" t="str">
            <v>Renault</v>
          </cell>
          <cell r="Z9" t="str">
            <v>Kadjar</v>
          </cell>
          <cell r="AA9">
            <v>11</v>
          </cell>
          <cell r="AB9" t="str">
            <v>Leclerc Location</v>
          </cell>
        </row>
        <row r="10">
          <cell r="X10" t="str">
            <v>GM211EB</v>
          </cell>
          <cell r="Y10" t="str">
            <v>DACIA</v>
          </cell>
          <cell r="Z10" t="str">
            <v>Duster 4x2 journey</v>
          </cell>
          <cell r="AA10">
            <v>5</v>
          </cell>
          <cell r="AB10" t="str">
            <v>Sylvie Leblond</v>
          </cell>
        </row>
        <row r="11">
          <cell r="V11">
            <v>1.4486272462254712</v>
          </cell>
          <cell r="X11" t="str">
            <v>Guillaume</v>
          </cell>
          <cell r="Y11" t="str">
            <v>Audi</v>
          </cell>
          <cell r="Z11" t="str">
            <v>A5</v>
          </cell>
          <cell r="AA11">
            <v>16</v>
          </cell>
          <cell r="AB11" t="str">
            <v>Guillaume Leblond</v>
          </cell>
        </row>
        <row r="12">
          <cell r="X12" t="str">
            <v>HB Taxi</v>
          </cell>
          <cell r="Y12" t="str">
            <v>V W</v>
          </cell>
          <cell r="Z12" t="str">
            <v>Tiguan</v>
          </cell>
          <cell r="AA12">
            <v>10</v>
          </cell>
          <cell r="AB12" t="str">
            <v>Hugo</v>
          </cell>
          <cell r="AQ12">
            <v>45317</v>
          </cell>
        </row>
        <row r="13">
          <cell r="X13" t="str">
            <v>Stéphane</v>
          </cell>
          <cell r="Y13" t="str">
            <v>Peugeot</v>
          </cell>
          <cell r="Z13">
            <v>106</v>
          </cell>
          <cell r="AA13">
            <v>5</v>
          </cell>
          <cell r="AB13" t="str">
            <v>Stéph Leblond</v>
          </cell>
        </row>
        <row r="14">
          <cell r="X14" t="str">
            <v>Taxi Capyan</v>
          </cell>
          <cell r="Y14" t="str">
            <v>Renault</v>
          </cell>
          <cell r="Z14" t="str">
            <v>Safrane</v>
          </cell>
          <cell r="AA14">
            <v>13</v>
          </cell>
          <cell r="AB14" t="str">
            <v>EURL Capyan</v>
          </cell>
        </row>
        <row r="15">
          <cell r="X15" t="str">
            <v>Taxi Eric</v>
          </cell>
          <cell r="Y15" t="str">
            <v>Renault</v>
          </cell>
          <cell r="Z15" t="str">
            <v>Koleos Signature</v>
          </cell>
          <cell r="AA15">
            <v>7</v>
          </cell>
          <cell r="AB15" t="str">
            <v>Eric LECLERC</v>
          </cell>
        </row>
        <row r="16">
          <cell r="I16">
            <v>43466</v>
          </cell>
          <cell r="J16">
            <v>3</v>
          </cell>
          <cell r="K16">
            <v>0.45100000000000001</v>
          </cell>
          <cell r="L16">
            <v>0.27</v>
          </cell>
          <cell r="M16">
            <v>906</v>
          </cell>
          <cell r="N16">
            <v>0.315</v>
          </cell>
          <cell r="X16" t="str">
            <v>Taxi Franky76</v>
          </cell>
          <cell r="Y16" t="str">
            <v>V W</v>
          </cell>
          <cell r="Z16" t="str">
            <v>Arteon</v>
          </cell>
          <cell r="AA16">
            <v>10</v>
          </cell>
          <cell r="AB16" t="str">
            <v>Franky</v>
          </cell>
        </row>
        <row r="17">
          <cell r="I17">
            <v>43466</v>
          </cell>
          <cell r="J17">
            <v>4</v>
          </cell>
          <cell r="K17">
            <v>0.51800000000000002</v>
          </cell>
          <cell r="L17">
            <v>0.29099999999999998</v>
          </cell>
          <cell r="M17">
            <v>1136</v>
          </cell>
          <cell r="N17">
            <v>0.34899999999999998</v>
          </cell>
          <cell r="X17" t="str">
            <v>Taxi G.Koch</v>
          </cell>
          <cell r="Y17" t="str">
            <v>B M W</v>
          </cell>
          <cell r="Z17" t="str">
            <v>Berline S3</v>
          </cell>
          <cell r="AA17">
            <v>14</v>
          </cell>
          <cell r="AB17" t="str">
            <v>Gregoire KOCH</v>
          </cell>
        </row>
        <row r="18">
          <cell r="I18">
            <v>43466</v>
          </cell>
          <cell r="J18">
            <v>5</v>
          </cell>
          <cell r="K18">
            <v>0.54300000000000004</v>
          </cell>
          <cell r="L18">
            <v>0.30499999999999999</v>
          </cell>
          <cell r="M18">
            <v>1188</v>
          </cell>
          <cell r="N18">
            <v>0.36399999999999999</v>
          </cell>
          <cell r="X18" t="str">
            <v>Taxi Hervé</v>
          </cell>
          <cell r="Y18" t="str">
            <v>Mercedes</v>
          </cell>
          <cell r="AA18">
            <v>12</v>
          </cell>
          <cell r="AB18" t="str">
            <v>Hervé Taxi</v>
          </cell>
        </row>
        <row r="19">
          <cell r="I19">
            <v>43466</v>
          </cell>
          <cell r="J19">
            <v>6</v>
          </cell>
          <cell r="K19">
            <v>0.56799999999999995</v>
          </cell>
          <cell r="L19">
            <v>0.32</v>
          </cell>
          <cell r="M19">
            <v>1244</v>
          </cell>
          <cell r="N19">
            <v>0.38200000000000001</v>
          </cell>
          <cell r="X19" t="str">
            <v>Taxi Jouette</v>
          </cell>
          <cell r="Y19" t="str">
            <v>V W</v>
          </cell>
          <cell r="Z19" t="str">
            <v>T-Roc</v>
          </cell>
          <cell r="AA19">
            <v>19</v>
          </cell>
          <cell r="AB19" t="str">
            <v>Jouette Gregory</v>
          </cell>
        </row>
        <row r="20">
          <cell r="I20">
            <v>43466</v>
          </cell>
          <cell r="J20">
            <v>7</v>
          </cell>
          <cell r="K20">
            <v>0.59499999999999997</v>
          </cell>
          <cell r="L20">
            <v>0.33700000000000002</v>
          </cell>
          <cell r="M20">
            <v>1288</v>
          </cell>
          <cell r="N20">
            <v>0.40100000000000002</v>
          </cell>
          <cell r="X20" t="str">
            <v>Taxi Lhou</v>
          </cell>
          <cell r="Y20" t="str">
            <v>Peugeot</v>
          </cell>
          <cell r="Z20">
            <v>3008</v>
          </cell>
          <cell r="AA20">
            <v>6</v>
          </cell>
          <cell r="AB20" t="str">
            <v>Mandili Lhoussaine</v>
          </cell>
        </row>
        <row r="21">
          <cell r="I21">
            <v>43931</v>
          </cell>
          <cell r="J21">
            <v>3</v>
          </cell>
          <cell r="K21">
            <v>0.45100000000000001</v>
          </cell>
          <cell r="L21">
            <v>0.27</v>
          </cell>
          <cell r="M21">
            <v>906</v>
          </cell>
          <cell r="N21">
            <v>0.315</v>
          </cell>
          <cell r="X21" t="str">
            <v>Taxi Lily</v>
          </cell>
          <cell r="Y21" t="str">
            <v>Ford</v>
          </cell>
          <cell r="Z21" t="str">
            <v>Kugan</v>
          </cell>
          <cell r="AA21">
            <v>8</v>
          </cell>
          <cell r="AB21" t="str">
            <v>Lebled Aurélie</v>
          </cell>
        </row>
        <row r="22">
          <cell r="I22">
            <v>43931</v>
          </cell>
          <cell r="J22">
            <v>4</v>
          </cell>
          <cell r="K22">
            <v>0.51800000000000002</v>
          </cell>
          <cell r="L22">
            <v>0.29099999999999998</v>
          </cell>
          <cell r="M22">
            <v>1136</v>
          </cell>
          <cell r="N22">
            <v>0.34899999999999998</v>
          </cell>
          <cell r="X22" t="str">
            <v>Taxi P.Caux</v>
          </cell>
          <cell r="Y22" t="str">
            <v>Peugeot</v>
          </cell>
          <cell r="Z22">
            <v>5008</v>
          </cell>
          <cell r="AA22">
            <v>10</v>
          </cell>
          <cell r="AB22" t="str">
            <v>Taxi  Pays CAUX</v>
          </cell>
        </row>
        <row r="23">
          <cell r="I23">
            <v>43931</v>
          </cell>
          <cell r="J23">
            <v>5</v>
          </cell>
          <cell r="K23">
            <v>0.54300000000000004</v>
          </cell>
          <cell r="L23">
            <v>0.30499999999999999</v>
          </cell>
          <cell r="M23">
            <v>1188</v>
          </cell>
          <cell r="N23">
            <v>0.36399999999999999</v>
          </cell>
          <cell r="X23" t="str">
            <v>Taxi Pascal</v>
          </cell>
          <cell r="AA23">
            <v>7</v>
          </cell>
          <cell r="AB23" t="str">
            <v>Pascal Leclerc</v>
          </cell>
        </row>
        <row r="24">
          <cell r="I24">
            <v>43931</v>
          </cell>
          <cell r="J24">
            <v>6</v>
          </cell>
          <cell r="K24">
            <v>0.56799999999999995</v>
          </cell>
          <cell r="L24">
            <v>0.32</v>
          </cell>
          <cell r="M24">
            <v>1244</v>
          </cell>
          <cell r="N24">
            <v>0.38200000000000001</v>
          </cell>
          <cell r="X24" t="str">
            <v>Taxi Tadjeur</v>
          </cell>
          <cell r="Y24" t="str">
            <v>Renault</v>
          </cell>
          <cell r="Z24" t="str">
            <v>Initiale</v>
          </cell>
          <cell r="AA24">
            <v>11</v>
          </cell>
          <cell r="AB24" t="str">
            <v>Tadjeur Monsour</v>
          </cell>
        </row>
        <row r="25">
          <cell r="I25">
            <v>43931</v>
          </cell>
          <cell r="J25">
            <v>7</v>
          </cell>
          <cell r="K25">
            <v>0.59499999999999997</v>
          </cell>
          <cell r="L25">
            <v>0.33700000000000002</v>
          </cell>
          <cell r="M25">
            <v>1288</v>
          </cell>
          <cell r="N25">
            <v>0.40100000000000002</v>
          </cell>
        </row>
        <row r="26">
          <cell r="I26">
            <v>44302</v>
          </cell>
          <cell r="J26">
            <v>3</v>
          </cell>
          <cell r="K26">
            <v>0.45100000000000001</v>
          </cell>
          <cell r="L26">
            <v>0.27</v>
          </cell>
          <cell r="M26">
            <v>906</v>
          </cell>
          <cell r="N26">
            <v>0.315</v>
          </cell>
        </row>
        <row r="27">
          <cell r="I27">
            <v>44302</v>
          </cell>
          <cell r="J27">
            <v>4</v>
          </cell>
          <cell r="K27">
            <v>0.51800000000000002</v>
          </cell>
          <cell r="L27">
            <v>0.29099999999999998</v>
          </cell>
          <cell r="M27">
            <v>1136</v>
          </cell>
          <cell r="N27">
            <v>0.34899999999999998</v>
          </cell>
        </row>
        <row r="28">
          <cell r="I28">
            <v>44302</v>
          </cell>
          <cell r="J28">
            <v>5</v>
          </cell>
          <cell r="K28">
            <v>0.54300000000000004</v>
          </cell>
          <cell r="L28">
            <v>0.30499999999999999</v>
          </cell>
          <cell r="M28">
            <v>1188</v>
          </cell>
          <cell r="N28">
            <v>0.36399999999999999</v>
          </cell>
        </row>
        <row r="29">
          <cell r="I29">
            <v>44302</v>
          </cell>
          <cell r="J29">
            <v>6</v>
          </cell>
          <cell r="K29">
            <v>0.56799999999999995</v>
          </cell>
          <cell r="L29">
            <v>0.32</v>
          </cell>
          <cell r="M29">
            <v>1244</v>
          </cell>
          <cell r="N29">
            <v>0.38200000000000001</v>
          </cell>
        </row>
        <row r="30">
          <cell r="I30">
            <v>44302</v>
          </cell>
          <cell r="J30">
            <v>7</v>
          </cell>
          <cell r="K30">
            <v>0.59499999999999997</v>
          </cell>
          <cell r="L30">
            <v>0.33700000000000002</v>
          </cell>
          <cell r="M30">
            <v>1288</v>
          </cell>
          <cell r="N30">
            <v>0.40100000000000002</v>
          </cell>
        </row>
        <row r="31">
          <cell r="I31">
            <v>44605</v>
          </cell>
          <cell r="J31">
            <v>3</v>
          </cell>
          <cell r="K31">
            <v>0.502</v>
          </cell>
          <cell r="L31">
            <v>0.3</v>
          </cell>
          <cell r="M31">
            <v>1007</v>
          </cell>
          <cell r="N31">
            <v>0.35</v>
          </cell>
        </row>
        <row r="32">
          <cell r="I32">
            <v>44605</v>
          </cell>
          <cell r="J32">
            <v>4</v>
          </cell>
          <cell r="K32">
            <v>0.57499999999999996</v>
          </cell>
          <cell r="L32">
            <v>0.32300000000000001</v>
          </cell>
          <cell r="M32">
            <v>1262</v>
          </cell>
          <cell r="N32">
            <v>0.38700000000000001</v>
          </cell>
        </row>
        <row r="33">
          <cell r="I33">
            <v>44605</v>
          </cell>
          <cell r="J33">
            <v>5</v>
          </cell>
          <cell r="K33">
            <v>0.60299999999999998</v>
          </cell>
          <cell r="L33">
            <v>0.33900000000000002</v>
          </cell>
          <cell r="M33">
            <v>1320</v>
          </cell>
          <cell r="N33">
            <v>0.40500000000000003</v>
          </cell>
        </row>
        <row r="34">
          <cell r="I34">
            <v>44605</v>
          </cell>
          <cell r="J34">
            <v>6</v>
          </cell>
          <cell r="K34">
            <v>0.63100000000000001</v>
          </cell>
          <cell r="L34">
            <v>0.35499999999999998</v>
          </cell>
          <cell r="M34">
            <v>1382</v>
          </cell>
          <cell r="N34">
            <v>0.42499999999999999</v>
          </cell>
        </row>
        <row r="35">
          <cell r="I35">
            <v>44605</v>
          </cell>
          <cell r="J35">
            <v>7</v>
          </cell>
          <cell r="K35">
            <v>0.66100000000000003</v>
          </cell>
          <cell r="L35">
            <v>0.374</v>
          </cell>
          <cell r="M35">
            <v>1435</v>
          </cell>
          <cell r="N35">
            <v>0.44600000000000001</v>
          </cell>
        </row>
        <row r="36">
          <cell r="I36">
            <v>45023</v>
          </cell>
          <cell r="J36">
            <v>3</v>
          </cell>
          <cell r="K36">
            <v>0.52900000000000003</v>
          </cell>
          <cell r="L36">
            <v>0.3165</v>
          </cell>
          <cell r="M36">
            <v>1065</v>
          </cell>
          <cell r="N36">
            <v>0.37</v>
          </cell>
        </row>
        <row r="37">
          <cell r="I37">
            <v>45023</v>
          </cell>
          <cell r="J37">
            <v>4</v>
          </cell>
          <cell r="K37">
            <v>0.60599999999999998</v>
          </cell>
          <cell r="L37">
            <v>0.34</v>
          </cell>
          <cell r="M37">
            <v>1330</v>
          </cell>
          <cell r="N37">
            <v>0.40699999999999997</v>
          </cell>
        </row>
        <row r="38">
          <cell r="I38">
            <v>45023</v>
          </cell>
          <cell r="J38">
            <v>5</v>
          </cell>
          <cell r="K38">
            <v>0.63600000000000001</v>
          </cell>
          <cell r="L38">
            <v>0.35699999999999998</v>
          </cell>
          <cell r="M38">
            <v>1395</v>
          </cell>
          <cell r="N38">
            <v>0.42699999999999999</v>
          </cell>
        </row>
        <row r="39">
          <cell r="I39">
            <v>45023</v>
          </cell>
          <cell r="J39">
            <v>6</v>
          </cell>
          <cell r="K39">
            <v>0.66500000000000004</v>
          </cell>
          <cell r="L39">
            <v>0.374</v>
          </cell>
          <cell r="M39">
            <v>1457</v>
          </cell>
          <cell r="N39">
            <v>0.44700000000000001</v>
          </cell>
        </row>
        <row r="40">
          <cell r="I40">
            <v>45023</v>
          </cell>
          <cell r="J40">
            <v>7</v>
          </cell>
          <cell r="K40">
            <v>0.69699999999999995</v>
          </cell>
          <cell r="L40">
            <v>0.39400000000000002</v>
          </cell>
          <cell r="M40">
            <v>1515</v>
          </cell>
          <cell r="N40">
            <v>0.47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4"/>
  <sheetViews>
    <sheetView showGridLines="0" topLeftCell="C1" zoomScaleNormal="100" workbookViewId="0">
      <selection activeCell="I2" sqref="I2"/>
    </sheetView>
  </sheetViews>
  <sheetFormatPr baseColWidth="10" defaultRowHeight="13.2" x14ac:dyDescent="0.25"/>
  <cols>
    <col min="1" max="2" width="9.44140625" style="82" customWidth="1"/>
    <col min="3" max="3" width="15.44140625" style="82" bestFit="1" customWidth="1"/>
    <col min="4" max="4" width="13.88671875" style="82" customWidth="1"/>
    <col min="5" max="5" width="26.21875" style="82" customWidth="1"/>
    <col min="6" max="6" width="3.21875" style="82" customWidth="1"/>
    <col min="7" max="7" width="22.33203125" style="82" customWidth="1"/>
    <col min="8" max="8" width="4.5546875" style="83" bestFit="1" customWidth="1"/>
    <col min="9" max="9" width="28.6640625" style="82" customWidth="1"/>
    <col min="10" max="10" width="12.21875" style="82" customWidth="1"/>
    <col min="11" max="11" width="4.33203125" style="82" customWidth="1"/>
    <col min="12" max="12" width="9.44140625" style="82" customWidth="1"/>
    <col min="13" max="13" width="12.33203125" style="83" customWidth="1"/>
    <col min="14" max="14" width="6.44140625" style="82" customWidth="1"/>
    <col min="15" max="15" width="6.88671875" style="82" customWidth="1"/>
    <col min="16" max="16" width="5.77734375" style="83" customWidth="1"/>
    <col min="17" max="17" width="5.77734375" style="82" customWidth="1"/>
    <col min="18" max="18" width="4.88671875" style="82" customWidth="1"/>
    <col min="19" max="19" width="6.5546875" style="82" customWidth="1"/>
    <col min="20" max="20" width="6.33203125" style="82" customWidth="1"/>
    <col min="21" max="22" width="5.77734375" style="82" customWidth="1"/>
    <col min="23" max="16384" width="11.5546875" style="82"/>
  </cols>
  <sheetData>
    <row r="1" spans="1:25" ht="15" thickBot="1" x14ac:dyDescent="0.35">
      <c r="A1" s="78"/>
      <c r="B1" s="78"/>
      <c r="C1" s="78"/>
      <c r="D1" s="78"/>
      <c r="E1" s="78"/>
      <c r="F1" s="78"/>
      <c r="G1" s="78"/>
      <c r="H1" s="79"/>
      <c r="I1" s="80"/>
      <c r="J1" s="81"/>
      <c r="K1" s="78"/>
      <c r="L1" s="78"/>
      <c r="M1" s="79"/>
      <c r="N1" s="78"/>
      <c r="X1" s="84"/>
    </row>
    <row r="2" spans="1:25" ht="19.8" customHeight="1" thickTop="1" thickBot="1" x14ac:dyDescent="0.35">
      <c r="G2" s="85" t="s">
        <v>16</v>
      </c>
      <c r="H2" s="86"/>
      <c r="I2" s="87"/>
      <c r="J2" s="88"/>
      <c r="O2" s="89">
        <f>DATE(Q12,O12,1)</f>
        <v>45292</v>
      </c>
      <c r="P2" s="90"/>
      <c r="Q2" s="90"/>
      <c r="R2" s="90"/>
      <c r="S2" s="90"/>
      <c r="T2" s="90"/>
      <c r="U2" s="91"/>
      <c r="X2" s="84"/>
    </row>
    <row r="3" spans="1:25" ht="19.8" customHeight="1" thickTop="1" thickBot="1" x14ac:dyDescent="0.35">
      <c r="G3" s="85" t="s">
        <v>1</v>
      </c>
      <c r="H3" s="86"/>
      <c r="I3" s="92" t="str">
        <f>IF($I$5&lt;&gt;"",VLOOKUP($I$5,[1]!T_Profess[#Data],4),"")</f>
        <v/>
      </c>
      <c r="J3" s="93" t="s">
        <v>49</v>
      </c>
      <c r="O3" s="94"/>
      <c r="P3" s="95"/>
      <c r="Q3" s="95"/>
      <c r="R3" s="95"/>
      <c r="S3" s="95"/>
      <c r="T3" s="95"/>
      <c r="U3" s="96"/>
      <c r="X3" s="84"/>
      <c r="Y3" s="84"/>
    </row>
    <row r="4" spans="1:25" ht="19.8" customHeight="1" thickBot="1" x14ac:dyDescent="0.35">
      <c r="G4" s="85" t="s">
        <v>2</v>
      </c>
      <c r="H4" s="86"/>
      <c r="I4" s="92" t="str">
        <f>IF($I$5&lt;&gt;"",IF(VLOOKUP($I$5,[1]!T_Profess[#Data],3)=0,"",VLOOKUP($I$5,[1]!T_Profess[#Data],3)),"")</f>
        <v/>
      </c>
      <c r="J4" s="93" t="s">
        <v>49</v>
      </c>
      <c r="L4" s="88"/>
      <c r="O4" s="97" t="str">
        <f t="shared" ref="O4:U4" si="0">UPPER(TEXT(O6,"jjj"))</f>
        <v>LUN</v>
      </c>
      <c r="P4" s="98" t="str">
        <f t="shared" si="0"/>
        <v>MAR</v>
      </c>
      <c r="Q4" s="98" t="str">
        <f t="shared" si="0"/>
        <v>MER</v>
      </c>
      <c r="R4" s="98" t="str">
        <f t="shared" si="0"/>
        <v>JEU</v>
      </c>
      <c r="S4" s="98" t="str">
        <f t="shared" si="0"/>
        <v>VEN</v>
      </c>
      <c r="T4" s="98" t="str">
        <f t="shared" si="0"/>
        <v>SAM</v>
      </c>
      <c r="U4" s="99" t="str">
        <f t="shared" si="0"/>
        <v>DIM</v>
      </c>
      <c r="W4" s="100"/>
      <c r="X4" s="84"/>
      <c r="Y4" s="84"/>
    </row>
    <row r="5" spans="1:25" ht="19.8" customHeight="1" thickTop="1" thickBot="1" x14ac:dyDescent="0.35">
      <c r="C5" s="101"/>
      <c r="D5" s="101"/>
      <c r="G5" s="102" t="s">
        <v>50</v>
      </c>
      <c r="H5" s="86"/>
      <c r="I5" s="103"/>
      <c r="J5" s="88"/>
      <c r="O5" s="104">
        <f>IF(WEEKDAY($O$2)=2,$O$2,"")</f>
        <v>45292</v>
      </c>
      <c r="P5" s="105">
        <f>IF(O5&lt;&gt;"",O5+1,IF(WEEKDAY($O$2)=3,$O$2,""))</f>
        <v>45293</v>
      </c>
      <c r="Q5" s="105">
        <f>IF(P5&lt;&gt;"",P5+1,IF(WEEKDAY(O2)=4,$O$2,""))</f>
        <v>45294</v>
      </c>
      <c r="R5" s="105">
        <f>IF(Q5&lt;&gt;"",Q5+1,IF(WEEKDAY($O$2)=5,$O$2,""))</f>
        <v>45295</v>
      </c>
      <c r="S5" s="105">
        <f>IF(R5&lt;&gt;"",R5+1,IF(WEEKDAY($O$2)=6,$O$2,""))</f>
        <v>45296</v>
      </c>
      <c r="T5" s="105">
        <f>IF(S5&lt;&gt;"",S5+1,IF(WEEKDAY($O$2)=7,$O$2,""))</f>
        <v>45297</v>
      </c>
      <c r="U5" s="106">
        <f>IF(T5&lt;&gt;"",T5+1,IF(WEEKDAY($O$2)=1,O2,""))</f>
        <v>45298</v>
      </c>
      <c r="W5" s="100"/>
      <c r="X5" s="84"/>
      <c r="Y5" s="84"/>
    </row>
    <row r="6" spans="1:25" ht="19.8" customHeight="1" thickTop="1" thickBot="1" x14ac:dyDescent="0.35">
      <c r="C6" s="107"/>
      <c r="D6" s="78"/>
      <c r="G6" s="102" t="s">
        <v>51</v>
      </c>
      <c r="H6" s="86"/>
      <c r="I6" s="108"/>
      <c r="J6" s="88"/>
      <c r="M6" s="79"/>
      <c r="O6" s="109">
        <f>U5+1</f>
        <v>45299</v>
      </c>
      <c r="P6" s="110">
        <f t="shared" ref="P6:U8" si="1">O6+1</f>
        <v>45300</v>
      </c>
      <c r="Q6" s="110">
        <f t="shared" si="1"/>
        <v>45301</v>
      </c>
      <c r="R6" s="110">
        <f t="shared" si="1"/>
        <v>45302</v>
      </c>
      <c r="S6" s="110">
        <f t="shared" si="1"/>
        <v>45303</v>
      </c>
      <c r="T6" s="110">
        <f t="shared" si="1"/>
        <v>45304</v>
      </c>
      <c r="U6" s="111">
        <f t="shared" si="1"/>
        <v>45305</v>
      </c>
      <c r="W6" s="100"/>
      <c r="X6" s="84"/>
      <c r="Y6" s="84"/>
    </row>
    <row r="7" spans="1:25" ht="19.8" customHeight="1" thickTop="1" x14ac:dyDescent="0.3">
      <c r="C7" s="78"/>
      <c r="D7" s="78"/>
      <c r="G7" s="112" t="s">
        <v>19</v>
      </c>
      <c r="H7" s="86"/>
      <c r="I7" s="113" t="str">
        <f>IF(I5&lt;&gt;"",VLOOKUP($I$5,[1]!T_Profess[#Data],6),"")</f>
        <v/>
      </c>
      <c r="J7" s="93" t="s">
        <v>49</v>
      </c>
      <c r="L7" s="114"/>
      <c r="O7" s="109">
        <f>U6+1</f>
        <v>45306</v>
      </c>
      <c r="P7" s="110">
        <f>O7+1</f>
        <v>45307</v>
      </c>
      <c r="Q7" s="110">
        <f>P7+1</f>
        <v>45308</v>
      </c>
      <c r="R7" s="110">
        <f t="shared" si="1"/>
        <v>45309</v>
      </c>
      <c r="S7" s="110">
        <f t="shared" si="1"/>
        <v>45310</v>
      </c>
      <c r="T7" s="110">
        <f t="shared" si="1"/>
        <v>45311</v>
      </c>
      <c r="U7" s="111">
        <f t="shared" si="1"/>
        <v>45312</v>
      </c>
      <c r="W7" s="100"/>
      <c r="X7" s="84"/>
      <c r="Y7" s="84"/>
    </row>
    <row r="8" spans="1:25" ht="19.8" customHeight="1" thickBot="1" x14ac:dyDescent="0.35">
      <c r="C8" s="78"/>
      <c r="D8" s="78"/>
      <c r="G8" s="115" t="s">
        <v>6</v>
      </c>
      <c r="H8" s="86"/>
      <c r="I8" s="113" t="str">
        <f>IF($I5&lt;&gt;"",ROUND(VLOOKUP($I$5,[1]!T_Profess[#Data],7),2),"")</f>
        <v/>
      </c>
      <c r="J8" s="93" t="s">
        <v>49</v>
      </c>
      <c r="O8" s="109">
        <f>U7+1</f>
        <v>45313</v>
      </c>
      <c r="P8" s="110">
        <f>O8+1</f>
        <v>45314</v>
      </c>
      <c r="Q8" s="110">
        <f t="shared" si="1"/>
        <v>45315</v>
      </c>
      <c r="R8" s="110">
        <f t="shared" si="1"/>
        <v>45316</v>
      </c>
      <c r="S8" s="110">
        <f t="shared" si="1"/>
        <v>45317</v>
      </c>
      <c r="T8" s="110">
        <f t="shared" si="1"/>
        <v>45318</v>
      </c>
      <c r="U8" s="111">
        <f t="shared" si="1"/>
        <v>45319</v>
      </c>
      <c r="W8" s="100"/>
      <c r="X8" s="84"/>
      <c r="Y8" s="84"/>
    </row>
    <row r="9" spans="1:25" ht="19.2" customHeight="1" thickTop="1" thickBot="1" x14ac:dyDescent="0.35">
      <c r="B9" s="116"/>
      <c r="C9" s="117" t="s">
        <v>52</v>
      </c>
      <c r="D9" s="118"/>
      <c r="G9" s="112" t="s">
        <v>53</v>
      </c>
      <c r="H9" s="86"/>
      <c r="I9" s="119" t="str">
        <f>IFERROR(IF(_KmPerso&lt;=5000,INDEX(T_BaremeKm,MATCH(_DateCourante,_DateValid,1)-(7-IF(_Cv&gt;7,7,_Cv)),3), IF(AND(_KmPerso&gt;5000,_Km&lt;=20000),ROUND(((INDEX(T_BaremeKm,MATCH(_DateCourante,_DateValid,1)-(7-IF(_Cv&gt;7,7,_Cv)),4)*_KmPerso)+ INDEX(T_BaremeKm,MATCH(_DateCourante,_DateValid,1)-(7-IF(_Cv&gt;7,7,_Cv)),5))/_KmPerso,3),INDEX(T_BaremeKm,MATCH(_DateCourante,_DateValid,1)-(7-IF(_Cv&gt;7,7,_Cv)),6))),"")</f>
        <v/>
      </c>
      <c r="J9" s="93"/>
      <c r="O9" s="109">
        <f>IF(U8&lt;EOMONTH($O$2,0),U8+1,"")</f>
        <v>45320</v>
      </c>
      <c r="P9" s="110">
        <f>IF(O9&lt;EOMONTH($O$2,0),O9+1,"")</f>
        <v>45321</v>
      </c>
      <c r="Q9" s="110">
        <f t="shared" ref="Q9:U10" si="2">IF(P9&lt;EOMONTH($O$2,0),P9+1,"")</f>
        <v>45322</v>
      </c>
      <c r="R9" s="110" t="str">
        <f t="shared" si="2"/>
        <v/>
      </c>
      <c r="S9" s="110" t="str">
        <f t="shared" si="2"/>
        <v/>
      </c>
      <c r="T9" s="110" t="str">
        <f t="shared" si="2"/>
        <v/>
      </c>
      <c r="U9" s="111" t="str">
        <f t="shared" si="2"/>
        <v/>
      </c>
      <c r="W9" s="100"/>
      <c r="X9" s="84"/>
      <c r="Y9" s="84"/>
    </row>
    <row r="10" spans="1:25" ht="19.8" customHeight="1" thickTop="1" thickBot="1" x14ac:dyDescent="0.35">
      <c r="C10" s="120" t="s">
        <v>54</v>
      </c>
      <c r="D10" s="121" t="str">
        <f>IFERROR(MATCH(_DateCourante,_DateValid,1),"")</f>
        <v/>
      </c>
      <c r="G10" s="102" t="s">
        <v>55</v>
      </c>
      <c r="H10" s="86"/>
      <c r="I10" s="122"/>
      <c r="J10" s="88"/>
      <c r="O10" s="123" t="str">
        <f>IF(U9&lt;EOMONTH($O$2,0),U9+1,"")</f>
        <v/>
      </c>
      <c r="P10" s="124" t="str">
        <f>IF(O10&lt;EOMONTH($O$2,0),O10+1,"")</f>
        <v/>
      </c>
      <c r="Q10" s="124" t="str">
        <f t="shared" si="2"/>
        <v/>
      </c>
      <c r="R10" s="124" t="str">
        <f t="shared" si="2"/>
        <v/>
      </c>
      <c r="S10" s="124" t="str">
        <f t="shared" si="2"/>
        <v/>
      </c>
      <c r="T10" s="124" t="str">
        <f t="shared" si="2"/>
        <v/>
      </c>
      <c r="U10" s="125" t="str">
        <f t="shared" si="2"/>
        <v/>
      </c>
      <c r="W10" s="100"/>
    </row>
    <row r="11" spans="1:25" ht="19.8" customHeight="1" thickTop="1" thickBot="1" x14ac:dyDescent="0.35">
      <c r="C11" s="126" t="s">
        <v>56</v>
      </c>
      <c r="D11" s="127">
        <f>(7-IF(_Cv&gt;7,7,_Cv))</f>
        <v>0</v>
      </c>
      <c r="G11" s="128" t="s">
        <v>57</v>
      </c>
      <c r="H11" s="86"/>
      <c r="I11" s="129"/>
      <c r="J11" s="88"/>
      <c r="O11" s="130" t="s">
        <v>58</v>
      </c>
      <c r="Q11" s="130" t="s">
        <v>59</v>
      </c>
      <c r="W11" s="100"/>
    </row>
    <row r="12" spans="1:25" ht="19.8" customHeight="1" thickTop="1" thickBot="1" x14ac:dyDescent="0.35">
      <c r="C12" s="126" t="s">
        <v>60</v>
      </c>
      <c r="D12" s="127" t="str">
        <f>IFERROR(MATCH(_DateCourante,_DateValid,1)-(7-IF(_Cv&gt;7,7,_Cv)),"")</f>
        <v/>
      </c>
      <c r="G12" s="128" t="s">
        <v>61</v>
      </c>
      <c r="H12" s="86"/>
      <c r="I12" s="129"/>
      <c r="J12" s="88"/>
      <c r="K12" s="131"/>
      <c r="O12" s="132">
        <v>1</v>
      </c>
      <c r="Q12" s="132">
        <v>2024</v>
      </c>
      <c r="W12" s="100"/>
    </row>
    <row r="13" spans="1:25" ht="19.8" customHeight="1" thickTop="1" thickBot="1" x14ac:dyDescent="0.35">
      <c r="C13" s="126" t="s">
        <v>62</v>
      </c>
      <c r="D13" s="127" t="str">
        <f>IFERROR(INDEX(T_BaremeKm,MATCH(_DateCourante,_DateValid,1),3),"")</f>
        <v/>
      </c>
      <c r="G13" s="128" t="s">
        <v>63</v>
      </c>
      <c r="H13" s="86"/>
      <c r="I13" s="129"/>
      <c r="J13" s="88"/>
      <c r="K13" s="131"/>
      <c r="O13" s="100"/>
      <c r="W13" s="100"/>
    </row>
    <row r="14" spans="1:25" ht="19.8" customHeight="1" thickTop="1" x14ac:dyDescent="0.3">
      <c r="C14" s="126" t="s">
        <v>64</v>
      </c>
      <c r="D14" s="133">
        <f>_DateCourante</f>
        <v>0</v>
      </c>
      <c r="G14" s="128" t="s">
        <v>65</v>
      </c>
      <c r="H14" s="86"/>
      <c r="I14" s="134" t="str">
        <f>IFERROR(ROUND(([1]BASES!$V$11*$I$8),2),"")</f>
        <v/>
      </c>
      <c r="J14" s="93"/>
      <c r="O14" s="100"/>
      <c r="P14" s="100"/>
      <c r="Q14" s="100"/>
      <c r="R14" s="100"/>
      <c r="S14" s="100"/>
      <c r="T14" s="100"/>
      <c r="U14" s="100"/>
      <c r="V14" s="100"/>
      <c r="W14" s="100"/>
    </row>
    <row r="15" spans="1:25" ht="27" thickBot="1" x14ac:dyDescent="0.3">
      <c r="C15" s="135" t="s">
        <v>66</v>
      </c>
      <c r="D15" s="136" t="str">
        <f>_Cv</f>
        <v/>
      </c>
      <c r="G15" s="137" t="s">
        <v>67</v>
      </c>
      <c r="H15" s="86"/>
      <c r="I15" s="138" t="str">
        <f>IF(AND($I$8&lt;&gt;"",$I$10="PER",$I$9&lt;&gt;""),($I$8*$I$9)+$I$11+$I$12+$I$13,"")</f>
        <v/>
      </c>
      <c r="J15" s="93" t="s">
        <v>49</v>
      </c>
    </row>
    <row r="16" spans="1:25" ht="19.8" customHeight="1" thickTop="1" thickBot="1" x14ac:dyDescent="0.3">
      <c r="C16" s="78"/>
      <c r="D16" s="78"/>
      <c r="G16" s="102" t="s">
        <v>68</v>
      </c>
      <c r="H16" s="86"/>
      <c r="I16" s="139"/>
      <c r="J16" s="88"/>
      <c r="X16" s="82" t="str">
        <f>IF(AND(I8&lt;&gt;"",I9&lt;&gt;"",I10="PER"),X15,"")</f>
        <v/>
      </c>
    </row>
    <row r="17" spans="7:10" ht="19.8" customHeight="1" thickTop="1" thickBot="1" x14ac:dyDescent="0.3">
      <c r="G17" s="102" t="s">
        <v>69</v>
      </c>
      <c r="H17" s="86"/>
      <c r="I17" s="140"/>
      <c r="J17" s="88"/>
    </row>
    <row r="18" spans="7:10" ht="19.8" customHeight="1" thickTop="1" x14ac:dyDescent="0.25">
      <c r="G18" s="112" t="s">
        <v>70</v>
      </c>
      <c r="H18" s="86"/>
      <c r="I18" s="141" t="str">
        <f>IF((AND(I10="PER",I15="O")),(I8*[1]BASES!R4)+I11+I12+I13,"")</f>
        <v/>
      </c>
      <c r="J18" s="93" t="s">
        <v>49</v>
      </c>
    </row>
    <row r="19" spans="7:10" ht="19.8" customHeight="1" thickBot="1" x14ac:dyDescent="0.3">
      <c r="G19" s="142" t="s">
        <v>30</v>
      </c>
      <c r="H19" s="86"/>
      <c r="I19" s="138" t="str">
        <f>IF($I$10="VSL","",IF($I$16="O",$I$15-$I$18,$I$15))</f>
        <v/>
      </c>
      <c r="J19" s="93" t="s">
        <v>49</v>
      </c>
    </row>
    <row r="20" spans="7:10" ht="19.8" customHeight="1" thickBot="1" x14ac:dyDescent="0.3">
      <c r="G20" s="143" t="s">
        <v>71</v>
      </c>
      <c r="H20" s="86"/>
      <c r="I20" s="144"/>
      <c r="J20" s="93"/>
    </row>
    <row r="21" spans="7:10" ht="19.8" customHeight="1" thickTop="1" thickBot="1" x14ac:dyDescent="0.3">
      <c r="G21" s="145" t="s">
        <v>72</v>
      </c>
      <c r="H21" s="86"/>
      <c r="I21" s="146"/>
      <c r="J21" s="88"/>
    </row>
    <row r="22" spans="7:10" ht="19.8" customHeight="1" thickTop="1" thickBot="1" x14ac:dyDescent="0.3">
      <c r="G22" s="147" t="s">
        <v>73</v>
      </c>
      <c r="H22" s="86"/>
      <c r="I22" s="148" t="str">
        <f>IF($I$21&lt;&gt;"",VLOOKUP($I$21,T_Vehicule,4,0),"")</f>
        <v/>
      </c>
      <c r="J22" s="93" t="s">
        <v>49</v>
      </c>
    </row>
    <row r="23" spans="7:10" ht="19.8" customHeight="1" thickTop="1" thickBot="1" x14ac:dyDescent="0.3">
      <c r="G23" s="149" t="s">
        <v>74</v>
      </c>
      <c r="H23" s="86"/>
      <c r="I23" s="148" t="str">
        <f>IF($I$21&lt;&gt;"",VLOOKUP($I$21,T_Vehicule,5,0),"")</f>
        <v/>
      </c>
      <c r="J23" s="93" t="s">
        <v>49</v>
      </c>
    </row>
    <row r="24" spans="7:10" ht="13.8" thickTop="1" x14ac:dyDescent="0.25"/>
  </sheetData>
  <sheetProtection password="CD94" sheet="1" objects="1" scenarios="1" selectLockedCells="1"/>
  <mergeCells count="3">
    <mergeCell ref="O2:U3"/>
    <mergeCell ref="C5:D5"/>
    <mergeCell ref="C9:D9"/>
  </mergeCells>
  <conditionalFormatting sqref="O5:U10">
    <cfRule type="expression" dxfId="5" priority="2">
      <formula>O5=""</formula>
    </cfRule>
    <cfRule type="expression" dxfId="4" priority="3">
      <formula>"si(K$3="""";)"</formula>
    </cfRule>
    <cfRule type="timePeriod" dxfId="3" priority="5" timePeriod="today">
      <formula>FLOOR(O5,1)=TODAY()</formula>
    </cfRule>
    <cfRule type="timePeriod" dxfId="2" priority="6" timePeriod="today">
      <formula>FLOOR(O5,1)=TODAY()</formula>
    </cfRule>
  </conditionalFormatting>
  <conditionalFormatting sqref="O5">
    <cfRule type="cellIs" dxfId="1" priority="4" operator="equal">
      <formula>""""""</formula>
    </cfRule>
  </conditionalFormatting>
  <conditionalFormatting sqref="I2">
    <cfRule type="expression" dxfId="0" priority="1" stopIfTrue="1">
      <formula>YEAR($I$2)&lt;&gt;YEAR(TODAY())</formula>
    </cfRule>
  </conditionalFormatting>
  <dataValidations count="9">
    <dataValidation type="list" allowBlank="1" showInputMessage="1" showErrorMessage="1" errorTitle="Erreur de Saisie" error="Vous Devez cliquer_x000a_VSL     pour un transport véhicule Sanitaire_x000a_PER   pour un transport en véhicule Personnel" sqref="I10">
      <formula1>INDIRECT("T_TypeTransport[TYPE de TRANSPORT]")</formula1>
    </dataValidation>
    <dataValidation type="list" operator="greaterThanOrEqual" allowBlank="1" showErrorMessage="1" errorTitle="Erreur de saisie" error="Vous devez répondre O  ou  N" sqref="I20">
      <formula1>INDIRECT("T_BeneFSoins[BENEF SOINS]")</formula1>
    </dataValidation>
    <dataValidation type="list" allowBlank="1" showErrorMessage="1" sqref="I6">
      <formula1>INDIRECT("T_MotifConvoc[MOTIF CONVOC]")</formula1>
    </dataValidation>
    <dataValidation type="list" allowBlank="1" showErrorMessage="1" sqref="I21">
      <formula1>INDIRECT("T_Transport[immatricul]")</formula1>
    </dataValidation>
    <dataValidation showInputMessage="1" showErrorMessage="1" sqref="C5 C9"/>
    <dataValidation type="date" operator="greaterThan" allowBlank="1" showInputMessage="1" showErrorMessage="1" sqref="I2">
      <formula1>44926</formula1>
    </dataValidation>
    <dataValidation type="date" operator="greaterThanOrEqual" allowBlank="1" showErrorMessage="1" errorTitle="Erreur de saisie" error="Vous devez répondre O  ou  N" sqref="I17">
      <formula1>44927</formula1>
    </dataValidation>
    <dataValidation type="list" allowBlank="1" showInputMessage="1" showErrorMessage="1" errorTitle="Erreur de saisie" error="Vous devez répondre O  ou  N" promptTitle="Feuille de Transport Personnelle" prompt="O   Si la secu à remboursé_x000a_N    si en attente de remboursement_x000a_X    sir Refusé ou non Envoyé" sqref="I16">
      <formula1>"O,N,X"</formula1>
    </dataValidation>
    <dataValidation type="list" allowBlank="1" showErrorMessage="1" sqref="I5">
      <formula1>INDIRECT("T_Profess[Nom]")</formula1>
    </dataValidation>
  </dataValidations>
  <pageMargins left="0.15905511811023623" right="7.0866141732283477E-2" top="0.39173228346456701" bottom="0.26811023622047248" header="0.19527559055118113" footer="7.165354330708662E-2"/>
  <pageSetup paperSize="9" scale="54" fitToWidth="0" fitToHeight="0" pageOrder="overThenDown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6"/>
  <sheetViews>
    <sheetView zoomScale="85" zoomScaleNormal="85" workbookViewId="0">
      <selection activeCell="A2" sqref="A2"/>
    </sheetView>
  </sheetViews>
  <sheetFormatPr baseColWidth="10" defaultRowHeight="14.4" x14ac:dyDescent="0.3"/>
  <cols>
    <col min="2" max="2" width="8" bestFit="1" customWidth="1"/>
    <col min="3" max="3" width="14" bestFit="1" customWidth="1"/>
    <col min="4" max="4" width="17.33203125" bestFit="1" customWidth="1"/>
    <col min="5" max="5" width="15.77734375" bestFit="1" customWidth="1"/>
    <col min="6" max="6" width="16.5546875" bestFit="1" customWidth="1"/>
    <col min="7" max="7" width="14.6640625" bestFit="1" customWidth="1"/>
    <col min="8" max="8" width="5.5546875" style="1" bestFit="1" customWidth="1"/>
    <col min="9" max="9" width="14.6640625" style="2" bestFit="1" customWidth="1"/>
    <col min="10" max="10" width="11.6640625" style="2" bestFit="1" customWidth="1"/>
    <col min="11" max="12" width="11.5546875" style="2"/>
    <col min="13" max="13" width="13.44140625" bestFit="1" customWidth="1"/>
    <col min="14" max="14" width="11.5546875" style="3"/>
  </cols>
  <sheetData>
    <row r="1" spans="1:26" ht="15" thickBot="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1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26" ht="62.4" thickTop="1" thickBot="1" x14ac:dyDescent="0.35">
      <c r="A2" s="4">
        <f ca="1">YEAR(TODAY())</f>
        <v>2024</v>
      </c>
      <c r="B2" s="5" t="s">
        <v>12</v>
      </c>
      <c r="C2" s="6"/>
      <c r="D2" s="6"/>
      <c r="E2" s="7"/>
      <c r="F2" s="8">
        <f>SUM([1]!T_RecapDeplt[Distance])</f>
        <v>43727.800000000178</v>
      </c>
      <c r="G2" s="9">
        <f>SUMIFS(_Km,_Date,"&lt;=" &amp;  _DernDate,_Date,"&gt;=" &amp; _DernDate-365)</f>
        <v>9193.1999999999825</v>
      </c>
      <c r="H2" s="10" t="s">
        <v>13</v>
      </c>
      <c r="I2" s="11">
        <f>SUMIFS(_Km,_Date,"&lt;=" &amp;  _DernDate,_Date,"&gt;=" &amp; _DernDate-365,_Type,"PER")</f>
        <v>6026.2999999999947</v>
      </c>
      <c r="J2" s="12">
        <f>SUMIFS(_Park,_Date,"&lt;=" &amp;_DernDate,_Date,"&gt;=" &amp; _DernDate -365)</f>
        <v>33.1</v>
      </c>
      <c r="K2" s="12">
        <f>SUMIFS(_Repas,_Date,"&lt;=" &amp; _DernDate,_Date,"&gt;=" &amp; _DernDate -365)</f>
        <v>0</v>
      </c>
      <c r="L2" s="12">
        <f>SUMIFS(_Logement,_Date,"&lt;=" &amp; _DernDate,_Date,"&gt;=" &amp; _DernDate -365)</f>
        <v>0</v>
      </c>
      <c r="M2" s="13">
        <f>SUMIFS(_EquivVSL,_Date,"&lt;=" &amp; _DernDate,_Date,"&gt;=" &amp; _DernDate -365)</f>
        <v>13317.519999999977</v>
      </c>
      <c r="N2" s="13">
        <f>SUMIFS(_FraisPERSO,_Date,"&lt;=" &amp;  _DernDate,_Date,"&gt;="  &amp;  _DernDate -365)</f>
        <v>3842.743399999998</v>
      </c>
      <c r="O2" s="14"/>
      <c r="P2" s="14"/>
      <c r="Q2" s="15">
        <f>SUMIFS([1]!T_RecapDeplt[Feuille SECU
Rbt - Franchise],_Date,"&lt;=" &amp; _DernDate,_Date,"&gt;=" &amp; _DernDate -365)</f>
        <v>6</v>
      </c>
      <c r="R2" s="16">
        <f>SUM([1]!T_RecapDeplt[Net à charge])</f>
        <v>12685.944699999951</v>
      </c>
      <c r="S2" s="17"/>
      <c r="T2" s="18" t="s">
        <v>14</v>
      </c>
      <c r="U2" s="18"/>
      <c r="V2" s="18"/>
      <c r="W2" s="19" t="s">
        <v>15</v>
      </c>
      <c r="X2" s="20"/>
      <c r="Y2" s="21"/>
      <c r="Z2" s="1"/>
    </row>
    <row r="3" spans="1:26" s="35" customFormat="1" ht="19.8" thickTop="1" x14ac:dyDescent="0.3">
      <c r="A3" s="22"/>
      <c r="B3" s="22"/>
      <c r="C3" s="22"/>
      <c r="D3" s="23"/>
      <c r="E3" s="23"/>
      <c r="F3" s="23"/>
      <c r="G3" s="24"/>
      <c r="H3" s="25"/>
      <c r="I3" s="26"/>
      <c r="J3" s="24"/>
      <c r="K3" s="24"/>
      <c r="L3" s="24"/>
      <c r="M3" s="24"/>
      <c r="N3" s="25"/>
      <c r="O3" s="26"/>
      <c r="P3" s="27"/>
      <c r="Q3" s="24"/>
      <c r="R3" s="25"/>
      <c r="S3" s="28"/>
      <c r="T3" s="29"/>
      <c r="U3" s="30"/>
      <c r="V3" s="31"/>
      <c r="W3" s="32"/>
      <c r="X3" s="32"/>
      <c r="Y3" s="33"/>
      <c r="Z3" s="34"/>
    </row>
    <row r="4" spans="1:26" ht="79.8" thickBot="1" x14ac:dyDescent="0.35">
      <c r="A4" s="36" t="s">
        <v>16</v>
      </c>
      <c r="B4" s="37" t="s">
        <v>1</v>
      </c>
      <c r="C4" s="37" t="s">
        <v>2</v>
      </c>
      <c r="D4" s="38" t="s">
        <v>17</v>
      </c>
      <c r="E4" s="38" t="s">
        <v>18</v>
      </c>
      <c r="F4" s="39" t="s">
        <v>19</v>
      </c>
      <c r="G4" s="40" t="s">
        <v>6</v>
      </c>
      <c r="H4" s="41" t="s">
        <v>20</v>
      </c>
      <c r="I4" s="42" t="s">
        <v>21</v>
      </c>
      <c r="J4" s="43" t="s">
        <v>22</v>
      </c>
      <c r="K4" s="43" t="s">
        <v>23</v>
      </c>
      <c r="L4" s="43" t="s">
        <v>24</v>
      </c>
      <c r="M4" s="43" t="s">
        <v>25</v>
      </c>
      <c r="N4" s="41" t="s">
        <v>26</v>
      </c>
      <c r="O4" s="42" t="s">
        <v>27</v>
      </c>
      <c r="P4" s="44" t="s">
        <v>28</v>
      </c>
      <c r="Q4" s="40" t="s">
        <v>29</v>
      </c>
      <c r="R4" s="41" t="s">
        <v>30</v>
      </c>
      <c r="S4" s="45" t="s">
        <v>31</v>
      </c>
      <c r="T4" s="46" t="s">
        <v>32</v>
      </c>
      <c r="U4" s="47" t="s">
        <v>33</v>
      </c>
      <c r="V4" s="48" t="s">
        <v>34</v>
      </c>
      <c r="W4" s="49" t="s">
        <v>35</v>
      </c>
      <c r="X4" s="50" t="s">
        <v>36</v>
      </c>
      <c r="Y4" s="51" t="s">
        <v>37</v>
      </c>
      <c r="Z4" s="52" t="s">
        <v>38</v>
      </c>
    </row>
    <row r="5" spans="1:26" ht="15.6" thickTop="1" thickBot="1" x14ac:dyDescent="0.35">
      <c r="A5" s="53"/>
      <c r="B5" s="54"/>
      <c r="C5" s="55"/>
      <c r="D5" s="55"/>
      <c r="E5" s="55"/>
      <c r="F5" s="55"/>
      <c r="G5" s="56"/>
      <c r="H5" s="57"/>
      <c r="I5" s="54"/>
      <c r="J5" s="58"/>
      <c r="K5" s="58"/>
      <c r="L5" s="58"/>
      <c r="M5" s="58"/>
      <c r="N5" s="58"/>
      <c r="O5" s="59"/>
      <c r="P5" s="53"/>
      <c r="Q5" s="58"/>
      <c r="R5" s="60"/>
      <c r="S5" s="61"/>
      <c r="T5" s="62"/>
      <c r="U5" s="63"/>
      <c r="V5" s="64"/>
      <c r="W5" s="65"/>
      <c r="X5" s="66"/>
      <c r="Y5" s="67"/>
      <c r="Z5" s="1">
        <f>IFERROR(INDEX([1]!T_Profess[MAT],MATCH([1]!T_RecapDeplt[[#This Row],[Nom du  Médecin]],[1]!T_Profess[Nom],[1]BASES!M50)),"")</f>
        <v>550</v>
      </c>
    </row>
    <row r="6" spans="1:26" ht="15" thickBot="1" x14ac:dyDescent="0.35">
      <c r="A6" s="53">
        <v>45317</v>
      </c>
      <c r="B6" s="54" t="s">
        <v>39</v>
      </c>
      <c r="C6" s="55" t="s">
        <v>40</v>
      </c>
      <c r="D6" s="55" t="s">
        <v>41</v>
      </c>
      <c r="E6" s="55" t="s">
        <v>42</v>
      </c>
      <c r="F6" s="55" t="s">
        <v>43</v>
      </c>
      <c r="G6" s="56">
        <v>40</v>
      </c>
      <c r="H6" s="57">
        <v>0.59</v>
      </c>
      <c r="I6" s="54" t="s">
        <v>44</v>
      </c>
      <c r="J6" s="58"/>
      <c r="K6" s="58"/>
      <c r="L6" s="58"/>
      <c r="M6" s="58">
        <v>57.95</v>
      </c>
      <c r="N6" s="58">
        <v>23.599999999999998</v>
      </c>
      <c r="O6" s="59"/>
      <c r="P6" s="53"/>
      <c r="Q6" s="58" t="s">
        <v>45</v>
      </c>
      <c r="R6" s="60">
        <v>23.599999999999998</v>
      </c>
      <c r="S6" s="61" t="s">
        <v>46</v>
      </c>
      <c r="T6" s="68" t="s">
        <v>47</v>
      </c>
      <c r="U6" s="69">
        <v>5</v>
      </c>
      <c r="V6" s="70" t="s">
        <v>48</v>
      </c>
      <c r="W6" s="71"/>
      <c r="X6" s="72"/>
      <c r="Y6" s="73"/>
      <c r="Z6" s="1">
        <f>IFERROR(INDEX([1]!T_Profess[MAT],MATCH([1]!T_RecapDeplt[[#This Row],[Nom du  Médecin]],[1]!T_Profess[Nom],[1]BASES!M50)),"")</f>
        <v>550</v>
      </c>
    </row>
    <row r="7" spans="1:26" ht="15" thickBot="1" x14ac:dyDescent="0.35">
      <c r="A7" s="53">
        <v>45315</v>
      </c>
      <c r="B7" s="54" t="s">
        <v>39</v>
      </c>
      <c r="C7" s="55" t="s">
        <v>40</v>
      </c>
      <c r="D7" s="55" t="s">
        <v>41</v>
      </c>
      <c r="E7" s="55" t="s">
        <v>42</v>
      </c>
      <c r="F7" s="55" t="s">
        <v>43</v>
      </c>
      <c r="G7" s="56">
        <v>40</v>
      </c>
      <c r="H7" s="57">
        <v>0.59199999999999997</v>
      </c>
      <c r="I7" s="54" t="s">
        <v>44</v>
      </c>
      <c r="J7" s="58"/>
      <c r="K7" s="58"/>
      <c r="L7" s="58"/>
      <c r="M7" s="58">
        <v>57.95</v>
      </c>
      <c r="N7" s="58">
        <v>23.68</v>
      </c>
      <c r="O7" s="59"/>
      <c r="P7" s="53"/>
      <c r="Q7" s="58" t="s">
        <v>45</v>
      </c>
      <c r="R7" s="60">
        <v>23.68</v>
      </c>
      <c r="S7" s="61" t="s">
        <v>46</v>
      </c>
      <c r="T7" s="74" t="s">
        <v>47</v>
      </c>
      <c r="U7" s="75">
        <v>5</v>
      </c>
      <c r="V7" s="76" t="s">
        <v>48</v>
      </c>
      <c r="W7" s="71"/>
      <c r="X7" s="72"/>
      <c r="Y7" s="73"/>
      <c r="Z7" s="1">
        <f>IFERROR(INDEX([1]!T_Profess[MAT],MATCH([1]!T_RecapDeplt[[#This Row],[Nom du  Médecin]],[1]!T_Profess[Nom],[1]BASES!M50)),"")</f>
        <v>508</v>
      </c>
    </row>
    <row r="8" spans="1:26" x14ac:dyDescent="0.3">
      <c r="A8" s="77"/>
    </row>
    <row r="9" spans="1:26" x14ac:dyDescent="0.3">
      <c r="A9" s="77"/>
    </row>
    <row r="10" spans="1:26" x14ac:dyDescent="0.3">
      <c r="A10" s="77"/>
    </row>
    <row r="11" spans="1:26" x14ac:dyDescent="0.3">
      <c r="A11" s="77"/>
    </row>
    <row r="12" spans="1:26" x14ac:dyDescent="0.3">
      <c r="A12" s="77"/>
    </row>
    <row r="13" spans="1:26" x14ac:dyDescent="0.3">
      <c r="A13" s="77"/>
    </row>
    <row r="14" spans="1:26" x14ac:dyDescent="0.3">
      <c r="A14" s="77"/>
    </row>
    <row r="15" spans="1:26" x14ac:dyDescent="0.3">
      <c r="A15" s="77"/>
    </row>
    <row r="16" spans="1:26" x14ac:dyDescent="0.3">
      <c r="A16" s="77"/>
    </row>
  </sheetData>
  <mergeCells count="3">
    <mergeCell ref="B2:E2"/>
    <mergeCell ref="R2:S2"/>
    <mergeCell ref="W2:Y2"/>
  </mergeCells>
  <dataValidations count="4">
    <dataValidation allowBlank="1" showErrorMessage="1" promptTitle="Indication du Transport" sqref="H2"/>
    <dataValidation allowBlank="1" showInputMessage="1" showErrorMessage="1" promptTitle="Traitement des Feuilles de Transport" prompt="&quot; Vide &quot;  en attente _x000a__x000a_&quot; O &quot;  quand la CPAM à Payé la Feuille Transport. _x000a_&quot; N &quot;  si elle 'est refusée par la CPAM_x000a_Dans ces 2 cas la date doit être complétée_x000a__x000a_&quot; X &quot;  si c'est un parcours  non pris en charge" sqref="O2:P2"/>
    <dataValidation type="time" allowBlank="1" showInputMessage="1" showErrorMessage="1" sqref="W5:Y5">
      <formula1>0.291666666666667</formula1>
      <formula2>0.833333333333333</formula2>
    </dataValidation>
    <dataValidation type="time" allowBlank="1" showInputMessage="1" showErrorMessage="1" sqref="W6:Y7">
      <formula1>0.208333333333333</formula1>
      <formula2>0.916666666666667</formula2>
    </dataValidation>
  </dataValidations>
  <pageMargins left="0.7" right="0.7" top="0.75" bottom="0.75" header="0.3" footer="0.3"/>
  <drawing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F3529EE-3CD9-489D-A2A4-3DB5132425AC}">
            <xm:f>'\1 -  FAMILLE -\3 - Activités  &amp; Loisirs Jean-Jacques\Programmation EXCEL\Travaux personnels\[ESSAI 2023 Transport Déplacement.old.xlsm]BASES'!#REF!=ROW()</xm:f>
            <x14:dxf>
              <font>
                <b/>
                <i/>
                <color rgb="FFFF0000"/>
              </font>
              <fill>
                <patternFill>
                  <bgColor theme="4" tint="0.79998168889431442"/>
                </patternFill>
              </fill>
            </x14:dxf>
          </x14:cfRule>
          <xm:sqref>A3:V7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2"/>
  <sheetViews>
    <sheetView tabSelected="1" workbookViewId="0">
      <selection activeCell="Q20" sqref="Q20"/>
    </sheetView>
  </sheetViews>
  <sheetFormatPr baseColWidth="10" defaultRowHeight="14.4" x14ac:dyDescent="0.3"/>
  <sheetData>
    <row r="2" spans="7:7" x14ac:dyDescent="0.3">
      <c r="G2" t="s">
        <v>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 Deplt</vt:lpstr>
      <vt:lpstr>Feuil1</vt:lpstr>
      <vt:lpstr>Feuil3</vt:lpstr>
      <vt:lpstr>_Cv</vt:lpstr>
      <vt:lpstr>_DateCourante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Jean-jacques</cp:lastModifiedBy>
  <dcterms:created xsi:type="dcterms:W3CDTF">2024-01-30T08:52:45Z</dcterms:created>
  <dcterms:modified xsi:type="dcterms:W3CDTF">2024-01-30T09:14:07Z</dcterms:modified>
</cp:coreProperties>
</file>