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/>
  <workbookPr codeName="ThisWorkbook"/>
  <mc:AlternateContent xmlns:mc="http://schemas.openxmlformats.org/markup-compatibility/2006">
    <mc:Choice Requires="x15">
      <x15ac:absPath xmlns:x15ac="http://schemas.microsoft.com/office/spreadsheetml/2010/11/ac" url="/Users/lemaitre/Desktop/Cyril/nounou/"/>
    </mc:Choice>
  </mc:AlternateContent>
  <bookViews>
    <workbookView xWindow="0" yWindow="460" windowWidth="28800" windowHeight="17540" activeTab="2"/>
  </bookViews>
  <sheets>
    <sheet name="Bulletin de Paie" sheetId="1" r:id="rId1"/>
    <sheet name="Indemnité de Licenciement" sheetId="2" r:id="rId2"/>
    <sheet name="Pointage" sheetId="3" r:id="rId3"/>
  </sheets>
  <definedNames>
    <definedName name="Année">Pointage!$G$2</definedName>
    <definedName name="Mois">Pointage!$D$2</definedName>
    <definedName name="_xlnm.Print_Area" localSheetId="0">'Bulletin de Paie'!$B$2:$M$70</definedName>
    <definedName name="_xlnm.Print_Area" localSheetId="1">'Indemnité de Licenciement'!$B$2:$O$51</definedName>
    <definedName name="_xlnm.Print_Area" localSheetId="2">Pointage!$B$2:$L$39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I17" i="1" l="1"/>
  <c r="K17" i="1"/>
  <c r="L17" i="1"/>
  <c r="K39" i="3"/>
  <c r="I51" i="1"/>
  <c r="L51" i="1"/>
  <c r="J39" i="3"/>
  <c r="I50" i="1"/>
  <c r="L50" i="1"/>
  <c r="C6" i="3"/>
  <c r="C7" i="3"/>
  <c r="C8" i="3"/>
  <c r="C9" i="3"/>
  <c r="C10" i="3"/>
  <c r="N10" i="3"/>
  <c r="N6" i="3"/>
  <c r="N7" i="3"/>
  <c r="N8" i="3"/>
  <c r="N9" i="3"/>
  <c r="C11" i="3"/>
  <c r="N11" i="3"/>
  <c r="C12" i="3"/>
  <c r="N12" i="3"/>
  <c r="C13" i="3"/>
  <c r="N13" i="3"/>
  <c r="C14" i="3"/>
  <c r="N14" i="3"/>
  <c r="C15" i="3"/>
  <c r="N15" i="3"/>
  <c r="C16" i="3"/>
  <c r="N16" i="3"/>
  <c r="C17" i="3"/>
  <c r="N17" i="3"/>
  <c r="C18" i="3"/>
  <c r="N18" i="3"/>
  <c r="C19" i="3"/>
  <c r="N19" i="3"/>
  <c r="C20" i="3"/>
  <c r="N20" i="3"/>
  <c r="C21" i="3"/>
  <c r="N21" i="3"/>
  <c r="C22" i="3"/>
  <c r="N22" i="3"/>
  <c r="C23" i="3"/>
  <c r="N23" i="3"/>
  <c r="C24" i="3"/>
  <c r="N24" i="3"/>
  <c r="C25" i="3"/>
  <c r="N25" i="3"/>
  <c r="C26" i="3"/>
  <c r="N26" i="3"/>
  <c r="C27" i="3"/>
  <c r="N27" i="3"/>
  <c r="C28" i="3"/>
  <c r="N28" i="3"/>
  <c r="C29" i="3"/>
  <c r="N29" i="3"/>
  <c r="C30" i="3"/>
  <c r="N30" i="3"/>
  <c r="C31" i="3"/>
  <c r="N31" i="3"/>
  <c r="C32" i="3"/>
  <c r="N32" i="3"/>
  <c r="C33" i="3"/>
  <c r="N33" i="3"/>
  <c r="C34" i="3"/>
  <c r="N34" i="3"/>
  <c r="C35" i="3"/>
  <c r="N35" i="3"/>
  <c r="C36" i="3"/>
  <c r="N36" i="3"/>
  <c r="N39" i="3"/>
  <c r="I49" i="1"/>
  <c r="K49" i="1"/>
  <c r="L49" i="1"/>
  <c r="L10" i="3"/>
  <c r="M10" i="3"/>
  <c r="L7" i="3"/>
  <c r="M7" i="3"/>
  <c r="L8" i="3"/>
  <c r="M8" i="3"/>
  <c r="L13" i="3"/>
  <c r="M13" i="3"/>
  <c r="L6" i="3"/>
  <c r="M6" i="3"/>
  <c r="L9" i="3"/>
  <c r="M9" i="3"/>
  <c r="L11" i="3"/>
  <c r="M11" i="3"/>
  <c r="L12" i="3"/>
  <c r="M12" i="3"/>
  <c r="L14" i="3"/>
  <c r="M14" i="3"/>
  <c r="L15" i="3"/>
  <c r="M15" i="3"/>
  <c r="L16" i="3"/>
  <c r="M16" i="3"/>
  <c r="L17" i="3"/>
  <c r="M17" i="3"/>
  <c r="L18" i="3"/>
  <c r="M18" i="3"/>
  <c r="L19" i="3"/>
  <c r="M19" i="3"/>
  <c r="L20" i="3"/>
  <c r="M20" i="3"/>
  <c r="L21" i="3"/>
  <c r="M21" i="3"/>
  <c r="L22" i="3"/>
  <c r="M22" i="3"/>
  <c r="L23" i="3"/>
  <c r="M23" i="3"/>
  <c r="L24" i="3"/>
  <c r="M24" i="3"/>
  <c r="L25" i="3"/>
  <c r="M25" i="3"/>
  <c r="L26" i="3"/>
  <c r="M26" i="3"/>
  <c r="L27" i="3"/>
  <c r="M27" i="3"/>
  <c r="L28" i="3"/>
  <c r="M28" i="3"/>
  <c r="L29" i="3"/>
  <c r="M29" i="3"/>
  <c r="L30" i="3"/>
  <c r="M30" i="3"/>
  <c r="L31" i="3"/>
  <c r="M31" i="3"/>
  <c r="L32" i="3"/>
  <c r="M32" i="3"/>
  <c r="L33" i="3"/>
  <c r="M33" i="3"/>
  <c r="L34" i="3"/>
  <c r="M34" i="3"/>
  <c r="L35" i="3"/>
  <c r="M35" i="3"/>
  <c r="L36" i="3"/>
  <c r="M36" i="3"/>
  <c r="M39" i="3"/>
  <c r="I48" i="1"/>
  <c r="K48" i="1"/>
  <c r="L48" i="1"/>
  <c r="M58" i="3"/>
  <c r="E28" i="1"/>
  <c r="O39" i="3"/>
  <c r="J63" i="1"/>
  <c r="Y21" i="3"/>
  <c r="CZ8" i="3" a="1"/>
  <c r="CZ8" i="3"/>
  <c r="DB8" i="3" a="1"/>
  <c r="DB8" i="3"/>
  <c r="Y22" i="3"/>
  <c r="I59" i="3" a="1"/>
  <c r="I59" i="3"/>
  <c r="L59" i="3" a="1"/>
  <c r="L59" i="3"/>
  <c r="E14" i="1"/>
  <c r="B6" i="3"/>
  <c r="R11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S11" i="3" a="1"/>
  <c r="S11" i="3"/>
  <c r="R12" i="3" a="1"/>
  <c r="R12" i="3"/>
  <c r="S12" i="3"/>
  <c r="R13" i="3" a="1"/>
  <c r="R13" i="3"/>
  <c r="S13" i="3"/>
  <c r="R14" i="3" a="1"/>
  <c r="R14" i="3"/>
  <c r="S14" i="3"/>
  <c r="R15" i="3" a="1"/>
  <c r="R15" i="3"/>
  <c r="S15" i="3"/>
  <c r="R16" i="3" a="1"/>
  <c r="R16" i="3"/>
  <c r="S16" i="3"/>
  <c r="S17" i="3"/>
  <c r="M54" i="3"/>
  <c r="I20" i="1"/>
  <c r="K20" i="1"/>
  <c r="L20" i="1"/>
  <c r="I23" i="1"/>
  <c r="K23" i="1"/>
  <c r="L23" i="1"/>
  <c r="I26" i="1"/>
  <c r="K26" i="1"/>
  <c r="L26" i="1"/>
  <c r="Y25" i="3"/>
  <c r="DE7" i="3"/>
  <c r="Y26" i="3"/>
  <c r="L29" i="1"/>
  <c r="DF7" i="3"/>
  <c r="N52" i="3"/>
  <c r="N58" i="3"/>
  <c r="I28" i="1"/>
  <c r="K28" i="1"/>
  <c r="L28" i="1"/>
  <c r="L31" i="1"/>
  <c r="I34" i="1"/>
  <c r="K34" i="1"/>
  <c r="L34" i="1"/>
  <c r="I35" i="1"/>
  <c r="K35" i="1"/>
  <c r="L35" i="1"/>
  <c r="I36" i="1"/>
  <c r="K36" i="1"/>
  <c r="L36" i="1"/>
  <c r="I37" i="1"/>
  <c r="K37" i="1"/>
  <c r="L37" i="1"/>
  <c r="I38" i="1"/>
  <c r="K38" i="1"/>
  <c r="L38" i="1"/>
  <c r="I40" i="1"/>
  <c r="K40" i="1"/>
  <c r="L40" i="1"/>
  <c r="I41" i="1"/>
  <c r="K41" i="1"/>
  <c r="L41" i="1"/>
  <c r="I42" i="1"/>
  <c r="K42" i="1"/>
  <c r="L42" i="1"/>
  <c r="I39" i="1"/>
  <c r="K39" i="1"/>
  <c r="L39" i="1"/>
  <c r="L43" i="1"/>
  <c r="L45" i="1"/>
  <c r="H81" i="3"/>
  <c r="H82" i="3"/>
  <c r="L44" i="1"/>
  <c r="E37" i="1"/>
  <c r="E36" i="1"/>
  <c r="E34" i="1"/>
  <c r="AE6" i="3"/>
  <c r="U34" i="3"/>
  <c r="R29" i="3"/>
  <c r="E39" i="1"/>
  <c r="L54" i="1"/>
  <c r="L56" i="1"/>
  <c r="F28" i="1"/>
  <c r="B5" i="1"/>
  <c r="R26" i="3"/>
  <c r="R25" i="3"/>
  <c r="R24" i="3"/>
  <c r="R23" i="3"/>
  <c r="R22" i="3"/>
  <c r="R21" i="3"/>
  <c r="Y18" i="3"/>
  <c r="S21" i="3"/>
  <c r="S22" i="3"/>
  <c r="S23" i="3"/>
  <c r="S24" i="3"/>
  <c r="S25" i="3"/>
  <c r="S26" i="3"/>
  <c r="S27" i="3"/>
  <c r="H2" i="3"/>
  <c r="U22" i="3"/>
  <c r="U21" i="3"/>
  <c r="D3" i="1"/>
  <c r="Y20" i="3"/>
  <c r="E29" i="1"/>
  <c r="M31" i="2"/>
  <c r="M33" i="2"/>
  <c r="N2" i="3"/>
  <c r="AB36" i="3"/>
  <c r="Y40" i="3"/>
  <c r="Y30" i="3"/>
  <c r="DF10" i="3"/>
  <c r="DF9" i="3"/>
  <c r="DF8" i="3"/>
  <c r="CL56" i="2"/>
  <c r="CL57" i="2"/>
  <c r="F65" i="2"/>
  <c r="CM57" i="2"/>
  <c r="CL58" i="2"/>
  <c r="CL59" i="2"/>
  <c r="CL60" i="2"/>
  <c r="CL61" i="2"/>
  <c r="D65" i="2"/>
  <c r="CM56" i="2"/>
  <c r="H65" i="2"/>
  <c r="CM58" i="2"/>
  <c r="J65" i="2"/>
  <c r="CM59" i="2"/>
  <c r="L65" i="2"/>
  <c r="CM60" i="2"/>
  <c r="N65" i="2"/>
  <c r="CM61" i="2"/>
  <c r="B12" i="1"/>
  <c r="W18" i="3"/>
  <c r="I64" i="1"/>
  <c r="AB24" i="3"/>
  <c r="DE9" i="3"/>
  <c r="M63" i="1"/>
  <c r="Y19" i="3"/>
  <c r="Y37" i="3"/>
  <c r="DE10" i="3"/>
  <c r="Y29" i="3"/>
  <c r="DE8" i="3"/>
  <c r="Y28" i="3"/>
  <c r="Y27" i="3"/>
  <c r="X24" i="3"/>
  <c r="I63" i="1"/>
  <c r="AB23" i="3"/>
  <c r="G64" i="1"/>
  <c r="G63" i="1"/>
  <c r="AG17" i="3"/>
  <c r="AG18" i="3"/>
  <c r="AE17" i="3"/>
  <c r="AE18" i="3"/>
  <c r="AF18" i="3"/>
  <c r="AF17" i="3"/>
  <c r="AE11" i="3"/>
  <c r="AF11" i="3"/>
  <c r="AG11" i="3"/>
  <c r="AG10" i="3"/>
  <c r="AG7" i="3"/>
  <c r="AE10" i="3"/>
  <c r="AE7" i="3"/>
  <c r="AG5" i="3"/>
  <c r="AE5" i="3"/>
  <c r="AD3" i="3"/>
  <c r="AG16" i="3"/>
  <c r="AE16" i="3"/>
  <c r="AG15" i="3"/>
  <c r="AE15" i="3"/>
  <c r="AG14" i="3"/>
  <c r="AE14" i="3"/>
  <c r="AG13" i="3"/>
  <c r="AE13" i="3"/>
  <c r="AG12" i="3"/>
  <c r="AE12" i="3"/>
  <c r="AG9" i="3"/>
  <c r="AE9" i="3"/>
  <c r="AG8" i="3"/>
  <c r="AE8" i="3"/>
  <c r="AG6" i="3"/>
  <c r="AF16" i="3"/>
  <c r="AF15" i="3"/>
  <c r="AF14" i="3"/>
  <c r="AF13" i="3"/>
  <c r="AF12" i="3"/>
  <c r="AF10" i="3"/>
  <c r="AF9" i="3"/>
  <c r="AF8" i="3"/>
  <c r="AF7" i="3"/>
  <c r="AF6" i="3"/>
  <c r="L53" i="1"/>
  <c r="L52" i="1"/>
  <c r="M14" i="2"/>
  <c r="M16" i="2"/>
  <c r="U19" i="3"/>
  <c r="U20" i="3"/>
  <c r="Q3" i="2"/>
  <c r="Y35" i="3"/>
  <c r="I39" i="3"/>
  <c r="Q54" i="2"/>
  <c r="Q20" i="2"/>
  <c r="O63" i="2"/>
  <c r="O62" i="2"/>
  <c r="O61" i="2"/>
  <c r="O60" i="2"/>
  <c r="O59" i="2"/>
  <c r="O58" i="2"/>
  <c r="O57" i="2"/>
  <c r="M48" i="2"/>
  <c r="M50" i="2"/>
  <c r="I29" i="1"/>
  <c r="O25" i="2"/>
  <c r="O24" i="2"/>
  <c r="O23" i="2"/>
  <c r="H60" i="3"/>
  <c r="H61" i="3"/>
  <c r="O46" i="2"/>
  <c r="O45" i="2"/>
  <c r="O44" i="2"/>
  <c r="O43" i="2"/>
  <c r="O42" i="2"/>
  <c r="O41" i="2"/>
  <c r="O40" i="2"/>
  <c r="O12" i="2"/>
  <c r="O11" i="2"/>
  <c r="O10" i="2"/>
  <c r="O9" i="2"/>
  <c r="O8" i="2"/>
  <c r="O7" i="2"/>
  <c r="O6" i="2"/>
  <c r="O29" i="2"/>
  <c r="O28" i="2"/>
  <c r="O27" i="2"/>
  <c r="O26" i="2"/>
  <c r="C81" i="3"/>
  <c r="C65" i="3"/>
  <c r="G66" i="3"/>
  <c r="AB40" i="3"/>
  <c r="AB35" i="3"/>
  <c r="Y39" i="3"/>
  <c r="Y38" i="3"/>
  <c r="L39" i="3"/>
  <c r="AB34" i="3"/>
  <c r="S30" i="3"/>
  <c r="M60" i="1"/>
  <c r="G66" i="1"/>
  <c r="V18" i="3"/>
  <c r="M64" i="1"/>
  <c r="X18" i="3"/>
  <c r="H63" i="1"/>
  <c r="Q37" i="2"/>
  <c r="C8" i="1"/>
  <c r="C5" i="1"/>
  <c r="C6" i="1"/>
  <c r="C7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1" i="1"/>
  <c r="B10" i="1"/>
  <c r="B9" i="1"/>
  <c r="B8" i="1"/>
  <c r="B7" i="1"/>
  <c r="B6" i="1"/>
  <c r="M58" i="1"/>
  <c r="N38" i="3"/>
  <c r="M38" i="3"/>
  <c r="N5" i="3"/>
  <c r="M5" i="3"/>
  <c r="E35" i="1"/>
  <c r="E38" i="1"/>
  <c r="E40" i="1"/>
  <c r="E41" i="1"/>
  <c r="E49" i="1"/>
  <c r="E48" i="1"/>
  <c r="E42" i="1"/>
  <c r="E58" i="1"/>
  <c r="E59" i="1"/>
  <c r="S31" i="3"/>
  <c r="S33" i="3"/>
  <c r="S32" i="3"/>
  <c r="Q5" i="2"/>
  <c r="Y36" i="3"/>
  <c r="AB38" i="3"/>
  <c r="K29" i="1"/>
  <c r="H59" i="1"/>
  <c r="H58" i="1"/>
  <c r="H60" i="1"/>
  <c r="Q39" i="2"/>
  <c r="AB37" i="3"/>
  <c r="AB39" i="3"/>
  <c r="Q22" i="2"/>
  <c r="Q56" i="2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C4" authorId="0">
      <text>
        <r>
          <rPr>
            <b/>
            <sz val="10"/>
            <color indexed="81"/>
            <rFont val="Calibri"/>
          </rPr>
          <t>Les jours en jaunes sont des jours fériés, les jours en verts sont des jours de Vacances scolaires.</t>
        </r>
      </text>
    </comment>
    <comment ref="J4" authorId="0">
      <text>
        <r>
          <rPr>
            <b/>
            <sz val="10"/>
            <color indexed="81"/>
            <rFont val="Calibri"/>
          </rPr>
          <t>Il faut cocher la case avec un "X".</t>
        </r>
        <r>
          <rPr>
            <sz val="10"/>
            <color indexed="81"/>
            <rFont val="Calibri"/>
          </rPr>
          <t xml:space="preserve">
</t>
        </r>
      </text>
    </comment>
    <comment ref="K4" authorId="0">
      <text>
        <r>
          <rPr>
            <b/>
            <sz val="10"/>
            <color indexed="81"/>
            <rFont val="Calibri"/>
          </rPr>
          <t>Il faut cocher la case avec un "X".</t>
        </r>
        <r>
          <rPr>
            <sz val="10"/>
            <color indexed="81"/>
            <rFont val="Calibri"/>
          </rPr>
          <t xml:space="preserve">
</t>
        </r>
      </text>
    </comment>
    <comment ref="O4" authorId="0">
      <text>
        <r>
          <rPr>
            <b/>
            <sz val="10"/>
            <color indexed="81"/>
            <rFont val="Calibri"/>
          </rPr>
          <t>Il faut cocher la case avec un "X" les jours en congés. Ne pas inclure le dimanche. Pour le Samedi, regarder si la "Méthode de calcul des CP" est en 1/10e ou 1/25e.
Les cases en jaunes sont des jours fériés, mettre "/".</t>
        </r>
      </text>
    </comment>
    <comment ref="P4" authorId="0">
      <text>
        <r>
          <rPr>
            <b/>
            <sz val="10"/>
            <color indexed="81"/>
            <rFont val="Calibri"/>
          </rPr>
          <t>- Si Arrêt de Maladie de l'assmat, mettre "AT"
Sinon, texte libre.</t>
        </r>
      </text>
    </comment>
    <comment ref="Y5" authorId="0">
      <text>
        <r>
          <rPr>
            <b/>
            <sz val="10"/>
            <color indexed="81"/>
            <rFont val="Calibri"/>
          </rPr>
          <t>Mettre OBLIGATOIREMENT les dates si prise de congés du 1er "X" jusqu'au dernier.
Exemple: 01/01/2021 au 11/01/2021</t>
        </r>
      </text>
    </comment>
    <comment ref="W26" authorId="0">
      <text>
        <r>
          <rPr>
            <b/>
            <sz val="10"/>
            <color indexed="81"/>
            <rFont val="Calibri"/>
          </rPr>
          <t>Méthode du 1/10e en jours ouvrables (=Y27)
Maintien de salaire en jours ouvrables (=Y28)
Méthode du 1/25e en jours ouvrés (=Y29)
Maintien de salaire en jours ouvrés (=Y30)
Pour les jours Ouvrables:
Comparer (Y27 et Y28), le plus favorable sera retenu.
Pour les jours Ouvrés:
Comparer (Y29 et Y30), le plus favorable sera retenu.</t>
        </r>
        <r>
          <rPr>
            <sz val="10"/>
            <color indexed="81"/>
            <rFont val="Calibri"/>
          </rPr>
          <t xml:space="preserve">
</t>
        </r>
      </text>
    </comment>
    <comment ref="R32" authorId="0">
      <text>
        <r>
          <rPr>
            <b/>
            <sz val="10"/>
            <color indexed="81"/>
            <rFont val="Calibri"/>
          </rPr>
          <t>Du lundi au vendredi sans les jours fériés.</t>
        </r>
      </text>
    </comment>
    <comment ref="R33" authorId="0">
      <text>
        <r>
          <rPr>
            <b/>
            <sz val="10"/>
            <color indexed="81"/>
            <rFont val="Calibri"/>
          </rPr>
          <t>Du lundi au samedi sans les jours fériés.</t>
        </r>
        <r>
          <rPr>
            <sz val="10"/>
            <color indexed="81"/>
            <rFont val="Calibri"/>
          </rPr>
          <t xml:space="preserve">
</t>
        </r>
      </text>
    </comment>
    <comment ref="P37" authorId="0">
      <text>
        <r>
          <rPr>
            <b/>
            <sz val="10"/>
            <color indexed="81"/>
            <rFont val="Calibri"/>
          </rPr>
          <t>- Si Arrêt de Maladie de l'assmat, mettre AT
Sinon, texte libre.</t>
        </r>
        <r>
          <rPr>
            <sz val="10"/>
            <color indexed="81"/>
            <rFont val="Calibri"/>
          </rPr>
          <t xml:space="preserve">
</t>
        </r>
      </text>
    </comment>
    <comment ref="L40" authorId="0">
      <text>
        <r>
          <rPr>
            <b/>
            <sz val="10"/>
            <color indexed="81"/>
            <rFont val="Calibri"/>
          </rPr>
          <t>Remplir au format HEURE.
Exemple: 10:00
Si il n'y a pas d'heure à reporter, laissé vide.</t>
        </r>
      </text>
    </comment>
    <comment ref="N52" authorId="0">
      <text>
        <r>
          <rPr>
            <b/>
            <sz val="10"/>
            <color indexed="81"/>
            <rFont val="Calibri"/>
          </rPr>
          <t>Nombre d'heures travaillées par jour par rapport au contrat par semaine.</t>
        </r>
      </text>
    </comment>
    <comment ref="M55" authorId="0">
      <text>
        <r>
          <rPr>
            <b/>
            <sz val="10"/>
            <color indexed="81"/>
            <rFont val="Calibri"/>
          </rPr>
          <t>Remplir au format HEURE.
Exemple: 11:00</t>
        </r>
      </text>
    </comment>
    <comment ref="M56" authorId="0">
      <text>
        <r>
          <rPr>
            <b/>
            <sz val="10"/>
            <color indexed="81"/>
            <rFont val="Calibri"/>
          </rPr>
          <t>Remplir au format HEURE.
Exemple: 11:00</t>
        </r>
        <r>
          <rPr>
            <sz val="10"/>
            <color indexed="81"/>
            <rFont val="Calibri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<sst xmlns="http://schemas.openxmlformats.org/spreadsheetml/2006/main" count="363" uniqueCount="243">
  <si>
    <t>EMPLOYEUR</t>
  </si>
  <si>
    <t>SALARIE</t>
  </si>
  <si>
    <t>Salaire Mensuel Brut</t>
  </si>
  <si>
    <t>Accueil occasionnel</t>
  </si>
  <si>
    <t>SALAIRE BRUT TOTAL (A)</t>
  </si>
  <si>
    <t>Montant</t>
  </si>
  <si>
    <t>SALAIRE NET (A-B)</t>
  </si>
  <si>
    <t>SOLDE A VERSER</t>
  </si>
  <si>
    <t>Montant imposable (a+b)</t>
  </si>
  <si>
    <t>Jour</t>
  </si>
  <si>
    <t>Taux  (€/h)</t>
  </si>
  <si>
    <t>Base</t>
  </si>
  <si>
    <t>Nombre d'heures d'accueil effectuées</t>
  </si>
  <si>
    <t>Nombre de jours d'accueil effectués</t>
  </si>
  <si>
    <t>Signatures de l'employeur et du salarié</t>
  </si>
  <si>
    <t xml:space="preserve">Nombres d'heures : </t>
  </si>
  <si>
    <t>Heures complémentaires</t>
  </si>
  <si>
    <t>ANNEE</t>
  </si>
  <si>
    <t>Janvier</t>
  </si>
  <si>
    <t>Février</t>
  </si>
  <si>
    <t>Mars</t>
  </si>
  <si>
    <t>Avril</t>
  </si>
  <si>
    <t xml:space="preserve">Mai </t>
  </si>
  <si>
    <t>Juin</t>
  </si>
  <si>
    <t>Juillet</t>
  </si>
  <si>
    <t>Septembre</t>
  </si>
  <si>
    <t>Octobre</t>
  </si>
  <si>
    <t>Novembre</t>
  </si>
  <si>
    <t>Décembre</t>
  </si>
  <si>
    <t>TOTAL NET DU CONTRAT</t>
  </si>
  <si>
    <t>TOTAL BRUT DU CONTRAT</t>
  </si>
  <si>
    <t>NET A PAYER (b)</t>
  </si>
  <si>
    <t>Repas</t>
  </si>
  <si>
    <t>Gouter</t>
  </si>
  <si>
    <t>Départ</t>
  </si>
  <si>
    <t>Arrivé</t>
  </si>
  <si>
    <t>Salaire mensualisé brut de base</t>
  </si>
  <si>
    <t>Heures majorées</t>
  </si>
  <si>
    <t>Matin</t>
  </si>
  <si>
    <t>Total heures</t>
  </si>
  <si>
    <t>Mai</t>
  </si>
  <si>
    <t>Août</t>
  </si>
  <si>
    <t>Léonie</t>
  </si>
  <si>
    <t>Base + H complém.</t>
  </si>
  <si>
    <t>Tableau de nombre d'heures pour les indemnités de licenciement conventionnelle</t>
  </si>
  <si>
    <t>TOTAL</t>
  </si>
  <si>
    <t>Midi</t>
  </si>
  <si>
    <t>Soir</t>
  </si>
  <si>
    <t>Taux (€)</t>
  </si>
  <si>
    <t>Taux (%)</t>
  </si>
  <si>
    <t>IRCEM - Prevoyance</t>
  </si>
  <si>
    <t>Assurance chômage</t>
  </si>
  <si>
    <t>Commentaires</t>
  </si>
  <si>
    <t>(Sur les bases du document proposé du réseau des Relais Assistants Maternels de l'Yonne)</t>
  </si>
  <si>
    <t>Acomptes versés</t>
  </si>
  <si>
    <t>Cotisations Salariales</t>
  </si>
  <si>
    <t>Indemnités</t>
  </si>
  <si>
    <t>Dans votre intérêt et pour faire valoir vos droits, veuillez conserver ce bulletin sans limite de durée.</t>
  </si>
  <si>
    <t>Indemnité d'entretien ≥ 9H</t>
  </si>
  <si>
    <t>Indemnité d'entretien</t>
  </si>
  <si>
    <t>Chèque</t>
  </si>
  <si>
    <t>Date de paiement</t>
  </si>
  <si>
    <t>Mode de paiement</t>
  </si>
  <si>
    <t>Convention Collective Nationale de travail des assistant(e)s maternel(le)s du particulier employeur</t>
  </si>
  <si>
    <t>Jours</t>
  </si>
  <si>
    <t>Heures</t>
  </si>
  <si>
    <t>Code APE / NAF : 8891A</t>
  </si>
  <si>
    <t>Pajemploi - Urssaf</t>
  </si>
  <si>
    <t>Liens Internet</t>
  </si>
  <si>
    <t>C.A.F</t>
  </si>
  <si>
    <t>Taux</t>
  </si>
  <si>
    <t>TAUX GLOBAL DES CHARGES SALARIALES</t>
  </si>
  <si>
    <t>COEFFICIENT MULTIPLICATEUR DU BRUT AU NET</t>
  </si>
  <si>
    <t xml:space="preserve"> Salaire BRUT à 98,25%</t>
  </si>
  <si>
    <t>C.S.G (partie non imposable)</t>
  </si>
  <si>
    <t>C.S.G/C.R.D.S (partie imposable) (a)</t>
  </si>
  <si>
    <t>Entretien</t>
  </si>
  <si>
    <t>TOTAL DU NOMBRE D'HEURES</t>
  </si>
  <si>
    <t>Nombre de jours de présence dans le mois :</t>
  </si>
  <si>
    <t>Tableau pour mise à jours automatique des cotisations salariales sur "Bulletin de Paie"</t>
  </si>
  <si>
    <t>N° Sem.</t>
  </si>
  <si>
    <t>TOTAL H.C</t>
  </si>
  <si>
    <t>Total</t>
  </si>
  <si>
    <t>TOTAL SEM.</t>
  </si>
  <si>
    <t>Contrat par SEMAINE</t>
  </si>
  <si>
    <t>Salaire mensualisé BRUT de base</t>
  </si>
  <si>
    <t>Salaire mensuel BRUT</t>
  </si>
  <si>
    <t>Taux (€/h)</t>
  </si>
  <si>
    <t>Heures Complém. (Sem.)</t>
  </si>
  <si>
    <t>Total des Heures (Sem.)</t>
  </si>
  <si>
    <t>J. Pris</t>
  </si>
  <si>
    <t>Montants</t>
  </si>
  <si>
    <t>Emploi : Assistante maternelle agréée</t>
  </si>
  <si>
    <t>Dates</t>
  </si>
  <si>
    <t>MOIS</t>
  </si>
  <si>
    <t>CP N-1</t>
  </si>
  <si>
    <t>CP N</t>
  </si>
  <si>
    <t>Acquis</t>
  </si>
  <si>
    <t>Pris</t>
  </si>
  <si>
    <t>Solde</t>
  </si>
  <si>
    <t>CP pris dans le mois</t>
  </si>
  <si>
    <t>C.P</t>
  </si>
  <si>
    <t>Base (h)</t>
  </si>
  <si>
    <t>Pour le mois</t>
  </si>
  <si>
    <t>Pour l'année</t>
  </si>
  <si>
    <t>BULLETIN DE PAIE</t>
  </si>
  <si>
    <r>
      <rPr>
        <b/>
        <sz val="10"/>
        <color indexed="12"/>
        <rFont val="Arial"/>
      </rPr>
      <t>Prénom de l'enfant :</t>
    </r>
    <r>
      <rPr>
        <sz val="10"/>
        <color indexed="12"/>
        <rFont val="Arial"/>
      </rPr>
      <t xml:space="preserve"> Léonie</t>
    </r>
  </si>
  <si>
    <t>Cellules tampon des dates pour le tableau des congés payés</t>
  </si>
  <si>
    <t>Salaire BRUT (A)</t>
  </si>
  <si>
    <t>Salaire NET (A-B)</t>
  </si>
  <si>
    <t>Tableau pour mise à jours automatique du salaire mensuel Brut sur "Bulletin de Paie"</t>
  </si>
  <si>
    <t xml:space="preserve">Mois : </t>
  </si>
  <si>
    <t xml:space="preserve">Année : </t>
  </si>
  <si>
    <t xml:space="preserve">Prénom de l'enfant : </t>
  </si>
  <si>
    <r>
      <rPr>
        <b/>
        <sz val="11"/>
        <color indexed="12"/>
        <rFont val="Arial"/>
      </rPr>
      <t>M.A.J =</t>
    </r>
    <r>
      <rPr>
        <b/>
        <sz val="11"/>
        <color indexed="10"/>
        <rFont val="Arial"/>
        <family val="2"/>
      </rPr>
      <t xml:space="preserve"> x</t>
    </r>
  </si>
  <si>
    <t>Mise à jour du</t>
  </si>
  <si>
    <t>Absence (Maladie Assmat)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</si>
  <si>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</si>
  <si>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</si>
  <si>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</si>
  <si>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</si>
  <si>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</si>
  <si>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</si>
  <si>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</si>
  <si>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</si>
  <si>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</si>
  <si>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</si>
  <si>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</si>
  <si>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</si>
  <si>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</si>
  <si>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Week-end</t>
  </si>
  <si>
    <t>Déclaration Pajemploi</t>
  </si>
  <si>
    <t>Formation professionnelle</t>
  </si>
  <si>
    <t>Contribution au dialogue social</t>
  </si>
  <si>
    <t>2019-2020</t>
  </si>
  <si>
    <t>2020-2021</t>
  </si>
  <si>
    <t>2021-2022</t>
  </si>
  <si>
    <t>2022-2023</t>
  </si>
  <si>
    <t>2023-2024</t>
  </si>
  <si>
    <t>2024-2025</t>
  </si>
  <si>
    <t>Montant (Brut)</t>
  </si>
  <si>
    <t>Jours ouvrables</t>
  </si>
  <si>
    <t>Jours ouvrés</t>
  </si>
  <si>
    <t>H.C</t>
  </si>
  <si>
    <t>Divers</t>
  </si>
  <si>
    <t xml:space="preserve">Nbr. d'heures réalisées : </t>
  </si>
  <si>
    <t>Bulletin de Salaire</t>
  </si>
  <si>
    <r>
      <t>Tableau pour le calcul des congés payés avec méthode du 1/10e (</t>
    </r>
    <r>
      <rPr>
        <b/>
        <i/>
        <sz val="13"/>
        <color indexed="10"/>
        <rFont val="Arial"/>
      </rPr>
      <t>En jours ouvrables</t>
    </r>
    <r>
      <rPr>
        <b/>
        <sz val="13"/>
        <color indexed="10"/>
        <rFont val="Arial"/>
        <family val="2"/>
      </rPr>
      <t>)</t>
    </r>
  </si>
  <si>
    <t>MONTANT DE L'INDEMNITE CONTRACTUELLE DE LICENCIEMENT 1/80e à payer et non soumis à cotisations</t>
  </si>
  <si>
    <t>CALCUL INDEMNITE DE LICENCIEMENT CONVENTIONNELLE 1/120e</t>
  </si>
  <si>
    <t>MONTANT DE L'INDEMNITE CONVENTIONNELLE DE LICENCIEMENT 1/120e à payer et non soumis à cotisations</t>
  </si>
  <si>
    <t>Tableau pour montant de référence des Congés-Payés</t>
  </si>
  <si>
    <t>Salaire BRUT sans les Indemnités de Congés Payés</t>
  </si>
  <si>
    <r>
      <t xml:space="preserve">J. Acquis </t>
    </r>
    <r>
      <rPr>
        <b/>
        <sz val="11"/>
        <color indexed="10"/>
        <rFont val="Arial"/>
        <family val="2"/>
      </rPr>
      <t>(*)</t>
    </r>
  </si>
  <si>
    <r>
      <rPr>
        <b/>
        <sz val="11"/>
        <color indexed="10"/>
        <rFont val="Arial"/>
        <family val="2"/>
      </rPr>
      <t>(1)</t>
    </r>
    <r>
      <rPr>
        <b/>
        <sz val="11"/>
        <color indexed="12"/>
        <rFont val="Arial"/>
      </rPr>
      <t xml:space="preserve"> Nombre de jours acquis (CP N-1)</t>
    </r>
  </si>
  <si>
    <r>
      <rPr>
        <b/>
        <sz val="11"/>
        <color indexed="10"/>
        <rFont val="Arial"/>
        <family val="2"/>
      </rPr>
      <t>(1)</t>
    </r>
    <r>
      <rPr>
        <b/>
        <sz val="11"/>
        <color indexed="12"/>
        <rFont val="Arial"/>
      </rPr>
      <t xml:space="preserve"> Méthode du 1/10e (En jours ouvrables)</t>
    </r>
  </si>
  <si>
    <t>Jours acquis par mois = 2,5/30</t>
  </si>
  <si>
    <r>
      <rPr>
        <b/>
        <i/>
        <sz val="10"/>
        <color indexed="10"/>
        <rFont val="Arial"/>
      </rPr>
      <t>(*)</t>
    </r>
    <r>
      <rPr>
        <b/>
        <i/>
        <sz val="10"/>
        <color indexed="12"/>
        <rFont val="Arial"/>
      </rPr>
      <t xml:space="preserve"> 1/10e=2,5  &amp;  1/25e=2,08333333333333  /  </t>
    </r>
    <r>
      <rPr>
        <b/>
        <i/>
        <sz val="10"/>
        <color indexed="10"/>
        <rFont val="Arial"/>
      </rPr>
      <t>(1)</t>
    </r>
    <r>
      <rPr>
        <b/>
        <i/>
        <sz val="10"/>
        <color indexed="12"/>
        <rFont val="Arial"/>
      </rPr>
      <t xml:space="preserve"> Jours Ouvrables=30  &amp;  Jours Ouvrés=25</t>
    </r>
  </si>
  <si>
    <r>
      <rPr>
        <b/>
        <i/>
        <sz val="10"/>
        <color indexed="10"/>
        <rFont val="Arial"/>
      </rPr>
      <t xml:space="preserve">(2) </t>
    </r>
    <r>
      <rPr>
        <b/>
        <i/>
        <sz val="10"/>
        <color indexed="12"/>
        <rFont val="Arial"/>
      </rPr>
      <t xml:space="preserve">CP N-1=Congés payés (Année -1)  /  </t>
    </r>
    <r>
      <rPr>
        <b/>
        <i/>
        <sz val="10"/>
        <color indexed="10"/>
        <rFont val="Arial"/>
      </rPr>
      <t xml:space="preserve">(3) </t>
    </r>
    <r>
      <rPr>
        <b/>
        <i/>
        <sz val="10"/>
        <color indexed="12"/>
        <rFont val="Arial"/>
      </rPr>
      <t xml:space="preserve">CP N=Congés payés (Année +1) / </t>
    </r>
    <r>
      <rPr>
        <b/>
        <i/>
        <sz val="10"/>
        <color indexed="10"/>
        <rFont val="Arial"/>
      </rPr>
      <t>(4)</t>
    </r>
    <r>
      <rPr>
        <b/>
        <i/>
        <sz val="10"/>
        <color indexed="12"/>
        <rFont val="Arial"/>
      </rPr>
      <t xml:space="preserve"> J.Ouvrables=26 &amp; J.Ouvrés=21,67</t>
    </r>
  </si>
  <si>
    <t>Congés payés (1/10e)</t>
  </si>
  <si>
    <r>
      <t>Total du nombre d'heures de la dernière semaine du mois précédent à reporter (</t>
    </r>
    <r>
      <rPr>
        <b/>
        <i/>
        <sz val="11"/>
        <color indexed="10"/>
        <rFont val="Arial"/>
        <family val="2"/>
      </rPr>
      <t>si incomplète</t>
    </r>
    <r>
      <rPr>
        <b/>
        <i/>
        <sz val="11"/>
        <color indexed="12"/>
        <rFont val="Arial"/>
      </rPr>
      <t>)</t>
    </r>
  </si>
  <si>
    <t>Base mensuelle</t>
  </si>
  <si>
    <t>Indem. d'entretiens</t>
  </si>
  <si>
    <t>Salaire mensuelle Net</t>
  </si>
  <si>
    <t>Nbr d'heures mensuelle</t>
  </si>
  <si>
    <t>Nbr de jours d'activités</t>
  </si>
  <si>
    <t>Heures Supp.</t>
  </si>
  <si>
    <t>Salaire mensuelle Net Total</t>
  </si>
  <si>
    <t>Début</t>
  </si>
  <si>
    <t>Fin</t>
  </si>
  <si>
    <t>Rentrée scolaire</t>
  </si>
  <si>
    <t>Vacances de la Toussaint</t>
  </si>
  <si>
    <t>Vacances de Noël</t>
  </si>
  <si>
    <t>Vacances de printemps</t>
  </si>
  <si>
    <t>Pont de l'ascension</t>
  </si>
  <si>
    <t>Vacances d'hiver</t>
  </si>
  <si>
    <r>
      <rPr>
        <b/>
        <sz val="11"/>
        <color indexed="10"/>
        <rFont val="Arial"/>
        <family val="2"/>
      </rPr>
      <t>(4)</t>
    </r>
    <r>
      <rPr>
        <b/>
        <sz val="11"/>
        <color indexed="12"/>
        <rFont val="Arial"/>
      </rPr>
      <t xml:space="preserve"> Maintien de Salaire (En jours ouvrés)</t>
    </r>
  </si>
  <si>
    <r>
      <t xml:space="preserve">Jours acquis par mois = </t>
    </r>
    <r>
      <rPr>
        <b/>
        <sz val="11"/>
        <color indexed="10"/>
        <rFont val="Arial"/>
        <family val="2"/>
      </rPr>
      <t>(*)</t>
    </r>
    <r>
      <rPr>
        <b/>
        <sz val="11"/>
        <color indexed="12"/>
        <rFont val="Arial"/>
      </rPr>
      <t>/</t>
    </r>
    <r>
      <rPr>
        <b/>
        <sz val="11"/>
        <color indexed="10"/>
        <rFont val="Arial"/>
        <family val="2"/>
      </rPr>
      <t>(1)</t>
    </r>
  </si>
  <si>
    <t>Total des indemnités d'entretiens</t>
  </si>
  <si>
    <t>Y27</t>
  </si>
  <si>
    <t>Y28</t>
  </si>
  <si>
    <t>Y29</t>
  </si>
  <si>
    <t>Y30</t>
  </si>
  <si>
    <t>Saison</t>
  </si>
  <si>
    <r>
      <t>(1)</t>
    </r>
    <r>
      <rPr>
        <b/>
        <sz val="11"/>
        <color indexed="12"/>
        <rFont val="Arial"/>
      </rPr>
      <t xml:space="preserve"> Méthode du 1/25e (En jours ouvrés)</t>
    </r>
  </si>
  <si>
    <r>
      <rPr>
        <b/>
        <sz val="11"/>
        <color indexed="10"/>
        <rFont val="Arial"/>
        <family val="2"/>
      </rPr>
      <t>(4)</t>
    </r>
    <r>
      <rPr>
        <b/>
        <sz val="11"/>
        <color indexed="12"/>
        <rFont val="Arial"/>
      </rPr>
      <t xml:space="preserve"> Maintien de Salaire (En jours ouvrables)</t>
    </r>
  </si>
  <si>
    <r>
      <t xml:space="preserve">Jours acquis par mois = </t>
    </r>
    <r>
      <rPr>
        <b/>
        <sz val="11"/>
        <color indexed="10"/>
        <rFont val="Arial"/>
        <family val="2"/>
      </rPr>
      <t>(*)</t>
    </r>
    <r>
      <rPr>
        <b/>
        <sz val="11"/>
        <color indexed="12"/>
        <rFont val="Arial"/>
      </rPr>
      <t>/25</t>
    </r>
  </si>
  <si>
    <r>
      <t xml:space="preserve">Jours acquis par mois = </t>
    </r>
    <r>
      <rPr>
        <b/>
        <sz val="11"/>
        <color indexed="10"/>
        <rFont val="Arial"/>
        <family val="2"/>
      </rPr>
      <t>(*)</t>
    </r>
    <r>
      <rPr>
        <b/>
        <sz val="11"/>
        <color indexed="12"/>
        <rFont val="Arial"/>
      </rPr>
      <t>/</t>
    </r>
    <r>
      <rPr>
        <b/>
        <sz val="11"/>
        <color indexed="10"/>
        <rFont val="Arial"/>
        <family val="2"/>
      </rPr>
      <t>(1)</t>
    </r>
  </si>
  <si>
    <r>
      <rPr>
        <b/>
        <i/>
        <u/>
        <sz val="10"/>
        <color indexed="12"/>
        <rFont val="Arial"/>
      </rPr>
      <t>Toutes les cases avec l'écriture en</t>
    </r>
    <r>
      <rPr>
        <b/>
        <i/>
        <u/>
        <sz val="10"/>
        <color indexed="8"/>
        <rFont val="Arial"/>
      </rPr>
      <t xml:space="preserve"> noir </t>
    </r>
    <r>
      <rPr>
        <b/>
        <i/>
        <u/>
        <sz val="10"/>
        <color indexed="12"/>
        <rFont val="Arial"/>
      </rPr>
      <t>sont modifiables</t>
    </r>
  </si>
  <si>
    <t>Jours fériés</t>
  </si>
  <si>
    <t>Grandes Vacances</t>
  </si>
  <si>
    <t>(ZONE A)</t>
  </si>
  <si>
    <t>(*) Tableau des périodes de Vacances Scolaires</t>
  </si>
  <si>
    <t>Vacances scolaires</t>
  </si>
  <si>
    <t>Méthode du 1/10e</t>
  </si>
  <si>
    <t>M.S (Jours Ouvrables)</t>
  </si>
  <si>
    <t>Méthode du 1/25e</t>
  </si>
  <si>
    <t>M.S (Jours Ouvrés)</t>
  </si>
  <si>
    <r>
      <rPr>
        <b/>
        <sz val="11"/>
        <color indexed="10"/>
        <rFont val="Arial"/>
        <family val="2"/>
      </rPr>
      <t>(2)</t>
    </r>
    <r>
      <rPr>
        <b/>
        <sz val="11"/>
        <color indexed="12"/>
        <rFont val="Arial"/>
      </rPr>
      <t xml:space="preserve"> Solde Congés Payés (CP N-1)</t>
    </r>
  </si>
  <si>
    <t>Montant de référence des CP de l'année :</t>
  </si>
  <si>
    <t>Indem. Congés Payés</t>
  </si>
  <si>
    <t>Méthode de calcul des C.P :</t>
  </si>
  <si>
    <r>
      <rPr>
        <b/>
        <sz val="11"/>
        <color indexed="10"/>
        <rFont val="Arial"/>
        <family val="2"/>
      </rPr>
      <t>(3)</t>
    </r>
    <r>
      <rPr>
        <b/>
        <sz val="11"/>
        <color indexed="12"/>
        <rFont val="Arial"/>
      </rPr>
      <t xml:space="preserve"> Nombre de jours acquis (CP N)</t>
    </r>
  </si>
  <si>
    <r>
      <rPr>
        <b/>
        <sz val="11"/>
        <color indexed="10"/>
        <rFont val="Arial"/>
        <family val="2"/>
      </rPr>
      <t>(3)</t>
    </r>
    <r>
      <rPr>
        <b/>
        <sz val="11"/>
        <color indexed="12"/>
        <rFont val="Arial"/>
      </rPr>
      <t xml:space="preserve"> Solde Congé Payés (CP N)</t>
    </r>
  </si>
  <si>
    <t>Tableau Tampon pour le calcul automatique des Congés Payés (Jours Ouvrables &amp; Jours Ouvrés)</t>
  </si>
  <si>
    <t>AT</t>
  </si>
  <si>
    <t>Frais de Repas &amp; Gouter</t>
  </si>
  <si>
    <t>Arrêt de Maladie (AT)</t>
  </si>
  <si>
    <t>Nombre de mois effectués depuis le début du contrat</t>
  </si>
  <si>
    <r>
      <rPr>
        <b/>
        <sz val="11"/>
        <color indexed="10"/>
        <rFont val="Arial"/>
        <family val="2"/>
      </rPr>
      <t>(*)</t>
    </r>
    <r>
      <rPr>
        <sz val="11"/>
        <rFont val="Arial"/>
        <family val="2"/>
      </rPr>
      <t xml:space="preserve"> </t>
    </r>
    <r>
      <rPr>
        <i/>
        <sz val="11"/>
        <color indexed="12"/>
        <rFont val="Arial"/>
      </rPr>
      <t>Mettre à jour MANUELLEMENT les dates en cliquant sur ➜</t>
    </r>
  </si>
  <si>
    <t>au</t>
  </si>
  <si>
    <t>Congé du</t>
  </si>
  <si>
    <t>Cellule tampon congés payés</t>
  </si>
  <si>
    <t>CALCUL INDEMNITE DE LICENCIEMENT CONTRACTUELLE 1/80e (maj. 01/2022 au lieu de 1/60e)</t>
  </si>
  <si>
    <t>01/08/2022 au 20/08/2022</t>
  </si>
  <si>
    <t>Reprise le lundi 22 Août</t>
  </si>
  <si>
    <t>x (3,48€)</t>
  </si>
  <si>
    <t>Cotisations Salariales au 01/07/2022</t>
  </si>
  <si>
    <t>Vieillesse sur la totalité de la rémunération</t>
  </si>
  <si>
    <t>Vieillesse dans la limite du plafond</t>
  </si>
  <si>
    <t>Ircem retraite complémentaire tranche 1</t>
  </si>
  <si>
    <t>Contribution d'équilibre générale tranche 1</t>
  </si>
  <si>
    <t>Maladie solidarité</t>
  </si>
  <si>
    <t>Allocations familiales</t>
  </si>
  <si>
    <t>Accidents du travail (AT)</t>
  </si>
  <si>
    <t>Contribuition Sociale Autonomie (CSA)</t>
  </si>
  <si>
    <t>Fonds national d’aide au logement (Fnal)</t>
  </si>
  <si>
    <t>Ircem prévoyance</t>
  </si>
  <si>
    <t>MONTANT TOTAL DES COTISATIONS SALARIALES (B)</t>
  </si>
  <si>
    <t>MONTANT TOTAL DES COTISATIONS PATRONALES</t>
  </si>
  <si>
    <t>Exonération de cotisations sur HC/HS/HM</t>
  </si>
  <si>
    <t>Vacances Scolaires</t>
  </si>
  <si>
    <t>Indemnité de repas</t>
  </si>
  <si>
    <t>Indemnité de gouter</t>
  </si>
  <si>
    <t>Total des indemnités de Repas &amp; Gouter</t>
  </si>
  <si>
    <t xml:space="preserve">Nom : </t>
  </si>
  <si>
    <r>
      <rPr>
        <b/>
        <sz val="10"/>
        <color indexed="12"/>
        <rFont val="Arial"/>
      </rPr>
      <t>Prénom :</t>
    </r>
    <r>
      <rPr>
        <sz val="10"/>
        <color indexed="12"/>
        <rFont val="Arial"/>
      </rPr>
      <t xml:space="preserve"> </t>
    </r>
  </si>
  <si>
    <r>
      <rPr>
        <b/>
        <sz val="10"/>
        <color indexed="12"/>
        <rFont val="Arial"/>
      </rPr>
      <t>Adresse :</t>
    </r>
    <r>
      <rPr>
        <sz val="10"/>
        <color indexed="12"/>
        <rFont val="Arial"/>
      </rPr>
      <t xml:space="preserve"> </t>
    </r>
  </si>
  <si>
    <t xml:space="preserve">N° Pajemploi : </t>
  </si>
  <si>
    <r>
      <rPr>
        <b/>
        <sz val="10"/>
        <color indexed="12"/>
        <rFont val="Arial"/>
      </rPr>
      <t>Nom :</t>
    </r>
    <r>
      <rPr>
        <sz val="10"/>
        <color indexed="12"/>
        <rFont val="Arial"/>
      </rPr>
      <t xml:space="preserve"> </t>
    </r>
  </si>
  <si>
    <r>
      <rPr>
        <b/>
        <sz val="10"/>
        <color indexed="12"/>
        <rFont val="Arial"/>
      </rPr>
      <t>N° de Salarié :</t>
    </r>
    <r>
      <rPr>
        <sz val="10"/>
        <color indexed="12"/>
        <rFont val="Arial"/>
      </rPr>
      <t xml:space="preserve"> </t>
    </r>
  </si>
  <si>
    <t xml:space="preserve">N° Sécu Sociale : </t>
  </si>
  <si>
    <t>Contrat par SEMAINE en 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</si>
</sst>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4" formatCode="_ * #,##0.00_)\ &quot;€&quot;_ ;_ * \(#,##0.00\)\ &quot;€&quot;_ ;_ * &quot;-&quot;??_)\ &quot;€&quot;_ ;_ @_ "/>
    <numFmt numFmtId="167" formatCode="#,##0.00\ &quot;€&quot;;[Red]\-#,##0.00\ &quot;€&quot;"/>
    <numFmt numFmtId="170" formatCode="_-* #,##0.00\ &quot;€&quot;_-;\-* #,##0.00\ &quot;€&quot;_-;_-* &quot;-&quot;??\ &quot;€&quot;_-;_-@_-"/>
    <numFmt numFmtId="173" formatCode="[$-F800]dddd\,\ mmmm\ dd\,\ yyyy"/>
    <numFmt numFmtId="175" formatCode="[$-40C]mmmmm;@"/>
    <numFmt numFmtId="176" formatCode="#,##0.00\ &quot;€&quot;"/>
    <numFmt numFmtId="177" formatCode="h:mm;@"/>
    <numFmt numFmtId="179" formatCode="[h]:mm;"/>
    <numFmt numFmtId="183" formatCode="[h]:mm;@"/>
    <numFmt numFmtId="185" formatCode="dddd\ dd"/>
    <numFmt numFmtId="186" formatCode="0;\-0;;@"/>
    <numFmt numFmtId="187" formatCode="[h];@"/>
    <numFmt numFmtId="188" formatCode="0.0000"/>
    <numFmt numFmtId="189" formatCode="dd"/>
    <numFmt numFmtId="190" formatCode="[h]&quot;h&quot;mm;@"/>
    <numFmt numFmtId="192" formatCode="[$-40C]d\ mmmm\ yyyy;@"/>
    <numFmt numFmtId="197" formatCode="0.00&quot;€&quot;;\-0.00&quot;€&quot;;;@"/>
    <numFmt numFmtId="198" formatCode="[h]&quot;h&quot;mm;\-[h]&quot;h&quot;mm;;@"/>
    <numFmt numFmtId="199" formatCode="[h]:mm;\-[h]:mm;;@"/>
    <numFmt numFmtId="200" formatCode="0.00\ &quot;€&quot;;\-0.00\ &quot;€&quot;;;@"/>
  </numFmts>
  <fonts count="82" x14ac:knownFonts="1">
    <font>
      <sz val="10"/>
      <name val="Arial"/>
    </font>
    <font>
      <sz val="9"/>
      <name val="Arial"/>
      <family val="2"/>
    </font>
    <font>
      <sz val="10"/>
      <color indexed="12"/>
      <name val="Arial"/>
    </font>
    <font>
      <b/>
      <sz val="9"/>
      <color indexed="12"/>
      <name val="Arial"/>
    </font>
    <font>
      <sz val="9"/>
      <color indexed="12"/>
      <name val="Arial"/>
    </font>
    <font>
      <sz val="10"/>
      <name val="Arial"/>
    </font>
    <font>
      <sz val="9"/>
      <color indexed="12"/>
      <name val="Arial"/>
    </font>
    <font>
      <b/>
      <sz val="10"/>
      <color indexed="12"/>
      <name val="Arial"/>
    </font>
    <font>
      <b/>
      <sz val="9"/>
      <color indexed="12"/>
      <name val="Arial"/>
    </font>
    <font>
      <b/>
      <sz val="18"/>
      <color indexed="36"/>
      <name val="Calibri"/>
      <family val="2"/>
    </font>
    <font>
      <sz val="8"/>
      <name val="Arial"/>
      <family val="2"/>
    </font>
    <font>
      <b/>
      <sz val="11"/>
      <color indexed="12"/>
      <name val="Arial"/>
    </font>
    <font>
      <sz val="11"/>
      <name val="Arial"/>
      <family val="2"/>
    </font>
    <font>
      <b/>
      <sz val="11"/>
      <name val="Arial"/>
      <family val="2"/>
    </font>
    <font>
      <i/>
      <sz val="9"/>
      <color indexed="12"/>
      <name val="Arial"/>
    </font>
    <font>
      <b/>
      <sz val="18"/>
      <color indexed="12"/>
      <name val="Arial"/>
    </font>
    <font>
      <b/>
      <sz val="10"/>
      <name val="Arial"/>
      <family val="2"/>
    </font>
    <font>
      <sz val="9"/>
      <name val="ArialMT"/>
    </font>
    <font>
      <sz val="10"/>
      <color indexed="81"/>
      <name val="Calibri"/>
    </font>
    <font>
      <b/>
      <sz val="10"/>
      <color indexed="81"/>
      <name val="Calibri"/>
    </font>
    <font>
      <b/>
      <sz val="13"/>
      <color indexed="12"/>
      <name val="Arial"/>
      <family val="2"/>
    </font>
    <font>
      <b/>
      <i/>
      <sz val="10"/>
      <name val="Arial"/>
      <family val="2"/>
    </font>
    <font>
      <b/>
      <i/>
      <sz val="11"/>
      <name val="Arial"/>
    </font>
    <font>
      <b/>
      <i/>
      <sz val="11"/>
      <color indexed="12"/>
      <name val="Arial"/>
    </font>
    <font>
      <i/>
      <sz val="10"/>
      <name val="Arial"/>
    </font>
    <font>
      <b/>
      <i/>
      <sz val="11"/>
      <color indexed="10"/>
      <name val="Arial"/>
      <family val="2"/>
    </font>
    <font>
      <b/>
      <sz val="11"/>
      <color indexed="12"/>
      <name val="Arial"/>
    </font>
    <font>
      <b/>
      <sz val="11"/>
      <color indexed="10"/>
      <name val="Arial"/>
      <family val="2"/>
    </font>
    <font>
      <b/>
      <sz val="13"/>
      <color indexed="10"/>
      <name val="Arial"/>
      <family val="2"/>
    </font>
    <font>
      <b/>
      <i/>
      <sz val="13"/>
      <color indexed="10"/>
      <name val="Arial"/>
    </font>
    <font>
      <b/>
      <sz val="11"/>
      <color indexed="10"/>
      <name val="Arial"/>
      <family val="2"/>
    </font>
    <font>
      <b/>
      <i/>
      <sz val="10"/>
      <color indexed="12"/>
      <name val="Arial"/>
    </font>
    <font>
      <b/>
      <sz val="11"/>
      <color indexed="12"/>
      <name val="Arial"/>
    </font>
    <font>
      <b/>
      <sz val="11"/>
      <color indexed="10"/>
      <name val="Arial"/>
      <family val="2"/>
    </font>
    <font>
      <b/>
      <i/>
      <sz val="10"/>
      <color indexed="10"/>
      <name val="Arial"/>
    </font>
    <font>
      <b/>
      <i/>
      <sz val="10"/>
      <color indexed="10"/>
      <name val="Arial"/>
    </font>
    <font>
      <b/>
      <sz val="11"/>
      <color indexed="10"/>
      <name val="Arial"/>
      <family val="2"/>
    </font>
    <font>
      <b/>
      <sz val="11"/>
      <color indexed="12"/>
      <name val="Arial"/>
    </font>
    <font>
      <b/>
      <sz val="11"/>
      <color indexed="10"/>
      <name val="Arial"/>
      <family val="2"/>
    </font>
    <font>
      <b/>
      <sz val="11"/>
      <color indexed="12"/>
      <name val="Arial"/>
    </font>
    <font>
      <b/>
      <sz val="11"/>
      <color indexed="10"/>
      <name val="Arial"/>
      <family val="2"/>
    </font>
    <font>
      <b/>
      <i/>
      <u/>
      <sz val="10"/>
      <color indexed="8"/>
      <name val="Arial"/>
    </font>
    <font>
      <i/>
      <sz val="11"/>
      <color indexed="12"/>
      <name val="Arial"/>
    </font>
    <font>
      <b/>
      <i/>
      <u/>
      <sz val="10"/>
      <color indexed="12"/>
      <name val="Arial"/>
    </font>
    <font>
      <b/>
      <sz val="11"/>
      <color indexed="12"/>
      <name val="Arial"/>
    </font>
    <font>
      <b/>
      <sz val="11"/>
      <color indexed="10"/>
      <name val="Arial"/>
      <family val="2"/>
    </font>
    <font>
      <b/>
      <sz val="11"/>
      <color indexed="12"/>
      <name val="Arial"/>
    </font>
    <font>
      <b/>
      <sz val="11"/>
      <color indexed="10"/>
      <name val="Arial"/>
      <family val="2"/>
    </font>
    <font>
      <u/>
      <sz val="10"/>
      <color theme="10"/>
      <name val="Arial"/>
    </font>
    <font>
      <sz val="9"/>
      <color theme="1"/>
      <name val="Arial"/>
      <family val="2"/>
    </font>
    <font>
      <sz val="11"/>
      <color theme="1"/>
      <name val="Arial"/>
    </font>
    <font>
      <b/>
      <sz val="11"/>
      <color theme="1"/>
      <name val="Arial"/>
    </font>
    <font>
      <b/>
      <sz val="11"/>
      <color rgb="FF0000D4"/>
      <name val="Arial"/>
      <family val="2"/>
    </font>
    <font>
      <b/>
      <sz val="13"/>
      <color rgb="FF0000D4"/>
      <name val="Arial"/>
      <family val="2"/>
    </font>
    <font>
      <b/>
      <sz val="9"/>
      <color rgb="FF0000D4"/>
      <name val="Arial"/>
    </font>
    <font>
      <b/>
      <i/>
      <sz val="11"/>
      <color rgb="FF0000D4"/>
      <name val="Arial"/>
    </font>
    <font>
      <sz val="11"/>
      <color theme="1"/>
      <name val="Arial Narrow"/>
      <family val="2"/>
    </font>
    <font>
      <b/>
      <sz val="11"/>
      <color rgb="FFD70000"/>
      <name val="Arial"/>
      <family val="2"/>
    </font>
    <font>
      <b/>
      <sz val="11"/>
      <color rgb="FFC00000"/>
      <name val="Arial"/>
      <family val="2"/>
    </font>
    <font>
      <b/>
      <i/>
      <sz val="12"/>
      <color rgb="FF0000D4"/>
      <name val="Arial"/>
    </font>
    <font>
      <b/>
      <sz val="14"/>
      <color rgb="FF0000D4"/>
      <name val="Arial"/>
      <family val="2"/>
    </font>
    <font>
      <b/>
      <sz val="12"/>
      <color rgb="FFD70000"/>
      <name val="Arial"/>
      <family val="2"/>
    </font>
    <font>
      <b/>
      <sz val="10"/>
      <color rgb="FF0000D4"/>
      <name val="Arial"/>
    </font>
    <font>
      <sz val="10"/>
      <color rgb="FF0000D4"/>
      <name val="Arial"/>
    </font>
    <font>
      <b/>
      <sz val="13"/>
      <color theme="1"/>
      <name val="Arial"/>
    </font>
    <font>
      <b/>
      <i/>
      <sz val="11"/>
      <color rgb="FFC00000"/>
      <name val="Arial"/>
    </font>
    <font>
      <b/>
      <sz val="12"/>
      <color rgb="FF0000D4"/>
      <name val="Arial"/>
      <family val="2"/>
    </font>
    <font>
      <b/>
      <u/>
      <sz val="11"/>
      <color theme="10"/>
      <name val="Arial"/>
    </font>
    <font>
      <b/>
      <i/>
      <sz val="11"/>
      <color theme="1"/>
      <name val="Arial"/>
    </font>
    <font>
      <b/>
      <i/>
      <sz val="11"/>
      <color rgb="FFD70000"/>
      <name val="Arial"/>
      <family val="2"/>
    </font>
    <font>
      <b/>
      <i/>
      <sz val="10"/>
      <color rgb="FF0000D4"/>
      <name val="Arial"/>
    </font>
    <font>
      <b/>
      <sz val="18"/>
      <color rgb="FF0000D4"/>
      <name val="Arial"/>
    </font>
    <font>
      <b/>
      <sz val="16"/>
      <color rgb="FFD70000"/>
      <name val="Arial"/>
    </font>
    <font>
      <b/>
      <sz val="14"/>
      <color rgb="FF0000D4"/>
      <name val="Arial Gras"/>
    </font>
    <font>
      <b/>
      <sz val="15"/>
      <color rgb="FFD70000"/>
      <name val="Arial"/>
    </font>
    <font>
      <b/>
      <sz val="10.5"/>
      <color rgb="FF0000D4"/>
      <name val="Arial"/>
    </font>
    <font>
      <b/>
      <sz val="15"/>
      <color rgb="FF0000D4"/>
      <name val="Arial"/>
    </font>
    <font>
      <b/>
      <i/>
      <u/>
      <sz val="10"/>
      <color theme="1"/>
      <name val="Arial"/>
    </font>
    <font>
      <b/>
      <u/>
      <sz val="10"/>
      <color theme="10"/>
      <name val="Arial"/>
    </font>
    <font>
      <b/>
      <i/>
      <sz val="14"/>
      <color rgb="FF0000D4"/>
      <name val="Arial"/>
    </font>
    <font>
      <b/>
      <sz val="13"/>
      <color rgb="FFD70000"/>
      <name val="Arial"/>
      <family val="2"/>
    </font>
    <font>
      <b/>
      <sz val="11.5"/>
      <color rgb="FFD7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BEBEB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2F0E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0CBFF"/>
        <bgColor indexed="64"/>
      </patternFill>
    </fill>
    <fill>
      <patternFill patternType="solid">
        <fgColor rgb="FFFFC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2F2F2"/>
        <bgColor indexed="64"/>
      </patternFill>
    </fill>
  </fills>
  <borders count="26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dashed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 style="dashed">
        <color auto="1"/>
      </left>
      <right style="double">
        <color auto="1"/>
      </right>
      <top/>
      <bottom style="thin">
        <color auto="1"/>
      </bottom>
      <diagonal/>
    </border>
    <border>
      <left style="dashed">
        <color auto="1"/>
      </left>
      <right style="thin">
        <color auto="1"/>
      </right>
      <top/>
      <bottom style="thin">
        <color auto="1"/>
      </bottom>
      <diagonal/>
    </border>
    <border>
      <left style="dashed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ashed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double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dashed">
        <color auto="1"/>
      </bottom>
      <diagonal/>
    </border>
    <border>
      <left style="medium">
        <color auto="1"/>
      </left>
      <right style="double">
        <color auto="1"/>
      </right>
      <top style="dashed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dashed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 style="dashed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ashed">
        <color auto="1"/>
      </right>
      <top style="double">
        <color auto="1"/>
      </top>
      <bottom style="double">
        <color auto="1"/>
      </bottom>
      <diagonal/>
    </border>
    <border>
      <left/>
      <right style="dashed">
        <color auto="1"/>
      </right>
      <top style="double">
        <color auto="1"/>
      </top>
      <bottom style="double">
        <color auto="1"/>
      </bottom>
      <diagonal/>
    </border>
    <border>
      <left style="dashed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  <border>
      <left/>
      <right style="thin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dashed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/>
      <top style="dashed">
        <color auto="1"/>
      </top>
      <bottom style="double">
        <color auto="1"/>
      </bottom>
      <diagonal/>
    </border>
    <border>
      <left/>
      <right/>
      <top style="thin">
        <color auto="1"/>
      </top>
      <bottom style="dashed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double">
        <color auto="1"/>
      </right>
      <top/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ashed">
        <color auto="1"/>
      </left>
      <right/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/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double">
        <color auto="1"/>
      </right>
      <top style="double">
        <color auto="1"/>
      </top>
      <bottom/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thin">
        <color auto="1"/>
      </bottom>
      <diagonal/>
    </border>
    <border>
      <left/>
      <right style="double">
        <color auto="1"/>
      </right>
      <top style="medium">
        <color auto="1"/>
      </top>
      <bottom/>
      <diagonal/>
    </border>
    <border>
      <left/>
      <right/>
      <top/>
      <bottom style="double">
        <color theme="1"/>
      </bottom>
      <diagonal/>
    </border>
    <border>
      <left/>
      <right style="medium">
        <color theme="1"/>
      </right>
      <top/>
      <bottom style="thin">
        <color theme="1"/>
      </bottom>
      <diagonal/>
    </border>
    <border>
      <left/>
      <right style="double">
        <color theme="1"/>
      </right>
      <top/>
      <bottom style="thin">
        <color theme="1"/>
      </bottom>
      <diagonal/>
    </border>
    <border>
      <left/>
      <right style="medium">
        <color theme="1"/>
      </right>
      <top/>
      <bottom/>
      <diagonal/>
    </border>
    <border>
      <left/>
      <right style="double">
        <color theme="1"/>
      </right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/>
      <right style="double">
        <color theme="1"/>
      </right>
      <top style="thin">
        <color theme="1"/>
      </top>
      <bottom style="thin">
        <color theme="1"/>
      </bottom>
      <diagonal/>
    </border>
    <border>
      <left/>
      <right style="double">
        <color theme="1"/>
      </right>
      <top style="double">
        <color theme="1"/>
      </top>
      <bottom style="medium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ouble">
        <color theme="1"/>
      </right>
      <top/>
      <bottom style="double">
        <color theme="1"/>
      </bottom>
      <diagonal/>
    </border>
    <border>
      <left/>
      <right style="medium">
        <color theme="1"/>
      </right>
      <top/>
      <bottom style="double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double">
        <color theme="1"/>
      </top>
      <bottom/>
      <diagonal/>
    </border>
    <border>
      <left style="medium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/>
      <top style="medium">
        <color theme="1"/>
      </top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 style="double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thin">
        <color theme="1"/>
      </right>
      <top/>
      <bottom style="double">
        <color theme="1"/>
      </bottom>
      <diagonal/>
    </border>
    <border>
      <left style="double">
        <color theme="1"/>
      </left>
      <right/>
      <top style="double">
        <color theme="1"/>
      </top>
      <bottom style="medium">
        <color theme="1"/>
      </bottom>
      <diagonal/>
    </border>
    <border>
      <left/>
      <right style="thin">
        <color theme="1"/>
      </right>
      <top style="double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double">
        <color theme="1"/>
      </bottom>
      <diagonal/>
    </border>
    <border>
      <left/>
      <right/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/>
      <top/>
      <bottom style="thin">
        <color theme="1"/>
      </bottom>
      <diagonal/>
    </border>
    <border>
      <left style="double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/>
      <top style="double">
        <color theme="1"/>
      </top>
      <bottom style="double">
        <color theme="1"/>
      </bottom>
      <diagonal/>
    </border>
    <border>
      <left style="medium">
        <color theme="1"/>
      </left>
      <right/>
      <top style="thin">
        <color theme="1"/>
      </top>
      <bottom style="medium">
        <color theme="1"/>
      </bottom>
      <diagonal/>
    </border>
  </borders>
  <cellStyleXfs count="4">
    <xf numFmtId="0" fontId="0" fillId="0" borderId="0"/>
    <xf numFmtId="170" fontId="5" fillId="0" borderId="0" applyFont="0" applyFill="0" applyBorder="0" applyAlignment="0" applyProtection="0"/>
    <xf numFmtId="0" fontId="48" fillId="0" borderId="0" applyNumberFormat="0" applyFill="0" applyBorder="0" applyAlignment="0" applyProtection="0"/>
    <xf numFmtId="170" fontId="5" fillId="0" borderId="0" applyFont="0" applyFill="0" applyBorder="0" applyAlignment="0" applyProtection="0"/>
  </cellStyleXfs>
  <cellXfs count="962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 applyBorder="1"/>
    <xf numFmtId="0" fontId="2" fillId="0" borderId="0" xfId="0" applyFont="1"/>
    <xf numFmtId="0" fontId="4" fillId="0" borderId="0" xfId="0" applyFont="1"/>
    <xf numFmtId="0" fontId="4" fillId="0" borderId="0" xfId="0" applyFont="1" applyBorder="1"/>
    <xf numFmtId="0" fontId="4" fillId="0" borderId="1" xfId="0" applyFont="1" applyBorder="1"/>
    <xf numFmtId="0" fontId="4" fillId="0" borderId="2" xfId="0" applyFont="1" applyBorder="1"/>
    <xf numFmtId="0" fontId="4" fillId="0" borderId="0" xfId="0" applyFont="1" applyAlignment="1">
      <alignment horizontal="left" vertical="top"/>
    </xf>
    <xf numFmtId="175" fontId="0" fillId="0" borderId="0" xfId="0" applyNumberFormat="1"/>
    <xf numFmtId="0" fontId="4" fillId="0" borderId="0" xfId="0" applyFont="1" applyBorder="1" applyAlignment="1">
      <alignment wrapText="1"/>
    </xf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/>
    <xf numFmtId="0" fontId="6" fillId="0" borderId="0" xfId="0" applyFont="1"/>
    <xf numFmtId="0" fontId="4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3" fillId="0" borderId="0" xfId="0" applyFont="1" applyBorder="1"/>
    <xf numFmtId="0" fontId="3" fillId="0" borderId="0" xfId="0" applyFont="1" applyAlignment="1">
      <alignment vertical="center"/>
    </xf>
    <xf numFmtId="0" fontId="0" fillId="0" borderId="0" xfId="0" applyBorder="1" applyProtection="1">
      <protection hidden="1"/>
    </xf>
    <xf numFmtId="0" fontId="7" fillId="2" borderId="6" xfId="0" applyFont="1" applyFill="1" applyBorder="1" applyAlignment="1" applyProtection="1">
      <alignment horizontal="center" vertical="center"/>
      <protection hidden="1"/>
    </xf>
    <xf numFmtId="44" fontId="4" fillId="0" borderId="7" xfId="0" applyNumberFormat="1" applyFont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49" fillId="0" borderId="0" xfId="0" applyFont="1" applyProtection="1">
      <protection locked="0"/>
    </xf>
    <xf numFmtId="1" fontId="50" fillId="3" borderId="8" xfId="3" applyNumberFormat="1" applyFont="1" applyFill="1" applyBorder="1" applyAlignment="1" applyProtection="1">
      <alignment horizontal="center" vertical="center"/>
      <protection locked="0"/>
    </xf>
    <xf numFmtId="1" fontId="50" fillId="0" borderId="8" xfId="3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center"/>
    </xf>
    <xf numFmtId="2" fontId="4" fillId="0" borderId="9" xfId="0" applyNumberFormat="1" applyFont="1" applyBorder="1" applyAlignment="1" applyProtection="1">
      <alignment horizontal="center" vertical="center"/>
      <protection locked="0"/>
    </xf>
    <xf numFmtId="44" fontId="6" fillId="0" borderId="7" xfId="0" applyNumberFormat="1" applyFont="1" applyBorder="1" applyAlignment="1" applyProtection="1">
      <alignment horizontal="center" vertical="center"/>
      <protection hidden="1"/>
    </xf>
    <xf numFmtId="170" fontId="50" fillId="0" borderId="8" xfId="3" applyFont="1" applyFill="1" applyBorder="1" applyAlignment="1" applyProtection="1">
      <alignment horizontal="center" vertical="center"/>
      <protection locked="0"/>
    </xf>
    <xf numFmtId="170" fontId="50" fillId="3" borderId="8" xfId="3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7" fillId="2" borderId="10" xfId="0" applyFont="1" applyFill="1" applyBorder="1" applyAlignment="1" applyProtection="1">
      <alignment horizontal="center" vertical="center"/>
      <protection hidden="1"/>
    </xf>
    <xf numFmtId="0" fontId="7" fillId="2" borderId="11" xfId="0" applyFont="1" applyFill="1" applyBorder="1" applyAlignment="1" applyProtection="1">
      <alignment horizontal="center" vertical="center"/>
      <protection hidden="1"/>
    </xf>
    <xf numFmtId="44" fontId="4" fillId="0" borderId="12" xfId="0" applyNumberFormat="1" applyFont="1" applyBorder="1" applyAlignment="1" applyProtection="1">
      <alignment horizontal="right" vertical="center"/>
      <protection locked="0"/>
    </xf>
    <xf numFmtId="0" fontId="7" fillId="2" borderId="13" xfId="0" applyFont="1" applyFill="1" applyBorder="1" applyAlignment="1" applyProtection="1">
      <alignment horizontal="center" vertical="center"/>
      <protection hidden="1"/>
    </xf>
    <xf numFmtId="2" fontId="4" fillId="0" borderId="8" xfId="0" applyNumberFormat="1" applyFont="1" applyBorder="1" applyAlignment="1" applyProtection="1">
      <alignment horizontal="center" vertical="center"/>
      <protection hidden="1"/>
    </xf>
    <xf numFmtId="10" fontId="4" fillId="0" borderId="14" xfId="0" applyNumberFormat="1" applyFont="1" applyBorder="1" applyAlignment="1" applyProtection="1">
      <alignment horizontal="center" vertical="center"/>
      <protection hidden="1"/>
    </xf>
    <xf numFmtId="10" fontId="4" fillId="0" borderId="15" xfId="0" applyNumberFormat="1" applyFont="1" applyBorder="1" applyAlignment="1" applyProtection="1">
      <alignment horizontal="center" vertical="center"/>
      <protection hidden="1"/>
    </xf>
    <xf numFmtId="189" fontId="3" fillId="2" borderId="16" xfId="0" applyNumberFormat="1" applyFont="1" applyFill="1" applyBorder="1" applyAlignment="1" applyProtection="1">
      <alignment horizontal="center" vertical="center"/>
      <protection hidden="1"/>
    </xf>
    <xf numFmtId="189" fontId="3" fillId="2" borderId="17" xfId="0" applyNumberFormat="1" applyFont="1" applyFill="1" applyBorder="1" applyAlignment="1" applyProtection="1">
      <alignment horizontal="center" vertical="center"/>
      <protection hidden="1"/>
    </xf>
    <xf numFmtId="44" fontId="7" fillId="4" borderId="18" xfId="0" applyNumberFormat="1" applyFont="1" applyFill="1" applyBorder="1" applyAlignment="1" applyProtection="1">
      <alignment horizontal="center" vertical="center"/>
      <protection hidden="1"/>
    </xf>
    <xf numFmtId="44" fontId="7" fillId="4" borderId="12" xfId="0" applyNumberFormat="1" applyFont="1" applyFill="1" applyBorder="1" applyAlignment="1" applyProtection="1">
      <alignment horizontal="center" vertical="center"/>
      <protection hidden="1"/>
    </xf>
    <xf numFmtId="10" fontId="3" fillId="4" borderId="14" xfId="0" applyNumberFormat="1" applyFont="1" applyFill="1" applyBorder="1" applyAlignment="1" applyProtection="1">
      <alignment horizontal="center" vertical="center"/>
      <protection hidden="1"/>
    </xf>
    <xf numFmtId="44" fontId="3" fillId="4" borderId="7" xfId="0" applyNumberFormat="1" applyFont="1" applyFill="1" applyBorder="1" applyAlignment="1" applyProtection="1">
      <alignment horizontal="center" vertical="center"/>
      <protection hidden="1"/>
    </xf>
    <xf numFmtId="0" fontId="13" fillId="0" borderId="19" xfId="0" applyNumberFormat="1" applyFont="1" applyBorder="1" applyAlignment="1" applyProtection="1">
      <alignment horizontal="center" vertical="center"/>
      <protection locked="0"/>
    </xf>
    <xf numFmtId="0" fontId="13" fillId="0" borderId="4" xfId="0" applyNumberFormat="1" applyFont="1" applyBorder="1" applyAlignment="1" applyProtection="1">
      <alignment horizontal="center" vertical="center"/>
      <protection locked="0"/>
    </xf>
    <xf numFmtId="0" fontId="13" fillId="0" borderId="20" xfId="0" applyNumberFormat="1" applyFont="1" applyBorder="1" applyAlignment="1" applyProtection="1">
      <alignment horizontal="center" vertical="center"/>
      <protection locked="0"/>
    </xf>
    <xf numFmtId="0" fontId="13" fillId="0" borderId="21" xfId="0" applyNumberFormat="1" applyFont="1" applyBorder="1" applyAlignment="1" applyProtection="1">
      <alignment horizontal="center" vertical="center"/>
      <protection locked="0"/>
    </xf>
    <xf numFmtId="0" fontId="13" fillId="0" borderId="22" xfId="0" applyNumberFormat="1" applyFont="1" applyBorder="1" applyAlignment="1" applyProtection="1">
      <alignment horizontal="center" vertical="center"/>
      <protection locked="0"/>
    </xf>
    <xf numFmtId="0" fontId="13" fillId="0" borderId="23" xfId="0" applyNumberFormat="1" applyFont="1" applyBorder="1" applyAlignment="1" applyProtection="1">
      <alignment horizontal="center" vertical="center"/>
      <protection locked="0"/>
    </xf>
    <xf numFmtId="10" fontId="51" fillId="5" borderId="8" xfId="0" applyNumberFormat="1" applyFont="1" applyFill="1" applyBorder="1" applyAlignment="1" applyProtection="1">
      <alignment horizontal="center" vertical="center"/>
      <protection locked="0"/>
    </xf>
    <xf numFmtId="179" fontId="13" fillId="0" borderId="13" xfId="0" applyNumberFormat="1" applyFont="1" applyBorder="1" applyAlignment="1" applyProtection="1">
      <alignment horizontal="center" vertical="center"/>
      <protection locked="0"/>
    </xf>
    <xf numFmtId="179" fontId="13" fillId="0" borderId="14" xfId="0" applyNumberFormat="1" applyFont="1" applyBorder="1" applyAlignment="1" applyProtection="1">
      <alignment horizontal="center" vertical="center"/>
      <protection locked="0"/>
    </xf>
    <xf numFmtId="179" fontId="13" fillId="0" borderId="24" xfId="0" applyNumberFormat="1" applyFont="1" applyBorder="1" applyAlignment="1" applyProtection="1">
      <alignment horizontal="center" vertical="center"/>
      <protection locked="0"/>
    </xf>
    <xf numFmtId="179" fontId="13" fillId="0" borderId="25" xfId="0" applyNumberFormat="1" applyFont="1" applyBorder="1" applyAlignment="1" applyProtection="1">
      <alignment horizontal="center" vertical="center"/>
      <protection locked="0"/>
    </xf>
    <xf numFmtId="179" fontId="13" fillId="0" borderId="26" xfId="0" applyNumberFormat="1" applyFont="1" applyBorder="1" applyAlignment="1" applyProtection="1">
      <alignment horizontal="center" vertical="center"/>
      <protection locked="0"/>
    </xf>
    <xf numFmtId="179" fontId="13" fillId="0" borderId="27" xfId="0" applyNumberFormat="1" applyFont="1" applyBorder="1" applyAlignment="1" applyProtection="1">
      <alignment horizontal="center" vertical="center"/>
      <protection locked="0"/>
    </xf>
    <xf numFmtId="179" fontId="13" fillId="0" borderId="28" xfId="0" applyNumberFormat="1" applyFont="1" applyBorder="1" applyAlignment="1" applyProtection="1">
      <alignment horizontal="center" vertical="center"/>
      <protection locked="0"/>
    </xf>
    <xf numFmtId="179" fontId="13" fillId="0" borderId="29" xfId="0" applyNumberFormat="1" applyFont="1" applyBorder="1" applyAlignment="1" applyProtection="1">
      <alignment horizontal="center" vertical="center"/>
      <protection locked="0"/>
    </xf>
    <xf numFmtId="179" fontId="13" fillId="0" borderId="30" xfId="0" applyNumberFormat="1" applyFont="1" applyBorder="1" applyAlignment="1" applyProtection="1">
      <alignment horizontal="center" vertical="center"/>
      <protection locked="0"/>
    </xf>
    <xf numFmtId="179" fontId="13" fillId="0" borderId="19" xfId="0" applyNumberFormat="1" applyFont="1" applyBorder="1" applyAlignment="1" applyProtection="1">
      <alignment horizontal="center" vertical="center"/>
      <protection locked="0"/>
    </xf>
    <xf numFmtId="179" fontId="13" fillId="0" borderId="4" xfId="0" applyNumberFormat="1" applyFont="1" applyBorder="1" applyAlignment="1" applyProtection="1">
      <alignment horizontal="center" vertical="center"/>
      <protection locked="0"/>
    </xf>
    <xf numFmtId="179" fontId="13" fillId="0" borderId="20" xfId="0" applyNumberFormat="1" applyFont="1" applyBorder="1" applyAlignment="1" applyProtection="1">
      <alignment horizontal="center" vertical="center"/>
      <protection locked="0"/>
    </xf>
    <xf numFmtId="190" fontId="4" fillId="0" borderId="7" xfId="0" applyNumberFormat="1" applyFont="1" applyBorder="1" applyAlignment="1" applyProtection="1">
      <alignment horizontal="center" vertical="center"/>
      <protection hidden="1"/>
    </xf>
    <xf numFmtId="190" fontId="4" fillId="0" borderId="12" xfId="0" applyNumberFormat="1" applyFont="1" applyBorder="1" applyAlignment="1" applyProtection="1">
      <alignment horizontal="center" vertical="center"/>
      <protection hidden="1"/>
    </xf>
    <xf numFmtId="185" fontId="11" fillId="6" borderId="31" xfId="0" applyNumberFormat="1" applyFont="1" applyFill="1" applyBorder="1" applyAlignment="1" applyProtection="1">
      <alignment horizontal="right" vertical="center"/>
      <protection hidden="1"/>
    </xf>
    <xf numFmtId="185" fontId="11" fillId="6" borderId="32" xfId="0" applyNumberFormat="1" applyFont="1" applyFill="1" applyBorder="1" applyAlignment="1" applyProtection="1">
      <alignment horizontal="right" vertical="center"/>
      <protection hidden="1"/>
    </xf>
    <xf numFmtId="185" fontId="11" fillId="6" borderId="23" xfId="0" applyNumberFormat="1" applyFont="1" applyFill="1" applyBorder="1" applyAlignment="1" applyProtection="1">
      <alignment horizontal="right" vertical="center"/>
      <protection hidden="1"/>
    </xf>
    <xf numFmtId="0" fontId="52" fillId="6" borderId="33" xfId="0" applyFont="1" applyFill="1" applyBorder="1" applyAlignment="1" applyProtection="1">
      <alignment horizontal="center" vertical="center" shrinkToFit="1"/>
      <protection hidden="1"/>
    </xf>
    <xf numFmtId="0" fontId="52" fillId="6" borderId="5" xfId="0" applyNumberFormat="1" applyFont="1" applyFill="1" applyBorder="1" applyAlignment="1" applyProtection="1">
      <alignment horizontal="center" vertical="center"/>
      <protection hidden="1"/>
    </xf>
    <xf numFmtId="0" fontId="52" fillId="6" borderId="4" xfId="0" applyNumberFormat="1" applyFont="1" applyFill="1" applyBorder="1" applyAlignment="1" applyProtection="1">
      <alignment horizontal="center" vertical="center"/>
      <protection hidden="1"/>
    </xf>
    <xf numFmtId="0" fontId="52" fillId="6" borderId="20" xfId="0" applyNumberFormat="1" applyFont="1" applyFill="1" applyBorder="1" applyAlignment="1" applyProtection="1">
      <alignment horizontal="center" vertical="center"/>
      <protection hidden="1"/>
    </xf>
    <xf numFmtId="0" fontId="0" fillId="0" borderId="34" xfId="0" applyBorder="1"/>
    <xf numFmtId="0" fontId="0" fillId="0" borderId="34" xfId="0" applyBorder="1" applyProtection="1">
      <protection locked="0"/>
    </xf>
    <xf numFmtId="0" fontId="52" fillId="6" borderId="35" xfId="0" applyFont="1" applyFill="1" applyBorder="1" applyAlignment="1" applyProtection="1">
      <alignment horizontal="center" vertical="center" wrapText="1"/>
    </xf>
    <xf numFmtId="0" fontId="52" fillId="6" borderId="36" xfId="0" applyFont="1" applyFill="1" applyBorder="1" applyAlignment="1" applyProtection="1">
      <alignment horizontal="center" vertical="center"/>
    </xf>
    <xf numFmtId="0" fontId="52" fillId="0" borderId="37" xfId="0" applyFont="1" applyFill="1" applyBorder="1" applyAlignment="1" applyProtection="1">
      <alignment vertical="center"/>
    </xf>
    <xf numFmtId="0" fontId="52" fillId="0" borderId="36" xfId="0" applyFont="1" applyFill="1" applyBorder="1" applyAlignment="1" applyProtection="1">
      <alignment vertical="center"/>
    </xf>
    <xf numFmtId="0" fontId="17" fillId="0" borderId="0" xfId="0" applyFont="1"/>
    <xf numFmtId="0" fontId="4" fillId="0" borderId="38" xfId="0" applyFont="1" applyBorder="1" applyAlignment="1" applyProtection="1">
      <alignment horizontal="center" vertical="center"/>
    </xf>
    <xf numFmtId="44" fontId="0" fillId="0" borderId="0" xfId="0" applyNumberFormat="1"/>
    <xf numFmtId="0" fontId="4" fillId="0" borderId="8" xfId="0" applyNumberFormat="1" applyFont="1" applyBorder="1" applyAlignment="1" applyProtection="1">
      <alignment horizontal="center" vertical="center"/>
    </xf>
    <xf numFmtId="0" fontId="4" fillId="0" borderId="8" xfId="0" applyFont="1" applyBorder="1" applyAlignment="1" applyProtection="1">
      <alignment horizontal="center" vertical="center"/>
    </xf>
    <xf numFmtId="0" fontId="0" fillId="0" borderId="0" xfId="0" applyProtection="1"/>
    <xf numFmtId="0" fontId="0" fillId="0" borderId="34" xfId="0" applyBorder="1" applyProtection="1"/>
    <xf numFmtId="0" fontId="7" fillId="2" borderId="10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9" fillId="0" borderId="0" xfId="0" applyFont="1" applyBorder="1" applyAlignment="1" applyProtection="1">
      <alignment horizontal="center" vertical="center"/>
      <protection hidden="1"/>
    </xf>
    <xf numFmtId="0" fontId="4" fillId="0" borderId="18" xfId="0" applyFont="1" applyBorder="1" applyAlignment="1" applyProtection="1">
      <alignment horizontal="center" vertical="center"/>
      <protection hidden="1"/>
    </xf>
    <xf numFmtId="176" fontId="4" fillId="0" borderId="6" xfId="0" applyNumberFormat="1" applyFont="1" applyBorder="1" applyAlignment="1" applyProtection="1">
      <alignment horizontal="center" vertical="center"/>
      <protection hidden="1"/>
    </xf>
    <xf numFmtId="176" fontId="4" fillId="0" borderId="7" xfId="0" applyNumberFormat="1" applyFont="1" applyBorder="1" applyAlignment="1" applyProtection="1">
      <alignment horizontal="center" vertical="center"/>
      <protection hidden="1"/>
    </xf>
    <xf numFmtId="176" fontId="7" fillId="0" borderId="12" xfId="0" applyNumberFormat="1" applyFont="1" applyBorder="1" applyAlignment="1" applyProtection="1">
      <alignment horizontal="center" vertical="center"/>
      <protection hidden="1"/>
    </xf>
    <xf numFmtId="176" fontId="7" fillId="2" borderId="40" xfId="0" applyNumberFormat="1" applyFont="1" applyFill="1" applyBorder="1" applyAlignment="1" applyProtection="1">
      <alignment horizontal="center" vertical="center"/>
      <protection hidden="1"/>
    </xf>
    <xf numFmtId="176" fontId="7" fillId="2" borderId="41" xfId="0" applyNumberFormat="1" applyFont="1" applyFill="1" applyBorder="1" applyAlignment="1" applyProtection="1">
      <alignment horizontal="center" vertical="center"/>
      <protection hidden="1"/>
    </xf>
    <xf numFmtId="176" fontId="52" fillId="6" borderId="42" xfId="0" applyNumberFormat="1" applyFont="1" applyFill="1" applyBorder="1" applyAlignment="1" applyProtection="1">
      <alignment horizontal="center" vertical="center"/>
      <protection hidden="1"/>
    </xf>
    <xf numFmtId="176" fontId="52" fillId="6" borderId="42" xfId="0" applyNumberFormat="1" applyFont="1" applyFill="1" applyBorder="1" applyAlignment="1" applyProtection="1">
      <alignment horizontal="center" vertical="center" shrinkToFit="1"/>
      <protection hidden="1"/>
    </xf>
    <xf numFmtId="2" fontId="4" fillId="0" borderId="8" xfId="0" applyNumberFormat="1" applyFont="1" applyBorder="1" applyAlignment="1" applyProtection="1">
      <alignment horizontal="center" vertical="center"/>
      <protection locked="0"/>
    </xf>
    <xf numFmtId="2" fontId="6" fillId="0" borderId="8" xfId="0" applyNumberFormat="1" applyFont="1" applyBorder="1" applyAlignment="1" applyProtection="1">
      <alignment horizontal="center" vertical="center"/>
      <protection locked="0"/>
    </xf>
    <xf numFmtId="0" fontId="52" fillId="7" borderId="43" xfId="0" applyFont="1" applyFill="1" applyBorder="1" applyAlignment="1">
      <alignment horizontal="center" vertical="center"/>
    </xf>
    <xf numFmtId="44" fontId="7" fillId="2" borderId="44" xfId="0" applyNumberFormat="1" applyFont="1" applyFill="1" applyBorder="1" applyAlignment="1" applyProtection="1">
      <alignment horizontal="center" vertical="center"/>
      <protection hidden="1"/>
    </xf>
    <xf numFmtId="44" fontId="7" fillId="2" borderId="45" xfId="0" applyNumberFormat="1" applyFont="1" applyFill="1" applyBorder="1" applyAlignment="1" applyProtection="1">
      <alignment horizontal="center" vertical="center"/>
      <protection locked="0"/>
    </xf>
    <xf numFmtId="0" fontId="53" fillId="0" borderId="0" xfId="0" applyNumberFormat="1" applyFont="1" applyFill="1" applyBorder="1" applyAlignment="1" applyProtection="1">
      <alignment vertical="center"/>
      <protection hidden="1"/>
    </xf>
    <xf numFmtId="176" fontId="20" fillId="2" borderId="40" xfId="0" applyNumberFormat="1" applyFont="1" applyFill="1" applyBorder="1" applyAlignment="1" applyProtection="1">
      <alignment horizontal="center" vertical="center"/>
      <protection hidden="1"/>
    </xf>
    <xf numFmtId="186" fontId="7" fillId="0" borderId="6" xfId="0" applyNumberFormat="1" applyFont="1" applyBorder="1" applyAlignment="1" applyProtection="1">
      <alignment horizontal="center" vertical="center"/>
      <protection hidden="1"/>
    </xf>
    <xf numFmtId="190" fontId="7" fillId="0" borderId="12" xfId="0" applyNumberFormat="1" applyFont="1" applyBorder="1" applyAlignment="1" applyProtection="1">
      <alignment horizontal="center" vertical="center"/>
      <protection hidden="1"/>
    </xf>
    <xf numFmtId="14" fontId="3" fillId="0" borderId="6" xfId="0" applyNumberFormat="1" applyFont="1" applyBorder="1" applyAlignment="1" applyProtection="1">
      <alignment horizontal="center" vertical="center"/>
      <protection hidden="1"/>
    </xf>
    <xf numFmtId="0" fontId="54" fillId="0" borderId="42" xfId="0" applyFont="1" applyBorder="1" applyAlignment="1" applyProtection="1">
      <alignment horizontal="center" vertical="center"/>
      <protection locked="0"/>
    </xf>
    <xf numFmtId="0" fontId="2" fillId="0" borderId="0" xfId="0" applyFont="1" applyProtection="1"/>
    <xf numFmtId="0" fontId="4" fillId="0" borderId="0" xfId="0" applyFont="1" applyProtection="1"/>
    <xf numFmtId="0" fontId="0" fillId="0" borderId="0" xfId="0" applyNumberFormat="1"/>
    <xf numFmtId="0" fontId="13" fillId="0" borderId="0" xfId="0" applyFont="1" applyBorder="1" applyAlignment="1" applyProtection="1">
      <alignment vertical="center" wrapText="1"/>
      <protection hidden="1"/>
    </xf>
    <xf numFmtId="0" fontId="0" fillId="0" borderId="0" xfId="0" applyAlignment="1" applyProtection="1">
      <alignment vertical="center"/>
      <protection locked="0"/>
    </xf>
    <xf numFmtId="44" fontId="4" fillId="0" borderId="7" xfId="0" applyNumberFormat="1" applyFont="1" applyBorder="1" applyAlignment="1" applyProtection="1">
      <alignment horizontal="center" vertical="center"/>
      <protection locked="0"/>
    </xf>
    <xf numFmtId="0" fontId="55" fillId="6" borderId="30" xfId="0" applyFont="1" applyFill="1" applyBorder="1" applyAlignment="1" applyProtection="1">
      <alignment horizontal="center" vertical="center"/>
    </xf>
    <xf numFmtId="0" fontId="55" fillId="6" borderId="20" xfId="0" applyFont="1" applyFill="1" applyBorder="1" applyAlignment="1" applyProtection="1">
      <alignment horizontal="center" vertical="center"/>
    </xf>
    <xf numFmtId="0" fontId="55" fillId="6" borderId="28" xfId="0" applyFont="1" applyFill="1" applyBorder="1" applyAlignment="1" applyProtection="1">
      <alignment horizontal="center" vertical="center"/>
    </xf>
    <xf numFmtId="0" fontId="55" fillId="6" borderId="13" xfId="0" applyFont="1" applyFill="1" applyBorder="1" applyAlignment="1" applyProtection="1">
      <alignment horizontal="center" vertical="center"/>
    </xf>
    <xf numFmtId="0" fontId="55" fillId="6" borderId="25" xfId="0" applyFont="1" applyFill="1" applyBorder="1" applyAlignment="1" applyProtection="1">
      <alignment horizontal="center" vertical="center"/>
    </xf>
    <xf numFmtId="0" fontId="55" fillId="6" borderId="19" xfId="0" applyFont="1" applyFill="1" applyBorder="1" applyAlignment="1" applyProtection="1">
      <alignment horizontal="center" vertical="center"/>
    </xf>
    <xf numFmtId="0" fontId="51" fillId="0" borderId="19" xfId="0" applyNumberFormat="1" applyFont="1" applyBorder="1" applyAlignment="1" applyProtection="1">
      <alignment horizontal="center" vertical="center"/>
      <protection locked="0"/>
    </xf>
    <xf numFmtId="0" fontId="51" fillId="0" borderId="4" xfId="0" applyNumberFormat="1" applyFont="1" applyBorder="1" applyAlignment="1" applyProtection="1">
      <alignment horizontal="center" vertical="center"/>
      <protection locked="0"/>
    </xf>
    <xf numFmtId="0" fontId="51" fillId="0" borderId="20" xfId="0" applyNumberFormat="1" applyFont="1" applyBorder="1" applyAlignment="1" applyProtection="1">
      <alignment horizontal="center" vertical="center"/>
      <protection locked="0"/>
    </xf>
    <xf numFmtId="0" fontId="52" fillId="6" borderId="46" xfId="0" applyFont="1" applyFill="1" applyBorder="1" applyAlignment="1">
      <alignment horizontal="center" vertical="center"/>
    </xf>
    <xf numFmtId="0" fontId="52" fillId="6" borderId="47" xfId="0" applyFont="1" applyFill="1" applyBorder="1" applyAlignment="1">
      <alignment horizontal="center" vertical="center"/>
    </xf>
    <xf numFmtId="179" fontId="13" fillId="3" borderId="29" xfId="0" applyNumberFormat="1" applyFont="1" applyFill="1" applyBorder="1" applyAlignment="1" applyProtection="1">
      <alignment horizontal="center" vertical="center"/>
      <protection locked="0"/>
    </xf>
    <xf numFmtId="179" fontId="13" fillId="3" borderId="14" xfId="0" applyNumberFormat="1" applyFont="1" applyFill="1" applyBorder="1" applyAlignment="1" applyProtection="1">
      <alignment horizontal="center" vertical="center"/>
      <protection locked="0"/>
    </xf>
    <xf numFmtId="179" fontId="13" fillId="3" borderId="26" xfId="0" applyNumberFormat="1" applyFont="1" applyFill="1" applyBorder="1" applyAlignment="1" applyProtection="1">
      <alignment horizontal="center" vertical="center"/>
      <protection locked="0"/>
    </xf>
    <xf numFmtId="179" fontId="13" fillId="3" borderId="4" xfId="0" applyNumberFormat="1" applyFont="1" applyFill="1" applyBorder="1" applyAlignment="1" applyProtection="1">
      <alignment horizontal="center" vertical="center"/>
      <protection locked="0"/>
    </xf>
    <xf numFmtId="0" fontId="13" fillId="3" borderId="22" xfId="0" applyNumberFormat="1" applyFont="1" applyFill="1" applyBorder="1" applyAlignment="1" applyProtection="1">
      <alignment horizontal="center" vertical="center"/>
      <protection locked="0"/>
    </xf>
    <xf numFmtId="0" fontId="5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11" fillId="6" borderId="8" xfId="0" applyFont="1" applyFill="1" applyBorder="1" applyAlignment="1" applyProtection="1">
      <alignment horizontal="center" vertical="center"/>
      <protection hidden="1"/>
    </xf>
    <xf numFmtId="0" fontId="52" fillId="0" borderId="48" xfId="0" applyFont="1" applyFill="1" applyBorder="1" applyAlignment="1" applyProtection="1">
      <alignment vertical="center" wrapText="1"/>
    </xf>
    <xf numFmtId="0" fontId="52" fillId="0" borderId="49" xfId="0" applyFont="1" applyFill="1" applyBorder="1" applyAlignment="1" applyProtection="1">
      <alignment vertical="center"/>
    </xf>
    <xf numFmtId="0" fontId="56" fillId="0" borderId="0" xfId="0" applyFont="1" applyAlignment="1">
      <alignment shrinkToFit="1"/>
    </xf>
    <xf numFmtId="0" fontId="0" fillId="0" borderId="0" xfId="0" applyNumberFormat="1" applyAlignment="1">
      <alignment horizontal="left"/>
    </xf>
    <xf numFmtId="176" fontId="51" fillId="8" borderId="50" xfId="0" applyNumberFormat="1" applyFont="1" applyFill="1" applyBorder="1" applyAlignment="1" applyProtection="1">
      <alignment horizontal="center" vertical="center"/>
      <protection locked="0"/>
    </xf>
    <xf numFmtId="0" fontId="57" fillId="6" borderId="51" xfId="0" applyFont="1" applyFill="1" applyBorder="1" applyAlignment="1" applyProtection="1">
      <alignment horizontal="center" vertical="center"/>
    </xf>
    <xf numFmtId="10" fontId="50" fillId="9" borderId="8" xfId="0" applyNumberFormat="1" applyFont="1" applyFill="1" applyBorder="1" applyAlignment="1" applyProtection="1">
      <alignment horizontal="center" vertical="center"/>
      <protection locked="0"/>
    </xf>
    <xf numFmtId="49" fontId="57" fillId="3" borderId="52" xfId="0" applyNumberFormat="1" applyFont="1" applyFill="1" applyBorder="1" applyAlignment="1" applyProtection="1">
      <alignment horizontal="center" vertical="center"/>
      <protection locked="0"/>
    </xf>
    <xf numFmtId="49" fontId="58" fillId="3" borderId="53" xfId="0" applyNumberFormat="1" applyFont="1" applyFill="1" applyBorder="1" applyAlignment="1" applyProtection="1">
      <alignment horizontal="center" vertical="center" wrapText="1"/>
      <protection locked="0"/>
    </xf>
    <xf numFmtId="183" fontId="13" fillId="10" borderId="35" xfId="0" applyNumberFormat="1" applyFont="1" applyFill="1" applyBorder="1" applyAlignment="1" applyProtection="1">
      <alignment horizontal="center" vertical="center"/>
      <protection locked="0"/>
    </xf>
    <xf numFmtId="176" fontId="51" fillId="0" borderId="22" xfId="3" applyNumberFormat="1" applyFont="1" applyFill="1" applyBorder="1" applyAlignment="1" applyProtection="1">
      <alignment horizontal="center" vertical="center"/>
      <protection locked="0"/>
    </xf>
    <xf numFmtId="176" fontId="51" fillId="3" borderId="22" xfId="3" applyNumberFormat="1" applyFont="1" applyFill="1" applyBorder="1" applyAlignment="1" applyProtection="1">
      <alignment horizontal="center" vertical="center"/>
      <protection locked="0"/>
    </xf>
    <xf numFmtId="176" fontId="13" fillId="3" borderId="22" xfId="0" applyNumberFormat="1" applyFont="1" applyFill="1" applyBorder="1" applyAlignment="1" applyProtection="1">
      <alignment horizontal="center" vertical="center"/>
      <protection locked="0"/>
    </xf>
    <xf numFmtId="0" fontId="52" fillId="0" borderId="54" xfId="0" applyFont="1" applyFill="1" applyBorder="1" applyAlignment="1" applyProtection="1">
      <alignment horizontal="center" vertical="center"/>
    </xf>
    <xf numFmtId="0" fontId="52" fillId="0" borderId="55" xfId="0" applyFont="1" applyFill="1" applyBorder="1" applyAlignment="1" applyProtection="1">
      <alignment horizontal="center" vertical="center"/>
    </xf>
    <xf numFmtId="183" fontId="51" fillId="0" borderId="55" xfId="0" applyNumberFormat="1" applyFont="1" applyFill="1" applyBorder="1" applyAlignment="1" applyProtection="1">
      <alignment horizontal="center" vertical="center"/>
      <protection locked="0"/>
    </xf>
    <xf numFmtId="0" fontId="13" fillId="0" borderId="55" xfId="0" applyFont="1" applyFill="1" applyBorder="1" applyAlignment="1" applyProtection="1">
      <alignment horizontal="center" vertical="center"/>
      <protection locked="0"/>
    </xf>
    <xf numFmtId="0" fontId="0" fillId="0" borderId="56" xfId="0" applyBorder="1" applyProtection="1">
      <protection locked="0"/>
    </xf>
    <xf numFmtId="0" fontId="0" fillId="0" borderId="0" xfId="0" applyBorder="1" applyProtection="1"/>
    <xf numFmtId="186" fontId="4" fillId="0" borderId="57" xfId="0" applyNumberFormat="1" applyFont="1" applyBorder="1" applyAlignment="1" applyProtection="1">
      <alignment horizontal="center" vertical="center"/>
      <protection locked="0"/>
    </xf>
    <xf numFmtId="173" fontId="52" fillId="3" borderId="4" xfId="0" applyNumberFormat="1" applyFont="1" applyFill="1" applyBorder="1" applyAlignment="1">
      <alignment horizontal="center" vertical="center"/>
    </xf>
    <xf numFmtId="173" fontId="52" fillId="0" borderId="4" xfId="0" applyNumberFormat="1" applyFont="1" applyFill="1" applyBorder="1" applyAlignment="1">
      <alignment horizontal="center" vertical="center"/>
    </xf>
    <xf numFmtId="173" fontId="52" fillId="3" borderId="19" xfId="0" applyNumberFormat="1" applyFont="1" applyFill="1" applyBorder="1" applyAlignment="1">
      <alignment horizontal="center" vertical="center"/>
    </xf>
    <xf numFmtId="0" fontId="0" fillId="0" borderId="0" xfId="0" applyFill="1"/>
    <xf numFmtId="0" fontId="52" fillId="0" borderId="0" xfId="0" applyNumberFormat="1" applyFont="1" applyFill="1" applyBorder="1" applyAlignment="1" applyProtection="1">
      <protection hidden="1"/>
    </xf>
    <xf numFmtId="0" fontId="52" fillId="0" borderId="0" xfId="0" applyNumberFormat="1" applyFont="1" applyFill="1" applyBorder="1" applyAlignment="1" applyProtection="1">
      <alignment horizontal="left" vertical="center"/>
      <protection hidden="1"/>
    </xf>
    <xf numFmtId="0" fontId="59" fillId="0" borderId="0" xfId="0" applyFont="1" applyFill="1" applyBorder="1" applyAlignment="1">
      <alignment horizontal="center" vertical="center"/>
    </xf>
    <xf numFmtId="0" fontId="12" fillId="0" borderId="0" xfId="0" applyFont="1" applyBorder="1" applyAlignment="1" applyProtection="1">
      <protection hidden="1"/>
    </xf>
    <xf numFmtId="0" fontId="0" fillId="0" borderId="0" xfId="0" applyBorder="1" applyAlignment="1" applyProtection="1">
      <alignment vertical="center"/>
      <protection hidden="1"/>
    </xf>
    <xf numFmtId="0" fontId="50" fillId="0" borderId="55" xfId="0" applyFont="1" applyFill="1" applyBorder="1" applyAlignment="1" applyProtection="1">
      <alignment vertical="center"/>
      <protection locked="0"/>
    </xf>
    <xf numFmtId="0" fontId="57" fillId="6" borderId="51" xfId="0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Alignment="1">
      <alignment vertical="center"/>
    </xf>
    <xf numFmtId="1" fontId="50" fillId="0" borderId="38" xfId="3" applyNumberFormat="1" applyFont="1" applyFill="1" applyBorder="1" applyAlignment="1" applyProtection="1">
      <alignment horizontal="center" vertical="center"/>
      <protection locked="0"/>
    </xf>
    <xf numFmtId="1" fontId="50" fillId="3" borderId="38" xfId="3" applyNumberFormat="1" applyFont="1" applyFill="1" applyBorder="1" applyAlignment="1" applyProtection="1">
      <alignment horizontal="center" vertical="center"/>
      <protection locked="0"/>
    </xf>
    <xf numFmtId="170" fontId="50" fillId="0" borderId="38" xfId="3" applyFont="1" applyFill="1" applyBorder="1" applyAlignment="1" applyProtection="1">
      <alignment horizontal="center" vertical="center"/>
      <protection locked="0"/>
    </xf>
    <xf numFmtId="170" fontId="50" fillId="3" borderId="38" xfId="3" applyFont="1" applyFill="1" applyBorder="1" applyAlignment="1" applyProtection="1">
      <alignment horizontal="center" vertical="center"/>
      <protection locked="0"/>
    </xf>
    <xf numFmtId="2" fontId="52" fillId="7" borderId="58" xfId="0" applyNumberFormat="1" applyFont="1" applyFill="1" applyBorder="1" applyAlignment="1">
      <alignment horizontal="center" vertical="center"/>
    </xf>
    <xf numFmtId="2" fontId="4" fillId="0" borderId="9" xfId="0" applyNumberFormat="1" applyFont="1" applyBorder="1" applyAlignment="1" applyProtection="1">
      <alignment horizontal="center" vertical="center"/>
    </xf>
    <xf numFmtId="0" fontId="13" fillId="3" borderId="4" xfId="0" applyNumberFormat="1" applyFont="1" applyFill="1" applyBorder="1" applyAlignment="1" applyProtection="1">
      <alignment horizontal="center" vertical="center"/>
      <protection locked="0"/>
    </xf>
    <xf numFmtId="2" fontId="4" fillId="0" borderId="14" xfId="0" applyNumberFormat="1" applyFont="1" applyFill="1" applyBorder="1" applyAlignment="1" applyProtection="1">
      <alignment horizontal="center" vertical="center"/>
    </xf>
    <xf numFmtId="0" fontId="53" fillId="0" borderId="0" xfId="0" applyFont="1" applyFill="1" applyBorder="1" applyAlignment="1" applyProtection="1">
      <alignment horizontal="center" vertical="center"/>
      <protection hidden="1"/>
    </xf>
    <xf numFmtId="1" fontId="60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Font="1" applyAlignment="1">
      <alignment horizontal="center"/>
    </xf>
    <xf numFmtId="170" fontId="50" fillId="11" borderId="8" xfId="3" applyFont="1" applyFill="1" applyBorder="1" applyAlignment="1" applyProtection="1">
      <alignment horizontal="center" vertical="center"/>
      <protection locked="0"/>
    </xf>
    <xf numFmtId="170" fontId="50" fillId="12" borderId="8" xfId="3" applyFont="1" applyFill="1" applyBorder="1" applyAlignment="1" applyProtection="1">
      <alignment horizontal="center" vertical="center"/>
      <protection locked="0"/>
    </xf>
    <xf numFmtId="170" fontId="50" fillId="12" borderId="38" xfId="3" applyFont="1" applyFill="1" applyBorder="1" applyAlignment="1" applyProtection="1">
      <alignment horizontal="center" vertical="center"/>
      <protection locked="0"/>
    </xf>
    <xf numFmtId="170" fontId="50" fillId="13" borderId="8" xfId="3" applyFont="1" applyFill="1" applyBorder="1" applyAlignment="1" applyProtection="1">
      <alignment horizontal="center" vertical="center"/>
      <protection locked="0"/>
    </xf>
    <xf numFmtId="170" fontId="50" fillId="13" borderId="38" xfId="3" applyFont="1" applyFill="1" applyBorder="1" applyAlignment="1" applyProtection="1">
      <alignment horizontal="center" vertical="center"/>
      <protection locked="0"/>
    </xf>
    <xf numFmtId="170" fontId="50" fillId="14" borderId="8" xfId="3" applyFont="1" applyFill="1" applyBorder="1" applyAlignment="1" applyProtection="1">
      <alignment horizontal="center" vertical="center"/>
      <protection locked="0"/>
    </xf>
    <xf numFmtId="170" fontId="50" fillId="14" borderId="38" xfId="3" applyFont="1" applyFill="1" applyBorder="1" applyAlignment="1" applyProtection="1">
      <alignment horizontal="center" vertical="center"/>
      <protection locked="0"/>
    </xf>
    <xf numFmtId="170" fontId="50" fillId="15" borderId="8" xfId="3" applyFont="1" applyFill="1" applyBorder="1" applyAlignment="1" applyProtection="1">
      <alignment horizontal="center" vertical="center"/>
      <protection locked="0"/>
    </xf>
    <xf numFmtId="170" fontId="50" fillId="15" borderId="38" xfId="3" applyFont="1" applyFill="1" applyBorder="1" applyAlignment="1" applyProtection="1">
      <alignment horizontal="center" vertical="center"/>
      <protection locked="0"/>
    </xf>
    <xf numFmtId="170" fontId="50" fillId="16" borderId="8" xfId="3" applyFont="1" applyFill="1" applyBorder="1" applyAlignment="1" applyProtection="1">
      <alignment horizontal="center" vertical="center"/>
      <protection locked="0"/>
    </xf>
    <xf numFmtId="170" fontId="50" fillId="16" borderId="38" xfId="3" applyFont="1" applyFill="1" applyBorder="1" applyAlignment="1" applyProtection="1">
      <alignment horizontal="center" vertical="center"/>
      <protection locked="0"/>
    </xf>
    <xf numFmtId="44" fontId="7" fillId="4" borderId="59" xfId="0" applyNumberFormat="1" applyFont="1" applyFill="1" applyBorder="1" applyAlignment="1" applyProtection="1">
      <alignment horizontal="center" vertical="center"/>
      <protection hidden="1"/>
    </xf>
    <xf numFmtId="49" fontId="0" fillId="0" borderId="0" xfId="0" applyNumberFormat="1"/>
    <xf numFmtId="0" fontId="0" fillId="0" borderId="0" xfId="0" applyBorder="1" applyProtection="1">
      <protection locked="0"/>
    </xf>
    <xf numFmtId="173" fontId="52" fillId="0" borderId="0" xfId="0" applyNumberFormat="1" applyFont="1" applyBorder="1" applyAlignment="1" applyProtection="1">
      <alignment vertical="center"/>
      <protection locked="0"/>
    </xf>
    <xf numFmtId="0" fontId="61" fillId="0" borderId="0" xfId="0" applyFont="1" applyFill="1" applyBorder="1" applyAlignment="1" applyProtection="1">
      <alignment vertical="center" wrapText="1"/>
      <protection locked="0"/>
    </xf>
    <xf numFmtId="0" fontId="52" fillId="0" borderId="0" xfId="0" applyFont="1" applyFill="1" applyBorder="1" applyAlignment="1" applyProtection="1">
      <alignment vertical="center"/>
      <protection locked="0"/>
    </xf>
    <xf numFmtId="0" fontId="0" fillId="0" borderId="0" xfId="0" applyNumberFormat="1" applyFont="1" applyAlignment="1">
      <alignment horizontal="center" vertical="center"/>
    </xf>
    <xf numFmtId="0" fontId="3" fillId="4" borderId="32" xfId="0" applyFont="1" applyFill="1" applyBorder="1" applyAlignment="1" applyProtection="1">
      <alignment horizontal="center" vertical="center"/>
    </xf>
    <xf numFmtId="0" fontId="3" fillId="4" borderId="60" xfId="0" applyFont="1" applyFill="1" applyBorder="1" applyAlignment="1" applyProtection="1">
      <alignment horizontal="center" vertical="center"/>
    </xf>
    <xf numFmtId="20" fontId="56" fillId="0" borderId="0" xfId="0" applyNumberFormat="1" applyFont="1" applyAlignment="1">
      <alignment shrinkToFit="1"/>
    </xf>
    <xf numFmtId="2" fontId="0" fillId="0" borderId="0" xfId="0" applyNumberFormat="1"/>
    <xf numFmtId="0" fontId="62" fillId="6" borderId="61" xfId="0" applyFont="1" applyFill="1" applyBorder="1" applyAlignment="1" applyProtection="1">
      <alignment horizontal="center" vertical="center" wrapText="1"/>
      <protection hidden="1"/>
    </xf>
    <xf numFmtId="0" fontId="63" fillId="3" borderId="10" xfId="0" applyFont="1" applyFill="1" applyBorder="1" applyAlignment="1" applyProtection="1">
      <alignment horizontal="center" vertical="center" wrapText="1"/>
      <protection hidden="1"/>
    </xf>
    <xf numFmtId="0" fontId="62" fillId="6" borderId="62" xfId="0" applyFont="1" applyFill="1" applyBorder="1" applyAlignment="1" applyProtection="1">
      <alignment horizontal="center" vertical="center" wrapText="1"/>
      <protection hidden="1"/>
    </xf>
    <xf numFmtId="0" fontId="63" fillId="0" borderId="8" xfId="0" applyNumberFormat="1" applyFont="1" applyBorder="1" applyAlignment="1" applyProtection="1">
      <alignment horizontal="center" vertical="center"/>
      <protection hidden="1"/>
    </xf>
    <xf numFmtId="0" fontId="62" fillId="6" borderId="62" xfId="0" applyFont="1" applyFill="1" applyBorder="1" applyAlignment="1" applyProtection="1">
      <alignment horizontal="center"/>
      <protection hidden="1"/>
    </xf>
    <xf numFmtId="49" fontId="63" fillId="3" borderId="8" xfId="0" applyNumberFormat="1" applyFont="1" applyFill="1" applyBorder="1" applyAlignment="1" applyProtection="1">
      <alignment horizontal="center"/>
      <protection hidden="1"/>
    </xf>
    <xf numFmtId="0" fontId="62" fillId="6" borderId="63" xfId="0" applyFont="1" applyFill="1" applyBorder="1" applyAlignment="1" applyProtection="1">
      <alignment horizontal="center"/>
      <protection hidden="1"/>
    </xf>
    <xf numFmtId="49" fontId="63" fillId="0" borderId="50" xfId="0" applyNumberFormat="1" applyFont="1" applyBorder="1" applyAlignment="1" applyProtection="1">
      <alignment horizontal="center"/>
      <protection hidden="1"/>
    </xf>
    <xf numFmtId="0" fontId="8" fillId="3" borderId="32" xfId="0" applyFont="1" applyFill="1" applyBorder="1" applyAlignment="1" applyProtection="1">
      <alignment horizontal="center" vertical="center"/>
      <protection locked="0"/>
    </xf>
    <xf numFmtId="49" fontId="52" fillId="7" borderId="64" xfId="0" applyNumberFormat="1" applyFont="1" applyFill="1" applyBorder="1" applyAlignment="1" applyProtection="1">
      <alignment horizontal="center" vertical="center"/>
    </xf>
    <xf numFmtId="176" fontId="13" fillId="8" borderId="36" xfId="0" applyNumberFormat="1" applyFont="1" applyFill="1" applyBorder="1" applyAlignment="1" applyProtection="1">
      <alignment horizontal="center" vertical="center"/>
      <protection locked="0"/>
    </xf>
    <xf numFmtId="176" fontId="13" fillId="8" borderId="65" xfId="0" applyNumberFormat="1" applyFont="1" applyFill="1" applyBorder="1" applyAlignment="1" applyProtection="1">
      <alignment horizontal="center" vertical="center"/>
      <protection locked="0"/>
    </xf>
    <xf numFmtId="176" fontId="13" fillId="8" borderId="66" xfId="0" applyNumberFormat="1" applyFont="1" applyFill="1" applyBorder="1" applyAlignment="1" applyProtection="1">
      <alignment horizontal="center" vertical="center"/>
      <protection locked="0"/>
    </xf>
    <xf numFmtId="183" fontId="52" fillId="7" borderId="66" xfId="0" applyNumberFormat="1" applyFont="1" applyFill="1" applyBorder="1" applyAlignment="1" applyProtection="1">
      <alignment horizontal="center" vertical="center"/>
    </xf>
    <xf numFmtId="0" fontId="52" fillId="7" borderId="36" xfId="0" applyFont="1" applyFill="1" applyBorder="1" applyAlignment="1" applyProtection="1">
      <alignment horizontal="center" vertical="center"/>
    </xf>
    <xf numFmtId="176" fontId="63" fillId="3" borderId="6" xfId="0" applyNumberFormat="1" applyFont="1" applyFill="1" applyBorder="1" applyAlignment="1" applyProtection="1">
      <alignment horizontal="center" vertical="center"/>
      <protection hidden="1"/>
    </xf>
    <xf numFmtId="176" fontId="63" fillId="0" borderId="7" xfId="0" applyNumberFormat="1" applyFont="1" applyBorder="1" applyAlignment="1" applyProtection="1">
      <alignment horizontal="center" vertical="center"/>
      <protection hidden="1"/>
    </xf>
    <xf numFmtId="176" fontId="63" fillId="3" borderId="7" xfId="0" applyNumberFormat="1" applyFont="1" applyFill="1" applyBorder="1" applyAlignment="1" applyProtection="1">
      <alignment horizontal="center" vertical="center"/>
      <protection hidden="1"/>
    </xf>
    <xf numFmtId="176" fontId="63" fillId="0" borderId="67" xfId="0" applyNumberFormat="1" applyFont="1" applyBorder="1" applyAlignment="1" applyProtection="1">
      <alignment horizontal="center" vertical="center"/>
      <protection hidden="1"/>
    </xf>
    <xf numFmtId="2" fontId="63" fillId="3" borderId="68" xfId="0" applyNumberFormat="1" applyFont="1" applyFill="1" applyBorder="1" applyAlignment="1" applyProtection="1">
      <alignment horizontal="center" vertical="center"/>
      <protection hidden="1"/>
    </xf>
    <xf numFmtId="2" fontId="63" fillId="0" borderId="69" xfId="0" applyNumberFormat="1" applyFont="1" applyBorder="1" applyAlignment="1" applyProtection="1">
      <alignment horizontal="center" vertical="center"/>
      <protection hidden="1"/>
    </xf>
    <xf numFmtId="2" fontId="63" fillId="3" borderId="69" xfId="0" applyNumberFormat="1" applyFont="1" applyFill="1" applyBorder="1" applyAlignment="1" applyProtection="1">
      <alignment horizontal="center" vertical="center"/>
      <protection hidden="1"/>
    </xf>
    <xf numFmtId="2" fontId="63" fillId="0" borderId="70" xfId="0" applyNumberFormat="1" applyFont="1" applyBorder="1" applyAlignment="1" applyProtection="1">
      <alignment horizontal="center" vertical="center"/>
      <protection hidden="1"/>
    </xf>
    <xf numFmtId="0" fontId="13" fillId="0" borderId="0" xfId="0" applyNumberFormat="1" applyFont="1" applyBorder="1" applyAlignment="1" applyProtection="1">
      <alignment vertical="center" wrapText="1"/>
      <protection hidden="1"/>
    </xf>
    <xf numFmtId="20" fontId="21" fillId="0" borderId="0" xfId="0" applyNumberFormat="1" applyFont="1" applyAlignment="1" applyProtection="1">
      <alignment horizontal="center" vertical="center"/>
      <protection locked="0"/>
    </xf>
    <xf numFmtId="0" fontId="5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34" xfId="0" applyNumberFormat="1" applyBorder="1" applyProtection="1"/>
    <xf numFmtId="0" fontId="0" fillId="0" borderId="0" xfId="0" applyFont="1" applyAlignment="1">
      <alignment vertical="center"/>
    </xf>
    <xf numFmtId="0" fontId="4" fillId="0" borderId="0" xfId="0" applyFont="1" applyBorder="1" applyProtection="1"/>
    <xf numFmtId="199" fontId="52" fillId="7" borderId="8" xfId="0" applyNumberFormat="1" applyFont="1" applyFill="1" applyBorder="1" applyAlignment="1" applyProtection="1">
      <alignment horizontal="center" vertical="center"/>
    </xf>
    <xf numFmtId="199" fontId="51" fillId="9" borderId="8" xfId="0" applyNumberFormat="1" applyFont="1" applyFill="1" applyBorder="1" applyAlignment="1" applyProtection="1">
      <alignment horizontal="center" vertical="center"/>
      <protection locked="0"/>
    </xf>
    <xf numFmtId="199" fontId="51" fillId="9" borderId="64" xfId="0" applyNumberFormat="1" applyFont="1" applyFill="1" applyBorder="1" applyAlignment="1" applyProtection="1">
      <alignment horizontal="center" vertical="center"/>
      <protection locked="0"/>
    </xf>
    <xf numFmtId="0" fontId="52" fillId="6" borderId="71" xfId="0" applyFont="1" applyFill="1" applyBorder="1" applyAlignment="1" applyProtection="1">
      <alignment horizontal="center" vertical="center"/>
    </xf>
    <xf numFmtId="0" fontId="0" fillId="0" borderId="0" xfId="0" applyFill="1" applyBorder="1"/>
    <xf numFmtId="0" fontId="62" fillId="0" borderId="72" xfId="0" applyFont="1" applyBorder="1" applyAlignment="1">
      <alignment horizontal="center" vertical="center"/>
    </xf>
    <xf numFmtId="14" fontId="62" fillId="0" borderId="73" xfId="0" applyNumberFormat="1" applyFont="1" applyBorder="1" applyAlignment="1">
      <alignment horizontal="center" vertical="center"/>
    </xf>
    <xf numFmtId="0" fontId="62" fillId="0" borderId="73" xfId="0" applyFont="1" applyBorder="1" applyAlignment="1">
      <alignment horizontal="center" vertical="center"/>
    </xf>
    <xf numFmtId="14" fontId="62" fillId="0" borderId="74" xfId="0" applyNumberFormat="1" applyFont="1" applyBorder="1" applyAlignment="1">
      <alignment horizontal="center" vertical="center"/>
    </xf>
    <xf numFmtId="200" fontId="52" fillId="7" borderId="58" xfId="0" applyNumberFormat="1" applyFont="1" applyFill="1" applyBorder="1" applyAlignment="1">
      <alignment horizontal="center" vertical="center"/>
    </xf>
    <xf numFmtId="0" fontId="52" fillId="5" borderId="14" xfId="0" applyFont="1" applyFill="1" applyBorder="1" applyAlignment="1" applyProtection="1">
      <alignment horizontal="center" vertical="center"/>
    </xf>
    <xf numFmtId="0" fontId="0" fillId="0" borderId="227" xfId="0" applyBorder="1"/>
    <xf numFmtId="0" fontId="0" fillId="0" borderId="227" xfId="0" applyFill="1" applyBorder="1"/>
    <xf numFmtId="14" fontId="54" fillId="6" borderId="75" xfId="0" applyNumberFormat="1" applyFont="1" applyFill="1" applyBorder="1" applyAlignment="1" applyProtection="1">
      <alignment horizontal="center" vertical="center"/>
    </xf>
    <xf numFmtId="14" fontId="54" fillId="6" borderId="34" xfId="0" applyNumberFormat="1" applyFont="1" applyFill="1" applyBorder="1" applyAlignment="1" applyProtection="1">
      <alignment horizontal="center" vertical="center"/>
    </xf>
    <xf numFmtId="49" fontId="53" fillId="6" borderId="76" xfId="0" applyNumberFormat="1" applyFont="1" applyFill="1" applyBorder="1" applyAlignment="1" applyProtection="1">
      <alignment horizontal="right" vertical="center"/>
    </xf>
    <xf numFmtId="0" fontId="62" fillId="6" borderId="77" xfId="0" applyFont="1" applyFill="1" applyBorder="1" applyAlignment="1">
      <alignment horizontal="center" vertical="center"/>
    </xf>
    <xf numFmtId="177" fontId="52" fillId="6" borderId="78" xfId="0" applyNumberFormat="1" applyFont="1" applyFill="1" applyBorder="1" applyAlignment="1" applyProtection="1">
      <alignment horizontal="center" vertical="center"/>
      <protection hidden="1"/>
    </xf>
    <xf numFmtId="0" fontId="62" fillId="6" borderId="79" xfId="0" applyFont="1" applyFill="1" applyBorder="1" applyAlignment="1">
      <alignment horizontal="center" vertical="center"/>
    </xf>
    <xf numFmtId="177" fontId="52" fillId="6" borderId="80" xfId="0" applyNumberFormat="1" applyFont="1" applyFill="1" applyBorder="1" applyAlignment="1" applyProtection="1">
      <alignment horizontal="center" vertical="center"/>
      <protection hidden="1"/>
    </xf>
    <xf numFmtId="0" fontId="62" fillId="6" borderId="81" xfId="0" applyFont="1" applyFill="1" applyBorder="1" applyAlignment="1">
      <alignment horizontal="center" vertical="center"/>
    </xf>
    <xf numFmtId="177" fontId="52" fillId="6" borderId="82" xfId="0" applyNumberFormat="1" applyFont="1" applyFill="1" applyBorder="1" applyAlignment="1" applyProtection="1">
      <alignment horizontal="center" vertical="center"/>
      <protection hidden="1"/>
    </xf>
    <xf numFmtId="186" fontId="52" fillId="17" borderId="83" xfId="0" applyNumberFormat="1" applyFont="1" applyFill="1" applyBorder="1" applyAlignment="1" applyProtection="1">
      <alignment horizontal="center" vertical="center"/>
      <protection hidden="1"/>
    </xf>
    <xf numFmtId="186" fontId="52" fillId="17" borderId="84" xfId="0" applyNumberFormat="1" applyFont="1" applyFill="1" applyBorder="1" applyAlignment="1" applyProtection="1">
      <alignment horizontal="center" vertical="center"/>
      <protection hidden="1"/>
    </xf>
    <xf numFmtId="186" fontId="52" fillId="17" borderId="85" xfId="0" applyNumberFormat="1" applyFont="1" applyFill="1" applyBorder="1" applyAlignment="1" applyProtection="1">
      <alignment horizontal="center" vertical="center"/>
      <protection hidden="1"/>
    </xf>
    <xf numFmtId="190" fontId="52" fillId="17" borderId="86" xfId="0" applyNumberFormat="1" applyFont="1" applyFill="1" applyBorder="1" applyAlignment="1" applyProtection="1">
      <alignment horizontal="center" vertical="center"/>
      <protection hidden="1"/>
    </xf>
    <xf numFmtId="0" fontId="52" fillId="6" borderId="87" xfId="0" applyFont="1" applyFill="1" applyBorder="1" applyAlignment="1" applyProtection="1">
      <alignment horizontal="center" vertical="center"/>
      <protection hidden="1"/>
    </xf>
    <xf numFmtId="0" fontId="52" fillId="6" borderId="88" xfId="0" applyFont="1" applyFill="1" applyBorder="1" applyAlignment="1" applyProtection="1">
      <alignment horizontal="center" vertical="center"/>
      <protection hidden="1"/>
    </xf>
    <xf numFmtId="176" fontId="52" fillId="6" borderId="89" xfId="0" applyNumberFormat="1" applyFont="1" applyFill="1" applyBorder="1" applyAlignment="1" applyProtection="1">
      <alignment horizontal="center" vertical="center"/>
      <protection hidden="1"/>
    </xf>
    <xf numFmtId="0" fontId="52" fillId="6" borderId="90" xfId="0" applyNumberFormat="1" applyFont="1" applyFill="1" applyBorder="1" applyAlignment="1" applyProtection="1">
      <alignment horizontal="center" vertical="center"/>
      <protection hidden="1"/>
    </xf>
    <xf numFmtId="49" fontId="22" fillId="0" borderId="91" xfId="0" applyNumberFormat="1" applyFont="1" applyBorder="1" applyAlignment="1" applyProtection="1">
      <alignment horizontal="center" vertical="center"/>
      <protection locked="0"/>
    </xf>
    <xf numFmtId="0" fontId="52" fillId="6" borderId="79" xfId="0" applyNumberFormat="1" applyFont="1" applyFill="1" applyBorder="1" applyAlignment="1" applyProtection="1">
      <alignment horizontal="center" vertical="center"/>
      <protection hidden="1"/>
    </xf>
    <xf numFmtId="49" fontId="22" fillId="3" borderId="80" xfId="0" applyNumberFormat="1" applyFont="1" applyFill="1" applyBorder="1" applyAlignment="1" applyProtection="1">
      <alignment horizontal="center" vertical="center"/>
      <protection locked="0"/>
    </xf>
    <xf numFmtId="49" fontId="22" fillId="0" borderId="80" xfId="0" applyNumberFormat="1" applyFont="1" applyBorder="1" applyAlignment="1" applyProtection="1">
      <alignment horizontal="center" vertical="center"/>
      <protection locked="0"/>
    </xf>
    <xf numFmtId="0" fontId="52" fillId="6" borderId="81" xfId="0" applyNumberFormat="1" applyFont="1" applyFill="1" applyBorder="1" applyAlignment="1" applyProtection="1">
      <alignment horizontal="center" vertical="center"/>
      <protection hidden="1"/>
    </xf>
    <xf numFmtId="49" fontId="22" fillId="0" borderId="82" xfId="0" applyNumberFormat="1" applyFont="1" applyBorder="1" applyAlignment="1" applyProtection="1">
      <alignment horizontal="center" vertical="center"/>
      <protection locked="0"/>
    </xf>
    <xf numFmtId="0" fontId="52" fillId="6" borderId="92" xfId="0" applyFont="1" applyFill="1" applyBorder="1" applyAlignment="1" applyProtection="1">
      <alignment horizontal="center" vertical="center" shrinkToFit="1"/>
      <protection hidden="1"/>
    </xf>
    <xf numFmtId="176" fontId="52" fillId="6" borderId="89" xfId="0" applyNumberFormat="1" applyFont="1" applyFill="1" applyBorder="1" applyAlignment="1" applyProtection="1">
      <alignment horizontal="center" vertical="center" shrinkToFit="1"/>
      <protection hidden="1"/>
    </xf>
    <xf numFmtId="186" fontId="52" fillId="17" borderId="93" xfId="0" applyNumberFormat="1" applyFont="1" applyFill="1" applyBorder="1" applyAlignment="1" applyProtection="1">
      <alignment horizontal="center" vertical="center"/>
      <protection hidden="1"/>
    </xf>
    <xf numFmtId="49" fontId="22" fillId="17" borderId="86" xfId="0" applyNumberFormat="1" applyFont="1" applyFill="1" applyBorder="1" applyAlignment="1" applyProtection="1">
      <alignment horizontal="center" vertical="center"/>
      <protection locked="0"/>
    </xf>
    <xf numFmtId="0" fontId="55" fillId="6" borderId="94" xfId="0" applyFont="1" applyFill="1" applyBorder="1" applyAlignment="1" applyProtection="1">
      <alignment horizontal="center" vertical="center"/>
    </xf>
    <xf numFmtId="0" fontId="55" fillId="6" borderId="27" xfId="0" applyFont="1" applyFill="1" applyBorder="1" applyAlignment="1" applyProtection="1">
      <alignment horizontal="center" vertical="center"/>
    </xf>
    <xf numFmtId="0" fontId="64" fillId="6" borderId="95" xfId="0" applyNumberFormat="1" applyFont="1" applyFill="1" applyBorder="1" applyAlignment="1" applyProtection="1">
      <alignment horizontal="left" vertical="center"/>
      <protection locked="0"/>
    </xf>
    <xf numFmtId="0" fontId="52" fillId="3" borderId="96" xfId="0" applyFont="1" applyFill="1" applyBorder="1" applyAlignment="1" applyProtection="1">
      <alignment horizontal="center" vertical="center"/>
    </xf>
    <xf numFmtId="199" fontId="65" fillId="3" borderId="97" xfId="0" applyNumberFormat="1" applyFont="1" applyFill="1" applyBorder="1" applyAlignment="1" applyProtection="1">
      <alignment horizontal="center" vertical="center"/>
    </xf>
    <xf numFmtId="0" fontId="52" fillId="0" borderId="62" xfId="0" applyFont="1" applyFill="1" applyBorder="1" applyAlignment="1" applyProtection="1">
      <alignment horizontal="center" vertical="center"/>
    </xf>
    <xf numFmtId="199" fontId="65" fillId="0" borderId="52" xfId="0" applyNumberFormat="1" applyFont="1" applyFill="1" applyBorder="1" applyAlignment="1" applyProtection="1">
      <alignment horizontal="center" vertical="center"/>
    </xf>
    <xf numFmtId="0" fontId="52" fillId="3" borderId="62" xfId="0" applyFont="1" applyFill="1" applyBorder="1" applyAlignment="1" applyProtection="1">
      <alignment horizontal="center" vertical="center"/>
    </xf>
    <xf numFmtId="199" fontId="65" fillId="3" borderId="52" xfId="0" applyNumberFormat="1" applyFont="1" applyFill="1" applyBorder="1" applyAlignment="1" applyProtection="1">
      <alignment horizontal="center" vertical="center"/>
    </xf>
    <xf numFmtId="183" fontId="55" fillId="0" borderId="52" xfId="0" applyNumberFormat="1" applyFont="1" applyFill="1" applyBorder="1" applyAlignment="1" applyProtection="1">
      <alignment horizontal="center" vertical="center"/>
    </xf>
    <xf numFmtId="183" fontId="55" fillId="3" borderId="52" xfId="0" applyNumberFormat="1" applyFont="1" applyFill="1" applyBorder="1" applyAlignment="1" applyProtection="1">
      <alignment horizontal="center" vertical="center"/>
    </xf>
    <xf numFmtId="0" fontId="62" fillId="3" borderId="62" xfId="0" applyFont="1" applyFill="1" applyBorder="1" applyAlignment="1" applyProtection="1">
      <alignment horizontal="center" vertical="center"/>
    </xf>
    <xf numFmtId="186" fontId="52" fillId="3" borderId="52" xfId="0" applyNumberFormat="1" applyFont="1" applyFill="1" applyBorder="1" applyAlignment="1" applyProtection="1">
      <alignment horizontal="center" vertical="center"/>
    </xf>
    <xf numFmtId="0" fontId="62" fillId="0" borderId="62" xfId="0" applyFont="1" applyBorder="1" applyAlignment="1" applyProtection="1">
      <alignment horizontal="center" vertical="center"/>
    </xf>
    <xf numFmtId="186" fontId="52" fillId="0" borderId="52" xfId="0" applyNumberFormat="1" applyFont="1" applyBorder="1" applyAlignment="1" applyProtection="1">
      <alignment horizontal="center" vertical="center"/>
    </xf>
    <xf numFmtId="0" fontId="62" fillId="3" borderId="63" xfId="0" applyFont="1" applyFill="1" applyBorder="1" applyAlignment="1" applyProtection="1">
      <alignment horizontal="center" vertical="center"/>
    </xf>
    <xf numFmtId="186" fontId="52" fillId="3" borderId="53" xfId="0" applyNumberFormat="1" applyFont="1" applyFill="1" applyBorder="1" applyAlignment="1" applyProtection="1">
      <alignment horizontal="center" vertical="center"/>
    </xf>
    <xf numFmtId="0" fontId="62" fillId="0" borderId="96" xfId="0" applyFont="1" applyBorder="1" applyAlignment="1" applyProtection="1">
      <alignment horizontal="center" vertical="center"/>
    </xf>
    <xf numFmtId="186" fontId="52" fillId="0" borderId="97" xfId="0" applyNumberFormat="1" applyFont="1" applyBorder="1" applyAlignment="1" applyProtection="1">
      <alignment horizontal="center" vertical="center"/>
    </xf>
    <xf numFmtId="0" fontId="52" fillId="6" borderId="98" xfId="0" applyFont="1" applyFill="1" applyBorder="1" applyAlignment="1">
      <alignment horizontal="center" vertical="center"/>
    </xf>
    <xf numFmtId="49" fontId="52" fillId="6" borderId="99" xfId="0" applyNumberFormat="1" applyFont="1" applyFill="1" applyBorder="1" applyAlignment="1">
      <alignment horizontal="center" vertical="center"/>
    </xf>
    <xf numFmtId="49" fontId="52" fillId="6" borderId="100" xfId="0" applyNumberFormat="1" applyFont="1" applyFill="1" applyBorder="1" applyAlignment="1">
      <alignment horizontal="center" vertical="center"/>
    </xf>
    <xf numFmtId="49" fontId="52" fillId="6" borderId="101" xfId="0" applyNumberFormat="1" applyFont="1" applyFill="1" applyBorder="1" applyAlignment="1">
      <alignment horizontal="center" vertical="center"/>
    </xf>
    <xf numFmtId="0" fontId="66" fillId="6" borderId="102" xfId="0" applyFont="1" applyFill="1" applyBorder="1" applyAlignment="1">
      <alignment horizontal="center" vertical="center"/>
    </xf>
    <xf numFmtId="2" fontId="52" fillId="7" borderId="103" xfId="0" applyNumberFormat="1" applyFont="1" applyFill="1" applyBorder="1" applyAlignment="1" applyProtection="1">
      <alignment horizontal="center" vertical="center"/>
      <protection locked="0"/>
    </xf>
    <xf numFmtId="0" fontId="51" fillId="0" borderId="104" xfId="0" applyNumberFormat="1" applyFont="1" applyFill="1" applyBorder="1" applyAlignment="1" applyProtection="1">
      <alignment horizontal="center" vertical="center"/>
      <protection locked="0"/>
    </xf>
    <xf numFmtId="2" fontId="52" fillId="7" borderId="105" xfId="0" applyNumberFormat="1" applyFont="1" applyFill="1" applyBorder="1" applyAlignment="1">
      <alignment horizontal="center" vertical="center"/>
    </xf>
    <xf numFmtId="0" fontId="52" fillId="5" borderId="106" xfId="0" applyFont="1" applyFill="1" applyBorder="1" applyAlignment="1" applyProtection="1">
      <alignment horizontal="center" vertical="center"/>
    </xf>
    <xf numFmtId="0" fontId="52" fillId="5" borderId="107" xfId="0" applyFont="1" applyFill="1" applyBorder="1" applyAlignment="1" applyProtection="1">
      <alignment horizontal="center" vertical="center"/>
    </xf>
    <xf numFmtId="0" fontId="51" fillId="0" borderId="108" xfId="0" applyNumberFormat="1" applyFont="1" applyFill="1" applyBorder="1" applyAlignment="1" applyProtection="1">
      <alignment horizontal="center" vertical="center"/>
      <protection locked="0"/>
    </xf>
    <xf numFmtId="0" fontId="52" fillId="7" borderId="109" xfId="0" applyFont="1" applyFill="1" applyBorder="1" applyAlignment="1">
      <alignment horizontal="center" vertical="center"/>
    </xf>
    <xf numFmtId="197" fontId="62" fillId="0" borderId="0" xfId="0" applyNumberFormat="1" applyFont="1" applyFill="1" applyBorder="1" applyAlignment="1" applyProtection="1">
      <alignment horizontal="center" vertical="center"/>
      <protection hidden="1"/>
    </xf>
    <xf numFmtId="0" fontId="62" fillId="0" borderId="0" xfId="0" applyFont="1" applyFill="1" applyBorder="1" applyAlignment="1" applyProtection="1">
      <alignment horizontal="center" vertical="center"/>
      <protection hidden="1"/>
    </xf>
    <xf numFmtId="0" fontId="55" fillId="18" borderId="110" xfId="0" applyFont="1" applyFill="1" applyBorder="1" applyAlignment="1">
      <alignment horizontal="center" vertical="center"/>
    </xf>
    <xf numFmtId="0" fontId="55" fillId="18" borderId="111" xfId="0" applyFont="1" applyFill="1" applyBorder="1" applyAlignment="1">
      <alignment horizontal="center" vertical="center"/>
    </xf>
    <xf numFmtId="0" fontId="55" fillId="5" borderId="112" xfId="0" applyFont="1" applyFill="1" applyBorder="1" applyAlignment="1">
      <alignment horizontal="center" vertical="center"/>
    </xf>
    <xf numFmtId="173" fontId="55" fillId="5" borderId="113" xfId="0" applyNumberFormat="1" applyFont="1" applyFill="1" applyBorder="1" applyAlignment="1">
      <alignment horizontal="center" vertical="center"/>
    </xf>
    <xf numFmtId="0" fontId="52" fillId="6" borderId="114" xfId="0" applyFont="1" applyFill="1" applyBorder="1" applyAlignment="1">
      <alignment horizontal="center" vertical="center"/>
    </xf>
    <xf numFmtId="0" fontId="52" fillId="6" borderId="115" xfId="0" applyFont="1" applyFill="1" applyBorder="1" applyAlignment="1">
      <alignment horizontal="center" vertical="center" shrinkToFit="1"/>
    </xf>
    <xf numFmtId="0" fontId="52" fillId="3" borderId="116" xfId="0" applyFont="1" applyFill="1" applyBorder="1" applyAlignment="1">
      <alignment horizontal="center" vertical="center"/>
    </xf>
    <xf numFmtId="0" fontId="52" fillId="0" borderId="32" xfId="0" applyFont="1" applyFill="1" applyBorder="1" applyAlignment="1">
      <alignment horizontal="center" vertical="center"/>
    </xf>
    <xf numFmtId="0" fontId="52" fillId="3" borderId="32" xfId="0" applyFont="1" applyFill="1" applyBorder="1" applyAlignment="1">
      <alignment horizontal="center" vertical="center"/>
    </xf>
    <xf numFmtId="0" fontId="52" fillId="0" borderId="32" xfId="0" applyFont="1" applyBorder="1" applyAlignment="1">
      <alignment horizontal="center" vertical="center"/>
    </xf>
    <xf numFmtId="0" fontId="52" fillId="6" borderId="117" xfId="0" applyFont="1" applyFill="1" applyBorder="1" applyAlignment="1">
      <alignment horizontal="center" vertical="center"/>
    </xf>
    <xf numFmtId="173" fontId="52" fillId="3" borderId="118" xfId="0" applyNumberFormat="1" applyFont="1" applyFill="1" applyBorder="1" applyAlignment="1">
      <alignment horizontal="center" vertical="center"/>
    </xf>
    <xf numFmtId="173" fontId="52" fillId="0" borderId="119" xfId="0" applyNumberFormat="1" applyFont="1" applyFill="1" applyBorder="1" applyAlignment="1">
      <alignment horizontal="center" vertical="center"/>
    </xf>
    <xf numFmtId="173" fontId="52" fillId="3" borderId="119" xfId="0" applyNumberFormat="1" applyFont="1" applyFill="1" applyBorder="1" applyAlignment="1">
      <alignment horizontal="center" vertical="center"/>
    </xf>
    <xf numFmtId="173" fontId="52" fillId="0" borderId="119" xfId="0" applyNumberFormat="1" applyFont="1" applyBorder="1" applyAlignment="1">
      <alignment horizontal="center" vertical="center"/>
    </xf>
    <xf numFmtId="0" fontId="55" fillId="18" borderId="120" xfId="0" applyFont="1" applyFill="1" applyBorder="1" applyAlignment="1">
      <alignment horizontal="center" vertical="center"/>
    </xf>
    <xf numFmtId="173" fontId="52" fillId="3" borderId="121" xfId="0" applyNumberFormat="1" applyFont="1" applyFill="1" applyBorder="1" applyAlignment="1">
      <alignment horizontal="center" vertical="center"/>
    </xf>
    <xf numFmtId="0" fontId="52" fillId="3" borderId="122" xfId="0" applyFont="1" applyFill="1" applyBorder="1" applyAlignment="1">
      <alignment horizontal="center" vertical="center"/>
    </xf>
    <xf numFmtId="0" fontId="55" fillId="5" borderId="123" xfId="0" applyFont="1" applyFill="1" applyBorder="1" applyAlignment="1">
      <alignment horizontal="center" vertical="center"/>
    </xf>
    <xf numFmtId="173" fontId="55" fillId="5" borderId="124" xfId="0" applyNumberFormat="1" applyFont="1" applyFill="1" applyBorder="1" applyAlignment="1">
      <alignment horizontal="center" vertical="center"/>
    </xf>
    <xf numFmtId="173" fontId="55" fillId="5" borderId="125" xfId="0" applyNumberFormat="1" applyFont="1" applyFill="1" applyBorder="1" applyAlignment="1">
      <alignment horizontal="center" vertical="center"/>
    </xf>
    <xf numFmtId="0" fontId="55" fillId="5" borderId="126" xfId="0" applyFont="1" applyFill="1" applyBorder="1" applyAlignment="1">
      <alignment horizontal="center" vertical="center"/>
    </xf>
    <xf numFmtId="0" fontId="55" fillId="5" borderId="70" xfId="0" applyFont="1" applyFill="1" applyBorder="1" applyAlignment="1">
      <alignment horizontal="center" vertical="center"/>
    </xf>
    <xf numFmtId="0" fontId="61" fillId="0" borderId="0" xfId="0" applyNumberFormat="1" applyFont="1" applyFill="1" applyBorder="1" applyAlignment="1" applyProtection="1">
      <alignment vertical="center"/>
      <protection locked="0"/>
    </xf>
    <xf numFmtId="173" fontId="51" fillId="0" borderId="0" xfId="0" applyNumberFormat="1" applyFont="1" applyFill="1" applyBorder="1" applyAlignment="1" applyProtection="1">
      <alignment vertical="center"/>
      <protection locked="0"/>
    </xf>
    <xf numFmtId="173" fontId="51" fillId="0" borderId="68" xfId="0" applyNumberFormat="1" applyFont="1" applyFill="1" applyBorder="1" applyAlignment="1" applyProtection="1">
      <alignment horizontal="center" vertical="center"/>
      <protection locked="0"/>
    </xf>
    <xf numFmtId="173" fontId="51" fillId="3" borderId="127" xfId="0" applyNumberFormat="1" applyFont="1" applyFill="1" applyBorder="1" applyAlignment="1" applyProtection="1">
      <alignment horizontal="center" vertical="center"/>
      <protection locked="0"/>
    </xf>
    <xf numFmtId="173" fontId="51" fillId="0" borderId="128" xfId="0" applyNumberFormat="1" applyFont="1" applyFill="1" applyBorder="1" applyAlignment="1" applyProtection="1">
      <alignment horizontal="center" vertical="center"/>
      <protection locked="0"/>
    </xf>
    <xf numFmtId="173" fontId="51" fillId="3" borderId="70" xfId="0" applyNumberFormat="1" applyFont="1" applyFill="1" applyBorder="1" applyAlignment="1" applyProtection="1">
      <alignment horizontal="center" vertical="center"/>
      <protection locked="0"/>
    </xf>
    <xf numFmtId="0" fontId="67" fillId="0" borderId="129" xfId="2" applyNumberFormat="1" applyFont="1" applyBorder="1" applyAlignment="1" applyProtection="1">
      <alignment horizontal="center" vertical="center"/>
      <protection locked="0"/>
    </xf>
    <xf numFmtId="0" fontId="62" fillId="6" borderId="130" xfId="0" applyFont="1" applyFill="1" applyBorder="1" applyAlignment="1" applyProtection="1">
      <alignment horizontal="center" vertical="center"/>
    </xf>
    <xf numFmtId="0" fontId="62" fillId="6" borderId="131" xfId="0" applyFont="1" applyFill="1" applyBorder="1" applyAlignment="1" applyProtection="1">
      <alignment horizontal="center" vertical="center"/>
    </xf>
    <xf numFmtId="183" fontId="55" fillId="3" borderId="97" xfId="0" applyNumberFormat="1" applyFont="1" applyFill="1" applyBorder="1" applyAlignment="1" applyProtection="1">
      <alignment horizontal="center" vertical="center"/>
    </xf>
    <xf numFmtId="0" fontId="52" fillId="6" borderId="130" xfId="0" applyFont="1" applyFill="1" applyBorder="1" applyAlignment="1" applyProtection="1">
      <alignment horizontal="center" vertical="center"/>
    </xf>
    <xf numFmtId="0" fontId="52" fillId="6" borderId="132" xfId="0" applyFont="1" applyFill="1" applyBorder="1" applyAlignment="1" applyProtection="1">
      <alignment horizontal="center" vertical="center"/>
    </xf>
    <xf numFmtId="0" fontId="52" fillId="6" borderId="133" xfId="0" applyFont="1" applyFill="1" applyBorder="1" applyAlignment="1" applyProtection="1">
      <alignment horizontal="center" vertical="center"/>
    </xf>
    <xf numFmtId="190" fontId="52" fillId="7" borderId="134" xfId="0" applyNumberFormat="1" applyFont="1" applyFill="1" applyBorder="1" applyAlignment="1" applyProtection="1">
      <alignment horizontal="center" vertical="center"/>
    </xf>
    <xf numFmtId="0" fontId="52" fillId="6" borderId="75" xfId="0" applyFont="1" applyFill="1" applyBorder="1" applyAlignment="1" applyProtection="1">
      <alignment horizontal="center" vertical="center"/>
    </xf>
    <xf numFmtId="198" fontId="52" fillId="7" borderId="135" xfId="0" applyNumberFormat="1" applyFont="1" applyFill="1" applyBorder="1" applyAlignment="1" applyProtection="1">
      <alignment horizontal="center" vertical="center"/>
    </xf>
    <xf numFmtId="199" fontId="68" fillId="17" borderId="136" xfId="0" applyNumberFormat="1" applyFont="1" applyFill="1" applyBorder="1" applyAlignment="1" applyProtection="1">
      <alignment horizontal="center" vertical="center"/>
      <protection locked="0"/>
    </xf>
    <xf numFmtId="176" fontId="51" fillId="0" borderId="137" xfId="3" applyNumberFormat="1" applyFont="1" applyFill="1" applyBorder="1" applyAlignment="1" applyProtection="1">
      <alignment horizontal="center" vertical="center"/>
      <protection locked="0"/>
    </xf>
    <xf numFmtId="0" fontId="13" fillId="0" borderId="137" xfId="0" applyNumberFormat="1" applyFont="1" applyFill="1" applyBorder="1" applyAlignment="1" applyProtection="1">
      <alignment horizontal="center" vertical="center"/>
      <protection locked="0"/>
    </xf>
    <xf numFmtId="0" fontId="13" fillId="0" borderId="21" xfId="0" quotePrefix="1" applyNumberFormat="1" applyFont="1" applyFill="1" applyBorder="1" applyAlignment="1" applyProtection="1">
      <alignment horizontal="center" vertical="center"/>
      <protection locked="0"/>
    </xf>
    <xf numFmtId="0" fontId="13" fillId="0" borderId="22" xfId="0" applyNumberFormat="1" applyFont="1" applyFill="1" applyBorder="1" applyAlignment="1" applyProtection="1">
      <alignment horizontal="center" vertical="center"/>
      <protection locked="0"/>
    </xf>
    <xf numFmtId="176" fontId="13" fillId="0" borderId="22" xfId="0" applyNumberFormat="1" applyFont="1" applyFill="1" applyBorder="1" applyAlignment="1" applyProtection="1">
      <alignment horizontal="center" vertical="center"/>
      <protection locked="0"/>
    </xf>
    <xf numFmtId="176" fontId="13" fillId="3" borderId="138" xfId="0" applyNumberFormat="1" applyFont="1" applyFill="1" applyBorder="1" applyAlignment="1" applyProtection="1">
      <alignment horizontal="center" vertical="center"/>
      <protection locked="0"/>
    </xf>
    <xf numFmtId="0" fontId="13" fillId="3" borderId="138" xfId="0" applyNumberFormat="1" applyFont="1" applyFill="1" applyBorder="1" applyAlignment="1" applyProtection="1">
      <alignment horizontal="center" vertical="center"/>
      <protection locked="0"/>
    </xf>
    <xf numFmtId="190" fontId="62" fillId="0" borderId="228" xfId="0" applyNumberFormat="1" applyFont="1" applyFill="1" applyBorder="1" applyAlignment="1" applyProtection="1">
      <alignment horizontal="center" vertical="center"/>
      <protection hidden="1"/>
    </xf>
    <xf numFmtId="198" fontId="62" fillId="0" borderId="229" xfId="0" applyNumberFormat="1" applyFont="1" applyFill="1" applyBorder="1" applyAlignment="1" applyProtection="1">
      <alignment horizontal="center" vertical="center"/>
      <protection hidden="1"/>
    </xf>
    <xf numFmtId="176" fontId="62" fillId="3" borderId="230" xfId="0" applyNumberFormat="1" applyFont="1" applyFill="1" applyBorder="1" applyAlignment="1" applyProtection="1">
      <alignment horizontal="center" vertical="center"/>
      <protection hidden="1"/>
    </xf>
    <xf numFmtId="176" fontId="62" fillId="3" borderId="231" xfId="0" applyNumberFormat="1" applyFont="1" applyFill="1" applyBorder="1" applyAlignment="1" applyProtection="1">
      <alignment horizontal="center" vertical="center"/>
      <protection hidden="1"/>
    </xf>
    <xf numFmtId="186" fontId="62" fillId="3" borderId="232" xfId="0" applyNumberFormat="1" applyFont="1" applyFill="1" applyBorder="1" applyAlignment="1" applyProtection="1">
      <alignment horizontal="center" vertical="center"/>
      <protection hidden="1"/>
    </xf>
    <xf numFmtId="176" fontId="62" fillId="3" borderId="233" xfId="0" applyNumberFormat="1" applyFont="1" applyFill="1" applyBorder="1" applyAlignment="1" applyProtection="1">
      <alignment horizontal="center" vertical="center"/>
      <protection hidden="1"/>
    </xf>
    <xf numFmtId="0" fontId="52" fillId="6" borderId="139" xfId="0" applyNumberFormat="1" applyFont="1" applyFill="1" applyBorder="1" applyAlignment="1" applyProtection="1">
      <alignment horizontal="center" vertical="center"/>
    </xf>
    <xf numFmtId="0" fontId="69" fillId="19" borderId="110" xfId="0" applyNumberFormat="1" applyFont="1" applyFill="1" applyBorder="1" applyAlignment="1" applyProtection="1">
      <alignment horizontal="center" vertical="center"/>
    </xf>
    <xf numFmtId="0" fontId="69" fillId="19" borderId="140" xfId="0" applyNumberFormat="1" applyFont="1" applyFill="1" applyBorder="1" applyAlignment="1" applyProtection="1">
      <alignment horizontal="center" vertical="center"/>
    </xf>
    <xf numFmtId="0" fontId="51" fillId="6" borderId="141" xfId="0" applyNumberFormat="1" applyFont="1" applyFill="1" applyBorder="1" applyAlignment="1" applyProtection="1">
      <alignment horizontal="center" vertical="center"/>
      <protection locked="0"/>
    </xf>
    <xf numFmtId="0" fontId="67" fillId="6" borderId="47" xfId="2" applyNumberFormat="1" applyFont="1" applyFill="1" applyBorder="1" applyAlignment="1" applyProtection="1">
      <alignment horizontal="center" vertical="center" shrinkToFit="1"/>
      <protection locked="0"/>
    </xf>
    <xf numFmtId="0" fontId="51" fillId="0" borderId="19" xfId="0" applyFont="1" applyFill="1" applyBorder="1" applyAlignment="1" applyProtection="1">
      <alignment horizontal="center" vertical="center"/>
    </xf>
    <xf numFmtId="0" fontId="51" fillId="3" borderId="142" xfId="0" applyFont="1" applyFill="1" applyBorder="1" applyAlignment="1" applyProtection="1">
      <alignment horizontal="center" vertical="center"/>
    </xf>
    <xf numFmtId="0" fontId="51" fillId="0" borderId="5" xfId="0" applyFont="1" applyFill="1" applyBorder="1" applyAlignment="1" applyProtection="1">
      <alignment horizontal="center" vertical="center"/>
    </xf>
    <xf numFmtId="0" fontId="51" fillId="3" borderId="143" xfId="0" applyFont="1" applyFill="1" applyBorder="1" applyAlignment="1" applyProtection="1">
      <alignment horizontal="center" vertical="center"/>
    </xf>
    <xf numFmtId="0" fontId="51" fillId="6" borderId="144" xfId="0" applyNumberFormat="1" applyFont="1" applyFill="1" applyBorder="1" applyAlignment="1" applyProtection="1">
      <alignment horizontal="center" vertical="center"/>
      <protection locked="0"/>
    </xf>
    <xf numFmtId="173" fontId="51" fillId="0" borderId="21" xfId="0" applyNumberFormat="1" applyFont="1" applyFill="1" applyBorder="1" applyAlignment="1" applyProtection="1">
      <alignment horizontal="center" vertical="center"/>
      <protection locked="0"/>
    </xf>
    <xf numFmtId="173" fontId="51" fillId="3" borderId="145" xfId="0" applyNumberFormat="1" applyFont="1" applyFill="1" applyBorder="1" applyAlignment="1" applyProtection="1">
      <alignment horizontal="center" vertical="center"/>
      <protection locked="0"/>
    </xf>
    <xf numFmtId="173" fontId="51" fillId="0" borderId="137" xfId="0" applyNumberFormat="1" applyFont="1" applyFill="1" applyBorder="1" applyAlignment="1" applyProtection="1">
      <alignment horizontal="center" vertical="center"/>
      <protection locked="0"/>
    </xf>
    <xf numFmtId="173" fontId="51" fillId="3" borderId="145" xfId="2" applyNumberFormat="1" applyFont="1" applyFill="1" applyBorder="1" applyAlignment="1" applyProtection="1">
      <alignment horizontal="center" vertical="center"/>
      <protection locked="0"/>
    </xf>
    <xf numFmtId="173" fontId="51" fillId="3" borderId="146" xfId="0" applyNumberFormat="1" applyFont="1" applyFill="1" applyBorder="1" applyAlignment="1" applyProtection="1">
      <alignment horizontal="center" vertical="center"/>
      <protection locked="0"/>
    </xf>
    <xf numFmtId="173" fontId="55" fillId="5" borderId="36" xfId="0" applyNumberFormat="1" applyFont="1" applyFill="1" applyBorder="1" applyAlignment="1">
      <alignment horizontal="center" vertical="center"/>
    </xf>
    <xf numFmtId="190" fontId="52" fillId="6" borderId="234" xfId="0" applyNumberFormat="1" applyFont="1" applyFill="1" applyBorder="1" applyAlignment="1" applyProtection="1">
      <alignment horizontal="center" vertical="center"/>
      <protection hidden="1"/>
    </xf>
    <xf numFmtId="200" fontId="62" fillId="3" borderId="235" xfId="0" applyNumberFormat="1" applyFont="1" applyFill="1" applyBorder="1" applyAlignment="1" applyProtection="1">
      <alignment horizontal="center" vertical="center"/>
      <protection hidden="1"/>
    </xf>
    <xf numFmtId="200" fontId="62" fillId="0" borderId="233" xfId="0" applyNumberFormat="1" applyFont="1" applyFill="1" applyBorder="1" applyAlignment="1" applyProtection="1">
      <alignment horizontal="center" vertical="center"/>
      <protection hidden="1"/>
    </xf>
    <xf numFmtId="200" fontId="62" fillId="0" borderId="236" xfId="0" applyNumberFormat="1" applyFont="1" applyFill="1" applyBorder="1" applyAlignment="1" applyProtection="1">
      <alignment horizontal="center" vertical="center"/>
      <protection hidden="1"/>
    </xf>
    <xf numFmtId="200" fontId="62" fillId="0" borderId="237" xfId="0" applyNumberFormat="1" applyFont="1" applyFill="1" applyBorder="1" applyAlignment="1" applyProtection="1">
      <alignment horizontal="center" vertical="center"/>
      <protection hidden="1"/>
    </xf>
    <xf numFmtId="200" fontId="62" fillId="0" borderId="232" xfId="0" applyNumberFormat="1" applyFont="1" applyFill="1" applyBorder="1" applyAlignment="1" applyProtection="1">
      <alignment horizontal="center" vertical="center"/>
      <protection hidden="1"/>
    </xf>
    <xf numFmtId="200" fontId="52" fillId="5" borderId="147" xfId="0" applyNumberFormat="1" applyFont="1" applyFill="1" applyBorder="1" applyAlignment="1" applyProtection="1">
      <alignment horizontal="center" vertical="center"/>
    </xf>
    <xf numFmtId="200" fontId="52" fillId="5" borderId="26" xfId="0" applyNumberFormat="1" applyFont="1" applyFill="1" applyBorder="1" applyAlignment="1" applyProtection="1">
      <alignment horizontal="center" vertical="center"/>
    </xf>
    <xf numFmtId="200" fontId="52" fillId="5" borderId="148" xfId="0" applyNumberFormat="1" applyFont="1" applyFill="1" applyBorder="1" applyAlignment="1" applyProtection="1">
      <alignment horizontal="center" vertical="center"/>
    </xf>
    <xf numFmtId="200" fontId="52" fillId="5" borderId="149" xfId="0" applyNumberFormat="1" applyFont="1" applyFill="1" applyBorder="1" applyAlignment="1" applyProtection="1">
      <alignment horizontal="center" vertical="center"/>
    </xf>
    <xf numFmtId="200" fontId="62" fillId="3" borderId="238" xfId="0" applyNumberFormat="1" applyFont="1" applyFill="1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  <protection hidden="1"/>
    </xf>
    <xf numFmtId="0" fontId="0" fillId="0" borderId="75" xfId="0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locked="0"/>
    </xf>
    <xf numFmtId="0" fontId="0" fillId="0" borderId="49" xfId="0" applyBorder="1" applyProtection="1">
      <protection hidden="1"/>
    </xf>
    <xf numFmtId="0" fontId="53" fillId="0" borderId="56" xfId="0" applyFont="1" applyFill="1" applyBorder="1" applyAlignment="1" applyProtection="1">
      <alignment horizontal="center" vertical="center"/>
      <protection hidden="1"/>
    </xf>
    <xf numFmtId="0" fontId="0" fillId="0" borderId="75" xfId="0" applyBorder="1" applyProtection="1">
      <protection hidden="1"/>
    </xf>
    <xf numFmtId="0" fontId="0" fillId="0" borderId="34" xfId="0" applyBorder="1" applyProtection="1">
      <protection hidden="1"/>
    </xf>
    <xf numFmtId="0" fontId="0" fillId="0" borderId="134" xfId="0" applyBorder="1" applyProtection="1">
      <protection hidden="1"/>
    </xf>
    <xf numFmtId="0" fontId="0" fillId="0" borderId="49" xfId="0" applyBorder="1" applyAlignment="1" applyProtection="1">
      <alignment horizontal="center" vertical="center"/>
      <protection hidden="1"/>
    </xf>
    <xf numFmtId="0" fontId="24" fillId="0" borderId="56" xfId="0" applyFont="1" applyBorder="1" applyAlignment="1" applyProtection="1">
      <alignment horizontal="center" vertical="center"/>
      <protection hidden="1"/>
    </xf>
    <xf numFmtId="0" fontId="0" fillId="0" borderId="34" xfId="0" applyBorder="1" applyAlignment="1" applyProtection="1">
      <alignment horizontal="center" vertical="center"/>
      <protection hidden="1"/>
    </xf>
    <xf numFmtId="0" fontId="0" fillId="0" borderId="134" xfId="0" applyBorder="1" applyAlignment="1" applyProtection="1">
      <alignment horizontal="center" vertical="center"/>
      <protection hidden="1"/>
    </xf>
    <xf numFmtId="170" fontId="51" fillId="5" borderId="150" xfId="0" applyNumberFormat="1" applyFont="1" applyFill="1" applyBorder="1" applyAlignment="1" applyProtection="1">
      <alignment horizontal="center" vertical="center"/>
      <protection locked="0"/>
    </xf>
    <xf numFmtId="44" fontId="52" fillId="16" borderId="129" xfId="0" applyNumberFormat="1" applyFont="1" applyFill="1" applyBorder="1" applyAlignment="1" applyProtection="1">
      <alignment horizontal="center" vertical="center"/>
      <protection hidden="1"/>
    </xf>
    <xf numFmtId="0" fontId="51" fillId="5" borderId="151" xfId="0" applyFont="1" applyFill="1" applyBorder="1" applyAlignment="1" applyProtection="1">
      <alignment horizontal="center" vertical="center"/>
      <protection locked="0"/>
    </xf>
    <xf numFmtId="44" fontId="52" fillId="11" borderId="152" xfId="0" applyNumberFormat="1" applyFont="1" applyFill="1" applyBorder="1" applyAlignment="1" applyProtection="1">
      <alignment horizontal="center" vertical="center"/>
      <protection hidden="1"/>
    </xf>
    <xf numFmtId="44" fontId="52" fillId="12" borderId="152" xfId="0" applyNumberFormat="1" applyFont="1" applyFill="1" applyBorder="1" applyAlignment="1" applyProtection="1">
      <alignment horizontal="center" vertical="center"/>
      <protection hidden="1"/>
    </xf>
    <xf numFmtId="44" fontId="52" fillId="13" borderId="152" xfId="0" applyNumberFormat="1" applyFont="1" applyFill="1" applyBorder="1" applyAlignment="1" applyProtection="1">
      <alignment horizontal="center" vertical="center"/>
      <protection hidden="1"/>
    </xf>
    <xf numFmtId="44" fontId="52" fillId="15" borderId="152" xfId="0" applyNumberFormat="1" applyFont="1" applyFill="1" applyBorder="1" applyAlignment="1" applyProtection="1">
      <alignment horizontal="center" vertical="center"/>
      <protection hidden="1"/>
    </xf>
    <xf numFmtId="44" fontId="52" fillId="14" borderId="152" xfId="0" applyNumberFormat="1" applyFont="1" applyFill="1" applyBorder="1" applyAlignment="1" applyProtection="1">
      <alignment horizontal="center" vertical="center"/>
      <protection hidden="1"/>
    </xf>
    <xf numFmtId="170" fontId="0" fillId="0" borderId="61" xfId="0" applyNumberFormat="1" applyBorder="1" applyAlignment="1">
      <alignment horizontal="center" vertical="center"/>
    </xf>
    <xf numFmtId="44" fontId="0" fillId="0" borderId="153" xfId="0" applyNumberFormat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44" fontId="0" fillId="0" borderId="52" xfId="0" applyNumberForma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44" fontId="0" fillId="0" borderId="53" xfId="0" applyNumberFormat="1" applyBorder="1" applyAlignment="1">
      <alignment horizontal="center" vertical="center"/>
    </xf>
    <xf numFmtId="1" fontId="50" fillId="0" borderId="35" xfId="3" applyNumberFormat="1" applyFont="1" applyFill="1" applyBorder="1" applyAlignment="1" applyProtection="1">
      <alignment horizontal="center" vertical="center"/>
      <protection locked="0"/>
    </xf>
    <xf numFmtId="1" fontId="50" fillId="0" borderId="37" xfId="3" applyNumberFormat="1" applyFont="1" applyFill="1" applyBorder="1" applyAlignment="1" applyProtection="1">
      <alignment horizontal="center" vertical="center"/>
      <protection locked="0"/>
    </xf>
    <xf numFmtId="1" fontId="52" fillId="5" borderId="69" xfId="3" applyNumberFormat="1" applyFont="1" applyFill="1" applyBorder="1" applyAlignment="1" applyProtection="1">
      <alignment horizontal="center" vertical="center"/>
    </xf>
    <xf numFmtId="1" fontId="52" fillId="5" borderId="154" xfId="3" applyNumberFormat="1" applyFont="1" applyFill="1" applyBorder="1" applyAlignment="1" applyProtection="1">
      <alignment horizontal="center" vertical="center"/>
    </xf>
    <xf numFmtId="1" fontId="50" fillId="0" borderId="106" xfId="3" applyNumberFormat="1" applyFont="1" applyFill="1" applyBorder="1" applyAlignment="1" applyProtection="1">
      <alignment horizontal="center" vertical="center"/>
      <protection locked="0"/>
    </xf>
    <xf numFmtId="1" fontId="50" fillId="3" borderId="14" xfId="3" applyNumberFormat="1" applyFont="1" applyFill="1" applyBorder="1" applyAlignment="1" applyProtection="1">
      <alignment horizontal="center" vertical="center"/>
      <protection locked="0"/>
    </xf>
    <xf numFmtId="1" fontId="50" fillId="0" borderId="14" xfId="3" applyNumberFormat="1" applyFont="1" applyFill="1" applyBorder="1" applyAlignment="1" applyProtection="1">
      <alignment horizontal="center" vertical="center"/>
      <protection locked="0"/>
    </xf>
    <xf numFmtId="0" fontId="68" fillId="2" borderId="111" xfId="0" applyFont="1" applyFill="1" applyBorder="1" applyAlignment="1" applyProtection="1">
      <alignment horizontal="center" vertical="center"/>
      <protection locked="0"/>
    </xf>
    <xf numFmtId="0" fontId="55" fillId="2" borderId="94" xfId="0" applyFont="1" applyFill="1" applyBorder="1" applyAlignment="1" applyProtection="1">
      <alignment horizontal="center" vertical="center"/>
      <protection hidden="1"/>
    </xf>
    <xf numFmtId="0" fontId="55" fillId="2" borderId="155" xfId="0" applyFont="1" applyFill="1" applyBorder="1" applyAlignment="1" applyProtection="1">
      <alignment horizontal="center" vertical="center"/>
      <protection hidden="1"/>
    </xf>
    <xf numFmtId="0" fontId="55" fillId="2" borderId="156" xfId="0" applyFont="1" applyFill="1" applyBorder="1" applyAlignment="1" applyProtection="1">
      <alignment horizontal="center" vertical="center"/>
      <protection hidden="1"/>
    </xf>
    <xf numFmtId="0" fontId="9" fillId="0" borderId="157" xfId="0" applyFont="1" applyBorder="1" applyAlignment="1" applyProtection="1">
      <alignment horizontal="center" vertical="center"/>
      <protection hidden="1"/>
    </xf>
    <xf numFmtId="0" fontId="9" fillId="0" borderId="158" xfId="0" applyFont="1" applyBorder="1" applyAlignment="1" applyProtection="1">
      <alignment horizontal="center" vertical="center"/>
      <protection hidden="1"/>
    </xf>
    <xf numFmtId="0" fontId="0" fillId="0" borderId="158" xfId="0" applyBorder="1" applyAlignment="1" applyProtection="1">
      <alignment horizontal="center" vertical="center"/>
      <protection hidden="1"/>
    </xf>
    <xf numFmtId="0" fontId="0" fillId="0" borderId="129" xfId="0" applyBorder="1" applyAlignment="1" applyProtection="1">
      <alignment horizontal="center" vertical="center"/>
      <protection hidden="1"/>
    </xf>
    <xf numFmtId="1" fontId="52" fillId="5" borderId="159" xfId="3" applyNumberFormat="1" applyFont="1" applyFill="1" applyBorder="1" applyAlignment="1" applyProtection="1">
      <alignment horizontal="center" vertical="center"/>
    </xf>
    <xf numFmtId="0" fontId="52" fillId="2" borderId="141" xfId="0" applyFont="1" applyFill="1" applyBorder="1" applyAlignment="1" applyProtection="1">
      <alignment horizontal="center" vertical="center"/>
      <protection hidden="1"/>
    </xf>
    <xf numFmtId="0" fontId="68" fillId="2" borderId="160" xfId="0" applyFont="1" applyFill="1" applyBorder="1" applyAlignment="1" applyProtection="1">
      <alignment horizontal="center" vertical="center"/>
      <protection locked="0"/>
    </xf>
    <xf numFmtId="0" fontId="52" fillId="2" borderId="139" xfId="0" applyFont="1" applyFill="1" applyBorder="1" applyAlignment="1" applyProtection="1">
      <alignment horizontal="center" vertical="center" wrapText="1"/>
      <protection hidden="1"/>
    </xf>
    <xf numFmtId="0" fontId="0" fillId="0" borderId="157" xfId="0" applyBorder="1" applyAlignment="1" applyProtection="1">
      <alignment horizontal="center" vertical="center"/>
      <protection hidden="1"/>
    </xf>
    <xf numFmtId="170" fontId="52" fillId="5" borderId="69" xfId="3" applyFont="1" applyFill="1" applyBorder="1" applyAlignment="1" applyProtection="1">
      <alignment horizontal="center" vertical="center"/>
    </xf>
    <xf numFmtId="170" fontId="52" fillId="5" borderId="154" xfId="3" applyFont="1" applyFill="1" applyBorder="1" applyAlignment="1" applyProtection="1">
      <alignment horizontal="center" vertical="center"/>
    </xf>
    <xf numFmtId="170" fontId="50" fillId="0" borderId="35" xfId="3" applyFont="1" applyFill="1" applyBorder="1" applyAlignment="1" applyProtection="1">
      <alignment horizontal="center" vertical="center"/>
      <protection locked="0"/>
    </xf>
    <xf numFmtId="170" fontId="50" fillId="11" borderId="35" xfId="3" applyFont="1" applyFill="1" applyBorder="1" applyAlignment="1" applyProtection="1">
      <alignment horizontal="center" vertical="center"/>
      <protection locked="0"/>
    </xf>
    <xf numFmtId="170" fontId="50" fillId="11" borderId="37" xfId="3" applyFont="1" applyFill="1" applyBorder="1" applyAlignment="1" applyProtection="1">
      <alignment horizontal="center" vertical="center"/>
      <protection locked="0"/>
    </xf>
    <xf numFmtId="170" fontId="52" fillId="5" borderId="159" xfId="3" applyFont="1" applyFill="1" applyBorder="1" applyAlignment="1" applyProtection="1">
      <alignment horizontal="center" vertical="center"/>
    </xf>
    <xf numFmtId="0" fontId="55" fillId="2" borderId="161" xfId="0" applyFont="1" applyFill="1" applyBorder="1" applyAlignment="1" applyProtection="1">
      <alignment horizontal="center" vertical="center"/>
      <protection hidden="1"/>
    </xf>
    <xf numFmtId="0" fontId="55" fillId="2" borderId="162" xfId="0" applyFont="1" applyFill="1" applyBorder="1" applyAlignment="1" applyProtection="1">
      <alignment horizontal="center" vertical="center"/>
      <protection hidden="1"/>
    </xf>
    <xf numFmtId="0" fontId="52" fillId="2" borderId="141" xfId="0" applyNumberFormat="1" applyFont="1" applyFill="1" applyBorder="1" applyAlignment="1" applyProtection="1">
      <alignment horizontal="center" vertical="center"/>
      <protection hidden="1"/>
    </xf>
    <xf numFmtId="0" fontId="55" fillId="2" borderId="163" xfId="0" applyFont="1" applyFill="1" applyBorder="1" applyAlignment="1" applyProtection="1">
      <alignment horizontal="center" vertical="center"/>
      <protection hidden="1"/>
    </xf>
    <xf numFmtId="170" fontId="50" fillId="0" borderId="106" xfId="3" applyFont="1" applyFill="1" applyBorder="1" applyAlignment="1" applyProtection="1">
      <alignment horizontal="center" vertical="center"/>
      <protection locked="0"/>
    </xf>
    <xf numFmtId="170" fontId="50" fillId="11" borderId="14" xfId="3" applyFont="1" applyFill="1" applyBorder="1" applyAlignment="1" applyProtection="1">
      <alignment horizontal="center" vertical="center"/>
      <protection locked="0"/>
    </xf>
    <xf numFmtId="170" fontId="50" fillId="12" borderId="14" xfId="3" applyFont="1" applyFill="1" applyBorder="1" applyAlignment="1" applyProtection="1">
      <alignment horizontal="center" vertical="center"/>
      <protection locked="0"/>
    </xf>
    <xf numFmtId="170" fontId="50" fillId="13" borderId="14" xfId="3" applyFont="1" applyFill="1" applyBorder="1" applyAlignment="1" applyProtection="1">
      <alignment horizontal="center" vertical="center"/>
      <protection locked="0"/>
    </xf>
    <xf numFmtId="170" fontId="50" fillId="15" borderId="14" xfId="3" applyFont="1" applyFill="1" applyBorder="1" applyAlignment="1" applyProtection="1">
      <alignment horizontal="center" vertical="center"/>
      <protection locked="0"/>
    </xf>
    <xf numFmtId="170" fontId="50" fillId="14" borderId="14" xfId="3" applyFont="1" applyFill="1" applyBorder="1" applyAlignment="1" applyProtection="1">
      <alignment horizontal="center" vertical="center"/>
      <protection locked="0"/>
    </xf>
    <xf numFmtId="0" fontId="24" fillId="0" borderId="56" xfId="0" applyFont="1" applyBorder="1" applyProtection="1">
      <protection hidden="1"/>
    </xf>
    <xf numFmtId="0" fontId="68" fillId="2" borderId="164" xfId="0" applyFont="1" applyFill="1" applyBorder="1" applyAlignment="1" applyProtection="1">
      <alignment horizontal="center" vertical="center"/>
      <protection locked="0"/>
    </xf>
    <xf numFmtId="1" fontId="50" fillId="20" borderId="24" xfId="3" applyNumberFormat="1" applyFont="1" applyFill="1" applyBorder="1" applyAlignment="1" applyProtection="1">
      <alignment horizontal="center" vertical="center"/>
      <protection locked="0"/>
    </xf>
    <xf numFmtId="1" fontId="50" fillId="20" borderId="9" xfId="3" applyNumberFormat="1" applyFont="1" applyFill="1" applyBorder="1" applyAlignment="1" applyProtection="1">
      <alignment horizontal="center" vertical="center"/>
      <protection locked="0"/>
    </xf>
    <xf numFmtId="1" fontId="50" fillId="20" borderId="12" xfId="3" applyNumberFormat="1" applyFont="1" applyFill="1" applyBorder="1" applyAlignment="1" applyProtection="1">
      <alignment horizontal="center" vertical="center"/>
      <protection locked="0"/>
    </xf>
    <xf numFmtId="170" fontId="50" fillId="16" borderId="24" xfId="3" applyFont="1" applyFill="1" applyBorder="1" applyAlignment="1" applyProtection="1">
      <alignment horizontal="center" vertical="center"/>
      <protection locked="0"/>
    </xf>
    <xf numFmtId="170" fontId="50" fillId="16" borderId="9" xfId="3" applyFont="1" applyFill="1" applyBorder="1" applyAlignment="1" applyProtection="1">
      <alignment horizontal="center" vertical="center"/>
      <protection locked="0"/>
    </xf>
    <xf numFmtId="170" fontId="50" fillId="20" borderId="9" xfId="3" applyFont="1" applyFill="1" applyBorder="1" applyAlignment="1" applyProtection="1">
      <alignment horizontal="center" vertical="center"/>
      <protection locked="0"/>
    </xf>
    <xf numFmtId="170" fontId="50" fillId="20" borderId="12" xfId="3" applyFont="1" applyFill="1" applyBorder="1" applyAlignment="1" applyProtection="1">
      <alignment horizontal="center" vertical="center"/>
      <protection locked="0"/>
    </xf>
    <xf numFmtId="170" fontId="50" fillId="0" borderId="37" xfId="3" applyFont="1" applyFill="1" applyBorder="1" applyAlignment="1" applyProtection="1">
      <alignment horizontal="center" vertical="center"/>
      <protection locked="0"/>
    </xf>
    <xf numFmtId="0" fontId="55" fillId="2" borderId="161" xfId="0" applyNumberFormat="1" applyFont="1" applyFill="1" applyBorder="1" applyAlignment="1" applyProtection="1">
      <alignment horizontal="center" vertical="center"/>
      <protection hidden="1"/>
    </xf>
    <xf numFmtId="0" fontId="55" fillId="2" borderId="162" xfId="0" applyNumberFormat="1" applyFont="1" applyFill="1" applyBorder="1" applyAlignment="1" applyProtection="1">
      <alignment horizontal="center" vertical="center"/>
      <protection hidden="1"/>
    </xf>
    <xf numFmtId="0" fontId="55" fillId="2" borderId="163" xfId="0" applyNumberFormat="1" applyFont="1" applyFill="1" applyBorder="1" applyAlignment="1" applyProtection="1">
      <alignment horizontal="center" vertical="center"/>
      <protection hidden="1"/>
    </xf>
    <xf numFmtId="170" fontId="50" fillId="3" borderId="14" xfId="3" applyFont="1" applyFill="1" applyBorder="1" applyAlignment="1" applyProtection="1">
      <alignment horizontal="center" vertical="center"/>
      <protection locked="0"/>
    </xf>
    <xf numFmtId="170" fontId="50" fillId="0" borderId="14" xfId="3" applyFont="1" applyFill="1" applyBorder="1" applyAlignment="1" applyProtection="1">
      <alignment horizontal="center" vertical="center"/>
      <protection locked="0"/>
    </xf>
    <xf numFmtId="0" fontId="68" fillId="2" borderId="160" xfId="0" applyNumberFormat="1" applyFont="1" applyFill="1" applyBorder="1" applyAlignment="1" applyProtection="1">
      <alignment horizontal="center" vertical="center"/>
      <protection locked="0"/>
    </xf>
    <xf numFmtId="0" fontId="68" fillId="2" borderId="111" xfId="0" applyNumberFormat="1" applyFont="1" applyFill="1" applyBorder="1" applyAlignment="1" applyProtection="1">
      <alignment horizontal="center" vertical="center"/>
      <protection locked="0"/>
    </xf>
    <xf numFmtId="0" fontId="68" fillId="2" borderId="164" xfId="0" applyNumberFormat="1" applyFont="1" applyFill="1" applyBorder="1" applyAlignment="1" applyProtection="1">
      <alignment horizontal="center" vertical="center"/>
      <protection locked="0"/>
    </xf>
    <xf numFmtId="170" fontId="50" fillId="20" borderId="24" xfId="3" applyFont="1" applyFill="1" applyBorder="1" applyAlignment="1" applyProtection="1">
      <alignment horizontal="center" vertical="center"/>
      <protection locked="0"/>
    </xf>
    <xf numFmtId="170" fontId="50" fillId="20" borderId="57" xfId="3" applyFont="1" applyFill="1" applyBorder="1" applyAlignment="1" applyProtection="1">
      <alignment horizontal="center" vertical="center"/>
      <protection locked="0"/>
    </xf>
    <xf numFmtId="176" fontId="52" fillId="5" borderId="159" xfId="3" applyNumberFormat="1" applyFont="1" applyFill="1" applyBorder="1" applyAlignment="1" applyProtection="1">
      <alignment horizontal="center" vertical="center"/>
    </xf>
    <xf numFmtId="176" fontId="52" fillId="5" borderId="69" xfId="3" applyNumberFormat="1" applyFont="1" applyFill="1" applyBorder="1" applyAlignment="1" applyProtection="1">
      <alignment horizontal="center" vertical="center"/>
    </xf>
    <xf numFmtId="176" fontId="52" fillId="5" borderId="154" xfId="3" applyNumberFormat="1" applyFont="1" applyFill="1" applyBorder="1" applyAlignment="1" applyProtection="1">
      <alignment horizontal="center" vertical="center"/>
    </xf>
    <xf numFmtId="10" fontId="51" fillId="8" borderId="64" xfId="0" applyNumberFormat="1" applyFont="1" applyFill="1" applyBorder="1" applyAlignment="1" applyProtection="1">
      <alignment horizontal="center" vertical="center"/>
      <protection locked="0"/>
    </xf>
    <xf numFmtId="49" fontId="57" fillId="5" borderId="165" xfId="0" applyNumberFormat="1" applyFont="1" applyFill="1" applyBorder="1" applyAlignment="1" applyProtection="1">
      <alignment horizontal="center" vertical="center"/>
      <protection locked="0"/>
    </xf>
    <xf numFmtId="176" fontId="51" fillId="8" borderId="35" xfId="0" applyNumberFormat="1" applyFont="1" applyFill="1" applyBorder="1" applyAlignment="1" applyProtection="1">
      <alignment horizontal="center" vertical="center"/>
      <protection locked="0"/>
    </xf>
    <xf numFmtId="49" fontId="58" fillId="3" borderId="97" xfId="0" applyNumberFormat="1" applyFont="1" applyFill="1" applyBorder="1" applyAlignment="1" applyProtection="1">
      <alignment horizontal="center" vertical="center" wrapText="1"/>
      <protection locked="0"/>
    </xf>
    <xf numFmtId="10" fontId="55" fillId="17" borderId="131" xfId="0" applyNumberFormat="1" applyFont="1" applyFill="1" applyBorder="1" applyAlignment="1" applyProtection="1">
      <alignment horizontal="center" vertical="center"/>
      <protection hidden="1"/>
    </xf>
    <xf numFmtId="188" fontId="55" fillId="17" borderId="53" xfId="0" applyNumberFormat="1" applyFont="1" applyFill="1" applyBorder="1" applyAlignment="1" applyProtection="1">
      <alignment horizontal="center" vertical="center"/>
      <protection hidden="1"/>
    </xf>
    <xf numFmtId="10" fontId="50" fillId="9" borderId="64" xfId="0" applyNumberFormat="1" applyFont="1" applyFill="1" applyBorder="1" applyAlignment="1" applyProtection="1">
      <alignment horizontal="center" vertical="center"/>
      <protection locked="0"/>
    </xf>
    <xf numFmtId="49" fontId="57" fillId="3" borderId="165" xfId="0" applyNumberFormat="1" applyFont="1" applyFill="1" applyBorder="1" applyAlignment="1" applyProtection="1">
      <alignment horizontal="center" vertical="center"/>
      <protection locked="0"/>
    </xf>
    <xf numFmtId="10" fontId="55" fillId="7" borderId="166" xfId="0" applyNumberFormat="1" applyFont="1" applyFill="1" applyBorder="1" applyAlignment="1" applyProtection="1">
      <alignment horizontal="center" vertical="center"/>
      <protection hidden="1"/>
    </xf>
    <xf numFmtId="44" fontId="55" fillId="7" borderId="125" xfId="0" applyNumberFormat="1" applyFont="1" applyFill="1" applyBorder="1" applyAlignment="1" applyProtection="1">
      <alignment horizontal="center" vertical="center"/>
      <protection hidden="1"/>
    </xf>
    <xf numFmtId="44" fontId="7" fillId="4" borderId="7" xfId="0" applyNumberFormat="1" applyFont="1" applyFill="1" applyBorder="1" applyAlignment="1" applyProtection="1">
      <alignment horizontal="center" vertical="center"/>
      <protection hidden="1"/>
    </xf>
    <xf numFmtId="44" fontId="4" fillId="0" borderId="7" xfId="0" applyNumberFormat="1" applyFont="1" applyBorder="1" applyAlignment="1" applyProtection="1">
      <alignment horizontal="center" vertical="center"/>
    </xf>
    <xf numFmtId="44" fontId="4" fillId="0" borderId="12" xfId="0" applyNumberFormat="1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70" fillId="0" borderId="239" xfId="0" applyFont="1" applyFill="1" applyBorder="1" applyAlignment="1" applyProtection="1">
      <alignment vertical="center" wrapText="1"/>
      <protection hidden="1"/>
    </xf>
    <xf numFmtId="176" fontId="70" fillId="0" borderId="239" xfId="0" applyNumberFormat="1" applyFont="1" applyFill="1" applyBorder="1" applyAlignment="1" applyProtection="1">
      <alignment horizontal="center" vertical="center"/>
      <protection hidden="1"/>
    </xf>
    <xf numFmtId="0" fontId="7" fillId="4" borderId="122" xfId="0" applyFont="1" applyFill="1" applyBorder="1" applyAlignment="1" applyProtection="1">
      <alignment horizontal="center" vertical="center"/>
      <protection hidden="1"/>
    </xf>
    <xf numFmtId="0" fontId="7" fillId="4" borderId="172" xfId="0" applyFont="1" applyFill="1" applyBorder="1" applyAlignment="1" applyProtection="1">
      <alignment horizontal="center" vertical="center"/>
      <protection hidden="1"/>
    </xf>
    <xf numFmtId="0" fontId="7" fillId="4" borderId="15" xfId="0" applyFont="1" applyFill="1" applyBorder="1" applyAlignment="1" applyProtection="1">
      <alignment horizontal="center" vertical="center"/>
      <protection hidden="1"/>
    </xf>
    <xf numFmtId="0" fontId="7" fillId="2" borderId="168" xfId="0" applyFont="1" applyFill="1" applyBorder="1" applyAlignment="1" applyProtection="1">
      <alignment horizontal="center" vertical="center"/>
      <protection locked="0"/>
    </xf>
    <xf numFmtId="0" fontId="7" fillId="2" borderId="169" xfId="0" applyFont="1" applyFill="1" applyBorder="1" applyAlignment="1" applyProtection="1">
      <alignment horizontal="center" vertical="center"/>
      <protection locked="0"/>
    </xf>
    <xf numFmtId="0" fontId="7" fillId="4" borderId="60" xfId="0" applyFont="1" applyFill="1" applyBorder="1" applyAlignment="1" applyProtection="1">
      <alignment horizontal="center" vertical="center"/>
      <protection hidden="1"/>
    </xf>
    <xf numFmtId="0" fontId="7" fillId="4" borderId="170" xfId="0" applyFont="1" applyFill="1" applyBorder="1" applyAlignment="1" applyProtection="1">
      <alignment horizontal="center" vertical="center"/>
      <protection hidden="1"/>
    </xf>
    <xf numFmtId="0" fontId="7" fillId="4" borderId="24" xfId="0" applyFont="1" applyFill="1" applyBorder="1" applyAlignment="1" applyProtection="1">
      <alignment horizontal="center" vertical="center"/>
      <protection hidden="1"/>
    </xf>
    <xf numFmtId="0" fontId="3" fillId="3" borderId="32" xfId="0" applyFont="1" applyFill="1" applyBorder="1" applyAlignment="1" applyProtection="1">
      <alignment horizontal="center" vertical="center"/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3" fillId="3" borderId="14" xfId="0" applyFont="1" applyFill="1" applyBorder="1" applyAlignment="1" applyProtection="1">
      <alignment horizontal="center" vertical="center"/>
      <protection hidden="1"/>
    </xf>
    <xf numFmtId="0" fontId="3" fillId="3" borderId="16" xfId="0" applyFont="1" applyFill="1" applyBorder="1" applyAlignment="1" applyProtection="1">
      <alignment horizontal="center" vertical="center"/>
      <protection hidden="1"/>
    </xf>
    <xf numFmtId="0" fontId="3" fillId="3" borderId="8" xfId="0" applyFont="1" applyFill="1" applyBorder="1" applyAlignment="1" applyProtection="1">
      <alignment horizontal="center" vertical="center"/>
      <protection hidden="1"/>
    </xf>
    <xf numFmtId="0" fontId="7" fillId="2" borderId="116" xfId="0" applyFont="1" applyFill="1" applyBorder="1" applyAlignment="1" applyProtection="1">
      <alignment horizontal="left" vertical="center"/>
      <protection hidden="1"/>
    </xf>
    <xf numFmtId="0" fontId="7" fillId="2" borderId="167" xfId="0" applyFont="1" applyFill="1" applyBorder="1" applyAlignment="1" applyProtection="1">
      <alignment horizontal="left" vertical="center"/>
      <protection hidden="1"/>
    </xf>
    <xf numFmtId="0" fontId="7" fillId="2" borderId="13" xfId="0" applyFont="1" applyFill="1" applyBorder="1" applyAlignment="1" applyProtection="1">
      <alignment horizontal="left" vertical="center"/>
      <protection hidden="1"/>
    </xf>
    <xf numFmtId="2" fontId="4" fillId="0" borderId="38" xfId="0" applyNumberFormat="1" applyFont="1" applyBorder="1" applyAlignment="1" applyProtection="1">
      <alignment horizontal="center" vertical="center"/>
      <protection hidden="1"/>
    </xf>
    <xf numFmtId="2" fontId="4" fillId="0" borderId="14" xfId="0" applyNumberFormat="1" applyFont="1" applyBorder="1" applyAlignment="1" applyProtection="1">
      <alignment horizontal="center" vertical="center"/>
      <protection hidden="1"/>
    </xf>
    <xf numFmtId="4" fontId="4" fillId="0" borderId="38" xfId="0" applyNumberFormat="1" applyFont="1" applyBorder="1" applyAlignment="1" applyProtection="1">
      <alignment horizontal="center" vertical="center"/>
      <protection hidden="1"/>
    </xf>
    <xf numFmtId="4" fontId="4" fillId="0" borderId="14" xfId="0" applyNumberFormat="1" applyFont="1" applyBorder="1" applyAlignment="1" applyProtection="1">
      <alignment horizontal="center" vertical="center"/>
      <protection hidden="1"/>
    </xf>
    <xf numFmtId="0" fontId="7" fillId="2" borderId="167" xfId="0" applyFont="1" applyFill="1" applyBorder="1" applyAlignment="1" applyProtection="1">
      <alignment horizontal="center" vertical="center"/>
      <protection hidden="1"/>
    </xf>
    <xf numFmtId="0" fontId="7" fillId="2" borderId="13" xfId="0" applyFont="1" applyFill="1" applyBorder="1" applyAlignment="1" applyProtection="1">
      <alignment horizontal="center" vertical="center"/>
      <protection hidden="1"/>
    </xf>
    <xf numFmtId="186" fontId="4" fillId="0" borderId="2" xfId="0" applyNumberFormat="1" applyFont="1" applyBorder="1" applyAlignment="1" applyProtection="1">
      <alignment horizontal="center" vertical="center"/>
      <protection hidden="1"/>
    </xf>
    <xf numFmtId="186" fontId="4" fillId="0" borderId="14" xfId="0" applyNumberFormat="1" applyFont="1" applyBorder="1" applyAlignment="1" applyProtection="1">
      <alignment horizontal="center" vertical="center"/>
      <protection hidden="1"/>
    </xf>
    <xf numFmtId="0" fontId="4" fillId="3" borderId="31" xfId="0" applyFont="1" applyFill="1" applyBorder="1" applyAlignment="1">
      <alignment horizontal="right" vertical="center"/>
    </xf>
    <xf numFmtId="0" fontId="4" fillId="3" borderId="1" xfId="0" applyFont="1" applyFill="1" applyBorder="1" applyAlignment="1">
      <alignment horizontal="right" vertical="center"/>
    </xf>
    <xf numFmtId="0" fontId="4" fillId="3" borderId="106" xfId="0" applyFont="1" applyFill="1" applyBorder="1" applyAlignment="1">
      <alignment horizontal="right" vertical="center"/>
    </xf>
    <xf numFmtId="0" fontId="7" fillId="2" borderId="168" xfId="0" applyFont="1" applyFill="1" applyBorder="1" applyAlignment="1" applyProtection="1">
      <alignment horizontal="center" vertical="center"/>
      <protection hidden="1"/>
    </xf>
    <xf numFmtId="0" fontId="7" fillId="2" borderId="169" xfId="0" applyFont="1" applyFill="1" applyBorder="1" applyAlignment="1" applyProtection="1">
      <alignment horizontal="center" vertical="center"/>
      <protection hidden="1"/>
    </xf>
    <xf numFmtId="0" fontId="7" fillId="2" borderId="41" xfId="0" applyFont="1" applyFill="1" applyBorder="1" applyAlignment="1" applyProtection="1">
      <alignment horizontal="center" vertical="center"/>
      <protection hidden="1"/>
    </xf>
    <xf numFmtId="4" fontId="3" fillId="4" borderId="38" xfId="0" applyNumberFormat="1" applyFont="1" applyFill="1" applyBorder="1" applyAlignment="1" applyProtection="1">
      <alignment horizontal="center" vertical="center"/>
      <protection hidden="1"/>
    </xf>
    <xf numFmtId="4" fontId="3" fillId="4" borderId="14" xfId="0" applyNumberFormat="1" applyFont="1" applyFill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horizontal="left" vertical="center"/>
      <protection locked="0"/>
    </xf>
    <xf numFmtId="0" fontId="2" fillId="0" borderId="18" xfId="0" applyFont="1" applyBorder="1" applyAlignment="1" applyProtection="1">
      <alignment horizontal="left" vertical="center"/>
      <protection locked="0"/>
    </xf>
    <xf numFmtId="0" fontId="7" fillId="0" borderId="115" xfId="0" applyFont="1" applyBorder="1" applyAlignment="1" applyProtection="1">
      <alignment horizontal="center" vertical="center"/>
      <protection locked="0"/>
    </xf>
    <xf numFmtId="0" fontId="7" fillId="0" borderId="47" xfId="0" applyFont="1" applyBorder="1" applyAlignment="1" applyProtection="1">
      <alignment horizontal="center" vertical="center"/>
      <protection locked="0"/>
    </xf>
    <xf numFmtId="0" fontId="7" fillId="0" borderId="42" xfId="0" applyFont="1" applyBorder="1" applyAlignment="1" applyProtection="1">
      <alignment horizontal="center" vertical="center"/>
      <protection locked="0"/>
    </xf>
    <xf numFmtId="0" fontId="7" fillId="2" borderId="168" xfId="0" applyFont="1" applyFill="1" applyBorder="1" applyAlignment="1">
      <alignment horizontal="center" vertical="center"/>
    </xf>
    <xf numFmtId="0" fontId="7" fillId="2" borderId="169" xfId="0" applyFont="1" applyFill="1" applyBorder="1" applyAlignment="1">
      <alignment horizontal="center" vertical="center"/>
    </xf>
    <xf numFmtId="0" fontId="7" fillId="2" borderId="41" xfId="0" applyFont="1" applyFill="1" applyBorder="1" applyAlignment="1">
      <alignment horizontal="center" vertical="center"/>
    </xf>
    <xf numFmtId="44" fontId="4" fillId="0" borderId="59" xfId="0" applyNumberFormat="1" applyFont="1" applyBorder="1" applyAlignment="1" applyProtection="1">
      <alignment horizontal="center" vertical="center"/>
      <protection hidden="1"/>
    </xf>
    <xf numFmtId="44" fontId="4" fillId="0" borderId="173" xfId="0" applyNumberFormat="1" applyFont="1" applyBorder="1" applyAlignment="1" applyProtection="1">
      <alignment horizontal="center" vertical="center"/>
      <protection hidden="1"/>
    </xf>
    <xf numFmtId="0" fontId="2" fillId="0" borderId="174" xfId="0" applyFont="1" applyBorder="1" applyAlignment="1" applyProtection="1">
      <alignment horizontal="left" vertical="center"/>
      <protection locked="0"/>
    </xf>
    <xf numFmtId="0" fontId="2" fillId="0" borderId="43" xfId="0" applyFont="1" applyBorder="1" applyAlignment="1" applyProtection="1">
      <alignment horizontal="left" vertical="center"/>
      <protection locked="0"/>
    </xf>
    <xf numFmtId="0" fontId="2" fillId="0" borderId="33" xfId="0" applyFont="1" applyBorder="1" applyAlignment="1" applyProtection="1">
      <alignment horizontal="left" vertical="center"/>
      <protection locked="0"/>
    </xf>
    <xf numFmtId="0" fontId="7" fillId="0" borderId="174" xfId="0" applyFont="1" applyBorder="1" applyAlignment="1" applyProtection="1">
      <alignment horizontal="left" vertical="center"/>
      <protection locked="0"/>
    </xf>
    <xf numFmtId="190" fontId="8" fillId="0" borderId="171" xfId="0" applyNumberFormat="1" applyFont="1" applyBorder="1" applyAlignment="1" applyProtection="1">
      <alignment horizontal="center" vertical="center"/>
    </xf>
    <xf numFmtId="190" fontId="8" fillId="0" borderId="15" xfId="0" applyNumberFormat="1" applyFont="1" applyBorder="1" applyAlignment="1" applyProtection="1">
      <alignment horizontal="center" vertical="center"/>
    </xf>
    <xf numFmtId="190" fontId="8" fillId="0" borderId="37" xfId="0" applyNumberFormat="1" applyFont="1" applyBorder="1" applyAlignment="1" applyProtection="1">
      <alignment horizontal="center" vertical="center"/>
    </xf>
    <xf numFmtId="190" fontId="8" fillId="0" borderId="106" xfId="0" applyNumberFormat="1" applyFont="1" applyBorder="1" applyAlignment="1" applyProtection="1">
      <alignment horizontal="center" vertical="center"/>
    </xf>
    <xf numFmtId="0" fontId="53" fillId="5" borderId="174" xfId="0" applyFont="1" applyFill="1" applyBorder="1" applyAlignment="1">
      <alignment horizontal="center" vertical="center"/>
    </xf>
    <xf numFmtId="0" fontId="53" fillId="5" borderId="43" xfId="0" applyFont="1" applyFill="1" applyBorder="1" applyAlignment="1">
      <alignment horizontal="center" vertical="center"/>
    </xf>
    <xf numFmtId="0" fontId="53" fillId="5" borderId="33" xfId="0" applyFont="1" applyFill="1" applyBorder="1" applyAlignment="1">
      <alignment horizontal="center" vertical="center"/>
    </xf>
    <xf numFmtId="187" fontId="8" fillId="0" borderId="171" xfId="0" applyNumberFormat="1" applyFont="1" applyBorder="1" applyAlignment="1" applyProtection="1">
      <alignment horizontal="center" vertical="center"/>
    </xf>
    <xf numFmtId="187" fontId="8" fillId="0" borderId="15" xfId="0" applyNumberFormat="1" applyFont="1" applyBorder="1" applyAlignment="1" applyProtection="1">
      <alignment horizontal="center" vertical="center"/>
    </xf>
    <xf numFmtId="187" fontId="8" fillId="0" borderId="37" xfId="0" applyNumberFormat="1" applyFont="1" applyBorder="1" applyAlignment="1" applyProtection="1">
      <alignment horizontal="center" vertical="center"/>
    </xf>
    <xf numFmtId="187" fontId="8" fillId="0" borderId="106" xfId="0" applyNumberFormat="1" applyFont="1" applyBorder="1" applyAlignment="1" applyProtection="1">
      <alignment horizontal="center" vertical="center"/>
    </xf>
    <xf numFmtId="2" fontId="6" fillId="0" borderId="64" xfId="0" applyNumberFormat="1" applyFont="1" applyBorder="1" applyAlignment="1" applyProtection="1">
      <alignment horizontal="center" vertical="center"/>
    </xf>
    <xf numFmtId="2" fontId="6" fillId="0" borderId="35" xfId="0" applyNumberFormat="1" applyFont="1" applyBorder="1" applyAlignment="1" applyProtection="1">
      <alignment horizontal="center" vertical="center"/>
    </xf>
    <xf numFmtId="0" fontId="4" fillId="0" borderId="57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 vertical="center"/>
      <protection locked="0"/>
    </xf>
    <xf numFmtId="2" fontId="3" fillId="0" borderId="38" xfId="0" applyNumberFormat="1" applyFont="1" applyBorder="1" applyAlignment="1" applyProtection="1">
      <alignment horizontal="center" vertical="center"/>
      <protection locked="0"/>
    </xf>
    <xf numFmtId="2" fontId="3" fillId="0" borderId="14" xfId="0" applyNumberFormat="1" applyFont="1" applyBorder="1" applyAlignment="1" applyProtection="1">
      <alignment horizontal="center" vertical="center"/>
      <protection locked="0"/>
    </xf>
    <xf numFmtId="0" fontId="3" fillId="3" borderId="60" xfId="0" applyFont="1" applyFill="1" applyBorder="1" applyAlignment="1" applyProtection="1">
      <alignment horizontal="center" vertical="center"/>
      <protection locked="0"/>
    </xf>
    <xf numFmtId="0" fontId="8" fillId="3" borderId="170" xfId="0" applyFont="1" applyFill="1" applyBorder="1" applyAlignment="1" applyProtection="1">
      <alignment horizontal="center" vertical="center"/>
      <protection locked="0"/>
    </xf>
    <xf numFmtId="0" fontId="8" fillId="3" borderId="24" xfId="0" applyFont="1" applyFill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 applyProtection="1">
      <alignment horizontal="left" vertical="center"/>
      <protection locked="0"/>
    </xf>
    <xf numFmtId="0" fontId="8" fillId="3" borderId="14" xfId="0" applyFont="1" applyFill="1" applyBorder="1" applyAlignment="1" applyProtection="1">
      <alignment horizontal="left" vertical="center"/>
      <protection locked="0"/>
    </xf>
    <xf numFmtId="186" fontId="3" fillId="0" borderId="38" xfId="0" applyNumberFormat="1" applyFont="1" applyFill="1" applyBorder="1" applyAlignment="1" applyProtection="1">
      <alignment horizontal="center" vertical="center"/>
    </xf>
    <xf numFmtId="0" fontId="3" fillId="0" borderId="14" xfId="0" applyFont="1" applyFill="1" applyBorder="1" applyAlignment="1" applyProtection="1">
      <alignment horizontal="center" vertical="center"/>
    </xf>
    <xf numFmtId="0" fontId="3" fillId="3" borderId="3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 applyProtection="1">
      <alignment horizontal="center" vertical="center"/>
    </xf>
    <xf numFmtId="0" fontId="54" fillId="4" borderId="60" xfId="0" applyFont="1" applyFill="1" applyBorder="1" applyAlignment="1" applyProtection="1">
      <alignment horizontal="center" vertical="center"/>
    </xf>
    <xf numFmtId="0" fontId="54" fillId="4" borderId="24" xfId="0" applyFont="1" applyFill="1" applyBorder="1" applyAlignment="1" applyProtection="1">
      <alignment horizontal="center" vertical="center"/>
    </xf>
    <xf numFmtId="0" fontId="3" fillId="4" borderId="60" xfId="0" applyFont="1" applyFill="1" applyBorder="1" applyAlignment="1" applyProtection="1">
      <alignment horizontal="center" vertical="center"/>
      <protection hidden="1"/>
    </xf>
    <xf numFmtId="0" fontId="3" fillId="4" borderId="24" xfId="0" applyFont="1" applyFill="1" applyBorder="1" applyAlignment="1" applyProtection="1">
      <alignment horizontal="center" vertical="center"/>
      <protection hidden="1"/>
    </xf>
    <xf numFmtId="0" fontId="20" fillId="2" borderId="168" xfId="0" applyFont="1" applyFill="1" applyBorder="1" applyAlignment="1" applyProtection="1">
      <alignment horizontal="center" vertical="center"/>
      <protection hidden="1"/>
    </xf>
    <xf numFmtId="0" fontId="20" fillId="2" borderId="169" xfId="0" applyFont="1" applyFill="1" applyBorder="1" applyAlignment="1" applyProtection="1">
      <alignment horizontal="center" vertical="center"/>
      <protection hidden="1"/>
    </xf>
    <xf numFmtId="0" fontId="20" fillId="2" borderId="41" xfId="0" applyFont="1" applyFill="1" applyBorder="1" applyAlignment="1" applyProtection="1">
      <alignment horizontal="center" vertical="center"/>
      <protection hidden="1"/>
    </xf>
    <xf numFmtId="0" fontId="7" fillId="0" borderId="43" xfId="0" applyFont="1" applyBorder="1" applyAlignment="1">
      <alignment horizontal="right" vertical="center"/>
    </xf>
    <xf numFmtId="186" fontId="4" fillId="0" borderId="38" xfId="0" applyNumberFormat="1" applyFont="1" applyBorder="1" applyAlignment="1" applyProtection="1">
      <alignment horizontal="center" vertical="center"/>
    </xf>
    <xf numFmtId="186" fontId="4" fillId="0" borderId="2" xfId="0" applyNumberFormat="1" applyFont="1" applyBorder="1" applyAlignment="1" applyProtection="1">
      <alignment horizontal="center" vertical="center"/>
    </xf>
    <xf numFmtId="0" fontId="3" fillId="4" borderId="116" xfId="0" applyFont="1" applyFill="1" applyBorder="1" applyAlignment="1" applyProtection="1">
      <alignment horizontal="center" vertical="center"/>
      <protection hidden="1"/>
    </xf>
    <xf numFmtId="0" fontId="3" fillId="4" borderId="13" xfId="0" applyFont="1" applyFill="1" applyBorder="1" applyAlignment="1" applyProtection="1">
      <alignment horizontal="center" vertical="center"/>
      <protection hidden="1"/>
    </xf>
    <xf numFmtId="0" fontId="3" fillId="4" borderId="32" xfId="0" applyFont="1" applyFill="1" applyBorder="1" applyAlignment="1" applyProtection="1">
      <alignment horizontal="center" vertical="center"/>
      <protection hidden="1"/>
    </xf>
    <xf numFmtId="0" fontId="3" fillId="4" borderId="2" xfId="0" applyFont="1" applyFill="1" applyBorder="1" applyAlignment="1" applyProtection="1">
      <alignment horizontal="center" vertical="center"/>
      <protection hidden="1"/>
    </xf>
    <xf numFmtId="0" fontId="3" fillId="4" borderId="14" xfId="0" applyFont="1" applyFill="1" applyBorder="1" applyAlignment="1" applyProtection="1">
      <alignment horizontal="center" vertical="center"/>
      <protection hidden="1"/>
    </xf>
    <xf numFmtId="0" fontId="7" fillId="2" borderId="39" xfId="0" applyFont="1" applyFill="1" applyBorder="1" applyAlignment="1">
      <alignment horizontal="center" vertical="center"/>
    </xf>
    <xf numFmtId="0" fontId="7" fillId="2" borderId="167" xfId="0" applyFont="1" applyFill="1" applyBorder="1" applyAlignment="1">
      <alignment horizontal="center" vertical="center"/>
    </xf>
    <xf numFmtId="0" fontId="7" fillId="0" borderId="0" xfId="0" applyFont="1" applyBorder="1" applyAlignment="1" applyProtection="1">
      <alignment horizontal="left" vertical="center"/>
    </xf>
    <xf numFmtId="0" fontId="7" fillId="0" borderId="0" xfId="0" applyFont="1" applyAlignment="1" applyProtection="1">
      <alignment horizontal="left" vertical="center"/>
      <protection locked="0"/>
    </xf>
    <xf numFmtId="0" fontId="14" fillId="0" borderId="0" xfId="0" applyFont="1" applyAlignment="1" applyProtection="1">
      <alignment horizontal="right" vertical="center"/>
    </xf>
    <xf numFmtId="0" fontId="3" fillId="3" borderId="122" xfId="0" applyFont="1" applyFill="1" applyBorder="1" applyAlignment="1">
      <alignment horizontal="center" vertical="center"/>
    </xf>
    <xf numFmtId="0" fontId="3" fillId="3" borderId="172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2" fontId="4" fillId="0" borderId="64" xfId="0" applyNumberFormat="1" applyFont="1" applyBorder="1" applyAlignment="1" applyProtection="1">
      <alignment horizontal="center" vertical="center"/>
    </xf>
    <xf numFmtId="2" fontId="4" fillId="0" borderId="35" xfId="0" applyNumberFormat="1" applyFont="1" applyBorder="1" applyAlignment="1" applyProtection="1">
      <alignment horizontal="center" vertical="center"/>
    </xf>
    <xf numFmtId="0" fontId="70" fillId="5" borderId="115" xfId="0" applyNumberFormat="1" applyFont="1" applyFill="1" applyBorder="1" applyAlignment="1" applyProtection="1">
      <alignment horizontal="center" vertical="center"/>
      <protection hidden="1"/>
    </xf>
    <xf numFmtId="0" fontId="70" fillId="5" borderId="47" xfId="0" applyNumberFormat="1" applyFont="1" applyFill="1" applyBorder="1" applyAlignment="1" applyProtection="1">
      <alignment horizontal="center" vertical="center"/>
      <protection hidden="1"/>
    </xf>
    <xf numFmtId="0" fontId="70" fillId="5" borderId="42" xfId="0" applyNumberFormat="1" applyFont="1" applyFill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horizontal="center" vertical="center"/>
    </xf>
    <xf numFmtId="0" fontId="7" fillId="2" borderId="39" xfId="0" applyFont="1" applyFill="1" applyBorder="1" applyAlignment="1" applyProtection="1">
      <alignment horizontal="center" vertical="center"/>
      <protection hidden="1"/>
    </xf>
    <xf numFmtId="190" fontId="3" fillId="0" borderId="171" xfId="0" applyNumberFormat="1" applyFont="1" applyBorder="1" applyAlignment="1" applyProtection="1">
      <alignment horizontal="center" vertical="center"/>
    </xf>
    <xf numFmtId="190" fontId="3" fillId="0" borderId="15" xfId="0" applyNumberFormat="1" applyFont="1" applyBorder="1" applyAlignment="1" applyProtection="1">
      <alignment horizontal="center" vertical="center"/>
    </xf>
    <xf numFmtId="190" fontId="3" fillId="0" borderId="37" xfId="0" applyNumberFormat="1" applyFont="1" applyBorder="1" applyAlignment="1" applyProtection="1">
      <alignment horizontal="center" vertical="center"/>
    </xf>
    <xf numFmtId="190" fontId="3" fillId="0" borderId="106" xfId="0" applyNumberFormat="1" applyFont="1" applyBorder="1" applyAlignment="1" applyProtection="1">
      <alignment horizontal="center" vertical="center"/>
    </xf>
    <xf numFmtId="0" fontId="8" fillId="3" borderId="172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7" fillId="2" borderId="116" xfId="0" applyFont="1" applyFill="1" applyBorder="1" applyAlignment="1" applyProtection="1">
      <alignment horizontal="left" vertical="center"/>
      <protection locked="0"/>
    </xf>
    <xf numFmtId="0" fontId="7" fillId="2" borderId="13" xfId="0" applyFont="1" applyFill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</xf>
    <xf numFmtId="0" fontId="7" fillId="2" borderId="116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4" borderId="32" xfId="0" applyFont="1" applyFill="1" applyBorder="1" applyAlignment="1" applyProtection="1">
      <alignment horizontal="center" vertical="center"/>
      <protection hidden="1"/>
    </xf>
    <xf numFmtId="0" fontId="7" fillId="4" borderId="2" xfId="0" applyFont="1" applyFill="1" applyBorder="1" applyAlignment="1" applyProtection="1">
      <alignment horizontal="center" vertical="center"/>
      <protection hidden="1"/>
    </xf>
    <xf numFmtId="0" fontId="7" fillId="4" borderId="14" xfId="0" applyFont="1" applyFill="1" applyBorder="1" applyAlignment="1" applyProtection="1">
      <alignment horizontal="center" vertical="center"/>
      <protection hidden="1"/>
    </xf>
    <xf numFmtId="186" fontId="4" fillId="0" borderId="57" xfId="0" applyNumberFormat="1" applyFont="1" applyBorder="1" applyAlignment="1" applyProtection="1">
      <alignment horizontal="center" vertical="center"/>
      <protection locked="0"/>
    </xf>
    <xf numFmtId="186" fontId="4" fillId="0" borderId="170" xfId="0" applyNumberFormat="1" applyFont="1" applyBorder="1" applyAlignment="1" applyProtection="1">
      <alignment horizontal="center" vertical="center"/>
      <protection locked="0"/>
    </xf>
    <xf numFmtId="0" fontId="3" fillId="3" borderId="3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8" fillId="3" borderId="32" xfId="0" applyFont="1" applyFill="1" applyBorder="1" applyAlignment="1" applyProtection="1">
      <alignment horizontal="center" vertical="center"/>
      <protection hidden="1"/>
    </xf>
    <xf numFmtId="0" fontId="8" fillId="3" borderId="2" xfId="0" applyFont="1" applyFill="1" applyBorder="1" applyAlignment="1" applyProtection="1">
      <alignment horizontal="center" vertical="center"/>
      <protection hidden="1"/>
    </xf>
    <xf numFmtId="0" fontId="8" fillId="3" borderId="14" xfId="0" applyFont="1" applyFill="1" applyBorder="1" applyAlignment="1" applyProtection="1">
      <alignment horizontal="center" vertical="center"/>
      <protection hidden="1"/>
    </xf>
    <xf numFmtId="0" fontId="2" fillId="0" borderId="32" xfId="0" applyFont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7" fillId="4" borderId="116" xfId="0" applyFont="1" applyFill="1" applyBorder="1" applyAlignment="1" applyProtection="1">
      <alignment horizontal="center" vertical="center"/>
      <protection hidden="1"/>
    </xf>
    <xf numFmtId="0" fontId="7" fillId="4" borderId="167" xfId="0" applyFont="1" applyFill="1" applyBorder="1" applyAlignment="1" applyProtection="1">
      <alignment horizontal="center" vertical="center"/>
      <protection hidden="1"/>
    </xf>
    <xf numFmtId="0" fontId="7" fillId="4" borderId="13" xfId="0" applyFont="1" applyFill="1" applyBorder="1" applyAlignment="1" applyProtection="1">
      <alignment horizontal="center" vertical="center"/>
      <protection hidden="1"/>
    </xf>
    <xf numFmtId="0" fontId="3" fillId="4" borderId="167" xfId="0" applyFont="1" applyFill="1" applyBorder="1" applyAlignment="1" applyProtection="1">
      <alignment horizontal="center" vertical="center"/>
      <protection hidden="1"/>
    </xf>
    <xf numFmtId="186" fontId="6" fillId="0" borderId="2" xfId="0" applyNumberFormat="1" applyFont="1" applyBorder="1" applyAlignment="1" applyProtection="1">
      <alignment horizontal="center" vertical="center"/>
      <protection hidden="1"/>
    </xf>
    <xf numFmtId="186" fontId="6" fillId="0" borderId="14" xfId="0" applyNumberFormat="1" applyFont="1" applyBorder="1" applyAlignment="1" applyProtection="1">
      <alignment horizontal="center" vertical="center"/>
      <protection hidden="1"/>
    </xf>
    <xf numFmtId="167" fontId="72" fillId="2" borderId="157" xfId="0" applyNumberFormat="1" applyFont="1" applyFill="1" applyBorder="1" applyAlignment="1" applyProtection="1">
      <alignment horizontal="center" vertical="center"/>
      <protection hidden="1"/>
    </xf>
    <xf numFmtId="167" fontId="72" fillId="2" borderId="158" xfId="0" applyNumberFormat="1" applyFont="1" applyFill="1" applyBorder="1" applyAlignment="1" applyProtection="1">
      <alignment horizontal="center" vertical="center"/>
      <protection hidden="1"/>
    </xf>
    <xf numFmtId="167" fontId="72" fillId="2" borderId="129" xfId="0" applyNumberFormat="1" applyFont="1" applyFill="1" applyBorder="1" applyAlignment="1" applyProtection="1">
      <alignment horizontal="center" vertical="center"/>
      <protection hidden="1"/>
    </xf>
    <xf numFmtId="176" fontId="58" fillId="7" borderId="181" xfId="0" applyNumberFormat="1" applyFont="1" applyFill="1" applyBorder="1" applyAlignment="1">
      <alignment horizontal="center" vertical="center"/>
    </xf>
    <xf numFmtId="176" fontId="58" fillId="7" borderId="125" xfId="0" applyNumberFormat="1" applyFont="1" applyFill="1" applyBorder="1" applyAlignment="1">
      <alignment horizontal="center" vertical="center"/>
    </xf>
    <xf numFmtId="0" fontId="71" fillId="2" borderId="54" xfId="0" applyFont="1" applyFill="1" applyBorder="1" applyAlignment="1" applyProtection="1">
      <alignment horizontal="center" vertical="center" wrapText="1"/>
      <protection hidden="1"/>
    </xf>
    <xf numFmtId="0" fontId="71" fillId="2" borderId="55" xfId="0" applyFont="1" applyFill="1" applyBorder="1" applyAlignment="1" applyProtection="1">
      <alignment horizontal="center" vertical="center" wrapText="1"/>
      <protection hidden="1"/>
    </xf>
    <xf numFmtId="0" fontId="71" fillId="2" borderId="179" xfId="0" applyFont="1" applyFill="1" applyBorder="1" applyAlignment="1" applyProtection="1">
      <alignment horizontal="center" vertical="center" wrapText="1"/>
      <protection hidden="1"/>
    </xf>
    <xf numFmtId="0" fontId="71" fillId="2" borderId="75" xfId="0" applyFont="1" applyFill="1" applyBorder="1" applyAlignment="1" applyProtection="1">
      <alignment horizontal="center" vertical="center" wrapText="1"/>
      <protection hidden="1"/>
    </xf>
    <xf numFmtId="0" fontId="71" fillId="2" borderId="34" xfId="0" applyFont="1" applyFill="1" applyBorder="1" applyAlignment="1" applyProtection="1">
      <alignment horizontal="center" vertical="center" wrapText="1"/>
      <protection hidden="1"/>
    </xf>
    <xf numFmtId="0" fontId="71" fillId="2" borderId="134" xfId="0" applyFont="1" applyFill="1" applyBorder="1" applyAlignment="1" applyProtection="1">
      <alignment horizontal="center" vertical="center" wrapText="1"/>
      <protection hidden="1"/>
    </xf>
    <xf numFmtId="0" fontId="59" fillId="2" borderId="157" xfId="0" applyFont="1" applyFill="1" applyBorder="1" applyAlignment="1" applyProtection="1">
      <alignment horizontal="center" vertical="center"/>
      <protection hidden="1"/>
    </xf>
    <xf numFmtId="0" fontId="59" fillId="2" borderId="158" xfId="0" applyFont="1" applyFill="1" applyBorder="1" applyAlignment="1" applyProtection="1">
      <alignment horizontal="center" vertical="center"/>
      <protection hidden="1"/>
    </xf>
    <xf numFmtId="0" fontId="66" fillId="2" borderId="157" xfId="0" applyFont="1" applyFill="1" applyBorder="1" applyAlignment="1" applyProtection="1">
      <alignment horizontal="center" vertical="center"/>
      <protection hidden="1"/>
    </xf>
    <xf numFmtId="0" fontId="66" fillId="2" borderId="158" xfId="0" applyFont="1" applyFill="1" applyBorder="1" applyAlignment="1" applyProtection="1">
      <alignment horizontal="center" vertical="center"/>
      <protection hidden="1"/>
    </xf>
    <xf numFmtId="176" fontId="59" fillId="2" borderId="178" xfId="3" applyNumberFormat="1" applyFont="1" applyFill="1" applyBorder="1" applyAlignment="1" applyProtection="1">
      <alignment horizontal="center" vertical="center"/>
      <protection hidden="1"/>
    </xf>
    <xf numFmtId="176" fontId="59" fillId="2" borderId="129" xfId="3" applyNumberFormat="1" applyFont="1" applyFill="1" applyBorder="1" applyAlignment="1" applyProtection="1">
      <alignment horizontal="center" vertical="center"/>
      <protection hidden="1"/>
    </xf>
    <xf numFmtId="176" fontId="73" fillId="22" borderId="178" xfId="3" applyNumberFormat="1" applyFont="1" applyFill="1" applyBorder="1" applyAlignment="1" applyProtection="1">
      <alignment horizontal="center" vertical="center"/>
      <protection hidden="1"/>
    </xf>
    <xf numFmtId="176" fontId="73" fillId="22" borderId="129" xfId="3" applyNumberFormat="1" applyFont="1" applyFill="1" applyBorder="1" applyAlignment="1" applyProtection="1">
      <alignment horizontal="center" vertical="center"/>
      <protection hidden="1"/>
    </xf>
    <xf numFmtId="0" fontId="55" fillId="5" borderId="54" xfId="0" applyFont="1" applyFill="1" applyBorder="1" applyAlignment="1">
      <alignment horizontal="center" vertical="center" wrapText="1"/>
    </xf>
    <xf numFmtId="0" fontId="55" fillId="5" borderId="179" xfId="0" applyFont="1" applyFill="1" applyBorder="1" applyAlignment="1">
      <alignment horizontal="center" vertical="center" wrapText="1"/>
    </xf>
    <xf numFmtId="0" fontId="55" fillId="5" borderId="180" xfId="0" applyFont="1" applyFill="1" applyBorder="1" applyAlignment="1">
      <alignment horizontal="center" vertical="center" wrapText="1"/>
    </xf>
    <xf numFmtId="0" fontId="55" fillId="5" borderId="36" xfId="0" applyFont="1" applyFill="1" applyBorder="1" applyAlignment="1">
      <alignment horizontal="center" vertical="center" wrapText="1"/>
    </xf>
    <xf numFmtId="0" fontId="0" fillId="0" borderId="175" xfId="0" applyBorder="1" applyAlignment="1">
      <alignment horizontal="center" vertical="center" wrapText="1"/>
    </xf>
    <xf numFmtId="0" fontId="0" fillId="0" borderId="176" xfId="0" applyBorder="1" applyAlignment="1">
      <alignment horizontal="center" vertical="center" wrapText="1"/>
    </xf>
    <xf numFmtId="0" fontId="53" fillId="5" borderId="157" xfId="0" applyFont="1" applyFill="1" applyBorder="1" applyAlignment="1" applyProtection="1">
      <alignment horizontal="center" vertical="center"/>
      <protection hidden="1"/>
    </xf>
    <xf numFmtId="0" fontId="53" fillId="5" borderId="158" xfId="0" applyFont="1" applyFill="1" applyBorder="1" applyAlignment="1" applyProtection="1">
      <alignment horizontal="center" vertical="center"/>
      <protection hidden="1"/>
    </xf>
    <xf numFmtId="0" fontId="53" fillId="5" borderId="177" xfId="0" applyFont="1" applyFill="1" applyBorder="1" applyAlignment="1" applyProtection="1">
      <alignment horizontal="center" vertical="center"/>
      <protection hidden="1"/>
    </xf>
    <xf numFmtId="1" fontId="60" fillId="21" borderId="178" xfId="0" applyNumberFormat="1" applyFont="1" applyFill="1" applyBorder="1" applyAlignment="1" applyProtection="1">
      <alignment horizontal="center" vertical="center"/>
      <protection hidden="1"/>
    </xf>
    <xf numFmtId="1" fontId="60" fillId="21" borderId="129" xfId="0" applyNumberFormat="1" applyFont="1" applyFill="1" applyBorder="1" applyAlignment="1" applyProtection="1">
      <alignment horizontal="center" vertical="center"/>
      <protection hidden="1"/>
    </xf>
    <xf numFmtId="187" fontId="58" fillId="7" borderId="181" xfId="0" applyNumberFormat="1" applyFont="1" applyFill="1" applyBorder="1" applyAlignment="1">
      <alignment horizontal="center" vertical="center"/>
    </xf>
    <xf numFmtId="187" fontId="58" fillId="7" borderId="125" xfId="0" applyNumberFormat="1" applyFont="1" applyFill="1" applyBorder="1" applyAlignment="1">
      <alignment horizontal="center" vertical="center"/>
    </xf>
    <xf numFmtId="0" fontId="52" fillId="5" borderId="100" xfId="0" applyFont="1" applyFill="1" applyBorder="1" applyAlignment="1" applyProtection="1">
      <alignment horizontal="center" vertical="center"/>
    </xf>
    <xf numFmtId="0" fontId="52" fillId="5" borderId="2" xfId="0" applyFont="1" applyFill="1" applyBorder="1" applyAlignment="1" applyProtection="1">
      <alignment horizontal="center" vertical="center"/>
    </xf>
    <xf numFmtId="0" fontId="52" fillId="5" borderId="14" xfId="0" applyFont="1" applyFill="1" applyBorder="1" applyAlignment="1" applyProtection="1">
      <alignment horizontal="center" vertical="center"/>
    </xf>
    <xf numFmtId="0" fontId="23" fillId="6" borderId="181" xfId="0" applyFont="1" applyFill="1" applyBorder="1" applyAlignment="1" applyProtection="1">
      <alignment horizontal="center" vertical="center"/>
      <protection hidden="1"/>
    </xf>
    <xf numFmtId="0" fontId="23" fillId="6" borderId="185" xfId="0" applyFont="1" applyFill="1" applyBorder="1" applyAlignment="1" applyProtection="1">
      <alignment horizontal="center" vertical="center"/>
      <protection hidden="1"/>
    </xf>
    <xf numFmtId="0" fontId="23" fillId="6" borderId="107" xfId="0" applyFont="1" applyFill="1" applyBorder="1" applyAlignment="1" applyProtection="1">
      <alignment horizontal="center" vertical="center"/>
      <protection hidden="1"/>
    </xf>
    <xf numFmtId="0" fontId="80" fillId="6" borderId="54" xfId="0" applyFont="1" applyFill="1" applyBorder="1" applyAlignment="1">
      <alignment horizontal="center" vertical="center" wrapText="1"/>
    </xf>
    <xf numFmtId="0" fontId="80" fillId="6" borderId="55" xfId="0" applyFont="1" applyFill="1" applyBorder="1" applyAlignment="1">
      <alignment horizontal="center" vertical="center" wrapText="1"/>
    </xf>
    <xf numFmtId="0" fontId="80" fillId="6" borderId="179" xfId="0" applyFont="1" applyFill="1" applyBorder="1" applyAlignment="1">
      <alignment horizontal="center" vertical="center" wrapText="1"/>
    </xf>
    <xf numFmtId="0" fontId="80" fillId="6" borderId="75" xfId="0" applyFont="1" applyFill="1" applyBorder="1" applyAlignment="1">
      <alignment horizontal="center" vertical="center" wrapText="1"/>
    </xf>
    <xf numFmtId="0" fontId="80" fillId="6" borderId="34" xfId="0" applyFont="1" applyFill="1" applyBorder="1" applyAlignment="1">
      <alignment horizontal="center" vertical="center" wrapText="1"/>
    </xf>
    <xf numFmtId="0" fontId="80" fillId="6" borderId="134" xfId="0" applyFont="1" applyFill="1" applyBorder="1" applyAlignment="1">
      <alignment horizontal="center" vertical="center" wrapText="1"/>
    </xf>
    <xf numFmtId="0" fontId="81" fillId="6" borderId="54" xfId="0" applyFont="1" applyFill="1" applyBorder="1" applyAlignment="1" applyProtection="1">
      <alignment horizontal="center" vertical="center" wrapText="1"/>
      <protection hidden="1"/>
    </xf>
    <xf numFmtId="0" fontId="81" fillId="6" borderId="55" xfId="0" applyFont="1" applyFill="1" applyBorder="1" applyAlignment="1" applyProtection="1">
      <alignment horizontal="center" vertical="center" wrapText="1"/>
      <protection hidden="1"/>
    </xf>
    <xf numFmtId="0" fontId="81" fillId="6" borderId="222" xfId="0" applyFont="1" applyFill="1" applyBorder="1" applyAlignment="1" applyProtection="1">
      <alignment horizontal="center" vertical="center" wrapText="1"/>
      <protection hidden="1"/>
    </xf>
    <xf numFmtId="0" fontId="81" fillId="6" borderId="98" xfId="0" applyFont="1" applyFill="1" applyBorder="1" applyAlignment="1" applyProtection="1">
      <alignment horizontal="center" vertical="center" wrapText="1"/>
      <protection hidden="1"/>
    </xf>
    <xf numFmtId="0" fontId="81" fillId="6" borderId="47" xfId="0" applyFont="1" applyFill="1" applyBorder="1" applyAlignment="1" applyProtection="1">
      <alignment horizontal="center" vertical="center" wrapText="1"/>
      <protection hidden="1"/>
    </xf>
    <xf numFmtId="0" fontId="81" fillId="6" borderId="42" xfId="0" applyFont="1" applyFill="1" applyBorder="1" applyAlignment="1" applyProtection="1">
      <alignment horizontal="center" vertical="center" wrapText="1"/>
      <protection hidden="1"/>
    </xf>
    <xf numFmtId="0" fontId="57" fillId="6" borderId="223" xfId="0" applyFont="1" applyFill="1" applyBorder="1" applyAlignment="1" applyProtection="1">
      <alignment horizontal="center" vertical="center" wrapText="1"/>
      <protection hidden="1"/>
    </xf>
    <xf numFmtId="0" fontId="57" fillId="6" borderId="224" xfId="0" applyFont="1" applyFill="1" applyBorder="1" applyAlignment="1" applyProtection="1">
      <alignment horizontal="center" vertical="center" wrapText="1"/>
      <protection hidden="1"/>
    </xf>
    <xf numFmtId="0" fontId="80" fillId="6" borderId="54" xfId="0" applyFont="1" applyFill="1" applyBorder="1" applyAlignment="1">
      <alignment horizontal="center" vertical="center"/>
    </xf>
    <xf numFmtId="0" fontId="80" fillId="6" borderId="55" xfId="0" applyFont="1" applyFill="1" applyBorder="1" applyAlignment="1">
      <alignment horizontal="center" vertical="center"/>
    </xf>
    <xf numFmtId="0" fontId="80" fillId="6" borderId="179" xfId="0" applyFont="1" applyFill="1" applyBorder="1" applyAlignment="1">
      <alignment horizontal="center" vertical="center"/>
    </xf>
    <xf numFmtId="0" fontId="80" fillId="6" borderId="75" xfId="0" applyFont="1" applyFill="1" applyBorder="1" applyAlignment="1">
      <alignment horizontal="center" vertical="center"/>
    </xf>
    <xf numFmtId="0" fontId="80" fillId="6" borderId="34" xfId="0" applyFont="1" applyFill="1" applyBorder="1" applyAlignment="1">
      <alignment horizontal="center" vertical="center"/>
    </xf>
    <xf numFmtId="0" fontId="80" fillId="6" borderId="134" xfId="0" applyFont="1" applyFill="1" applyBorder="1" applyAlignment="1">
      <alignment horizontal="center" vertical="center"/>
    </xf>
    <xf numFmtId="49" fontId="22" fillId="0" borderId="116" xfId="0" applyNumberFormat="1" applyFont="1" applyFill="1" applyBorder="1" applyAlignment="1" applyProtection="1">
      <alignment horizontal="center" vertical="center"/>
      <protection locked="0"/>
    </xf>
    <xf numFmtId="49" fontId="22" fillId="0" borderId="225" xfId="0" applyNumberFormat="1" applyFont="1" applyFill="1" applyBorder="1" applyAlignment="1" applyProtection="1">
      <alignment horizontal="center" vertical="center"/>
      <protection locked="0"/>
    </xf>
    <xf numFmtId="49" fontId="13" fillId="3" borderId="32" xfId="0" applyNumberFormat="1" applyFont="1" applyFill="1" applyBorder="1" applyAlignment="1" applyProtection="1">
      <alignment horizontal="center" vertical="center"/>
      <protection locked="0"/>
    </xf>
    <xf numFmtId="49" fontId="13" fillId="3" borderId="4" xfId="0" applyNumberFormat="1" applyFont="1" applyFill="1" applyBorder="1" applyAlignment="1" applyProtection="1">
      <alignment horizontal="center" vertical="center"/>
      <protection locked="0"/>
    </xf>
    <xf numFmtId="0" fontId="52" fillId="7" borderId="174" xfId="0" applyFont="1" applyFill="1" applyBorder="1" applyAlignment="1" applyProtection="1">
      <alignment horizontal="center" vertical="center"/>
      <protection hidden="1"/>
    </xf>
    <xf numFmtId="0" fontId="52" fillId="7" borderId="43" xfId="0" applyFont="1" applyFill="1" applyBorder="1" applyAlignment="1" applyProtection="1">
      <alignment horizontal="center" vertical="center"/>
      <protection hidden="1"/>
    </xf>
    <xf numFmtId="0" fontId="52" fillId="7" borderId="226" xfId="0" applyFont="1" applyFill="1" applyBorder="1" applyAlignment="1" applyProtection="1">
      <alignment horizontal="center" vertical="center"/>
      <protection hidden="1"/>
    </xf>
    <xf numFmtId="0" fontId="52" fillId="6" borderId="115" xfId="0" applyFont="1" applyFill="1" applyBorder="1" applyAlignment="1">
      <alignment horizontal="center" vertical="center"/>
    </xf>
    <xf numFmtId="0" fontId="52" fillId="6" borderId="42" xfId="0" applyFont="1" applyFill="1" applyBorder="1" applyAlignment="1">
      <alignment horizontal="center" vertical="center"/>
    </xf>
    <xf numFmtId="0" fontId="62" fillId="0" borderId="242" xfId="0" applyFont="1" applyFill="1" applyBorder="1" applyAlignment="1" applyProtection="1">
      <alignment horizontal="center" vertical="center"/>
      <protection hidden="1"/>
    </xf>
    <xf numFmtId="0" fontId="62" fillId="0" borderId="243" xfId="0" applyFont="1" applyFill="1" applyBorder="1" applyAlignment="1" applyProtection="1">
      <alignment horizontal="center" vertical="center"/>
      <protection hidden="1"/>
    </xf>
    <xf numFmtId="0" fontId="62" fillId="3" borderId="262" xfId="0" applyFont="1" applyFill="1" applyBorder="1" applyAlignment="1" applyProtection="1">
      <alignment horizontal="center" vertical="center"/>
      <protection hidden="1"/>
    </xf>
    <xf numFmtId="0" fontId="62" fillId="3" borderId="256" xfId="0" applyFont="1" applyFill="1" applyBorder="1" applyAlignment="1" applyProtection="1">
      <alignment horizontal="center" vertical="center"/>
      <protection hidden="1"/>
    </xf>
    <xf numFmtId="49" fontId="52" fillId="6" borderId="1" xfId="0" applyNumberFormat="1" applyFont="1" applyFill="1" applyBorder="1" applyAlignment="1" applyProtection="1">
      <alignment horizontal="center" vertical="center"/>
      <protection locked="0"/>
    </xf>
    <xf numFmtId="49" fontId="52" fillId="6" borderId="184" xfId="0" applyNumberFormat="1" applyFont="1" applyFill="1" applyBorder="1" applyAlignment="1" applyProtection="1">
      <alignment horizontal="center" vertical="center"/>
      <protection locked="0"/>
    </xf>
    <xf numFmtId="0" fontId="61" fillId="6" borderId="54" xfId="0" applyFont="1" applyFill="1" applyBorder="1" applyAlignment="1" applyProtection="1">
      <alignment horizontal="center" vertical="center" wrapText="1"/>
      <protection hidden="1"/>
    </xf>
    <xf numFmtId="0" fontId="61" fillId="6" borderId="55" xfId="0" applyFont="1" applyFill="1" applyBorder="1" applyAlignment="1" applyProtection="1">
      <alignment horizontal="center" vertical="center" wrapText="1"/>
      <protection hidden="1"/>
    </xf>
    <xf numFmtId="0" fontId="61" fillId="6" borderId="179" xfId="0" applyFont="1" applyFill="1" applyBorder="1" applyAlignment="1" applyProtection="1">
      <alignment horizontal="center" vertical="center" wrapText="1"/>
      <protection hidden="1"/>
    </xf>
    <xf numFmtId="0" fontId="61" fillId="6" borderId="56" xfId="0" applyFont="1" applyFill="1" applyBorder="1" applyAlignment="1" applyProtection="1">
      <alignment horizontal="center" vertical="center" wrapText="1"/>
      <protection hidden="1"/>
    </xf>
    <xf numFmtId="0" fontId="61" fillId="6" borderId="0" xfId="0" applyFont="1" applyFill="1" applyBorder="1" applyAlignment="1" applyProtection="1">
      <alignment horizontal="center" vertical="center" wrapText="1"/>
      <protection hidden="1"/>
    </xf>
    <xf numFmtId="0" fontId="61" fillId="6" borderId="49" xfId="0" applyFont="1" applyFill="1" applyBorder="1" applyAlignment="1" applyProtection="1">
      <alignment horizontal="center" vertical="center" wrapText="1"/>
      <protection hidden="1"/>
    </xf>
    <xf numFmtId="0" fontId="61" fillId="6" borderId="98" xfId="0" applyFont="1" applyFill="1" applyBorder="1" applyAlignment="1" applyProtection="1">
      <alignment horizontal="center" vertical="center" wrapText="1"/>
      <protection hidden="1"/>
    </xf>
    <xf numFmtId="0" fontId="61" fillId="6" borderId="47" xfId="0" applyFont="1" applyFill="1" applyBorder="1" applyAlignment="1" applyProtection="1">
      <alignment horizontal="center" vertical="center" wrapText="1"/>
      <protection hidden="1"/>
    </xf>
    <xf numFmtId="0" fontId="61" fillId="6" borderId="196" xfId="0" applyFont="1" applyFill="1" applyBorder="1" applyAlignment="1" applyProtection="1">
      <alignment horizontal="center" vertical="center" wrapText="1"/>
      <protection hidden="1"/>
    </xf>
    <xf numFmtId="49" fontId="22" fillId="0" borderId="32" xfId="0" applyNumberFormat="1" applyFont="1" applyFill="1" applyBorder="1" applyAlignment="1" applyProtection="1">
      <alignment horizontal="center" vertical="center"/>
      <protection locked="0"/>
    </xf>
    <xf numFmtId="49" fontId="22" fillId="0" borderId="65" xfId="0" applyNumberFormat="1" applyFont="1" applyFill="1" applyBorder="1" applyAlignment="1" applyProtection="1">
      <alignment horizontal="center" vertical="center"/>
      <protection locked="0"/>
    </xf>
    <xf numFmtId="49" fontId="22" fillId="3" borderId="32" xfId="0" applyNumberFormat="1" applyFont="1" applyFill="1" applyBorder="1" applyAlignment="1" applyProtection="1">
      <alignment horizontal="center" vertical="center"/>
      <protection locked="0"/>
    </xf>
    <xf numFmtId="49" fontId="22" fillId="3" borderId="65" xfId="0" applyNumberFormat="1" applyFont="1" applyFill="1" applyBorder="1" applyAlignment="1" applyProtection="1">
      <alignment horizontal="center" vertical="center"/>
      <protection locked="0"/>
    </xf>
    <xf numFmtId="0" fontId="66" fillId="7" borderId="38" xfId="0" applyNumberFormat="1" applyFont="1" applyFill="1" applyBorder="1" applyAlignment="1" applyProtection="1">
      <alignment horizontal="center" vertical="center"/>
    </xf>
    <xf numFmtId="0" fontId="66" fillId="7" borderId="2" xfId="0" applyNumberFormat="1" applyFont="1" applyFill="1" applyBorder="1" applyAlignment="1" applyProtection="1">
      <alignment horizontal="center" vertical="center"/>
    </xf>
    <xf numFmtId="0" fontId="66" fillId="7" borderId="65" xfId="0" applyNumberFormat="1" applyFont="1" applyFill="1" applyBorder="1" applyAlignment="1" applyProtection="1">
      <alignment horizontal="center" vertical="center"/>
    </xf>
    <xf numFmtId="49" fontId="13" fillId="0" borderId="116" xfId="0" applyNumberFormat="1" applyFont="1" applyFill="1" applyBorder="1" applyAlignment="1" applyProtection="1">
      <alignment horizontal="center" vertical="center"/>
      <protection locked="0"/>
    </xf>
    <xf numFmtId="49" fontId="13" fillId="0" borderId="19" xfId="0" applyNumberFormat="1" applyFont="1" applyFill="1" applyBorder="1" applyAlignment="1" applyProtection="1">
      <alignment horizontal="center" vertical="center"/>
      <protection locked="0"/>
    </xf>
    <xf numFmtId="186" fontId="52" fillId="7" borderId="64" xfId="0" applyNumberFormat="1" applyFont="1" applyFill="1" applyBorder="1" applyAlignment="1" applyProtection="1">
      <alignment horizontal="center" vertical="center"/>
    </xf>
    <xf numFmtId="186" fontId="52" fillId="7" borderId="221" xfId="0" applyNumberFormat="1" applyFont="1" applyFill="1" applyBorder="1" applyAlignment="1" applyProtection="1">
      <alignment horizontal="center" vertical="center"/>
    </xf>
    <xf numFmtId="197" fontId="52" fillId="7" borderId="66" xfId="0" applyNumberFormat="1" applyFont="1" applyFill="1" applyBorder="1" applyAlignment="1" applyProtection="1">
      <alignment horizontal="center" vertical="center"/>
    </xf>
    <xf numFmtId="197" fontId="52" fillId="7" borderId="134" xfId="0" applyNumberFormat="1" applyFont="1" applyFill="1" applyBorder="1" applyAlignment="1" applyProtection="1">
      <alignment horizontal="center" vertical="center"/>
    </xf>
    <xf numFmtId="49" fontId="13" fillId="0" borderId="32" xfId="0" applyNumberFormat="1" applyFont="1" applyFill="1" applyBorder="1" applyAlignment="1" applyProtection="1">
      <alignment horizontal="center" vertical="center"/>
      <protection locked="0"/>
    </xf>
    <xf numFmtId="49" fontId="13" fillId="0" borderId="4" xfId="0" applyNumberFormat="1" applyFont="1" applyFill="1" applyBorder="1" applyAlignment="1" applyProtection="1">
      <alignment horizontal="center" vertical="center"/>
      <protection locked="0"/>
    </xf>
    <xf numFmtId="176" fontId="52" fillId="7" borderId="37" xfId="0" applyNumberFormat="1" applyFont="1" applyFill="1" applyBorder="1" applyAlignment="1">
      <alignment horizontal="center" vertical="center"/>
    </xf>
    <xf numFmtId="176" fontId="52" fillId="7" borderId="1" xfId="0" applyNumberFormat="1" applyFont="1" applyFill="1" applyBorder="1" applyAlignment="1">
      <alignment horizontal="center" vertical="center"/>
    </xf>
    <xf numFmtId="176" fontId="52" fillId="7" borderId="36" xfId="0" applyNumberFormat="1" applyFont="1" applyFill="1" applyBorder="1" applyAlignment="1">
      <alignment horizontal="center" vertical="center"/>
    </xf>
    <xf numFmtId="49" fontId="22" fillId="3" borderId="60" xfId="0" applyNumberFormat="1" applyFont="1" applyFill="1" applyBorder="1" applyAlignment="1" applyProtection="1">
      <alignment horizontal="center" vertical="center"/>
      <protection locked="0"/>
    </xf>
    <xf numFmtId="49" fontId="22" fillId="3" borderId="220" xfId="0" applyNumberFormat="1" applyFont="1" applyFill="1" applyBorder="1" applyAlignment="1" applyProtection="1">
      <alignment horizontal="center" vertical="center"/>
      <protection locked="0"/>
    </xf>
    <xf numFmtId="0" fontId="55" fillId="19" borderId="120" xfId="0" quotePrefix="1" applyNumberFormat="1" applyFont="1" applyFill="1" applyBorder="1" applyAlignment="1" applyProtection="1">
      <alignment horizontal="center" vertical="center" wrapText="1"/>
    </xf>
    <xf numFmtId="0" fontId="55" fillId="19" borderId="160" xfId="0" quotePrefix="1" applyNumberFormat="1" applyFont="1" applyFill="1" applyBorder="1" applyAlignment="1" applyProtection="1">
      <alignment horizontal="center" vertical="center" wrapText="1"/>
    </xf>
    <xf numFmtId="0" fontId="52" fillId="6" borderId="180" xfId="0" applyNumberFormat="1" applyFont="1" applyFill="1" applyBorder="1" applyAlignment="1">
      <alignment horizontal="center" vertical="center"/>
    </xf>
    <xf numFmtId="0" fontId="52" fillId="6" borderId="1" xfId="0" applyNumberFormat="1" applyFont="1" applyFill="1" applyBorder="1" applyAlignment="1">
      <alignment horizontal="center" vertical="center"/>
    </xf>
    <xf numFmtId="0" fontId="57" fillId="6" borderId="181" xfId="0" applyFont="1" applyFill="1" applyBorder="1" applyAlignment="1">
      <alignment horizontal="center" vertical="center"/>
    </xf>
    <xf numFmtId="0" fontId="57" fillId="6" borderId="185" xfId="0" applyFont="1" applyFill="1" applyBorder="1" applyAlignment="1">
      <alignment horizontal="center" vertical="center"/>
    </xf>
    <xf numFmtId="0" fontId="57" fillId="6" borderId="107" xfId="0" applyFont="1" applyFill="1" applyBorder="1" applyAlignment="1">
      <alignment horizontal="center" vertical="center"/>
    </xf>
    <xf numFmtId="0" fontId="52" fillId="6" borderId="181" xfId="0" applyFont="1" applyFill="1" applyBorder="1" applyAlignment="1">
      <alignment horizontal="center" vertical="center"/>
    </xf>
    <xf numFmtId="0" fontId="52" fillId="6" borderId="185" xfId="0" applyFont="1" applyFill="1" applyBorder="1" applyAlignment="1">
      <alignment horizontal="center" vertical="center"/>
    </xf>
    <xf numFmtId="186" fontId="66" fillId="7" borderId="171" xfId="0" applyNumberFormat="1" applyFont="1" applyFill="1" applyBorder="1" applyAlignment="1">
      <alignment horizontal="center" vertical="center"/>
    </xf>
    <xf numFmtId="186" fontId="66" fillId="7" borderId="172" xfId="0" applyNumberFormat="1" applyFont="1" applyFill="1" applyBorder="1" applyAlignment="1">
      <alignment horizontal="center" vertical="center"/>
    </xf>
    <xf numFmtId="186" fontId="66" fillId="7" borderId="66" xfId="0" applyNumberFormat="1" applyFont="1" applyFill="1" applyBorder="1" applyAlignment="1">
      <alignment horizontal="center" vertical="center"/>
    </xf>
    <xf numFmtId="0" fontId="27" fillId="5" borderId="100" xfId="0" applyFont="1" applyFill="1" applyBorder="1" applyAlignment="1" applyProtection="1">
      <alignment horizontal="center" vertical="center"/>
    </xf>
    <xf numFmtId="0" fontId="57" fillId="6" borderId="157" xfId="0" applyFont="1" applyFill="1" applyBorder="1" applyAlignment="1" applyProtection="1">
      <alignment horizontal="center" vertical="center"/>
    </xf>
    <xf numFmtId="0" fontId="57" fillId="6" borderId="129" xfId="0" applyFont="1" applyFill="1" applyBorder="1" applyAlignment="1" applyProtection="1">
      <alignment horizontal="center" vertical="center"/>
    </xf>
    <xf numFmtId="0" fontId="57" fillId="7" borderId="260" xfId="0" applyFont="1" applyFill="1" applyBorder="1" applyAlignment="1" applyProtection="1">
      <alignment horizontal="center" vertical="center"/>
      <protection hidden="1"/>
    </xf>
    <xf numFmtId="0" fontId="57" fillId="7" borderId="261" xfId="0" applyFont="1" applyFill="1" applyBorder="1" applyAlignment="1" applyProtection="1">
      <alignment horizontal="center" vertical="center"/>
      <protection hidden="1"/>
    </xf>
    <xf numFmtId="200" fontId="66" fillId="7" borderId="219" xfId="0" applyNumberFormat="1" applyFont="1" applyFill="1" applyBorder="1" applyAlignment="1">
      <alignment horizontal="center" vertical="center"/>
    </xf>
    <xf numFmtId="200" fontId="66" fillId="7" borderId="189" xfId="0" applyNumberFormat="1" applyFont="1" applyFill="1" applyBorder="1" applyAlignment="1">
      <alignment horizontal="center" vertical="center"/>
    </xf>
    <xf numFmtId="200" fontId="66" fillId="7" borderId="132" xfId="0" applyNumberFormat="1" applyFont="1" applyFill="1" applyBorder="1" applyAlignment="1">
      <alignment horizontal="center" vertical="center"/>
    </xf>
    <xf numFmtId="49" fontId="13" fillId="3" borderId="122" xfId="0" applyNumberFormat="1" applyFont="1" applyFill="1" applyBorder="1" applyAlignment="1" applyProtection="1">
      <alignment horizontal="center" vertical="center"/>
      <protection locked="0"/>
    </xf>
    <xf numFmtId="49" fontId="13" fillId="3" borderId="121" xfId="0" applyNumberFormat="1" applyFont="1" applyFill="1" applyBorder="1" applyAlignment="1" applyProtection="1">
      <alignment horizontal="center" vertical="center"/>
      <protection locked="0"/>
    </xf>
    <xf numFmtId="0" fontId="57" fillId="6" borderId="100" xfId="0" applyNumberFormat="1" applyFont="1" applyFill="1" applyBorder="1" applyAlignment="1">
      <alignment horizontal="center" vertical="center"/>
    </xf>
    <xf numFmtId="0" fontId="57" fillId="6" borderId="2" xfId="0" applyNumberFormat="1" applyFont="1" applyFill="1" applyBorder="1" applyAlignment="1">
      <alignment horizontal="center" vertical="center"/>
    </xf>
    <xf numFmtId="0" fontId="57" fillId="6" borderId="14" xfId="0" applyNumberFormat="1" applyFont="1" applyFill="1" applyBorder="1" applyAlignment="1">
      <alignment horizontal="center" vertical="center"/>
    </xf>
    <xf numFmtId="0" fontId="57" fillId="6" borderId="188" xfId="0" applyFont="1" applyFill="1" applyBorder="1" applyAlignment="1">
      <alignment horizontal="center" vertical="center"/>
    </xf>
    <xf numFmtId="0" fontId="57" fillId="6" borderId="189" xfId="0" applyFont="1" applyFill="1" applyBorder="1" applyAlignment="1">
      <alignment horizontal="center" vertical="center"/>
    </xf>
    <xf numFmtId="0" fontId="57" fillId="6" borderId="190" xfId="0" applyFont="1" applyFill="1" applyBorder="1" applyAlignment="1">
      <alignment horizontal="center" vertical="center"/>
    </xf>
    <xf numFmtId="0" fontId="55" fillId="19" borderId="120" xfId="0" applyNumberFormat="1" applyFont="1" applyFill="1" applyBorder="1" applyAlignment="1" applyProtection="1">
      <alignment horizontal="center" vertical="center" wrapText="1"/>
    </xf>
    <xf numFmtId="0" fontId="55" fillId="19" borderId="160" xfId="0" applyNumberFormat="1" applyFont="1" applyFill="1" applyBorder="1" applyAlignment="1" applyProtection="1">
      <alignment horizontal="center" vertical="center" wrapText="1"/>
    </xf>
    <xf numFmtId="197" fontId="52" fillId="7" borderId="217" xfId="0" applyNumberFormat="1" applyFont="1" applyFill="1" applyBorder="1" applyAlignment="1" applyProtection="1">
      <alignment horizontal="center" vertical="center"/>
    </xf>
    <xf numFmtId="197" fontId="52" fillId="7" borderId="185" xfId="0" applyNumberFormat="1" applyFont="1" applyFill="1" applyBorder="1" applyAlignment="1" applyProtection="1">
      <alignment horizontal="center" vertical="center"/>
    </xf>
    <xf numFmtId="197" fontId="52" fillId="7" borderId="125" xfId="0" applyNumberFormat="1" applyFont="1" applyFill="1" applyBorder="1" applyAlignment="1" applyProtection="1">
      <alignment horizontal="center" vertical="center"/>
    </xf>
    <xf numFmtId="176" fontId="52" fillId="5" borderId="2" xfId="0" applyNumberFormat="1" applyFont="1" applyFill="1" applyBorder="1" applyAlignment="1" applyProtection="1">
      <alignment horizontal="center" vertical="center"/>
    </xf>
    <xf numFmtId="176" fontId="52" fillId="5" borderId="65" xfId="0" applyNumberFormat="1" applyFont="1" applyFill="1" applyBorder="1" applyAlignment="1" applyProtection="1">
      <alignment horizontal="center" vertical="center"/>
    </xf>
    <xf numFmtId="186" fontId="66" fillId="7" borderId="217" xfId="0" applyNumberFormat="1" applyFont="1" applyFill="1" applyBorder="1" applyAlignment="1">
      <alignment horizontal="center" vertical="center"/>
    </xf>
    <xf numFmtId="186" fontId="66" fillId="7" borderId="185" xfId="0" applyNumberFormat="1" applyFont="1" applyFill="1" applyBorder="1" applyAlignment="1">
      <alignment horizontal="center" vertical="center"/>
    </xf>
    <xf numFmtId="186" fontId="66" fillId="7" borderId="125" xfId="0" applyNumberFormat="1" applyFont="1" applyFill="1" applyBorder="1" applyAlignment="1">
      <alignment horizontal="center" vertical="center"/>
    </xf>
    <xf numFmtId="0" fontId="51" fillId="0" borderId="218" xfId="0" applyFont="1" applyFill="1" applyBorder="1" applyAlignment="1" applyProtection="1">
      <alignment horizontal="center" vertical="center"/>
      <protection locked="0"/>
    </xf>
    <xf numFmtId="0" fontId="51" fillId="0" borderId="107" xfId="0" applyFont="1" applyFill="1" applyBorder="1" applyAlignment="1" applyProtection="1">
      <alignment horizontal="center" vertical="center"/>
      <protection locked="0"/>
    </xf>
    <xf numFmtId="176" fontId="52" fillId="5" borderId="1" xfId="0" applyNumberFormat="1" applyFont="1" applyFill="1" applyBorder="1" applyAlignment="1" applyProtection="1">
      <alignment horizontal="center" vertical="center"/>
    </xf>
    <xf numFmtId="176" fontId="52" fillId="5" borderId="36" xfId="0" applyNumberFormat="1" applyFont="1" applyFill="1" applyBorder="1" applyAlignment="1" applyProtection="1">
      <alignment horizontal="center" vertical="center"/>
    </xf>
    <xf numFmtId="0" fontId="52" fillId="5" borderId="180" xfId="0" applyFont="1" applyFill="1" applyBorder="1" applyAlignment="1" applyProtection="1">
      <alignment horizontal="center" vertical="center"/>
    </xf>
    <xf numFmtId="0" fontId="52" fillId="5" borderId="1" xfId="0" applyFont="1" applyFill="1" applyBorder="1" applyAlignment="1" applyProtection="1">
      <alignment horizontal="center" vertical="center"/>
    </xf>
    <xf numFmtId="0" fontId="52" fillId="6" borderId="185" xfId="0" applyNumberFormat="1" applyFont="1" applyFill="1" applyBorder="1" applyAlignment="1">
      <alignment horizontal="center" vertical="center"/>
    </xf>
    <xf numFmtId="0" fontId="64" fillId="6" borderId="0" xfId="0" applyFont="1" applyFill="1" applyBorder="1" applyAlignment="1" applyProtection="1">
      <alignment horizontal="left" vertical="center"/>
      <protection locked="0"/>
    </xf>
    <xf numFmtId="49" fontId="64" fillId="6" borderId="95" xfId="0" applyNumberFormat="1" applyFont="1" applyFill="1" applyBorder="1" applyAlignment="1" applyProtection="1">
      <alignment horizontal="left" vertical="center"/>
      <protection locked="0"/>
    </xf>
    <xf numFmtId="49" fontId="64" fillId="6" borderId="211" xfId="0" applyNumberFormat="1" applyFont="1" applyFill="1" applyBorder="1" applyAlignment="1" applyProtection="1">
      <alignment horizontal="left" vertical="center"/>
      <protection locked="0"/>
    </xf>
    <xf numFmtId="0" fontId="55" fillId="7" borderId="157" xfId="0" applyNumberFormat="1" applyFont="1" applyFill="1" applyBorder="1" applyAlignment="1" applyProtection="1">
      <alignment horizontal="center" vertical="center"/>
    </xf>
    <xf numFmtId="0" fontId="55" fillId="7" borderId="158" xfId="0" applyNumberFormat="1" applyFont="1" applyFill="1" applyBorder="1" applyAlignment="1" applyProtection="1">
      <alignment horizontal="center" vertical="center"/>
    </xf>
    <xf numFmtId="0" fontId="55" fillId="7" borderId="129" xfId="0" applyNumberFormat="1" applyFont="1" applyFill="1" applyBorder="1" applyAlignment="1" applyProtection="1">
      <alignment horizontal="center" vertical="center"/>
    </xf>
    <xf numFmtId="0" fontId="52" fillId="6" borderId="204" xfId="0" applyFont="1" applyFill="1" applyBorder="1" applyAlignment="1" applyProtection="1">
      <alignment horizontal="center" vertical="center" wrapText="1" shrinkToFit="1"/>
    </xf>
    <xf numFmtId="0" fontId="52" fillId="6" borderId="46" xfId="0" applyFont="1" applyFill="1" applyBorder="1" applyAlignment="1" applyProtection="1">
      <alignment horizontal="center" vertical="center" wrapText="1" shrinkToFit="1"/>
    </xf>
    <xf numFmtId="0" fontId="53" fillId="6" borderId="212" xfId="0" applyFont="1" applyFill="1" applyBorder="1" applyAlignment="1">
      <alignment horizontal="right" vertical="center"/>
    </xf>
    <xf numFmtId="0" fontId="53" fillId="6" borderId="172" xfId="0" applyFont="1" applyFill="1" applyBorder="1" applyAlignment="1">
      <alignment horizontal="right" vertical="center"/>
    </xf>
    <xf numFmtId="0" fontId="53" fillId="6" borderId="213" xfId="0" applyFont="1" applyFill="1" applyBorder="1" applyAlignment="1">
      <alignment horizontal="right" vertical="center"/>
    </xf>
    <xf numFmtId="0" fontId="53" fillId="6" borderId="95" xfId="0" applyFont="1" applyFill="1" applyBorder="1" applyAlignment="1">
      <alignment horizontal="right" vertical="center"/>
    </xf>
    <xf numFmtId="0" fontId="79" fillId="7" borderId="214" xfId="0" applyNumberFormat="1" applyFont="1" applyFill="1" applyBorder="1" applyAlignment="1" applyProtection="1">
      <alignment horizontal="center" vertical="center"/>
      <protection hidden="1"/>
    </xf>
    <xf numFmtId="0" fontId="79" fillId="7" borderId="215" xfId="0" applyNumberFormat="1" applyFont="1" applyFill="1" applyBorder="1" applyAlignment="1" applyProtection="1">
      <alignment horizontal="center" vertical="center"/>
      <protection hidden="1"/>
    </xf>
    <xf numFmtId="0" fontId="79" fillId="7" borderId="206" xfId="0" applyNumberFormat="1" applyFont="1" applyFill="1" applyBorder="1" applyAlignment="1" applyProtection="1">
      <alignment horizontal="center" vertical="center"/>
      <protection hidden="1"/>
    </xf>
    <xf numFmtId="0" fontId="79" fillId="7" borderId="203" xfId="0" applyNumberFormat="1" applyFont="1" applyFill="1" applyBorder="1" applyAlignment="1" applyProtection="1">
      <alignment horizontal="center" vertical="center"/>
      <protection hidden="1"/>
    </xf>
    <xf numFmtId="0" fontId="79" fillId="7" borderId="216" xfId="0" applyNumberFormat="1" applyFont="1" applyFill="1" applyBorder="1" applyAlignment="1" applyProtection="1">
      <alignment horizontal="center" vertical="center"/>
      <protection hidden="1"/>
    </xf>
    <xf numFmtId="0" fontId="79" fillId="7" borderId="86" xfId="0" applyNumberFormat="1" applyFont="1" applyFill="1" applyBorder="1" applyAlignment="1" applyProtection="1">
      <alignment horizontal="center" vertical="center"/>
      <protection hidden="1"/>
    </xf>
    <xf numFmtId="0" fontId="52" fillId="6" borderId="76" xfId="0" applyFont="1" applyFill="1" applyBorder="1" applyAlignment="1" applyProtection="1">
      <alignment horizontal="center" vertical="center"/>
    </xf>
    <xf numFmtId="0" fontId="52" fillId="6" borderId="211" xfId="0" applyFont="1" applyFill="1" applyBorder="1" applyAlignment="1" applyProtection="1">
      <alignment horizontal="center" vertical="center"/>
    </xf>
    <xf numFmtId="0" fontId="67" fillId="7" borderId="180" xfId="2" applyFont="1" applyFill="1" applyBorder="1" applyAlignment="1" applyProtection="1">
      <alignment horizontal="center" vertical="center"/>
      <protection locked="0"/>
    </xf>
    <xf numFmtId="0" fontId="67" fillId="7" borderId="36" xfId="2" applyFont="1" applyFill="1" applyBorder="1" applyAlignment="1" applyProtection="1">
      <alignment horizontal="center" vertical="center"/>
      <protection locked="0"/>
    </xf>
    <xf numFmtId="0" fontId="52" fillId="6" borderId="95" xfId="0" applyFont="1" applyFill="1" applyBorder="1" applyAlignment="1" applyProtection="1">
      <alignment horizontal="center" vertical="center"/>
    </xf>
    <xf numFmtId="0" fontId="52" fillId="6" borderId="205" xfId="0" applyFont="1" applyFill="1" applyBorder="1" applyAlignment="1" applyProtection="1">
      <alignment horizontal="center" vertical="center" wrapText="1"/>
    </xf>
    <xf numFmtId="0" fontId="52" fillId="6" borderId="187" xfId="0" applyFont="1" applyFill="1" applyBorder="1" applyAlignment="1" applyProtection="1">
      <alignment horizontal="center" vertical="center" wrapText="1"/>
    </xf>
    <xf numFmtId="0" fontId="57" fillId="6" borderId="157" xfId="0" applyFont="1" applyFill="1" applyBorder="1" applyAlignment="1">
      <alignment horizontal="center" vertical="center"/>
    </xf>
    <xf numFmtId="0" fontId="57" fillId="6" borderId="129" xfId="0" applyFont="1" applyFill="1" applyBorder="1" applyAlignment="1">
      <alignment horizontal="center" vertical="center"/>
    </xf>
    <xf numFmtId="0" fontId="52" fillId="6" borderId="206" xfId="0" applyFont="1" applyFill="1" applyBorder="1" applyAlignment="1" applyProtection="1">
      <alignment horizontal="center" vertical="center" wrapText="1"/>
    </xf>
    <xf numFmtId="0" fontId="52" fillId="6" borderId="198" xfId="0" applyFont="1" applyFill="1" applyBorder="1" applyAlignment="1" applyProtection="1">
      <alignment horizontal="center" vertical="center" wrapText="1"/>
    </xf>
    <xf numFmtId="0" fontId="67" fillId="7" borderId="100" xfId="2" applyFont="1" applyFill="1" applyBorder="1" applyAlignment="1" applyProtection="1">
      <alignment horizontal="center" vertical="center"/>
      <protection locked="0"/>
    </xf>
    <xf numFmtId="0" fontId="67" fillId="7" borderId="65" xfId="2" applyFont="1" applyFill="1" applyBorder="1" applyAlignment="1" applyProtection="1">
      <alignment horizontal="center" vertical="center"/>
      <protection locked="0"/>
    </xf>
    <xf numFmtId="186" fontId="52" fillId="6" borderId="207" xfId="0" applyNumberFormat="1" applyFont="1" applyFill="1" applyBorder="1" applyAlignment="1" applyProtection="1">
      <alignment horizontal="center" vertical="center"/>
      <protection hidden="1"/>
    </xf>
    <xf numFmtId="186" fontId="52" fillId="6" borderId="208" xfId="0" applyNumberFormat="1" applyFont="1" applyFill="1" applyBorder="1" applyAlignment="1" applyProtection="1">
      <alignment horizontal="center" vertical="center"/>
      <protection hidden="1"/>
    </xf>
    <xf numFmtId="0" fontId="57" fillId="6" borderId="209" xfId="0" applyFont="1" applyFill="1" applyBorder="1" applyAlignment="1" applyProtection="1">
      <alignment horizontal="center" vertical="center"/>
    </xf>
    <xf numFmtId="0" fontId="57" fillId="6" borderId="210" xfId="0" applyFont="1" applyFill="1" applyBorder="1" applyAlignment="1" applyProtection="1">
      <alignment horizontal="center" vertical="center"/>
    </xf>
    <xf numFmtId="0" fontId="52" fillId="6" borderId="57" xfId="0" applyFont="1" applyFill="1" applyBorder="1" applyAlignment="1">
      <alignment horizontal="center" vertical="center"/>
    </xf>
    <xf numFmtId="0" fontId="52" fillId="6" borderId="24" xfId="0" applyFont="1" applyFill="1" applyBorder="1" applyAlignment="1">
      <alignment horizontal="center" vertical="center"/>
    </xf>
    <xf numFmtId="0" fontId="52" fillId="6" borderId="20" xfId="0" applyFont="1" applyFill="1" applyBorder="1" applyAlignment="1">
      <alignment horizontal="center" vertical="center"/>
    </xf>
    <xf numFmtId="0" fontId="62" fillId="6" borderId="87" xfId="0" applyFont="1" applyFill="1" applyBorder="1" applyAlignment="1">
      <alignment horizontal="center" vertical="center" wrapText="1"/>
    </xf>
    <xf numFmtId="0" fontId="62" fillId="6" borderId="89" xfId="0" applyFont="1" applyFill="1" applyBorder="1" applyAlignment="1">
      <alignment horizontal="center" vertical="center" wrapText="1"/>
    </xf>
    <xf numFmtId="0" fontId="52" fillId="6" borderId="88" xfId="0" applyFont="1" applyFill="1" applyBorder="1" applyAlignment="1" applyProtection="1">
      <alignment horizontal="center" vertical="center" wrapText="1" shrinkToFit="1"/>
    </xf>
    <xf numFmtId="0" fontId="52" fillId="6" borderId="42" xfId="0" applyFont="1" applyFill="1" applyBorder="1" applyAlignment="1" applyProtection="1">
      <alignment horizontal="center" vertical="center" wrapText="1" shrinkToFit="1"/>
    </xf>
    <xf numFmtId="0" fontId="52" fillId="6" borderId="199" xfId="0" applyFont="1" applyFill="1" applyBorder="1" applyAlignment="1" applyProtection="1">
      <alignment horizontal="center" vertical="center"/>
    </xf>
    <xf numFmtId="0" fontId="52" fillId="6" borderId="200" xfId="0" applyFont="1" applyFill="1" applyBorder="1" applyAlignment="1" applyProtection="1">
      <alignment horizontal="center" vertical="center"/>
    </xf>
    <xf numFmtId="0" fontId="52" fillId="6" borderId="23" xfId="0" applyFont="1" applyFill="1" applyBorder="1" applyAlignment="1" applyProtection="1">
      <alignment horizontal="center" vertical="center"/>
    </xf>
    <xf numFmtId="0" fontId="52" fillId="6" borderId="60" xfId="0" applyFont="1" applyFill="1" applyBorder="1" applyAlignment="1">
      <alignment horizontal="center" vertical="center"/>
    </xf>
    <xf numFmtId="185" fontId="15" fillId="6" borderId="201" xfId="0" applyNumberFormat="1" applyFont="1" applyFill="1" applyBorder="1" applyAlignment="1" applyProtection="1">
      <alignment horizontal="center" vertical="center"/>
      <protection hidden="1"/>
    </xf>
    <xf numFmtId="185" fontId="15" fillId="6" borderId="33" xfId="0" applyNumberFormat="1" applyFont="1" applyFill="1" applyBorder="1" applyAlignment="1" applyProtection="1">
      <alignment horizontal="center" vertical="center"/>
      <protection hidden="1"/>
    </xf>
    <xf numFmtId="185" fontId="15" fillId="6" borderId="202" xfId="0" applyNumberFormat="1" applyFont="1" applyFill="1" applyBorder="1" applyAlignment="1" applyProtection="1">
      <alignment horizontal="center" vertical="center"/>
      <protection hidden="1"/>
    </xf>
    <xf numFmtId="185" fontId="15" fillId="6" borderId="18" xfId="0" applyNumberFormat="1" applyFont="1" applyFill="1" applyBorder="1" applyAlignment="1" applyProtection="1">
      <alignment horizontal="center" vertical="center"/>
      <protection hidden="1"/>
    </xf>
    <xf numFmtId="185" fontId="15" fillId="6" borderId="203" xfId="0" applyNumberFormat="1" applyFont="1" applyFill="1" applyBorder="1" applyAlignment="1" applyProtection="1">
      <alignment horizontal="center" vertical="center"/>
      <protection hidden="1"/>
    </xf>
    <xf numFmtId="185" fontId="15" fillId="6" borderId="85" xfId="0" applyNumberFormat="1" applyFont="1" applyFill="1" applyBorder="1" applyAlignment="1" applyProtection="1">
      <alignment horizontal="center" vertical="center"/>
      <protection hidden="1"/>
    </xf>
    <xf numFmtId="0" fontId="52" fillId="6" borderId="204" xfId="0" applyNumberFormat="1" applyFont="1" applyFill="1" applyBorder="1" applyAlignment="1" applyProtection="1">
      <alignment horizontal="center" vertical="center" wrapText="1" shrinkToFit="1"/>
    </xf>
    <xf numFmtId="0" fontId="52" fillId="6" borderId="46" xfId="0" applyNumberFormat="1" applyFont="1" applyFill="1" applyBorder="1" applyAlignment="1" applyProtection="1">
      <alignment horizontal="center" vertical="center" wrapText="1" shrinkToFit="1"/>
    </xf>
    <xf numFmtId="0" fontId="52" fillId="3" borderId="100" xfId="0" applyFont="1" applyFill="1" applyBorder="1" applyAlignment="1" applyProtection="1">
      <alignment horizontal="center" vertical="center"/>
    </xf>
    <xf numFmtId="0" fontId="52" fillId="3" borderId="2" xfId="0" applyFont="1" applyFill="1" applyBorder="1" applyAlignment="1" applyProtection="1">
      <alignment horizontal="center" vertical="center"/>
    </xf>
    <xf numFmtId="0" fontId="52" fillId="3" borderId="14" xfId="0" applyFont="1" applyFill="1" applyBorder="1" applyAlignment="1" applyProtection="1">
      <alignment horizontal="center" vertical="center"/>
    </xf>
    <xf numFmtId="0" fontId="52" fillId="6" borderId="196" xfId="0" applyFont="1" applyFill="1" applyBorder="1" applyAlignment="1">
      <alignment horizontal="center" vertical="center"/>
    </xf>
    <xf numFmtId="0" fontId="62" fillId="3" borderId="0" xfId="0" applyFont="1" applyFill="1" applyBorder="1" applyAlignment="1" applyProtection="1">
      <alignment horizontal="center" vertical="center"/>
      <protection hidden="1"/>
    </xf>
    <xf numFmtId="0" fontId="62" fillId="3" borderId="247" xfId="0" applyFont="1" applyFill="1" applyBorder="1" applyAlignment="1" applyProtection="1">
      <alignment horizontal="center" vertical="center"/>
      <protection hidden="1"/>
    </xf>
    <xf numFmtId="0" fontId="52" fillId="6" borderId="197" xfId="0" applyFont="1" applyFill="1" applyBorder="1" applyAlignment="1">
      <alignment horizontal="center" vertical="center" wrapText="1"/>
    </xf>
    <xf numFmtId="0" fontId="52" fillId="6" borderId="198" xfId="0" applyFont="1" applyFill="1" applyBorder="1" applyAlignment="1">
      <alignment horizontal="center" vertical="center" wrapText="1"/>
    </xf>
    <xf numFmtId="0" fontId="75" fillId="6" borderId="246" xfId="0" applyFont="1" applyFill="1" applyBorder="1" applyAlignment="1" applyProtection="1">
      <alignment horizontal="center" vertical="center" wrapText="1"/>
      <protection hidden="1"/>
    </xf>
    <xf numFmtId="0" fontId="75" fillId="6" borderId="247" xfId="0" applyFont="1" applyFill="1" applyBorder="1" applyAlignment="1" applyProtection="1">
      <alignment horizontal="center" vertical="center" wrapText="1"/>
      <protection hidden="1"/>
    </xf>
    <xf numFmtId="0" fontId="75" fillId="6" borderId="258" xfId="0" applyFont="1" applyFill="1" applyBorder="1" applyAlignment="1" applyProtection="1">
      <alignment horizontal="center" vertical="center" wrapText="1"/>
      <protection hidden="1"/>
    </xf>
    <xf numFmtId="0" fontId="75" fillId="6" borderId="259" xfId="0" applyFont="1" applyFill="1" applyBorder="1" applyAlignment="1" applyProtection="1">
      <alignment horizontal="center" vertical="center" wrapText="1"/>
      <protection hidden="1"/>
    </xf>
    <xf numFmtId="0" fontId="78" fillId="7" borderId="181" xfId="2" applyFont="1" applyFill="1" applyBorder="1" applyAlignment="1" applyProtection="1">
      <alignment horizontal="center" vertical="center"/>
      <protection locked="0"/>
    </xf>
    <xf numFmtId="0" fontId="78" fillId="7" borderId="125" xfId="2" applyFont="1" applyFill="1" applyBorder="1" applyAlignment="1" applyProtection="1">
      <alignment horizontal="center" vertical="center"/>
      <protection locked="0"/>
    </xf>
    <xf numFmtId="192" fontId="69" fillId="6" borderId="48" xfId="0" applyNumberFormat="1" applyFont="1" applyFill="1" applyBorder="1" applyAlignment="1" applyProtection="1">
      <alignment horizontal="center" vertical="center"/>
      <protection hidden="1"/>
    </xf>
    <xf numFmtId="192" fontId="69" fillId="6" borderId="49" xfId="0" applyNumberFormat="1" applyFont="1" applyFill="1" applyBorder="1" applyAlignment="1" applyProtection="1">
      <alignment horizontal="center" vertical="center"/>
      <protection hidden="1"/>
    </xf>
    <xf numFmtId="0" fontId="57" fillId="6" borderId="157" xfId="0" applyFont="1" applyFill="1" applyBorder="1" applyAlignment="1" applyProtection="1">
      <alignment horizontal="center" vertical="center"/>
      <protection hidden="1"/>
    </xf>
    <xf numFmtId="0" fontId="57" fillId="6" borderId="129" xfId="0" applyFont="1" applyFill="1" applyBorder="1" applyAlignment="1" applyProtection="1">
      <alignment horizontal="center" vertical="center"/>
      <protection hidden="1"/>
    </xf>
    <xf numFmtId="0" fontId="52" fillId="6" borderId="58" xfId="0" applyFont="1" applyFill="1" applyBorder="1" applyAlignment="1">
      <alignment horizontal="center" vertical="center" wrapText="1"/>
    </xf>
    <xf numFmtId="0" fontId="52" fillId="6" borderId="46" xfId="0" applyFont="1" applyFill="1" applyBorder="1" applyAlignment="1">
      <alignment horizontal="center" vertical="center" wrapText="1"/>
    </xf>
    <xf numFmtId="0" fontId="55" fillId="0" borderId="49" xfId="0" applyFont="1" applyBorder="1" applyAlignment="1" applyProtection="1">
      <alignment horizontal="center" vertical="center" wrapText="1"/>
      <protection hidden="1"/>
    </xf>
    <xf numFmtId="0" fontId="55" fillId="0" borderId="134" xfId="0" applyFont="1" applyBorder="1" applyAlignment="1" applyProtection="1">
      <alignment horizontal="center" vertical="center" wrapText="1"/>
      <protection hidden="1"/>
    </xf>
    <xf numFmtId="0" fontId="51" fillId="3" borderId="62" xfId="0" applyFont="1" applyFill="1" applyBorder="1" applyAlignment="1" applyProtection="1">
      <alignment horizontal="center" vertical="center"/>
      <protection locked="0"/>
    </xf>
    <xf numFmtId="0" fontId="51" fillId="3" borderId="8" xfId="0" applyFont="1" applyFill="1" applyBorder="1" applyAlignment="1" applyProtection="1">
      <alignment horizontal="center" vertical="center"/>
      <protection locked="0"/>
    </xf>
    <xf numFmtId="192" fontId="69" fillId="6" borderId="48" xfId="0" applyNumberFormat="1" applyFont="1" applyFill="1" applyBorder="1" applyAlignment="1" applyProtection="1">
      <alignment horizontal="center" vertical="center"/>
      <protection locked="0"/>
    </xf>
    <xf numFmtId="192" fontId="69" fillId="6" borderId="49" xfId="0" applyNumberFormat="1" applyFont="1" applyFill="1" applyBorder="1" applyAlignment="1" applyProtection="1">
      <alignment horizontal="center" vertical="center"/>
      <protection locked="0"/>
    </xf>
    <xf numFmtId="186" fontId="55" fillId="6" borderId="194" xfId="0" applyNumberFormat="1" applyFont="1" applyFill="1" applyBorder="1" applyAlignment="1" applyProtection="1">
      <alignment horizontal="center" vertical="center"/>
      <protection hidden="1"/>
    </xf>
    <xf numFmtId="186" fontId="55" fillId="6" borderId="195" xfId="0" applyNumberFormat="1" applyFont="1" applyFill="1" applyBorder="1" applyAlignment="1" applyProtection="1">
      <alignment horizontal="center" vertical="center"/>
      <protection hidden="1"/>
    </xf>
    <xf numFmtId="0" fontId="74" fillId="6" borderId="56" xfId="0" applyFont="1" applyFill="1" applyBorder="1" applyAlignment="1" applyProtection="1">
      <alignment horizontal="center" vertical="center" wrapText="1"/>
    </xf>
    <xf numFmtId="0" fontId="74" fillId="6" borderId="0" xfId="0" applyFont="1" applyFill="1" applyBorder="1" applyAlignment="1" applyProtection="1">
      <alignment horizontal="center" vertical="center" wrapText="1"/>
    </xf>
    <xf numFmtId="0" fontId="74" fillId="6" borderId="183" xfId="0" applyFont="1" applyFill="1" applyBorder="1" applyAlignment="1" applyProtection="1">
      <alignment horizontal="center" vertical="center" wrapText="1"/>
    </xf>
    <xf numFmtId="0" fontId="74" fillId="6" borderId="180" xfId="0" applyFont="1" applyFill="1" applyBorder="1" applyAlignment="1" applyProtection="1">
      <alignment horizontal="center" vertical="center" wrapText="1"/>
    </xf>
    <xf numFmtId="0" fontId="74" fillId="6" borderId="1" xfId="0" applyFont="1" applyFill="1" applyBorder="1" applyAlignment="1" applyProtection="1">
      <alignment horizontal="center" vertical="center" wrapText="1"/>
    </xf>
    <xf numFmtId="0" fontId="74" fillId="6" borderId="106" xfId="0" applyFont="1" applyFill="1" applyBorder="1" applyAlignment="1" applyProtection="1">
      <alignment horizontal="center" vertical="center" wrapText="1"/>
    </xf>
    <xf numFmtId="186" fontId="77" fillId="0" borderId="0" xfId="0" applyNumberFormat="1" applyFont="1" applyFill="1" applyBorder="1" applyAlignment="1" applyProtection="1">
      <alignment horizontal="center" vertical="center"/>
    </xf>
    <xf numFmtId="0" fontId="51" fillId="3" borderId="100" xfId="0" applyFont="1" applyFill="1" applyBorder="1" applyAlignment="1" applyProtection="1">
      <alignment horizontal="center" vertical="center"/>
      <protection locked="0"/>
    </xf>
    <xf numFmtId="0" fontId="51" fillId="3" borderId="2" xfId="0" applyFont="1" applyFill="1" applyBorder="1" applyAlignment="1" applyProtection="1">
      <alignment horizontal="center" vertical="center"/>
      <protection locked="0"/>
    </xf>
    <xf numFmtId="0" fontId="51" fillId="3" borderId="14" xfId="0" applyFont="1" applyFill="1" applyBorder="1" applyAlignment="1" applyProtection="1">
      <alignment horizontal="center" vertical="center"/>
      <protection locked="0"/>
    </xf>
    <xf numFmtId="0" fontId="52" fillId="23" borderId="100" xfId="0" applyFont="1" applyFill="1" applyBorder="1" applyAlignment="1" applyProtection="1">
      <alignment horizontal="center" vertical="center"/>
    </xf>
    <xf numFmtId="0" fontId="52" fillId="23" borderId="2" xfId="0" applyFont="1" applyFill="1" applyBorder="1" applyAlignment="1" applyProtection="1">
      <alignment horizontal="center" vertical="center"/>
    </xf>
    <xf numFmtId="0" fontId="52" fillId="23" borderId="14" xfId="0" applyFont="1" applyFill="1" applyBorder="1" applyAlignment="1" applyProtection="1">
      <alignment horizontal="center" vertical="center"/>
    </xf>
    <xf numFmtId="0" fontId="76" fillId="6" borderId="54" xfId="0" applyFont="1" applyFill="1" applyBorder="1" applyAlignment="1" applyProtection="1">
      <alignment horizontal="center" vertical="center" wrapText="1"/>
      <protection hidden="1"/>
    </xf>
    <xf numFmtId="0" fontId="76" fillId="6" borderId="55" xfId="0" applyFont="1" applyFill="1" applyBorder="1" applyAlignment="1" applyProtection="1">
      <alignment horizontal="center" vertical="center" wrapText="1"/>
      <protection hidden="1"/>
    </xf>
    <xf numFmtId="0" fontId="76" fillId="6" borderId="179" xfId="0" applyFont="1" applyFill="1" applyBorder="1" applyAlignment="1" applyProtection="1">
      <alignment horizontal="center" vertical="center" wrapText="1"/>
      <protection hidden="1"/>
    </xf>
    <xf numFmtId="0" fontId="76" fillId="6" borderId="56" xfId="0" applyFont="1" applyFill="1" applyBorder="1" applyAlignment="1" applyProtection="1">
      <alignment horizontal="center" vertical="center" wrapText="1"/>
      <protection hidden="1"/>
    </xf>
    <xf numFmtId="0" fontId="76" fillId="6" borderId="0" xfId="0" applyFont="1" applyFill="1" applyBorder="1" applyAlignment="1" applyProtection="1">
      <alignment horizontal="center" vertical="center" wrapText="1"/>
      <protection hidden="1"/>
    </xf>
    <xf numFmtId="0" fontId="76" fillId="6" borderId="49" xfId="0" applyFont="1" applyFill="1" applyBorder="1" applyAlignment="1" applyProtection="1">
      <alignment horizontal="center" vertical="center" wrapText="1"/>
      <protection hidden="1"/>
    </xf>
    <xf numFmtId="0" fontId="76" fillId="6" borderId="75" xfId="0" applyFont="1" applyFill="1" applyBorder="1" applyAlignment="1" applyProtection="1">
      <alignment horizontal="center" vertical="center" wrapText="1"/>
      <protection hidden="1"/>
    </xf>
    <xf numFmtId="0" fontId="76" fillId="6" borderId="34" xfId="0" applyFont="1" applyFill="1" applyBorder="1" applyAlignment="1" applyProtection="1">
      <alignment horizontal="center" vertical="center" wrapText="1"/>
      <protection hidden="1"/>
    </xf>
    <xf numFmtId="0" fontId="76" fillId="6" borderId="134" xfId="0" applyFont="1" applyFill="1" applyBorder="1" applyAlignment="1" applyProtection="1">
      <alignment horizontal="center" vertical="center" wrapText="1"/>
      <protection hidden="1"/>
    </xf>
    <xf numFmtId="0" fontId="69" fillId="6" borderId="193" xfId="0" applyFont="1" applyFill="1" applyBorder="1" applyAlignment="1" applyProtection="1">
      <alignment horizontal="center"/>
      <protection hidden="1"/>
    </xf>
    <xf numFmtId="0" fontId="69" fillId="6" borderId="179" xfId="0" applyFont="1" applyFill="1" applyBorder="1" applyAlignment="1" applyProtection="1">
      <alignment horizontal="center"/>
      <protection hidden="1"/>
    </xf>
    <xf numFmtId="0" fontId="51" fillId="3" borderId="101" xfId="0" applyFont="1" applyFill="1" applyBorder="1" applyAlignment="1" applyProtection="1">
      <alignment horizontal="center" vertical="center"/>
      <protection locked="0"/>
    </xf>
    <xf numFmtId="0" fontId="51" fillId="3" borderId="172" xfId="0" applyFont="1" applyFill="1" applyBorder="1" applyAlignment="1" applyProtection="1">
      <alignment horizontal="center" vertical="center"/>
      <protection locked="0"/>
    </xf>
    <xf numFmtId="0" fontId="51" fillId="3" borderId="15" xfId="0" applyFont="1" applyFill="1" applyBorder="1" applyAlignment="1" applyProtection="1">
      <alignment horizontal="center" vertical="center"/>
      <protection locked="0"/>
    </xf>
    <xf numFmtId="0" fontId="23" fillId="6" borderId="54" xfId="0" applyFont="1" applyFill="1" applyBorder="1" applyAlignment="1" applyProtection="1">
      <alignment horizontal="center" vertical="center"/>
      <protection hidden="1"/>
    </xf>
    <xf numFmtId="0" fontId="23" fillId="6" borderId="55" xfId="0" applyFont="1" applyFill="1" applyBorder="1" applyAlignment="1" applyProtection="1">
      <alignment horizontal="center" vertical="center"/>
      <protection hidden="1"/>
    </xf>
    <xf numFmtId="0" fontId="23" fillId="6" borderId="182" xfId="0" applyFont="1" applyFill="1" applyBorder="1" applyAlignment="1" applyProtection="1">
      <alignment horizontal="center" vertical="center"/>
      <protection hidden="1"/>
    </xf>
    <xf numFmtId="0" fontId="62" fillId="3" borderId="255" xfId="0" applyFont="1" applyFill="1" applyBorder="1" applyAlignment="1" applyProtection="1">
      <alignment horizontal="center" vertical="center"/>
    </xf>
    <xf numFmtId="0" fontId="62" fillId="3" borderId="256" xfId="0" applyFont="1" applyFill="1" applyBorder="1" applyAlignment="1" applyProtection="1">
      <alignment horizontal="center" vertical="center"/>
    </xf>
    <xf numFmtId="0" fontId="62" fillId="0" borderId="257" xfId="0" applyFont="1" applyFill="1" applyBorder="1" applyAlignment="1" applyProtection="1">
      <alignment horizontal="center" vertical="center"/>
      <protection hidden="1"/>
    </xf>
    <xf numFmtId="0" fontId="62" fillId="0" borderId="241" xfId="0" applyFont="1" applyFill="1" applyBorder="1" applyAlignment="1" applyProtection="1">
      <alignment horizontal="center" vertical="center"/>
      <protection hidden="1"/>
    </xf>
    <xf numFmtId="0" fontId="74" fillId="6" borderId="56" xfId="0" applyFont="1" applyFill="1" applyBorder="1" applyAlignment="1" applyProtection="1">
      <alignment horizontal="center" vertical="center" wrapText="1"/>
      <protection locked="0"/>
    </xf>
    <xf numFmtId="0" fontId="74" fillId="6" borderId="0" xfId="0" applyFont="1" applyFill="1" applyBorder="1" applyAlignment="1" applyProtection="1">
      <alignment horizontal="center" vertical="center" wrapText="1"/>
      <protection locked="0"/>
    </xf>
    <xf numFmtId="0" fontId="74" fillId="6" borderId="183" xfId="0" applyFont="1" applyFill="1" applyBorder="1" applyAlignment="1" applyProtection="1">
      <alignment horizontal="center" vertical="center" wrapText="1"/>
      <protection locked="0"/>
    </xf>
    <xf numFmtId="0" fontId="74" fillId="6" borderId="180" xfId="0" applyFont="1" applyFill="1" applyBorder="1" applyAlignment="1" applyProtection="1">
      <alignment horizontal="center" vertical="center" wrapText="1"/>
      <protection locked="0"/>
    </xf>
    <xf numFmtId="0" fontId="74" fillId="6" borderId="1" xfId="0" applyFont="1" applyFill="1" applyBorder="1" applyAlignment="1" applyProtection="1">
      <alignment horizontal="center" vertical="center" wrapText="1"/>
      <protection locked="0"/>
    </xf>
    <xf numFmtId="0" fontId="74" fillId="6" borderId="106" xfId="0" applyFont="1" applyFill="1" applyBorder="1" applyAlignment="1" applyProtection="1">
      <alignment horizontal="center" vertical="center" wrapText="1"/>
      <protection locked="0"/>
    </xf>
    <xf numFmtId="0" fontId="69" fillId="6" borderId="193" xfId="0" applyFont="1" applyFill="1" applyBorder="1" applyAlignment="1" applyProtection="1">
      <alignment horizontal="center"/>
      <protection locked="0"/>
    </xf>
    <xf numFmtId="0" fontId="69" fillId="6" borderId="179" xfId="0" applyFont="1" applyFill="1" applyBorder="1" applyAlignment="1" applyProtection="1">
      <alignment horizontal="center"/>
      <protection locked="0"/>
    </xf>
    <xf numFmtId="0" fontId="76" fillId="6" borderId="54" xfId="0" applyFont="1" applyFill="1" applyBorder="1" applyAlignment="1" applyProtection="1">
      <alignment horizontal="center" vertical="center" wrapText="1"/>
    </xf>
    <xf numFmtId="0" fontId="76" fillId="6" borderId="55" xfId="0" applyFont="1" applyFill="1" applyBorder="1" applyAlignment="1" applyProtection="1">
      <alignment horizontal="center" vertical="center" wrapText="1"/>
    </xf>
    <xf numFmtId="0" fontId="76" fillId="6" borderId="179" xfId="0" applyFont="1" applyFill="1" applyBorder="1" applyAlignment="1" applyProtection="1">
      <alignment horizontal="center" vertical="center" wrapText="1"/>
    </xf>
    <xf numFmtId="0" fontId="76" fillId="6" borderId="56" xfId="0" applyFont="1" applyFill="1" applyBorder="1" applyAlignment="1" applyProtection="1">
      <alignment horizontal="center" vertical="center" wrapText="1"/>
    </xf>
    <xf numFmtId="0" fontId="76" fillId="6" borderId="0" xfId="0" applyFont="1" applyFill="1" applyBorder="1" applyAlignment="1" applyProtection="1">
      <alignment horizontal="center" vertical="center" wrapText="1"/>
    </xf>
    <xf numFmtId="0" fontId="76" fillId="6" borderId="49" xfId="0" applyFont="1" applyFill="1" applyBorder="1" applyAlignment="1" applyProtection="1">
      <alignment horizontal="center" vertical="center" wrapText="1"/>
    </xf>
    <xf numFmtId="0" fontId="76" fillId="6" borderId="75" xfId="0" applyFont="1" applyFill="1" applyBorder="1" applyAlignment="1" applyProtection="1">
      <alignment horizontal="center" vertical="center" wrapText="1"/>
    </xf>
    <xf numFmtId="0" fontId="76" fillId="6" borderId="34" xfId="0" applyFont="1" applyFill="1" applyBorder="1" applyAlignment="1" applyProtection="1">
      <alignment horizontal="center" vertical="center" wrapText="1"/>
    </xf>
    <xf numFmtId="0" fontId="76" fillId="6" borderId="134" xfId="0" applyFont="1" applyFill="1" applyBorder="1" applyAlignment="1" applyProtection="1">
      <alignment horizontal="center" vertical="center" wrapText="1"/>
    </xf>
    <xf numFmtId="0" fontId="23" fillId="6" borderId="188" xfId="0" applyFont="1" applyFill="1" applyBorder="1" applyAlignment="1" applyProtection="1">
      <alignment horizontal="center" vertical="center"/>
      <protection hidden="1"/>
    </xf>
    <xf numFmtId="0" fontId="23" fillId="6" borderId="189" xfId="0" applyFont="1" applyFill="1" applyBorder="1" applyAlignment="1" applyProtection="1">
      <alignment horizontal="center" vertical="center"/>
      <protection hidden="1"/>
    </xf>
    <xf numFmtId="0" fontId="23" fillId="6" borderId="190" xfId="0" applyFont="1" applyFill="1" applyBorder="1" applyAlignment="1" applyProtection="1">
      <alignment horizontal="center" vertical="center"/>
      <protection hidden="1"/>
    </xf>
    <xf numFmtId="0" fontId="62" fillId="6" borderId="191" xfId="0" applyFont="1" applyFill="1" applyBorder="1" applyAlignment="1" applyProtection="1">
      <alignment horizontal="center" vertical="center"/>
    </xf>
    <xf numFmtId="0" fontId="55" fillId="6" borderId="181" xfId="0" applyFont="1" applyFill="1" applyBorder="1" applyAlignment="1" applyProtection="1">
      <alignment horizontal="center" vertical="center"/>
      <protection hidden="1"/>
    </xf>
    <xf numFmtId="0" fontId="55" fillId="6" borderId="185" xfId="0" applyFont="1" applyFill="1" applyBorder="1" applyAlignment="1" applyProtection="1">
      <alignment horizontal="center" vertical="center"/>
      <protection hidden="1"/>
    </xf>
    <xf numFmtId="0" fontId="55" fillId="6" borderId="107" xfId="0" applyFont="1" applyFill="1" applyBorder="1" applyAlignment="1" applyProtection="1">
      <alignment horizontal="center" vertical="center"/>
      <protection hidden="1"/>
    </xf>
    <xf numFmtId="0" fontId="51" fillId="3" borderId="181" xfId="0" applyFont="1" applyFill="1" applyBorder="1" applyAlignment="1" applyProtection="1">
      <alignment horizontal="center" vertical="center"/>
      <protection locked="0"/>
    </xf>
    <xf numFmtId="0" fontId="51" fillId="3" borderId="185" xfId="0" applyFont="1" applyFill="1" applyBorder="1" applyAlignment="1" applyProtection="1">
      <alignment horizontal="center" vertical="center"/>
      <protection locked="0"/>
    </xf>
    <xf numFmtId="0" fontId="51" fillId="3" borderId="107" xfId="0" applyFont="1" applyFill="1" applyBorder="1" applyAlignment="1" applyProtection="1">
      <alignment horizontal="center" vertical="center"/>
      <protection locked="0"/>
    </xf>
    <xf numFmtId="0" fontId="51" fillId="5" borderId="62" xfId="0" applyFont="1" applyFill="1" applyBorder="1" applyAlignment="1" applyProtection="1">
      <alignment horizontal="center" vertical="center"/>
      <protection locked="0"/>
    </xf>
    <xf numFmtId="0" fontId="51" fillId="5" borderId="8" xfId="0" applyFont="1" applyFill="1" applyBorder="1" applyAlignment="1" applyProtection="1">
      <alignment horizontal="center" vertical="center"/>
      <protection locked="0"/>
    </xf>
    <xf numFmtId="0" fontId="52" fillId="6" borderId="192" xfId="0" applyFont="1" applyFill="1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  <protection hidden="1"/>
    </xf>
    <xf numFmtId="0" fontId="0" fillId="0" borderId="75" xfId="0" applyBorder="1" applyAlignment="1" applyProtection="1">
      <alignment horizontal="center" vertical="center"/>
      <protection hidden="1"/>
    </xf>
    <xf numFmtId="0" fontId="62" fillId="0" borderId="254" xfId="0" applyFont="1" applyFill="1" applyBorder="1" applyAlignment="1" applyProtection="1">
      <alignment horizontal="center" vertical="center"/>
      <protection hidden="1"/>
    </xf>
    <xf numFmtId="0" fontId="62" fillId="0" borderId="249" xfId="0" applyFont="1" applyFill="1" applyBorder="1" applyAlignment="1" applyProtection="1">
      <alignment horizontal="center" vertical="center"/>
      <protection hidden="1"/>
    </xf>
    <xf numFmtId="0" fontId="52" fillId="6" borderId="186" xfId="0" applyFont="1" applyFill="1" applyBorder="1" applyAlignment="1" applyProtection="1">
      <alignment horizontal="center" vertical="center" wrapText="1"/>
    </xf>
    <xf numFmtId="0" fontId="62" fillId="0" borderId="253" xfId="0" applyFont="1" applyFill="1" applyBorder="1" applyAlignment="1" applyProtection="1">
      <alignment horizontal="center" vertical="center"/>
      <protection hidden="1"/>
    </xf>
    <xf numFmtId="0" fontId="62" fillId="0" borderId="227" xfId="0" applyFont="1" applyFill="1" applyBorder="1" applyAlignment="1" applyProtection="1">
      <alignment horizontal="center" vertical="center"/>
      <protection hidden="1"/>
    </xf>
    <xf numFmtId="0" fontId="12" fillId="0" borderId="157" xfId="0" applyNumberFormat="1" applyFont="1" applyBorder="1" applyAlignment="1">
      <alignment horizontal="center" vertical="center"/>
    </xf>
    <xf numFmtId="0" fontId="12" fillId="0" borderId="158" xfId="0" applyNumberFormat="1" applyFont="1" applyBorder="1" applyAlignment="1">
      <alignment horizontal="center" vertical="center"/>
    </xf>
    <xf numFmtId="0" fontId="52" fillId="6" borderId="250" xfId="0" applyFont="1" applyFill="1" applyBorder="1" applyAlignment="1" applyProtection="1">
      <alignment horizontal="center" vertical="center"/>
      <protection hidden="1"/>
    </xf>
    <xf numFmtId="0" fontId="52" fillId="6" borderId="251" xfId="0" applyFont="1" applyFill="1" applyBorder="1" applyAlignment="1" applyProtection="1">
      <alignment horizontal="center" vertical="center"/>
      <protection hidden="1"/>
    </xf>
    <xf numFmtId="176" fontId="52" fillId="5" borderId="185" xfId="0" applyNumberFormat="1" applyFont="1" applyFill="1" applyBorder="1" applyAlignment="1" applyProtection="1">
      <alignment horizontal="center" vertical="center"/>
    </xf>
    <xf numFmtId="176" fontId="52" fillId="5" borderId="125" xfId="0" applyNumberFormat="1" applyFont="1" applyFill="1" applyBorder="1" applyAlignment="1" applyProtection="1">
      <alignment horizontal="center" vertical="center"/>
    </xf>
    <xf numFmtId="0" fontId="70" fillId="5" borderId="75" xfId="0" applyFont="1" applyFill="1" applyBorder="1" applyAlignment="1">
      <alignment horizontal="center" vertical="center"/>
    </xf>
    <xf numFmtId="0" fontId="70" fillId="5" borderId="34" xfId="0" applyFont="1" applyFill="1" applyBorder="1" applyAlignment="1">
      <alignment horizontal="center" vertical="center"/>
    </xf>
    <xf numFmtId="0" fontId="70" fillId="5" borderId="134" xfId="0" applyFont="1" applyFill="1" applyBorder="1" applyAlignment="1">
      <alignment horizontal="center" vertical="center"/>
    </xf>
    <xf numFmtId="0" fontId="62" fillId="3" borderId="252" xfId="0" applyFont="1" applyFill="1" applyBorder="1" applyAlignment="1" applyProtection="1">
      <alignment horizontal="center" vertical="center"/>
      <protection hidden="1"/>
    </xf>
    <xf numFmtId="0" fontId="52" fillId="5" borderId="181" xfId="0" applyFont="1" applyFill="1" applyBorder="1" applyAlignment="1" applyProtection="1">
      <alignment horizontal="center" vertical="center"/>
    </xf>
    <xf numFmtId="0" fontId="52" fillId="5" borderId="185" xfId="0" applyFont="1" applyFill="1" applyBorder="1" applyAlignment="1" applyProtection="1">
      <alignment horizontal="center" vertical="center"/>
    </xf>
    <xf numFmtId="0" fontId="70" fillId="5" borderId="180" xfId="0" applyFont="1" applyFill="1" applyBorder="1" applyAlignment="1">
      <alignment horizontal="center" vertical="center"/>
    </xf>
    <xf numFmtId="0" fontId="70" fillId="5" borderId="1" xfId="0" applyFont="1" applyFill="1" applyBorder="1" applyAlignment="1">
      <alignment horizontal="center" vertical="center"/>
    </xf>
    <xf numFmtId="0" fontId="70" fillId="5" borderId="36" xfId="0" applyFont="1" applyFill="1" applyBorder="1" applyAlignment="1">
      <alignment horizontal="center" vertical="center"/>
    </xf>
    <xf numFmtId="0" fontId="62" fillId="0" borderId="240" xfId="0" applyFont="1" applyFill="1" applyBorder="1" applyAlignment="1" applyProtection="1">
      <alignment horizontal="center" vertical="center"/>
      <protection hidden="1"/>
    </xf>
    <xf numFmtId="176" fontId="52" fillId="5" borderId="172" xfId="0" applyNumberFormat="1" applyFont="1" applyFill="1" applyBorder="1" applyAlignment="1" applyProtection="1">
      <alignment horizontal="center" vertical="center"/>
    </xf>
    <xf numFmtId="176" fontId="52" fillId="5" borderId="66" xfId="0" applyNumberFormat="1" applyFont="1" applyFill="1" applyBorder="1" applyAlignment="1" applyProtection="1">
      <alignment horizontal="center" vertical="center"/>
    </xf>
    <xf numFmtId="0" fontId="62" fillId="3" borderId="242" xfId="0" applyFont="1" applyFill="1" applyBorder="1" applyAlignment="1" applyProtection="1">
      <alignment horizontal="center" vertical="center"/>
      <protection hidden="1"/>
    </xf>
    <xf numFmtId="0" fontId="62" fillId="3" borderId="243" xfId="0" applyFont="1" applyFill="1" applyBorder="1" applyAlignment="1" applyProtection="1">
      <alignment horizontal="center" vertical="center"/>
      <protection hidden="1"/>
    </xf>
    <xf numFmtId="0" fontId="57" fillId="6" borderId="101" xfId="0" applyFont="1" applyFill="1" applyBorder="1" applyAlignment="1">
      <alignment horizontal="center" vertical="center"/>
    </xf>
    <xf numFmtId="0" fontId="57" fillId="6" borderId="172" xfId="0" applyFont="1" applyFill="1" applyBorder="1" applyAlignment="1">
      <alignment horizontal="center" vertical="center"/>
    </xf>
    <xf numFmtId="0" fontId="57" fillId="6" borderId="15" xfId="0" applyFont="1" applyFill="1" applyBorder="1" applyAlignment="1">
      <alignment horizontal="center" vertical="center"/>
    </xf>
    <xf numFmtId="0" fontId="75" fillId="6" borderId="244" xfId="0" applyFont="1" applyFill="1" applyBorder="1" applyAlignment="1" applyProtection="1">
      <alignment horizontal="center" vertical="center" wrapText="1"/>
      <protection hidden="1"/>
    </xf>
    <xf numFmtId="0" fontId="75" fillId="6" borderId="245" xfId="0" applyFont="1" applyFill="1" applyBorder="1" applyAlignment="1" applyProtection="1">
      <alignment horizontal="center" vertical="center" wrapText="1"/>
      <protection hidden="1"/>
    </xf>
    <xf numFmtId="0" fontId="75" fillId="6" borderId="248" xfId="0" applyFont="1" applyFill="1" applyBorder="1" applyAlignment="1" applyProtection="1">
      <alignment horizontal="center" vertical="center" wrapText="1"/>
      <protection hidden="1"/>
    </xf>
    <xf numFmtId="0" fontId="75" fillId="6" borderId="249" xfId="0" applyFont="1" applyFill="1" applyBorder="1" applyAlignment="1" applyProtection="1">
      <alignment horizontal="center" vertical="center" wrapText="1"/>
      <protection hidden="1"/>
    </xf>
    <xf numFmtId="0" fontId="52" fillId="6" borderId="184" xfId="0" applyNumberFormat="1" applyFont="1" applyFill="1" applyBorder="1" applyAlignment="1">
      <alignment horizontal="center" vertical="center"/>
    </xf>
    <xf numFmtId="0" fontId="52" fillId="6" borderId="33" xfId="0" applyFont="1" applyFill="1" applyBorder="1" applyAlignment="1">
      <alignment horizontal="center" vertical="center" wrapText="1"/>
    </xf>
    <xf numFmtId="0" fontId="52" fillId="6" borderId="42" xfId="0" applyFont="1" applyFill="1" applyBorder="1" applyAlignment="1">
      <alignment horizontal="center" vertical="center" wrapText="1"/>
    </xf>
    <xf numFmtId="0" fontId="62" fillId="3" borderId="253" xfId="0" applyFont="1" applyFill="1" applyBorder="1" applyAlignment="1" applyProtection="1">
      <alignment horizontal="center" vertical="center"/>
      <protection hidden="1"/>
    </xf>
    <xf numFmtId="0" fontId="51" fillId="3" borderId="180" xfId="0" applyFont="1" applyFill="1" applyBorder="1" applyAlignment="1" applyProtection="1">
      <alignment horizontal="center" vertical="center"/>
      <protection locked="0"/>
    </xf>
    <xf numFmtId="0" fontId="51" fillId="3" borderId="1" xfId="0" applyFont="1" applyFill="1" applyBorder="1" applyAlignment="1" applyProtection="1">
      <alignment horizontal="center" vertical="center"/>
      <protection locked="0"/>
    </xf>
    <xf numFmtId="0" fontId="51" fillId="3" borderId="106" xfId="0" applyFont="1" applyFill="1" applyBorder="1" applyAlignment="1" applyProtection="1">
      <alignment horizontal="center" vertical="center"/>
      <protection locked="0"/>
    </xf>
    <xf numFmtId="0" fontId="74" fillId="6" borderId="54" xfId="0" applyFont="1" applyFill="1" applyBorder="1" applyAlignment="1" applyProtection="1">
      <alignment horizontal="center" vertical="center" wrapText="1"/>
      <protection hidden="1"/>
    </xf>
    <xf numFmtId="0" fontId="74" fillId="6" borderId="55" xfId="0" applyFont="1" applyFill="1" applyBorder="1" applyAlignment="1" applyProtection="1">
      <alignment horizontal="center" vertical="center" wrapText="1"/>
      <protection hidden="1"/>
    </xf>
    <xf numFmtId="0" fontId="74" fillId="6" borderId="182" xfId="0" applyFont="1" applyFill="1" applyBorder="1" applyAlignment="1" applyProtection="1">
      <alignment horizontal="center" vertical="center" wrapText="1"/>
      <protection hidden="1"/>
    </xf>
    <xf numFmtId="0" fontId="74" fillId="6" borderId="56" xfId="0" applyFont="1" applyFill="1" applyBorder="1" applyAlignment="1" applyProtection="1">
      <alignment horizontal="center" vertical="center" wrapText="1"/>
      <protection hidden="1"/>
    </xf>
    <xf numFmtId="0" fontId="74" fillId="6" borderId="0" xfId="0" applyFont="1" applyFill="1" applyBorder="1" applyAlignment="1" applyProtection="1">
      <alignment horizontal="center" vertical="center" wrapText="1"/>
      <protection hidden="1"/>
    </xf>
    <xf numFmtId="0" fontId="74" fillId="6" borderId="183" xfId="0" applyFont="1" applyFill="1" applyBorder="1" applyAlignment="1" applyProtection="1">
      <alignment horizontal="center" vertical="center" wrapText="1"/>
      <protection hidden="1"/>
    </xf>
    <xf numFmtId="0" fontId="74" fillId="6" borderId="180" xfId="0" applyFont="1" applyFill="1" applyBorder="1" applyAlignment="1" applyProtection="1">
      <alignment horizontal="center" vertical="center" wrapText="1"/>
      <protection hidden="1"/>
    </xf>
    <xf numFmtId="0" fontId="74" fillId="6" borderId="1" xfId="0" applyFont="1" applyFill="1" applyBorder="1" applyAlignment="1" applyProtection="1">
      <alignment horizontal="center" vertical="center" wrapText="1"/>
      <protection hidden="1"/>
    </xf>
    <xf numFmtId="0" fontId="74" fillId="6" borderId="106" xfId="0" applyFont="1" applyFill="1" applyBorder="1" applyAlignment="1" applyProtection="1">
      <alignment horizontal="center" vertical="center" wrapText="1"/>
      <protection hidden="1"/>
    </xf>
  </cellXfs>
  <cellStyles count="4">
    <cellStyle name="Euro" xfId="1"/>
    <cellStyle name="Lien hypertexte" xfId="2" builtinId="8"/>
    <cellStyle name="Monétaire 2" xfId="3"/>
    <cellStyle name="Normal" xfId="0" builtinId="0"/>
  </cellStyles>
  <dxfs count="43">
    <dxf>
      <font>
        <b/>
        <i/>
        <color rgb="FF0000D4"/>
      </font>
      <fill>
        <patternFill>
          <bgColor rgb="FFD8E4BC"/>
        </patternFill>
      </fill>
    </dxf>
    <dxf>
      <font>
        <b/>
        <i/>
        <color rgb="FF0000D4"/>
      </font>
      <fill>
        <patternFill>
          <bgColor rgb="FFD8E4BC"/>
        </patternFill>
      </fill>
    </dxf>
    <dxf>
      <font>
        <b/>
        <i/>
        <color rgb="FF0000D4"/>
      </font>
      <fill>
        <patternFill>
          <bgColor theme="6" tint="0.59996337778862885"/>
        </patternFill>
      </fill>
    </dxf>
    <dxf>
      <font>
        <b/>
        <i/>
        <color rgb="FF0000D4"/>
      </font>
      <fill>
        <patternFill>
          <bgColor rgb="FFD8E4BC"/>
        </patternFill>
      </fill>
    </dxf>
    <dxf>
      <font>
        <b/>
        <i/>
        <color rgb="FF0000D4"/>
      </font>
      <fill>
        <patternFill>
          <bgColor theme="6" tint="0.59996337778862885"/>
        </patternFill>
      </fill>
    </dxf>
    <dxf>
      <font>
        <b/>
        <i/>
        <color rgb="FF0000D4"/>
      </font>
      <fill>
        <patternFill>
          <bgColor rgb="FFD8E4BC"/>
        </patternFill>
      </fill>
    </dxf>
    <dxf>
      <font>
        <b/>
        <i/>
        <color rgb="FF0000D4"/>
      </font>
      <fill>
        <patternFill>
          <bgColor theme="6" tint="0.59996337778862885"/>
        </patternFill>
      </fill>
    </dxf>
    <dxf>
      <font>
        <b/>
        <i/>
        <color rgb="FF0000D4"/>
      </font>
      <fill>
        <patternFill>
          <bgColor rgb="FFD8E4BC"/>
        </patternFill>
      </fill>
    </dxf>
    <dxf>
      <font>
        <b/>
        <i/>
        <color rgb="FF0000D4"/>
      </font>
      <fill>
        <patternFill>
          <bgColor theme="6" tint="0.59996337778862885"/>
        </patternFill>
      </fill>
    </dxf>
    <dxf>
      <font>
        <b/>
        <i/>
        <color rgb="FF0000D4"/>
      </font>
      <fill>
        <patternFill>
          <bgColor rgb="FFD8E4BC"/>
        </patternFill>
      </fill>
    </dxf>
    <dxf>
      <font>
        <b/>
        <i/>
        <color rgb="FF0000D4"/>
      </font>
      <fill>
        <patternFill>
          <bgColor theme="6" tint="0.59996337778862885"/>
        </patternFill>
      </fill>
    </dxf>
    <dxf>
      <font>
        <b/>
        <i/>
        <u val="none"/>
        <color rgb="FF0000D4"/>
      </font>
      <fill>
        <patternFill>
          <bgColor rgb="FFFFEB9C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strike val="0"/>
        <color rgb="FFC00000"/>
      </font>
    </dxf>
    <dxf>
      <font>
        <b/>
        <i val="0"/>
        <color theme="1"/>
      </font>
      <fill>
        <patternFill>
          <bgColor rgb="FFD8E4BC"/>
        </patternFill>
      </fill>
    </dxf>
    <dxf>
      <font>
        <b/>
        <i val="0"/>
        <color theme="1"/>
      </font>
      <fill>
        <patternFill>
          <bgColor rgb="FFD8E4BC"/>
        </patternFill>
      </fill>
    </dxf>
    <dxf>
      <font>
        <b/>
        <i val="0"/>
        <color rgb="FF0000D4"/>
      </font>
      <fill>
        <patternFill>
          <bgColor rgb="FFFFC7CE"/>
        </patternFill>
      </fill>
    </dxf>
    <dxf>
      <font>
        <b/>
        <i/>
        <color rgb="FFD70000"/>
      </font>
      <fill>
        <patternFill>
          <bgColor theme="6" tint="0.59996337778862885"/>
        </patternFill>
      </fill>
    </dxf>
    <dxf>
      <font>
        <b/>
        <i/>
        <color rgb="FFD70000"/>
      </font>
      <fill>
        <patternFill>
          <bgColor theme="6" tint="0.59996337778862885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b/>
        <i/>
        <color rgb="FF0000D4"/>
      </font>
      <fill>
        <patternFill>
          <bgColor rgb="FFFFEB9C"/>
        </patternFill>
      </fill>
    </dxf>
    <dxf>
      <font>
        <strike val="0"/>
        <color rgb="FFC00000"/>
      </font>
    </dxf>
    <dxf>
      <font>
        <strike val="0"/>
        <color rgb="FFC00000"/>
      </font>
    </dxf>
    <dxf>
      <font>
        <b/>
        <i/>
        <color rgb="FF0000D4"/>
      </font>
      <fill>
        <patternFill>
          <bgColor rgb="FFFFEB9C"/>
        </patternFill>
      </fill>
    </dxf>
    <dxf>
      <font>
        <b/>
        <i val="0"/>
        <color theme="1"/>
      </font>
      <fill>
        <patternFill>
          <bgColor rgb="FFD8E4BC"/>
        </patternFill>
      </fill>
    </dxf>
    <dxf>
      <font>
        <b/>
        <i val="0"/>
        <color theme="1"/>
      </font>
      <fill>
        <patternFill>
          <bgColor rgb="FFD8E4BC"/>
        </patternFill>
      </fill>
    </dxf>
    <dxf>
      <font>
        <b/>
        <i/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CDCDCD"/>
        </patternFill>
      </fill>
    </dxf>
    <dxf>
      <font>
        <b/>
        <i val="0"/>
        <color rgb="FF0000D4"/>
      </font>
      <fill>
        <patternFill>
          <bgColor rgb="FFCDCDCD"/>
        </patternFill>
      </fill>
    </dxf>
    <dxf>
      <font>
        <color theme="1"/>
      </font>
      <fill>
        <patternFill>
          <bgColor rgb="FFCDCDCD"/>
        </patternFill>
      </fill>
    </dxf>
    <dxf>
      <font>
        <strike val="0"/>
        <color rgb="FF0000D4"/>
      </font>
      <fill>
        <patternFill>
          <bgColor rgb="FFC5D9F1"/>
        </patternFill>
      </fill>
    </dxf>
    <dxf>
      <font>
        <b/>
        <i/>
        <strike val="0"/>
        <color rgb="FF9C0006"/>
      </font>
      <fill>
        <patternFill>
          <bgColor rgb="FFFFC7CE"/>
        </patternFill>
      </fill>
    </dxf>
    <dxf>
      <font>
        <strike val="0"/>
        <color rgb="FFC00000"/>
      </font>
    </dxf>
    <dxf>
      <font>
        <color rgb="FF0000D4"/>
      </font>
      <fill>
        <patternFill>
          <bgColor theme="0" tint="-0.14996795556505021"/>
        </patternFill>
      </fill>
    </dxf>
    <dxf>
      <font>
        <b/>
        <i val="0"/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rgb="FF0000D4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af.fr/" TargetMode="External"/><Relationship Id="rId4" Type="http://schemas.openxmlformats.org/officeDocument/2006/relationships/hyperlink" Target="https://www.caf.fr/" TargetMode="External"/><Relationship Id="rId5" Type="http://schemas.openxmlformats.org/officeDocument/2006/relationships/hyperlink" Target="https://vacances-scolaires.education/zone-a/" TargetMode="External"/><Relationship Id="rId6" Type="http://schemas.openxmlformats.org/officeDocument/2006/relationships/hyperlink" Target="https://vacances-scolaires.education/zone-a/" TargetMode="External"/><Relationship Id="rId7" Type="http://schemas.openxmlformats.org/officeDocument/2006/relationships/hyperlink" Target="https://vacances-scolaires.education/zone-a/" TargetMode="External"/><Relationship Id="rId8" Type="http://schemas.openxmlformats.org/officeDocument/2006/relationships/hyperlink" Target="https://vacances-scolaires.education/zone-a/" TargetMode="External"/><Relationship Id="rId9" Type="http://schemas.openxmlformats.org/officeDocument/2006/relationships/vmlDrawing" Target="../drawings/vmlDrawing1.vml"/><Relationship Id="rId10" Type="http://schemas.openxmlformats.org/officeDocument/2006/relationships/comments" Target="../comments1.xml"/><Relationship Id="rId1" Type="http://schemas.openxmlformats.org/officeDocument/2006/relationships/hyperlink" Target="https://www.pajemploi.urssaf.fr/pajewebinfo/cms/sites/pajewebinfo/accueil/employeur-dassistante-maternelle/je-minforme/le-cout-de-la-garde.html" TargetMode="External"/><Relationship Id="rId2" Type="http://schemas.openxmlformats.org/officeDocument/2006/relationships/hyperlink" Target="https://www.pajemploi.urssaf.fr/pajewebinfo/cms/sites/pajewebinfo/accueil/employeur-dassistante-maternelle/je-minforme/le-cout-de-la-gard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rgb="FFFF0000"/>
    <pageSetUpPr fitToPage="1"/>
  </sheetPr>
  <dimension ref="B1:Q73"/>
  <sheetViews>
    <sheetView zoomScale="140" zoomScaleNormal="140" zoomScalePageLayoutView="140" workbookViewId="0">
      <selection activeCell="J11" sqref="J11:M11"/>
    </sheetView>
  </sheetViews>
  <sheetFormatPr baseColWidth="10" defaultRowHeight="13" x14ac:dyDescent="0.15"/>
  <cols>
    <col min="1" max="1" width="0.6640625" customWidth="1"/>
    <col min="2" max="2" width="5.83203125" customWidth="1"/>
    <col min="3" max="3" width="6.6640625" customWidth="1"/>
    <col min="4" max="4" width="2.5" customWidth="1"/>
    <col min="5" max="5" width="9.83203125" customWidth="1"/>
    <col min="6" max="6" width="11.33203125" customWidth="1"/>
    <col min="7" max="7" width="10.6640625" customWidth="1"/>
    <col min="8" max="8" width="9.5" customWidth="1"/>
    <col min="9" max="9" width="10.6640625" customWidth="1"/>
    <col min="10" max="10" width="8.1640625" customWidth="1"/>
    <col min="11" max="11" width="11.5" customWidth="1"/>
    <col min="12" max="12" width="11.83203125" customWidth="1"/>
    <col min="13" max="13" width="9.33203125" customWidth="1"/>
    <col min="14" max="14" width="11.5" customWidth="1"/>
    <col min="17" max="17" width="11.5" customWidth="1"/>
  </cols>
  <sheetData>
    <row r="1" spans="2:17" ht="3" customHeight="1" thickBot="1" x14ac:dyDescent="0.2"/>
    <row r="2" spans="2:17" ht="16" customHeight="1" x14ac:dyDescent="0.15">
      <c r="B2" s="481"/>
      <c r="D2" s="536" t="s">
        <v>105</v>
      </c>
      <c r="E2" s="537"/>
      <c r="F2" s="537"/>
      <c r="G2" s="537"/>
      <c r="H2" s="537"/>
      <c r="I2" s="538"/>
    </row>
    <row r="3" spans="2:17" ht="14" customHeight="1" thickBot="1" x14ac:dyDescent="0.2">
      <c r="D3" s="584" t="str">
        <f>"Période du "&amp;TEXT(Pointage!C6,"jj/mm/aaaa")&amp;" au "&amp;TEXT(EOMONTH(Pointage!C6,0),"jj/mm/aaaa")</f>
        <v>Période du 01/10/2022 au 31/10/2022</v>
      </c>
      <c r="E3" s="585"/>
      <c r="F3" s="585"/>
      <c r="G3" s="585"/>
      <c r="H3" s="585"/>
      <c r="I3" s="586"/>
      <c r="N3" s="6"/>
      <c r="Q3" s="11"/>
    </row>
    <row r="4" spans="2:17" ht="14" customHeight="1" x14ac:dyDescent="0.15">
      <c r="B4" s="36" t="s">
        <v>64</v>
      </c>
      <c r="C4" s="22" t="s">
        <v>65</v>
      </c>
      <c r="D4" s="4"/>
      <c r="E4" s="516" t="s">
        <v>53</v>
      </c>
      <c r="F4" s="516"/>
      <c r="G4" s="516"/>
      <c r="H4" s="516"/>
      <c r="I4" s="516"/>
      <c r="J4" s="516"/>
      <c r="K4" s="516"/>
      <c r="L4" s="516"/>
      <c r="M4" s="516"/>
      <c r="N4" s="6"/>
    </row>
    <row r="5" spans="2:17" ht="14" customHeight="1" thickBot="1" x14ac:dyDescent="0.2">
      <c r="B5" s="42">
        <f>Pointage!$C$6</f>
        <v>44835</v>
      </c>
      <c r="C5" s="67" t="str">
        <f>Pointage!L6</f>
        <v/>
      </c>
      <c r="D5" s="4"/>
      <c r="E5" s="516"/>
      <c r="F5" s="516"/>
      <c r="G5" s="516"/>
      <c r="H5" s="516"/>
      <c r="I5" s="516"/>
      <c r="J5" s="516"/>
      <c r="K5" s="516"/>
      <c r="L5" s="516"/>
      <c r="M5" s="516"/>
      <c r="N5" s="20"/>
      <c r="O5" s="2"/>
      <c r="P5" s="82"/>
    </row>
    <row r="6" spans="2:17" ht="14" customHeight="1" thickBot="1" x14ac:dyDescent="0.2">
      <c r="B6" s="42">
        <f>Pointage!C7</f>
        <v>44836</v>
      </c>
      <c r="C6" s="67" t="str">
        <f>Pointage!L7</f>
        <v>/</v>
      </c>
      <c r="D6" s="4"/>
      <c r="E6" s="523" t="s">
        <v>0</v>
      </c>
      <c r="F6" s="524"/>
      <c r="G6" s="524"/>
      <c r="H6" s="525"/>
      <c r="I6" s="6"/>
      <c r="J6" s="523" t="s">
        <v>1</v>
      </c>
      <c r="K6" s="524"/>
      <c r="L6" s="524"/>
      <c r="M6" s="525"/>
      <c r="N6" s="14"/>
      <c r="O6" s="1"/>
    </row>
    <row r="7" spans="2:17" ht="14" customHeight="1" x14ac:dyDescent="0.15">
      <c r="B7" s="42">
        <f>Pointage!C8</f>
        <v>44837</v>
      </c>
      <c r="C7" s="67" t="str">
        <f>Pointage!L8</f>
        <v/>
      </c>
      <c r="D7" s="4"/>
      <c r="E7" s="531" t="s">
        <v>235</v>
      </c>
      <c r="F7" s="529"/>
      <c r="G7" s="529"/>
      <c r="H7" s="530"/>
      <c r="I7" s="7"/>
      <c r="J7" s="528" t="s">
        <v>239</v>
      </c>
      <c r="K7" s="529"/>
      <c r="L7" s="529"/>
      <c r="M7" s="530"/>
      <c r="N7" s="14"/>
      <c r="O7" s="1"/>
    </row>
    <row r="8" spans="2:17" ht="14" customHeight="1" x14ac:dyDescent="0.15">
      <c r="B8" s="42">
        <f>Pointage!C9</f>
        <v>44838</v>
      </c>
      <c r="C8" s="67" t="str">
        <f>Pointage!L9</f>
        <v/>
      </c>
      <c r="D8" s="4"/>
      <c r="E8" s="517" t="s">
        <v>236</v>
      </c>
      <c r="F8" s="518"/>
      <c r="G8" s="518"/>
      <c r="H8" s="519"/>
      <c r="I8" s="7"/>
      <c r="J8" s="517" t="s">
        <v>236</v>
      </c>
      <c r="K8" s="518"/>
      <c r="L8" s="518"/>
      <c r="M8" s="519"/>
      <c r="N8" s="12"/>
      <c r="O8" s="1"/>
    </row>
    <row r="9" spans="2:17" ht="14" customHeight="1" x14ac:dyDescent="0.15">
      <c r="B9" s="42">
        <f>Pointage!C10</f>
        <v>44839</v>
      </c>
      <c r="C9" s="67" t="str">
        <f>Pointage!L10</f>
        <v/>
      </c>
      <c r="D9" s="4"/>
      <c r="E9" s="517" t="s">
        <v>237</v>
      </c>
      <c r="F9" s="518"/>
      <c r="G9" s="518"/>
      <c r="H9" s="519"/>
      <c r="I9" s="7"/>
      <c r="J9" s="517" t="s">
        <v>237</v>
      </c>
      <c r="K9" s="518"/>
      <c r="L9" s="518"/>
      <c r="M9" s="519"/>
      <c r="N9" s="13"/>
      <c r="O9" s="1"/>
    </row>
    <row r="10" spans="2:17" ht="14" customHeight="1" x14ac:dyDescent="0.15">
      <c r="B10" s="42">
        <f>Pointage!C11</f>
        <v>44840</v>
      </c>
      <c r="C10" s="67" t="str">
        <f>Pointage!L11</f>
        <v/>
      </c>
      <c r="D10" s="4"/>
      <c r="E10" s="517" t="s">
        <v>106</v>
      </c>
      <c r="F10" s="518"/>
      <c r="G10" s="518"/>
      <c r="H10" s="519"/>
      <c r="I10" s="7"/>
      <c r="J10" s="517" t="s">
        <v>240</v>
      </c>
      <c r="K10" s="518"/>
      <c r="L10" s="518"/>
      <c r="M10" s="519"/>
      <c r="N10" s="13"/>
      <c r="O10" s="1"/>
    </row>
    <row r="11" spans="2:17" ht="14" customHeight="1" thickBot="1" x14ac:dyDescent="0.2">
      <c r="B11" s="42">
        <f>Pointage!C12</f>
        <v>44841</v>
      </c>
      <c r="C11" s="67" t="str">
        <f>Pointage!L12</f>
        <v/>
      </c>
      <c r="D11" s="4"/>
      <c r="E11" s="520" t="s">
        <v>238</v>
      </c>
      <c r="F11" s="521"/>
      <c r="G11" s="521"/>
      <c r="H11" s="522"/>
      <c r="I11" s="229"/>
      <c r="J11" s="520" t="s">
        <v>241</v>
      </c>
      <c r="K11" s="521"/>
      <c r="L11" s="521"/>
      <c r="M11" s="522"/>
      <c r="N11" s="5"/>
    </row>
    <row r="12" spans="2:17" ht="14" customHeight="1" x14ac:dyDescent="0.15">
      <c r="B12" s="42">
        <f>Pointage!C13</f>
        <v>44842</v>
      </c>
      <c r="C12" s="67" t="str">
        <f>Pointage!L13</f>
        <v/>
      </c>
      <c r="D12" s="4"/>
      <c r="E12" s="587" t="s">
        <v>63</v>
      </c>
      <c r="F12" s="587"/>
      <c r="G12" s="587"/>
      <c r="H12" s="587"/>
      <c r="I12" s="587"/>
      <c r="J12" s="587"/>
      <c r="K12" s="587"/>
      <c r="L12" s="587"/>
      <c r="M12" s="587"/>
      <c r="N12" s="5"/>
    </row>
    <row r="13" spans="2:17" ht="14" customHeight="1" x14ac:dyDescent="0.15">
      <c r="B13" s="42">
        <f>Pointage!C14</f>
        <v>44843</v>
      </c>
      <c r="C13" s="67" t="str">
        <f>Pointage!L14</f>
        <v>/</v>
      </c>
      <c r="D13" s="4"/>
      <c r="E13" s="577" t="s">
        <v>92</v>
      </c>
      <c r="F13" s="577"/>
      <c r="G13" s="577"/>
      <c r="H13" s="577"/>
      <c r="I13" s="577"/>
      <c r="J13" s="578" t="s">
        <v>66</v>
      </c>
      <c r="K13" s="578"/>
      <c r="L13" s="578"/>
      <c r="M13" s="578"/>
      <c r="N13" s="5"/>
    </row>
    <row r="14" spans="2:17" ht="14" customHeight="1" x14ac:dyDescent="0.15">
      <c r="B14" s="42">
        <f>Pointage!C15</f>
        <v>44844</v>
      </c>
      <c r="C14" s="67" t="str">
        <f>Pointage!L15</f>
        <v/>
      </c>
      <c r="D14" s="4"/>
      <c r="E14" s="576" t="str">
        <f>IF($J$63&gt;0.00001,"Congés du : "&amp;(Pointage!$Y$22)&amp;" inclus",IF($E$28="- AT -","Arrêt de Travail du : "&amp;TEXT(Pointage!$I$59,"jj/mm/aaaa")&amp;" au "&amp;TEXT(Pointage!$L$59,"jj/mm/aaaa")&amp;" inclus","Congés du :"))</f>
        <v>Congés du :</v>
      </c>
      <c r="F14" s="576"/>
      <c r="G14" s="576"/>
      <c r="H14" s="576"/>
      <c r="I14" s="576"/>
      <c r="J14" s="111"/>
      <c r="K14" s="111"/>
      <c r="L14" s="111"/>
      <c r="M14" s="111"/>
      <c r="N14" s="6"/>
    </row>
    <row r="15" spans="2:17" ht="14" customHeight="1" thickBot="1" x14ac:dyDescent="0.2">
      <c r="B15" s="42">
        <f>Pointage!C16</f>
        <v>44845</v>
      </c>
      <c r="C15" s="67" t="str">
        <f>Pointage!L16</f>
        <v/>
      </c>
      <c r="D15" s="4"/>
      <c r="E15" s="112"/>
      <c r="F15" s="112"/>
      <c r="G15" s="112"/>
      <c r="H15" s="112"/>
      <c r="I15" s="112"/>
      <c r="J15" s="112"/>
      <c r="K15" s="112"/>
      <c r="L15" s="112"/>
      <c r="M15" s="112"/>
      <c r="N15" s="6"/>
    </row>
    <row r="16" spans="2:17" ht="14" customHeight="1" x14ac:dyDescent="0.15">
      <c r="B16" s="42">
        <f>Pointage!C17</f>
        <v>44846</v>
      </c>
      <c r="C16" s="67" t="str">
        <f>Pointage!L17</f>
        <v/>
      </c>
      <c r="D16" s="4"/>
      <c r="E16" s="497" t="s">
        <v>2</v>
      </c>
      <c r="F16" s="498"/>
      <c r="G16" s="498"/>
      <c r="H16" s="499"/>
      <c r="I16" s="588" t="s">
        <v>11</v>
      </c>
      <c r="J16" s="505"/>
      <c r="K16" s="35" t="s">
        <v>10</v>
      </c>
      <c r="L16" s="22" t="s">
        <v>5</v>
      </c>
      <c r="M16" s="6"/>
      <c r="N16" s="6"/>
    </row>
    <row r="17" spans="2:16" ht="14" customHeight="1" x14ac:dyDescent="0.15">
      <c r="B17" s="42">
        <f>Pointage!C18</f>
        <v>44847</v>
      </c>
      <c r="C17" s="67" t="str">
        <f>Pointage!L18</f>
        <v/>
      </c>
      <c r="D17" s="4"/>
      <c r="E17" s="579" t="s">
        <v>36</v>
      </c>
      <c r="F17" s="580"/>
      <c r="G17" s="580"/>
      <c r="H17" s="581"/>
      <c r="I17" s="532">
        <f>Pointage!M51</f>
        <v>1.2916666666666667</v>
      </c>
      <c r="J17" s="533"/>
      <c r="K17" s="543">
        <f>IF(ISBLANK(Pointage!N51), "0",Pointage!N51)</f>
        <v>3.91</v>
      </c>
      <c r="L17" s="526">
        <f>PRODUCT(I17*K17)*24</f>
        <v>121.21000000000001</v>
      </c>
      <c r="M17" s="6"/>
      <c r="N17" s="6"/>
    </row>
    <row r="18" spans="2:16" ht="14" customHeight="1" x14ac:dyDescent="0.15">
      <c r="B18" s="42">
        <f>Pointage!C19</f>
        <v>44848</v>
      </c>
      <c r="C18" s="67" t="str">
        <f>Pointage!L19</f>
        <v/>
      </c>
      <c r="D18" s="4"/>
      <c r="E18" s="508" t="s">
        <v>15</v>
      </c>
      <c r="F18" s="509"/>
      <c r="G18" s="509"/>
      <c r="H18" s="510"/>
      <c r="I18" s="534"/>
      <c r="J18" s="535"/>
      <c r="K18" s="544"/>
      <c r="L18" s="527"/>
      <c r="M18" s="15"/>
      <c r="N18" s="6"/>
    </row>
    <row r="19" spans="2:16" ht="14" customHeight="1" x14ac:dyDescent="0.15">
      <c r="B19" s="42">
        <f>Pointage!C20</f>
        <v>44849</v>
      </c>
      <c r="C19" s="67" t="str">
        <f>Pointage!L20</f>
        <v/>
      </c>
      <c r="D19" s="4"/>
      <c r="E19" s="16"/>
      <c r="F19" s="7"/>
      <c r="G19" s="7"/>
      <c r="H19" s="7"/>
      <c r="I19" s="9"/>
      <c r="J19" s="9"/>
      <c r="K19" s="9"/>
      <c r="L19" s="17"/>
      <c r="M19" s="6"/>
      <c r="N19" s="6"/>
    </row>
    <row r="20" spans="2:16" ht="14" customHeight="1" x14ac:dyDescent="0.15">
      <c r="B20" s="42">
        <f>Pointage!C21</f>
        <v>44850</v>
      </c>
      <c r="C20" s="67" t="str">
        <f>Pointage!L21</f>
        <v>/</v>
      </c>
      <c r="D20" s="4"/>
      <c r="E20" s="579" t="s">
        <v>16</v>
      </c>
      <c r="F20" s="580"/>
      <c r="G20" s="580"/>
      <c r="H20" s="581"/>
      <c r="I20" s="589" t="str">
        <f>Pointage!M54</f>
        <v>0</v>
      </c>
      <c r="J20" s="590"/>
      <c r="K20" s="582">
        <f>IF(ISBLANK(Pointage!N54), "0",Pointage!N54)</f>
        <v>3.91</v>
      </c>
      <c r="L20" s="526">
        <f>PRODUCT(I20*K20)*24</f>
        <v>0</v>
      </c>
      <c r="M20" s="6"/>
      <c r="N20" s="6"/>
    </row>
    <row r="21" spans="2:16" ht="14" customHeight="1" x14ac:dyDescent="0.15">
      <c r="B21" s="42">
        <f>Pointage!C22</f>
        <v>44851</v>
      </c>
      <c r="C21" s="67" t="str">
        <f>Pointage!L22</f>
        <v/>
      </c>
      <c r="D21" s="4"/>
      <c r="E21" s="508" t="s">
        <v>15</v>
      </c>
      <c r="F21" s="509"/>
      <c r="G21" s="509"/>
      <c r="H21" s="510"/>
      <c r="I21" s="591"/>
      <c r="J21" s="592"/>
      <c r="K21" s="583"/>
      <c r="L21" s="527"/>
      <c r="M21" s="6"/>
      <c r="N21" s="6"/>
    </row>
    <row r="22" spans="2:16" ht="14" customHeight="1" x14ac:dyDescent="0.15">
      <c r="B22" s="42">
        <f>Pointage!C23</f>
        <v>44852</v>
      </c>
      <c r="C22" s="67" t="str">
        <f>Pointage!L23</f>
        <v/>
      </c>
      <c r="D22" s="4"/>
      <c r="E22" s="16"/>
      <c r="F22" s="7"/>
      <c r="G22" s="7"/>
      <c r="H22" s="7"/>
      <c r="I22" s="9"/>
      <c r="J22" s="9"/>
      <c r="K22" s="8"/>
      <c r="L22" s="18"/>
      <c r="M22" s="6"/>
      <c r="N22" s="6"/>
    </row>
    <row r="23" spans="2:16" ht="14" customHeight="1" x14ac:dyDescent="0.15">
      <c r="B23" s="42">
        <f>Pointage!C24</f>
        <v>44853</v>
      </c>
      <c r="C23" s="67" t="str">
        <f>Pointage!L24</f>
        <v/>
      </c>
      <c r="D23" s="4"/>
      <c r="E23" s="579" t="s">
        <v>37</v>
      </c>
      <c r="F23" s="580"/>
      <c r="G23" s="580"/>
      <c r="H23" s="581"/>
      <c r="I23" s="539">
        <f>Pointage!M55</f>
        <v>0</v>
      </c>
      <c r="J23" s="540"/>
      <c r="K23" s="582">
        <f>IF(ISBLANK(Pointage!N55), "0",Pointage!N55)</f>
        <v>3.91</v>
      </c>
      <c r="L23" s="526">
        <f>PRODUCT(I23*K23)*24</f>
        <v>0</v>
      </c>
      <c r="M23" s="6"/>
      <c r="N23" s="6"/>
    </row>
    <row r="24" spans="2:16" ht="14" customHeight="1" x14ac:dyDescent="0.15">
      <c r="B24" s="42">
        <f>Pointage!C25</f>
        <v>44854</v>
      </c>
      <c r="C24" s="67" t="str">
        <f>Pointage!L25</f>
        <v/>
      </c>
      <c r="D24" s="4"/>
      <c r="E24" s="508" t="s">
        <v>15</v>
      </c>
      <c r="F24" s="509"/>
      <c r="G24" s="509"/>
      <c r="H24" s="510"/>
      <c r="I24" s="541"/>
      <c r="J24" s="542"/>
      <c r="K24" s="583"/>
      <c r="L24" s="527"/>
      <c r="M24" s="6"/>
      <c r="N24" s="6"/>
    </row>
    <row r="25" spans="2:16" ht="14" customHeight="1" x14ac:dyDescent="0.15">
      <c r="B25" s="42">
        <f>Pointage!C26</f>
        <v>44855</v>
      </c>
      <c r="C25" s="67" t="str">
        <f>Pointage!L26</f>
        <v/>
      </c>
      <c r="D25" s="4"/>
      <c r="E25" s="16"/>
      <c r="F25" s="7"/>
      <c r="G25" s="7"/>
      <c r="H25" s="7"/>
      <c r="I25" s="9"/>
      <c r="J25" s="9"/>
      <c r="K25" s="8"/>
      <c r="L25" s="18"/>
      <c r="M25" s="6"/>
      <c r="N25" s="6"/>
    </row>
    <row r="26" spans="2:16" ht="14" customHeight="1" x14ac:dyDescent="0.15">
      <c r="B26" s="42">
        <f>Pointage!C27</f>
        <v>44856</v>
      </c>
      <c r="C26" s="67" t="str">
        <f>Pointage!L27</f>
        <v/>
      </c>
      <c r="D26" s="4"/>
      <c r="E26" s="579" t="s">
        <v>3</v>
      </c>
      <c r="F26" s="593"/>
      <c r="G26" s="593"/>
      <c r="H26" s="594"/>
      <c r="I26" s="539">
        <f>Pointage!M56</f>
        <v>0</v>
      </c>
      <c r="J26" s="540"/>
      <c r="K26" s="582">
        <f>IF(ISBLANK(Pointage!N56), "0",Pointage!N56)</f>
        <v>3.91</v>
      </c>
      <c r="L26" s="526">
        <f>PRODUCT(I26*K26)*24</f>
        <v>0</v>
      </c>
      <c r="M26" s="6"/>
      <c r="N26" s="6"/>
    </row>
    <row r="27" spans="2:16" ht="14" customHeight="1" x14ac:dyDescent="0.15">
      <c r="B27" s="42">
        <f>Pointage!C28</f>
        <v>44857</v>
      </c>
      <c r="C27" s="67" t="str">
        <f>Pointage!L28</f>
        <v>/</v>
      </c>
      <c r="D27" s="4"/>
      <c r="E27" s="508" t="s">
        <v>15</v>
      </c>
      <c r="F27" s="509"/>
      <c r="G27" s="509"/>
      <c r="H27" s="510"/>
      <c r="I27" s="541"/>
      <c r="J27" s="542"/>
      <c r="K27" s="583"/>
      <c r="L27" s="527"/>
      <c r="M27" s="6"/>
      <c r="N27" s="6"/>
    </row>
    <row r="28" spans="2:16" ht="14" customHeight="1" x14ac:dyDescent="0.15">
      <c r="B28" s="42">
        <f>Pointage!C29</f>
        <v>44858</v>
      </c>
      <c r="C28" s="67" t="str">
        <f>Pointage!L29</f>
        <v/>
      </c>
      <c r="D28" s="4"/>
      <c r="E28" s="209" t="str">
        <f>IF(Pointage!M58&gt;0.00000001,"- AT -","")</f>
        <v/>
      </c>
      <c r="F28" s="552" t="str">
        <f>IF(Pointage!M58&gt;0.00000001," Arrêt de Travail "&amp;"("&amp;Pointage!M58&amp;" "&amp;"jours)","                 Absence")</f>
        <v xml:space="preserve">                 Absence</v>
      </c>
      <c r="G28" s="552"/>
      <c r="H28" s="553"/>
      <c r="I28" s="547" t="str">
        <f>IF(Pointage!M58&gt;0.000000001,(Pointage!N58/'Bulletin de Paie'!K28),"0")</f>
        <v>0</v>
      </c>
      <c r="J28" s="548"/>
      <c r="K28" s="100">
        <f>K17</f>
        <v>3.91</v>
      </c>
      <c r="L28" s="116">
        <f>PRODUCT(I28*K28)</f>
        <v>0</v>
      </c>
      <c r="M28" s="6"/>
      <c r="N28" s="6"/>
    </row>
    <row r="29" spans="2:16" ht="14" customHeight="1" x14ac:dyDescent="0.15">
      <c r="B29" s="42">
        <f>Pointage!C30</f>
        <v>44859</v>
      </c>
      <c r="C29" s="67" t="str">
        <f>Pointage!L30</f>
        <v/>
      </c>
      <c r="D29" s="4"/>
      <c r="E29" s="556" t="str">
        <f>IF(J63&gt;0.00001,"Indemnité de Congés Payés "&amp;"("&amp;J63&amp;" "&amp;"jours)","Indemnité de Congés Payés")</f>
        <v>Indemnité de Congés Payés</v>
      </c>
      <c r="F29" s="557"/>
      <c r="G29" s="557"/>
      <c r="H29" s="558"/>
      <c r="I29" s="554">
        <f>J63</f>
        <v>0</v>
      </c>
      <c r="J29" s="555"/>
      <c r="K29" s="175" t="str">
        <f>IF(L29&gt;0.00001,L29/I29,"")</f>
        <v/>
      </c>
      <c r="L29" s="23">
        <f>Pointage!Y26</f>
        <v>0</v>
      </c>
      <c r="M29" s="6"/>
      <c r="N29" s="6"/>
    </row>
    <row r="30" spans="2:16" ht="14" customHeight="1" thickBot="1" x14ac:dyDescent="0.2">
      <c r="B30" s="42">
        <f>Pointage!C31</f>
        <v>44860</v>
      </c>
      <c r="C30" s="67" t="str">
        <f>Pointage!L31</f>
        <v/>
      </c>
      <c r="D30" s="4"/>
      <c r="E30" s="549" t="s">
        <v>144</v>
      </c>
      <c r="F30" s="550"/>
      <c r="G30" s="550"/>
      <c r="H30" s="551"/>
      <c r="I30" s="545"/>
      <c r="J30" s="546"/>
      <c r="K30" s="30"/>
      <c r="L30" s="37">
        <v>0</v>
      </c>
      <c r="M30" s="6"/>
      <c r="N30" s="7"/>
    </row>
    <row r="31" spans="2:16" ht="14" customHeight="1" thickBot="1" x14ac:dyDescent="0.2">
      <c r="B31" s="42">
        <f>Pointage!C32</f>
        <v>44861</v>
      </c>
      <c r="C31" s="67" t="str">
        <f>Pointage!L32</f>
        <v/>
      </c>
      <c r="D31" s="4"/>
      <c r="E31" s="511" t="s">
        <v>4</v>
      </c>
      <c r="F31" s="512"/>
      <c r="G31" s="512"/>
      <c r="H31" s="512"/>
      <c r="I31" s="512"/>
      <c r="J31" s="512"/>
      <c r="K31" s="513"/>
      <c r="L31" s="96">
        <f>SUM(L17+L20+L23+L26+L29+L30)-L28</f>
        <v>121.21000000000001</v>
      </c>
      <c r="M31" s="7"/>
      <c r="N31" s="6"/>
    </row>
    <row r="32" spans="2:16" ht="14" customHeight="1" thickBot="1" x14ac:dyDescent="0.2">
      <c r="B32" s="42">
        <f>Pointage!C33</f>
        <v>44862</v>
      </c>
      <c r="C32" s="67" t="str">
        <f>Pointage!L33</f>
        <v/>
      </c>
      <c r="D32" s="4"/>
      <c r="E32" s="6"/>
      <c r="F32" s="6"/>
      <c r="G32" s="6"/>
      <c r="H32" s="6"/>
      <c r="I32" s="6"/>
      <c r="J32" s="6"/>
      <c r="K32" s="6"/>
      <c r="L32" s="6"/>
      <c r="M32" s="6"/>
      <c r="N32" s="29"/>
      <c r="O32" s="29"/>
      <c r="P32" s="29"/>
    </row>
    <row r="33" spans="2:16" ht="14" customHeight="1" x14ac:dyDescent="0.15">
      <c r="B33" s="42">
        <f>Pointage!C34</f>
        <v>44863</v>
      </c>
      <c r="C33" s="67" t="str">
        <f>Pointage!L34</f>
        <v/>
      </c>
      <c r="D33" s="4"/>
      <c r="E33" s="497" t="s">
        <v>55</v>
      </c>
      <c r="F33" s="498"/>
      <c r="G33" s="498"/>
      <c r="H33" s="499"/>
      <c r="I33" s="588" t="s">
        <v>11</v>
      </c>
      <c r="J33" s="505"/>
      <c r="K33" s="38" t="s">
        <v>49</v>
      </c>
      <c r="L33" s="22" t="s">
        <v>5</v>
      </c>
      <c r="M33" s="5"/>
      <c r="N33" s="29"/>
      <c r="O33" s="29"/>
      <c r="P33" s="29"/>
    </row>
    <row r="34" spans="2:16" ht="14" customHeight="1" x14ac:dyDescent="0.15">
      <c r="B34" s="42">
        <f>Pointage!C35</f>
        <v>44864</v>
      </c>
      <c r="C34" s="67" t="str">
        <f>Pointage!L35</f>
        <v>/</v>
      </c>
      <c r="D34" s="5"/>
      <c r="E34" s="608" t="str">
        <f>Pointage!C51</f>
        <v>Vieillesse sur la totalité de la rémunération</v>
      </c>
      <c r="F34" s="609"/>
      <c r="G34" s="609"/>
      <c r="H34" s="610"/>
      <c r="I34" s="500">
        <f>L31</f>
        <v>121.21000000000001</v>
      </c>
      <c r="J34" s="501"/>
      <c r="K34" s="40">
        <f>Pointage!G51</f>
        <v>4.0000000000000001E-3</v>
      </c>
      <c r="L34" s="23">
        <f t="shared" ref="L34:L42" si="0">PRODUCT(I34*K34)</f>
        <v>0.48484000000000005</v>
      </c>
      <c r="M34" s="5"/>
      <c r="N34" s="29"/>
      <c r="O34" s="29"/>
      <c r="P34" s="29"/>
    </row>
    <row r="35" spans="2:16" ht="14" customHeight="1" thickBot="1" x14ac:dyDescent="0.2">
      <c r="B35" s="43">
        <f>Pointage!C36</f>
        <v>44865</v>
      </c>
      <c r="C35" s="68" t="str">
        <f>Pointage!L36</f>
        <v/>
      </c>
      <c r="D35" s="5"/>
      <c r="E35" s="492" t="str">
        <f>Pointage!C52</f>
        <v>Vieillesse dans la limite du plafond</v>
      </c>
      <c r="F35" s="493"/>
      <c r="G35" s="493"/>
      <c r="H35" s="494"/>
      <c r="I35" s="502">
        <f>L31</f>
        <v>121.21000000000001</v>
      </c>
      <c r="J35" s="503"/>
      <c r="K35" s="40">
        <f>Pointage!G52</f>
        <v>6.9000000000000006E-2</v>
      </c>
      <c r="L35" s="23">
        <f t="shared" si="0"/>
        <v>8.3634900000000005</v>
      </c>
      <c r="M35" s="5"/>
      <c r="N35" s="29"/>
      <c r="O35" s="29"/>
      <c r="P35" s="29"/>
    </row>
    <row r="36" spans="2:16" ht="14" customHeight="1" x14ac:dyDescent="0.15">
      <c r="B36" s="5"/>
      <c r="C36" s="5"/>
      <c r="D36" s="5"/>
      <c r="E36" s="492" t="str">
        <f>Pointage!C53</f>
        <v>IRCEM - Prevoyance</v>
      </c>
      <c r="F36" s="493"/>
      <c r="G36" s="493"/>
      <c r="H36" s="494"/>
      <c r="I36" s="502">
        <f>L31</f>
        <v>121.21000000000001</v>
      </c>
      <c r="J36" s="503"/>
      <c r="K36" s="40">
        <f>Pointage!G53</f>
        <v>1.04E-2</v>
      </c>
      <c r="L36" s="23">
        <f>PRODUCT(I36*K36)</f>
        <v>1.2605839999999999</v>
      </c>
      <c r="M36" s="5"/>
      <c r="N36" s="29"/>
      <c r="O36" s="29"/>
      <c r="P36" s="29"/>
    </row>
    <row r="37" spans="2:16" ht="14" customHeight="1" x14ac:dyDescent="0.15">
      <c r="B37" s="5"/>
      <c r="C37" s="5"/>
      <c r="D37" s="5"/>
      <c r="E37" s="492" t="str">
        <f>Pointage!C54</f>
        <v>Ircem retraite complémentaire tranche 1</v>
      </c>
      <c r="F37" s="493"/>
      <c r="G37" s="493"/>
      <c r="H37" s="494"/>
      <c r="I37" s="502">
        <f>L31</f>
        <v>121.21000000000001</v>
      </c>
      <c r="J37" s="503"/>
      <c r="K37" s="40">
        <f>Pointage!G54</f>
        <v>3.15E-2</v>
      </c>
      <c r="L37" s="23">
        <f>PRODUCT(I37*K37)</f>
        <v>3.8181150000000001</v>
      </c>
      <c r="M37" s="5"/>
      <c r="N37" s="29"/>
      <c r="O37" s="29"/>
      <c r="P37" s="29"/>
    </row>
    <row r="38" spans="2:16" ht="14" customHeight="1" x14ac:dyDescent="0.15">
      <c r="B38" s="5"/>
      <c r="C38" s="5"/>
      <c r="D38" s="5"/>
      <c r="E38" s="492" t="str">
        <f>Pointage!C55</f>
        <v>Contribution d'équilibre générale tranche 1</v>
      </c>
      <c r="F38" s="493"/>
      <c r="G38" s="493"/>
      <c r="H38" s="494"/>
      <c r="I38" s="502">
        <f>L31</f>
        <v>121.21000000000001</v>
      </c>
      <c r="J38" s="503"/>
      <c r="K38" s="40">
        <f>Pointage!G55</f>
        <v>8.6E-3</v>
      </c>
      <c r="L38" s="23">
        <f>PRODUCT(I38*K38)</f>
        <v>1.0424060000000002</v>
      </c>
      <c r="M38" s="5"/>
      <c r="N38" s="29"/>
      <c r="O38" s="29"/>
      <c r="P38" s="29"/>
    </row>
    <row r="39" spans="2:16" ht="14" customHeight="1" x14ac:dyDescent="0.15">
      <c r="B39" s="5"/>
      <c r="C39" s="5"/>
      <c r="D39" s="5"/>
      <c r="E39" s="492" t="str">
        <f>Pointage!C59</f>
        <v>Exonération de cotisations sur HC/HS/HM</v>
      </c>
      <c r="F39" s="493"/>
      <c r="G39" s="493"/>
      <c r="H39" s="494"/>
      <c r="I39" s="502">
        <f>L20+L23</f>
        <v>0</v>
      </c>
      <c r="J39" s="503"/>
      <c r="K39" s="40">
        <f>Pointage!G59</f>
        <v>0.11310000000000001</v>
      </c>
      <c r="L39" s="23">
        <f>PRODUCT(I39*K39)</f>
        <v>0</v>
      </c>
      <c r="M39" s="5"/>
      <c r="N39" s="29"/>
      <c r="O39" s="29"/>
      <c r="P39" s="29"/>
    </row>
    <row r="40" spans="2:16" ht="14" customHeight="1" x14ac:dyDescent="0.15">
      <c r="B40" s="5"/>
      <c r="C40" s="5"/>
      <c r="D40" s="5"/>
      <c r="E40" s="600" t="str">
        <f>Pointage!C56</f>
        <v xml:space="preserve"> Salaire BRUT à 98,25%</v>
      </c>
      <c r="F40" s="601"/>
      <c r="G40" s="601"/>
      <c r="H40" s="602"/>
      <c r="I40" s="514">
        <f>L31</f>
        <v>121.21000000000001</v>
      </c>
      <c r="J40" s="515"/>
      <c r="K40" s="46">
        <f>Pointage!G56</f>
        <v>0.98250000000000004</v>
      </c>
      <c r="L40" s="47">
        <f t="shared" si="0"/>
        <v>119.08882500000001</v>
      </c>
      <c r="M40" s="5"/>
      <c r="N40" s="29"/>
      <c r="O40" s="29"/>
      <c r="P40" s="29"/>
    </row>
    <row r="41" spans="2:16" ht="14" customHeight="1" x14ac:dyDescent="0.15">
      <c r="B41" s="5"/>
      <c r="C41" s="5"/>
      <c r="D41" s="5"/>
      <c r="E41" s="495" t="str">
        <f>Pointage!C57</f>
        <v>C.S.G (partie non imposable)</v>
      </c>
      <c r="F41" s="496"/>
      <c r="G41" s="496"/>
      <c r="H41" s="496"/>
      <c r="I41" s="502">
        <f>L40</f>
        <v>119.08882500000001</v>
      </c>
      <c r="J41" s="503"/>
      <c r="K41" s="40">
        <f>Pointage!G57</f>
        <v>6.8000000000000005E-2</v>
      </c>
      <c r="L41" s="23">
        <f t="shared" si="0"/>
        <v>8.0980401000000022</v>
      </c>
      <c r="M41" s="5"/>
      <c r="N41" s="29"/>
      <c r="O41" s="29"/>
      <c r="P41" s="29"/>
    </row>
    <row r="42" spans="2:16" ht="14" customHeight="1" x14ac:dyDescent="0.15">
      <c r="B42" s="5"/>
      <c r="C42" s="5"/>
      <c r="D42" s="5"/>
      <c r="E42" s="495" t="str">
        <f>Pointage!C58</f>
        <v>C.S.G/C.R.D.S (partie imposable) (a)</v>
      </c>
      <c r="F42" s="496"/>
      <c r="G42" s="496"/>
      <c r="H42" s="496"/>
      <c r="I42" s="502">
        <f>L40</f>
        <v>119.08882500000001</v>
      </c>
      <c r="J42" s="503"/>
      <c r="K42" s="41">
        <f>Pointage!G58</f>
        <v>2.9000000000000001E-2</v>
      </c>
      <c r="L42" s="23">
        <f t="shared" si="0"/>
        <v>3.4535759250000004</v>
      </c>
      <c r="M42" s="5"/>
      <c r="N42" s="6"/>
    </row>
    <row r="43" spans="2:16" ht="14" customHeight="1" x14ac:dyDescent="0.15">
      <c r="B43" s="5"/>
      <c r="C43" s="5"/>
      <c r="D43" s="5"/>
      <c r="E43" s="600" t="s">
        <v>228</v>
      </c>
      <c r="F43" s="601"/>
      <c r="G43" s="601"/>
      <c r="H43" s="601"/>
      <c r="I43" s="601"/>
      <c r="J43" s="601"/>
      <c r="K43" s="602"/>
      <c r="L43" s="478">
        <f>SUM(L34+L35+L36+L37+L38+L41+L42-L39)</f>
        <v>26.521051025000002</v>
      </c>
      <c r="M43" s="6"/>
      <c r="N43" s="6"/>
    </row>
    <row r="44" spans="2:16" ht="14" customHeight="1" thickBot="1" x14ac:dyDescent="0.2">
      <c r="B44" s="5"/>
      <c r="C44" s="5"/>
      <c r="D44" s="5"/>
      <c r="E44" s="489" t="s">
        <v>229</v>
      </c>
      <c r="F44" s="490"/>
      <c r="G44" s="490"/>
      <c r="H44" s="490"/>
      <c r="I44" s="490"/>
      <c r="J44" s="490"/>
      <c r="K44" s="491"/>
      <c r="L44" s="44">
        <f>Pointage!H82</f>
        <v>51.909394600000006</v>
      </c>
      <c r="M44" s="7"/>
      <c r="N44" s="6"/>
    </row>
    <row r="45" spans="2:16" ht="14" customHeight="1" thickBot="1" x14ac:dyDescent="0.2">
      <c r="B45" s="5"/>
      <c r="C45" s="5"/>
      <c r="D45" s="5"/>
      <c r="E45" s="511" t="s">
        <v>6</v>
      </c>
      <c r="F45" s="512"/>
      <c r="G45" s="512"/>
      <c r="H45" s="512"/>
      <c r="I45" s="512"/>
      <c r="J45" s="512"/>
      <c r="K45" s="513"/>
      <c r="L45" s="97">
        <f>SUM(L31-L43)</f>
        <v>94.688948975000002</v>
      </c>
      <c r="M45" s="7"/>
      <c r="N45" s="6"/>
    </row>
    <row r="46" spans="2:16" ht="14" customHeight="1" thickBot="1" x14ac:dyDescent="0.2">
      <c r="B46" s="5"/>
      <c r="C46" s="5"/>
      <c r="D46" s="5"/>
      <c r="E46" s="19"/>
      <c r="F46" s="6"/>
      <c r="G46" s="6"/>
      <c r="H46" s="6"/>
      <c r="I46" s="6"/>
      <c r="J46" s="6"/>
      <c r="K46" s="6"/>
      <c r="L46" s="6"/>
      <c r="M46" s="7"/>
      <c r="N46" s="6"/>
    </row>
    <row r="47" spans="2:16" ht="14" customHeight="1" x14ac:dyDescent="0.15">
      <c r="B47" s="5"/>
      <c r="C47" s="5"/>
      <c r="D47" s="5"/>
      <c r="E47" s="497" t="s">
        <v>56</v>
      </c>
      <c r="F47" s="498"/>
      <c r="G47" s="498"/>
      <c r="H47" s="499"/>
      <c r="I47" s="504" t="s">
        <v>11</v>
      </c>
      <c r="J47" s="505"/>
      <c r="K47" s="35" t="s">
        <v>48</v>
      </c>
      <c r="L47" s="22" t="s">
        <v>5</v>
      </c>
      <c r="M47" s="7"/>
      <c r="N47" s="6"/>
    </row>
    <row r="48" spans="2:16" ht="14" customHeight="1" x14ac:dyDescent="0.15">
      <c r="B48" s="5"/>
      <c r="C48" s="5"/>
      <c r="D48" s="5"/>
      <c r="E48" s="492" t="str">
        <f>Pointage!C62</f>
        <v>Indemnité d'entretien</v>
      </c>
      <c r="F48" s="493"/>
      <c r="G48" s="493"/>
      <c r="H48" s="494"/>
      <c r="I48" s="506">
        <f>Pointage!M39</f>
        <v>0</v>
      </c>
      <c r="J48" s="507"/>
      <c r="K48" s="39">
        <f>Pointage!G62</f>
        <v>2.65</v>
      </c>
      <c r="L48" s="23">
        <f>PRODUCT(I48*K48)</f>
        <v>0</v>
      </c>
      <c r="M48" s="7"/>
      <c r="N48" s="6"/>
    </row>
    <row r="49" spans="2:15" ht="14" customHeight="1" x14ac:dyDescent="0.15">
      <c r="B49" s="5"/>
      <c r="C49" s="5"/>
      <c r="D49" s="5"/>
      <c r="E49" s="492" t="str">
        <f>Pointage!C63</f>
        <v>Indemnité d'entretien ≥ 9H</v>
      </c>
      <c r="F49" s="493"/>
      <c r="G49" s="493"/>
      <c r="H49" s="494"/>
      <c r="I49" s="506">
        <f>Pointage!N39</f>
        <v>0</v>
      </c>
      <c r="J49" s="507"/>
      <c r="K49" s="39">
        <f>Pointage!G63</f>
        <v>3.55</v>
      </c>
      <c r="L49" s="23">
        <f>SUM(I49*K49)</f>
        <v>0</v>
      </c>
      <c r="M49" s="6"/>
      <c r="N49" s="6"/>
    </row>
    <row r="50" spans="2:15" ht="14" customHeight="1" x14ac:dyDescent="0.15">
      <c r="B50" s="5"/>
      <c r="C50" s="5"/>
      <c r="D50" s="5"/>
      <c r="E50" s="605" t="s">
        <v>232</v>
      </c>
      <c r="F50" s="606"/>
      <c r="G50" s="606"/>
      <c r="H50" s="607"/>
      <c r="I50" s="506">
        <f>Pointage!J39</f>
        <v>0</v>
      </c>
      <c r="J50" s="507"/>
      <c r="K50" s="100">
        <v>3</v>
      </c>
      <c r="L50" s="23">
        <f>SUM(I50*K50)</f>
        <v>0</v>
      </c>
      <c r="M50" s="6"/>
      <c r="N50" s="6"/>
    </row>
    <row r="51" spans="2:15" ht="14" customHeight="1" x14ac:dyDescent="0.15">
      <c r="B51" s="5"/>
      <c r="C51" s="5"/>
      <c r="D51" s="5"/>
      <c r="E51" s="605" t="s">
        <v>233</v>
      </c>
      <c r="F51" s="606"/>
      <c r="G51" s="606"/>
      <c r="H51" s="607"/>
      <c r="I51" s="617">
        <f>Pointage!K39</f>
        <v>0</v>
      </c>
      <c r="J51" s="618"/>
      <c r="K51" s="101">
        <v>0.85</v>
      </c>
      <c r="L51" s="31">
        <f>SUM(I51*K51)</f>
        <v>0</v>
      </c>
      <c r="M51" s="7"/>
      <c r="N51" s="6"/>
    </row>
    <row r="52" spans="2:15" ht="14" customHeight="1" x14ac:dyDescent="0.15">
      <c r="B52" s="5"/>
      <c r="C52" s="5"/>
      <c r="D52" s="5"/>
      <c r="E52" s="484" t="s">
        <v>178</v>
      </c>
      <c r="F52" s="485"/>
      <c r="G52" s="485"/>
      <c r="H52" s="485"/>
      <c r="I52" s="485"/>
      <c r="J52" s="485"/>
      <c r="K52" s="486"/>
      <c r="L52" s="190">
        <f>SUM(L48+L49)</f>
        <v>0</v>
      </c>
      <c r="M52" s="7"/>
      <c r="N52" s="7"/>
    </row>
    <row r="53" spans="2:15" ht="16" customHeight="1" thickBot="1" x14ac:dyDescent="0.2">
      <c r="B53" s="5"/>
      <c r="C53" s="5"/>
      <c r="D53" s="5"/>
      <c r="E53" s="489" t="s">
        <v>234</v>
      </c>
      <c r="F53" s="490"/>
      <c r="G53" s="490"/>
      <c r="H53" s="490"/>
      <c r="I53" s="490"/>
      <c r="J53" s="490"/>
      <c r="K53" s="491"/>
      <c r="L53" s="45">
        <f>SUM(L50+L51)</f>
        <v>0</v>
      </c>
      <c r="M53" s="7"/>
      <c r="N53" s="6"/>
    </row>
    <row r="54" spans="2:15" ht="14" customHeight="1" thickBot="1" x14ac:dyDescent="0.2">
      <c r="B54" s="5"/>
      <c r="C54" s="5"/>
      <c r="D54" s="5"/>
      <c r="E54" s="511" t="s">
        <v>31</v>
      </c>
      <c r="F54" s="512"/>
      <c r="G54" s="512"/>
      <c r="H54" s="512"/>
      <c r="I54" s="512"/>
      <c r="J54" s="512"/>
      <c r="K54" s="512"/>
      <c r="L54" s="103">
        <f>SUM(L45+L48+L49+L50+L51)</f>
        <v>94.688948975000002</v>
      </c>
      <c r="M54" s="7"/>
      <c r="N54" s="7"/>
    </row>
    <row r="55" spans="2:15" ht="14" customHeight="1" thickBot="1" x14ac:dyDescent="0.2">
      <c r="B55" s="5"/>
      <c r="C55" s="5"/>
      <c r="D55" s="5"/>
      <c r="E55" s="487" t="s">
        <v>54</v>
      </c>
      <c r="F55" s="488"/>
      <c r="G55" s="488"/>
      <c r="H55" s="488"/>
      <c r="I55" s="488"/>
      <c r="J55" s="488"/>
      <c r="K55" s="488"/>
      <c r="L55" s="104">
        <v>0</v>
      </c>
      <c r="M55" s="7"/>
      <c r="N55" s="7"/>
    </row>
    <row r="56" spans="2:15" ht="18" customHeight="1" thickBot="1" x14ac:dyDescent="0.2">
      <c r="B56" s="5"/>
      <c r="C56" s="5"/>
      <c r="D56" s="5"/>
      <c r="E56" s="563" t="s">
        <v>7</v>
      </c>
      <c r="F56" s="564"/>
      <c r="G56" s="564"/>
      <c r="H56" s="564"/>
      <c r="I56" s="564"/>
      <c r="J56" s="564"/>
      <c r="K56" s="565"/>
      <c r="L56" s="106">
        <f>SUM(L54-L55)</f>
        <v>94.688948975000002</v>
      </c>
      <c r="M56" s="7"/>
      <c r="N56" s="7"/>
    </row>
    <row r="57" spans="2:15" ht="14" customHeight="1" thickBot="1" x14ac:dyDescent="0.2">
      <c r="B57" s="5"/>
      <c r="C57" s="5"/>
      <c r="D57" s="5"/>
      <c r="E57" s="6"/>
      <c r="F57" s="6"/>
      <c r="G57" s="6"/>
      <c r="H57" s="6"/>
      <c r="I57" s="6"/>
      <c r="J57" s="6"/>
      <c r="K57" s="6"/>
      <c r="L57" s="6"/>
      <c r="M57" s="6"/>
      <c r="N57" s="6"/>
    </row>
    <row r="58" spans="2:15" ht="14" customHeight="1" x14ac:dyDescent="0.15">
      <c r="B58" s="5"/>
      <c r="C58" s="5"/>
      <c r="D58" s="5"/>
      <c r="E58" s="569" t="str">
        <f>E54</f>
        <v>NET A PAYER (b)</v>
      </c>
      <c r="F58" s="616"/>
      <c r="G58" s="570"/>
      <c r="H58" s="93">
        <f>L54</f>
        <v>94.688948975000002</v>
      </c>
      <c r="I58" s="6"/>
      <c r="J58" s="613" t="s">
        <v>13</v>
      </c>
      <c r="K58" s="614"/>
      <c r="L58" s="615"/>
      <c r="M58" s="107">
        <f>COUNT(C5:C35)</f>
        <v>0</v>
      </c>
      <c r="N58" s="14"/>
    </row>
    <row r="59" spans="2:15" ht="14" customHeight="1" x14ac:dyDescent="0.15">
      <c r="B59" s="5"/>
      <c r="C59" s="5"/>
      <c r="D59" s="5"/>
      <c r="E59" s="571" t="str">
        <f>E42</f>
        <v>C.S.G/C.R.D.S (partie imposable) (a)</v>
      </c>
      <c r="F59" s="572"/>
      <c r="G59" s="573"/>
      <c r="H59" s="94">
        <f>L42</f>
        <v>3.4535759250000004</v>
      </c>
      <c r="I59" s="6"/>
      <c r="J59" s="611"/>
      <c r="K59" s="612"/>
      <c r="L59" s="612"/>
      <c r="M59" s="92"/>
      <c r="N59" s="7"/>
      <c r="O59" s="84"/>
    </row>
    <row r="60" spans="2:15" ht="14" customHeight="1" thickBot="1" x14ac:dyDescent="0.2">
      <c r="B60" s="5"/>
      <c r="C60" s="5"/>
      <c r="D60" s="5"/>
      <c r="E60" s="489" t="s">
        <v>8</v>
      </c>
      <c r="F60" s="490"/>
      <c r="G60" s="491"/>
      <c r="H60" s="95">
        <f>SUM(H58+H59)</f>
        <v>98.142524899999998</v>
      </c>
      <c r="I60" s="6"/>
      <c r="J60" s="489" t="s">
        <v>12</v>
      </c>
      <c r="K60" s="490"/>
      <c r="L60" s="491"/>
      <c r="M60" s="108" t="str">
        <f>IF(Pointage!L39&gt;TIME(0,1,0),Pointage!L39,"")</f>
        <v/>
      </c>
      <c r="N60" s="7"/>
    </row>
    <row r="61" spans="2:15" ht="14" customHeight="1" thickBot="1" x14ac:dyDescent="0.2">
      <c r="B61" s="5"/>
      <c r="C61" s="5"/>
      <c r="D61" s="5"/>
      <c r="E61" s="6"/>
      <c r="F61" s="6"/>
      <c r="G61" s="6"/>
      <c r="H61" s="6"/>
      <c r="I61" s="6"/>
      <c r="J61" s="6"/>
      <c r="K61" s="6"/>
      <c r="L61" s="6"/>
      <c r="M61" s="6"/>
      <c r="N61" s="10"/>
    </row>
    <row r="62" spans="2:15" ht="14" customHeight="1" x14ac:dyDescent="0.15">
      <c r="B62" s="5"/>
      <c r="C62" s="5"/>
      <c r="D62" s="5"/>
      <c r="E62" s="595" t="s">
        <v>159</v>
      </c>
      <c r="F62" s="596"/>
      <c r="G62" s="89" t="s">
        <v>97</v>
      </c>
      <c r="H62" s="90" t="s">
        <v>98</v>
      </c>
      <c r="I62" s="89" t="s">
        <v>99</v>
      </c>
      <c r="J62" s="574" t="s">
        <v>100</v>
      </c>
      <c r="K62" s="575"/>
      <c r="L62" s="598" t="s">
        <v>140</v>
      </c>
      <c r="M62" s="599"/>
      <c r="N62" s="6"/>
    </row>
    <row r="63" spans="2:15" ht="14" customHeight="1" x14ac:dyDescent="0.15">
      <c r="B63" s="5"/>
      <c r="C63" s="5"/>
      <c r="D63" s="5"/>
      <c r="E63" s="571" t="s">
        <v>95</v>
      </c>
      <c r="F63" s="573"/>
      <c r="G63" s="85">
        <f>Pointage!X23</f>
        <v>30</v>
      </c>
      <c r="H63" s="83">
        <f>Pointage!X18</f>
        <v>17</v>
      </c>
      <c r="I63" s="86">
        <f>Pointage!X24</f>
        <v>13</v>
      </c>
      <c r="J63" s="567">
        <f>Pointage!O39</f>
        <v>0</v>
      </c>
      <c r="K63" s="568"/>
      <c r="L63" s="197" t="s">
        <v>103</v>
      </c>
      <c r="M63" s="479">
        <f>Pointage!Y26</f>
        <v>0</v>
      </c>
      <c r="N63" s="3"/>
    </row>
    <row r="64" spans="2:15" ht="14" customHeight="1" thickBot="1" x14ac:dyDescent="0.2">
      <c r="E64" s="561" t="s">
        <v>96</v>
      </c>
      <c r="F64" s="562"/>
      <c r="G64" s="173">
        <f>Pointage!W18</f>
        <v>10</v>
      </c>
      <c r="H64" s="155"/>
      <c r="I64" s="173">
        <f>SUM(Pointage!W18-H64)</f>
        <v>10</v>
      </c>
      <c r="J64" s="603"/>
      <c r="K64" s="604"/>
      <c r="L64" s="198" t="s">
        <v>104</v>
      </c>
      <c r="M64" s="480">
        <f>Pointage!V18</f>
        <v>195.20023333333333</v>
      </c>
      <c r="N64" s="3"/>
    </row>
    <row r="65" spans="3:13" ht="14" customHeight="1" thickBot="1" x14ac:dyDescent="0.2">
      <c r="E65" s="15"/>
      <c r="F65" s="6"/>
      <c r="G65" s="6"/>
      <c r="H65" s="6"/>
      <c r="I65" s="566" t="s">
        <v>14</v>
      </c>
      <c r="J65" s="566"/>
      <c r="K65" s="566"/>
      <c r="L65" s="566"/>
      <c r="M65" s="566"/>
    </row>
    <row r="66" spans="3:13" ht="14" customHeight="1" x14ac:dyDescent="0.15">
      <c r="E66" s="569" t="s">
        <v>61</v>
      </c>
      <c r="F66" s="570"/>
      <c r="G66" s="109">
        <f>DATE(YEAR(Pointage!C6)+0,MONTH(Pointage!C6)+1,DAY(Pointage!C6)+4)</f>
        <v>44870</v>
      </c>
      <c r="H66" s="6"/>
      <c r="I66" s="6"/>
      <c r="J66" s="6"/>
      <c r="K66" s="6"/>
      <c r="L66" s="6"/>
      <c r="M66" s="6"/>
    </row>
    <row r="67" spans="3:13" ht="14" customHeight="1" thickBot="1" x14ac:dyDescent="0.2">
      <c r="E67" s="559" t="s">
        <v>62</v>
      </c>
      <c r="F67" s="560"/>
      <c r="G67" s="110" t="s">
        <v>60</v>
      </c>
      <c r="H67" s="24"/>
      <c r="I67" s="24"/>
      <c r="J67" s="24"/>
      <c r="K67" s="24"/>
      <c r="L67" s="24"/>
      <c r="M67" s="25"/>
    </row>
    <row r="68" spans="3:13" ht="14" customHeight="1" x14ac:dyDescent="0.15">
      <c r="E68" s="26"/>
      <c r="F68" s="25"/>
      <c r="G68" s="25"/>
      <c r="H68" s="25"/>
      <c r="I68" s="25"/>
      <c r="J68" s="25"/>
      <c r="K68" s="25"/>
      <c r="L68" s="25"/>
      <c r="M68" s="25"/>
    </row>
    <row r="69" spans="3:13" ht="14" customHeight="1" x14ac:dyDescent="0.15">
      <c r="E69" s="26"/>
      <c r="F69" s="25"/>
      <c r="G69" s="25"/>
      <c r="H69" s="25"/>
      <c r="I69" s="25"/>
      <c r="J69" s="25"/>
      <c r="K69" s="25"/>
      <c r="L69" s="25"/>
      <c r="M69" s="25"/>
    </row>
    <row r="70" spans="3:13" ht="14" customHeight="1" x14ac:dyDescent="0.15">
      <c r="C70" s="597" t="s">
        <v>57</v>
      </c>
      <c r="D70" s="597"/>
      <c r="E70" s="597"/>
      <c r="F70" s="597"/>
      <c r="G70" s="597"/>
      <c r="H70" s="597"/>
      <c r="I70" s="597"/>
      <c r="J70" s="597"/>
      <c r="K70" s="597"/>
      <c r="L70" s="597"/>
      <c r="M70" s="597"/>
    </row>
    <row r="71" spans="3:13" x14ac:dyDescent="0.15">
      <c r="E71" s="385"/>
      <c r="F71" s="385"/>
      <c r="G71" s="385"/>
      <c r="H71" s="385"/>
      <c r="I71" s="385"/>
      <c r="J71" s="385"/>
      <c r="K71" s="385"/>
      <c r="L71" s="385"/>
      <c r="M71" s="385"/>
    </row>
    <row r="72" spans="3:13" x14ac:dyDescent="0.15">
      <c r="E72" s="385"/>
      <c r="F72" s="385"/>
      <c r="G72" s="385"/>
      <c r="H72" s="385"/>
      <c r="I72" s="385"/>
      <c r="J72" s="385"/>
      <c r="K72" s="385"/>
      <c r="L72" s="385"/>
      <c r="M72" s="385"/>
    </row>
    <row r="73" spans="3:13" x14ac:dyDescent="0.15">
      <c r="E73" s="385"/>
      <c r="F73" s="385"/>
      <c r="G73" s="385"/>
      <c r="H73" s="385"/>
      <c r="I73" s="385"/>
      <c r="J73" s="385"/>
      <c r="K73" s="385"/>
      <c r="L73" s="24"/>
      <c r="M73" s="24"/>
    </row>
  </sheetData>
  <sheetProtection formatCells="0" formatColumns="0" formatRows="0" selectLockedCells="1"/>
  <mergeCells count="103">
    <mergeCell ref="E49:H49"/>
    <mergeCell ref="E50:H50"/>
    <mergeCell ref="E51:H51"/>
    <mergeCell ref="I33:J33"/>
    <mergeCell ref="E34:H34"/>
    <mergeCell ref="J59:L59"/>
    <mergeCell ref="J58:L58"/>
    <mergeCell ref="E58:G58"/>
    <mergeCell ref="I50:J50"/>
    <mergeCell ref="I51:J51"/>
    <mergeCell ref="E31:K31"/>
    <mergeCell ref="E38:H38"/>
    <mergeCell ref="E37:H37"/>
    <mergeCell ref="E41:H41"/>
    <mergeCell ref="I41:J41"/>
    <mergeCell ref="I38:J38"/>
    <mergeCell ref="I35:J35"/>
    <mergeCell ref="C70:M70"/>
    <mergeCell ref="L62:M62"/>
    <mergeCell ref="E43:K43"/>
    <mergeCell ref="E36:H36"/>
    <mergeCell ref="I36:J36"/>
    <mergeCell ref="E40:H40"/>
    <mergeCell ref="J60:L60"/>
    <mergeCell ref="J64:K64"/>
    <mergeCell ref="E44:K44"/>
    <mergeCell ref="E47:H47"/>
    <mergeCell ref="I20:J21"/>
    <mergeCell ref="K20:K21"/>
    <mergeCell ref="K26:K27"/>
    <mergeCell ref="E26:H26"/>
    <mergeCell ref="E21:H21"/>
    <mergeCell ref="E62:F62"/>
    <mergeCell ref="E54:K54"/>
    <mergeCell ref="E48:H48"/>
    <mergeCell ref="I37:J37"/>
    <mergeCell ref="I42:J42"/>
    <mergeCell ref="D3:I3"/>
    <mergeCell ref="E16:H16"/>
    <mergeCell ref="E11:H11"/>
    <mergeCell ref="J9:M9"/>
    <mergeCell ref="E17:H17"/>
    <mergeCell ref="E12:M12"/>
    <mergeCell ref="E10:H10"/>
    <mergeCell ref="J10:M10"/>
    <mergeCell ref="I16:J16"/>
    <mergeCell ref="E9:H9"/>
    <mergeCell ref="L23:L24"/>
    <mergeCell ref="E14:I14"/>
    <mergeCell ref="E13:I13"/>
    <mergeCell ref="J13:M13"/>
    <mergeCell ref="L20:L21"/>
    <mergeCell ref="E20:H20"/>
    <mergeCell ref="E24:H24"/>
    <mergeCell ref="E23:H23"/>
    <mergeCell ref="K23:K24"/>
    <mergeCell ref="I23:J24"/>
    <mergeCell ref="E67:F67"/>
    <mergeCell ref="E64:F64"/>
    <mergeCell ref="E56:K56"/>
    <mergeCell ref="I65:M65"/>
    <mergeCell ref="J63:K63"/>
    <mergeCell ref="E66:F66"/>
    <mergeCell ref="E59:G59"/>
    <mergeCell ref="E60:G60"/>
    <mergeCell ref="J62:K62"/>
    <mergeCell ref="E63:F63"/>
    <mergeCell ref="I30:J30"/>
    <mergeCell ref="I28:J28"/>
    <mergeCell ref="E30:H30"/>
    <mergeCell ref="F28:H28"/>
    <mergeCell ref="I29:J29"/>
    <mergeCell ref="E29:H29"/>
    <mergeCell ref="L26:L27"/>
    <mergeCell ref="E18:H18"/>
    <mergeCell ref="J7:M7"/>
    <mergeCell ref="E7:H7"/>
    <mergeCell ref="I17:J18"/>
    <mergeCell ref="D2:I2"/>
    <mergeCell ref="I26:J27"/>
    <mergeCell ref="J6:M6"/>
    <mergeCell ref="K17:K18"/>
    <mergeCell ref="L17:L18"/>
    <mergeCell ref="I48:J48"/>
    <mergeCell ref="I49:J49"/>
    <mergeCell ref="E27:H27"/>
    <mergeCell ref="E45:K45"/>
    <mergeCell ref="I40:J40"/>
    <mergeCell ref="E4:M5"/>
    <mergeCell ref="E8:H8"/>
    <mergeCell ref="J8:M8"/>
    <mergeCell ref="J11:M11"/>
    <mergeCell ref="E6:H6"/>
    <mergeCell ref="E52:K52"/>
    <mergeCell ref="E55:K55"/>
    <mergeCell ref="E53:K53"/>
    <mergeCell ref="E35:H35"/>
    <mergeCell ref="E42:H42"/>
    <mergeCell ref="E33:H33"/>
    <mergeCell ref="I34:J34"/>
    <mergeCell ref="I39:J39"/>
    <mergeCell ref="E39:H39"/>
    <mergeCell ref="I47:J47"/>
  </mergeCells>
  <phoneticPr fontId="0" type="noConversion"/>
  <conditionalFormatting sqref="C5:C35">
    <cfRule type="expression" dxfId="42" priority="1">
      <formula>$B5=""</formula>
    </cfRule>
    <cfRule type="expression" dxfId="41" priority="2">
      <formula>C5="/"</formula>
    </cfRule>
    <cfRule type="expression" dxfId="40" priority="5">
      <formula>C5="Férié"</formula>
    </cfRule>
  </conditionalFormatting>
  <printOptions horizontalCentered="1" verticalCentered="1"/>
  <pageMargins left="0.25" right="0.25" top="0.25" bottom="0.25" header="0" footer="0"/>
  <pageSetup paperSize="9" scale="82" orientation="portrait"/>
  <ignoredErrors>
    <ignoredError sqref="K23:L23 I26:J27 J28 I23 I64" emptyCellReference="1"/>
    <ignoredError sqref="E41:E42 K48:K49 E40:H40 K40:K42 K20 J63 K28:L28 E28:F28 I28 K38 E38:H38 E35:H35 K34:K35 F34:H34 F37:H37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rgb="FF00B050"/>
    <pageSetUpPr fitToPage="1"/>
  </sheetPr>
  <dimension ref="B1:CM113"/>
  <sheetViews>
    <sheetView zoomScale="130" zoomScaleNormal="130" zoomScalePageLayoutView="130" workbookViewId="0">
      <selection activeCell="K9" sqref="K9"/>
    </sheetView>
  </sheetViews>
  <sheetFormatPr baseColWidth="10" defaultRowHeight="13" x14ac:dyDescent="0.15"/>
  <cols>
    <col min="1" max="1" width="1.33203125" customWidth="1"/>
    <col min="2" max="15" width="10.83203125" customWidth="1"/>
    <col min="16" max="16" width="2.83203125" customWidth="1"/>
    <col min="17" max="18" width="11.33203125" customWidth="1"/>
    <col min="19" max="19" width="2.83203125" customWidth="1"/>
  </cols>
  <sheetData>
    <row r="1" spans="2:18" ht="7" customHeight="1" thickBot="1" x14ac:dyDescent="0.2"/>
    <row r="2" spans="2:18" ht="24" customHeight="1" thickTop="1" thickBot="1" x14ac:dyDescent="0.2">
      <c r="B2" s="624" t="s">
        <v>44</v>
      </c>
      <c r="C2" s="625"/>
      <c r="D2" s="625"/>
      <c r="E2" s="625"/>
      <c r="F2" s="625"/>
      <c r="G2" s="625"/>
      <c r="H2" s="625"/>
      <c r="I2" s="625"/>
      <c r="J2" s="625"/>
      <c r="K2" s="625"/>
      <c r="L2" s="625"/>
      <c r="M2" s="625"/>
      <c r="N2" s="625"/>
      <c r="O2" s="626"/>
    </row>
    <row r="3" spans="2:18" ht="14" customHeight="1" thickTop="1" thickBot="1" x14ac:dyDescent="0.2">
      <c r="B3" s="627"/>
      <c r="C3" s="628"/>
      <c r="D3" s="628"/>
      <c r="E3" s="628"/>
      <c r="F3" s="628"/>
      <c r="G3" s="628"/>
      <c r="H3" s="628"/>
      <c r="I3" s="628"/>
      <c r="J3" s="628"/>
      <c r="K3" s="628"/>
      <c r="L3" s="628"/>
      <c r="M3" s="628"/>
      <c r="N3" s="628"/>
      <c r="O3" s="629"/>
      <c r="Q3" s="638" t="str">
        <f>CONCATENATE("Chiffre à insérer dans la case ",Pointage!D2," ",Pointage!G2,)</f>
        <v>Chiffre à insérer dans la case Octobre 2022</v>
      </c>
      <c r="R3" s="639"/>
    </row>
    <row r="4" spans="2:18" ht="24" customHeight="1" thickTop="1" thickBot="1" x14ac:dyDescent="0.2">
      <c r="B4" s="619" t="s">
        <v>43</v>
      </c>
      <c r="C4" s="620"/>
      <c r="D4" s="621"/>
      <c r="E4" s="420"/>
      <c r="F4" s="421"/>
      <c r="G4" s="421"/>
      <c r="H4" s="421"/>
      <c r="I4" s="422"/>
      <c r="J4" s="422"/>
      <c r="K4" s="422"/>
      <c r="L4" s="422"/>
      <c r="M4" s="422"/>
      <c r="N4" s="422"/>
      <c r="O4" s="423"/>
      <c r="P4" s="167"/>
      <c r="Q4" s="640"/>
      <c r="R4" s="641"/>
    </row>
    <row r="5" spans="2:18" ht="15" customHeight="1" thickTop="1" thickBot="1" x14ac:dyDescent="0.2">
      <c r="B5" s="427" t="s">
        <v>17</v>
      </c>
      <c r="C5" s="417" t="s">
        <v>18</v>
      </c>
      <c r="D5" s="418" t="s">
        <v>19</v>
      </c>
      <c r="E5" s="418" t="s">
        <v>20</v>
      </c>
      <c r="F5" s="418" t="s">
        <v>21</v>
      </c>
      <c r="G5" s="418" t="s">
        <v>22</v>
      </c>
      <c r="H5" s="418" t="s">
        <v>23</v>
      </c>
      <c r="I5" s="418" t="s">
        <v>24</v>
      </c>
      <c r="J5" s="418" t="s">
        <v>41</v>
      </c>
      <c r="K5" s="418" t="s">
        <v>25</v>
      </c>
      <c r="L5" s="418" t="s">
        <v>26</v>
      </c>
      <c r="M5" s="418" t="s">
        <v>27</v>
      </c>
      <c r="N5" s="419" t="s">
        <v>28</v>
      </c>
      <c r="O5" s="425" t="s">
        <v>45</v>
      </c>
      <c r="P5" s="167"/>
      <c r="Q5" s="649">
        <f>SUM(Pointage!M51+Pointage!M54+Pointage!M55+Pointage!M56)</f>
        <v>1.2916666666666667</v>
      </c>
      <c r="R5" s="650"/>
    </row>
    <row r="6" spans="2:18" ht="15" customHeight="1" x14ac:dyDescent="0.15">
      <c r="B6" s="426">
        <v>2019</v>
      </c>
      <c r="C6" s="413">
        <v>79</v>
      </c>
      <c r="D6" s="409"/>
      <c r="E6" s="409"/>
      <c r="F6" s="409"/>
      <c r="G6" s="409"/>
      <c r="H6" s="409"/>
      <c r="I6" s="409">
        <v>79</v>
      </c>
      <c r="J6" s="409">
        <v>73</v>
      </c>
      <c r="K6" s="409">
        <v>73</v>
      </c>
      <c r="L6" s="409">
        <v>73</v>
      </c>
      <c r="M6" s="409">
        <v>73</v>
      </c>
      <c r="N6" s="410">
        <v>73</v>
      </c>
      <c r="O6" s="424">
        <f t="shared" ref="O6:O12" si="0">SUM(C6:N6)</f>
        <v>523</v>
      </c>
    </row>
    <row r="7" spans="2:18" ht="15" customHeight="1" x14ac:dyDescent="0.15">
      <c r="B7" s="416">
        <v>2020</v>
      </c>
      <c r="C7" s="414">
        <v>79</v>
      </c>
      <c r="D7" s="27">
        <v>73</v>
      </c>
      <c r="E7" s="27">
        <v>73</v>
      </c>
      <c r="F7" s="27">
        <v>73</v>
      </c>
      <c r="G7" s="27">
        <v>73</v>
      </c>
      <c r="H7" s="27">
        <v>73</v>
      </c>
      <c r="I7" s="27">
        <v>75</v>
      </c>
      <c r="J7" s="27">
        <v>73</v>
      </c>
      <c r="K7" s="27">
        <v>73</v>
      </c>
      <c r="L7" s="27">
        <v>73</v>
      </c>
      <c r="M7" s="27">
        <v>73</v>
      </c>
      <c r="N7" s="169">
        <v>73</v>
      </c>
      <c r="O7" s="411">
        <f t="shared" si="0"/>
        <v>884</v>
      </c>
    </row>
    <row r="8" spans="2:18" ht="15" customHeight="1" x14ac:dyDescent="0.15">
      <c r="B8" s="416">
        <v>2021</v>
      </c>
      <c r="C8" s="415">
        <v>73</v>
      </c>
      <c r="D8" s="28">
        <v>73</v>
      </c>
      <c r="E8" s="28">
        <v>75</v>
      </c>
      <c r="F8" s="28">
        <v>73</v>
      </c>
      <c r="G8" s="28">
        <v>73</v>
      </c>
      <c r="H8" s="28">
        <v>78</v>
      </c>
      <c r="I8" s="28">
        <v>73</v>
      </c>
      <c r="J8" s="28">
        <v>73</v>
      </c>
      <c r="K8" s="28">
        <v>73</v>
      </c>
      <c r="L8" s="28">
        <v>73</v>
      </c>
      <c r="M8" s="28">
        <v>73</v>
      </c>
      <c r="N8" s="168">
        <v>73</v>
      </c>
      <c r="O8" s="411">
        <f t="shared" si="0"/>
        <v>883</v>
      </c>
    </row>
    <row r="9" spans="2:18" ht="15" customHeight="1" x14ac:dyDescent="0.15">
      <c r="B9" s="416">
        <v>2022</v>
      </c>
      <c r="C9" s="414">
        <v>73</v>
      </c>
      <c r="D9" s="27">
        <v>73</v>
      </c>
      <c r="E9" s="27">
        <v>73</v>
      </c>
      <c r="F9" s="27">
        <v>73</v>
      </c>
      <c r="G9" s="27">
        <v>73</v>
      </c>
      <c r="H9" s="27">
        <v>81</v>
      </c>
      <c r="I9" s="27">
        <v>74</v>
      </c>
      <c r="J9" s="27">
        <v>73</v>
      </c>
      <c r="K9" s="27">
        <v>73</v>
      </c>
      <c r="L9" s="27"/>
      <c r="M9" s="27"/>
      <c r="N9" s="169"/>
      <c r="O9" s="411">
        <f t="shared" si="0"/>
        <v>666</v>
      </c>
    </row>
    <row r="10" spans="2:18" ht="15" customHeight="1" x14ac:dyDescent="0.15">
      <c r="B10" s="416">
        <v>2023</v>
      </c>
      <c r="C10" s="415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168"/>
      <c r="O10" s="411">
        <f t="shared" si="0"/>
        <v>0</v>
      </c>
    </row>
    <row r="11" spans="2:18" ht="15" customHeight="1" x14ac:dyDescent="0.15">
      <c r="B11" s="416">
        <v>2024</v>
      </c>
      <c r="C11" s="414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169"/>
      <c r="O11" s="411">
        <f t="shared" si="0"/>
        <v>0</v>
      </c>
    </row>
    <row r="12" spans="2:18" ht="15" customHeight="1" thickBot="1" x14ac:dyDescent="0.2">
      <c r="B12" s="446">
        <v>2025</v>
      </c>
      <c r="C12" s="447"/>
      <c r="D12" s="448"/>
      <c r="E12" s="448"/>
      <c r="F12" s="448"/>
      <c r="G12" s="448"/>
      <c r="H12" s="448"/>
      <c r="I12" s="448"/>
      <c r="J12" s="448"/>
      <c r="K12" s="448"/>
      <c r="L12" s="448"/>
      <c r="M12" s="448"/>
      <c r="N12" s="449"/>
      <c r="O12" s="412">
        <f t="shared" si="0"/>
        <v>0</v>
      </c>
    </row>
    <row r="13" spans="2:18" ht="13" customHeight="1" thickBot="1" x14ac:dyDescent="0.2">
      <c r="B13" s="445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386"/>
    </row>
    <row r="14" spans="2:18" ht="20" thickTop="1" thickBot="1" x14ac:dyDescent="0.2">
      <c r="B14" s="644" t="s">
        <v>208</v>
      </c>
      <c r="C14" s="645"/>
      <c r="D14" s="645"/>
      <c r="E14" s="645"/>
      <c r="F14" s="645"/>
      <c r="G14" s="645"/>
      <c r="H14" s="645"/>
      <c r="I14" s="645"/>
      <c r="J14" s="645"/>
      <c r="K14" s="645"/>
      <c r="L14" s="645"/>
      <c r="M14" s="647">
        <f>COUNT(C6:N12)</f>
        <v>40</v>
      </c>
      <c r="N14" s="648"/>
      <c r="O14" s="386"/>
    </row>
    <row r="15" spans="2:18" ht="13" customHeight="1" thickTop="1" thickBot="1" x14ac:dyDescent="0.2">
      <c r="B15" s="387"/>
      <c r="C15" s="176"/>
      <c r="D15" s="176"/>
      <c r="E15" s="176"/>
      <c r="F15" s="176"/>
      <c r="G15" s="176"/>
      <c r="H15" s="176"/>
      <c r="I15" s="176"/>
      <c r="J15" s="176"/>
      <c r="K15" s="176"/>
      <c r="L15" s="176"/>
      <c r="M15" s="177"/>
      <c r="N15" s="177"/>
      <c r="O15" s="386"/>
    </row>
    <row r="16" spans="2:18" ht="20" thickTop="1" thickBot="1" x14ac:dyDescent="0.2">
      <c r="B16" s="644" t="s">
        <v>77</v>
      </c>
      <c r="C16" s="645"/>
      <c r="D16" s="645"/>
      <c r="E16" s="645"/>
      <c r="F16" s="645"/>
      <c r="G16" s="645"/>
      <c r="H16" s="645"/>
      <c r="I16" s="645"/>
      <c r="J16" s="645"/>
      <c r="K16" s="645"/>
      <c r="L16" s="646"/>
      <c r="M16" s="647">
        <f>SUM(C6:N12)</f>
        <v>2956</v>
      </c>
      <c r="N16" s="648"/>
      <c r="O16" s="386"/>
    </row>
    <row r="17" spans="2:18" ht="13" customHeight="1" thickTop="1" thickBot="1" x14ac:dyDescent="0.2">
      <c r="B17" s="388"/>
      <c r="C17" s="389"/>
      <c r="D17" s="389"/>
      <c r="E17" s="389"/>
      <c r="F17" s="389"/>
      <c r="G17" s="389"/>
      <c r="H17" s="389"/>
      <c r="I17" s="389"/>
      <c r="J17" s="389"/>
      <c r="K17" s="389"/>
      <c r="L17" s="389"/>
      <c r="M17" s="389"/>
      <c r="N17" s="389"/>
      <c r="O17" s="390"/>
    </row>
    <row r="18" spans="2:18" ht="15" thickTop="1" thickBot="1" x14ac:dyDescent="0.2"/>
    <row r="19" spans="2:18" ht="24" customHeight="1" thickTop="1" thickBot="1" x14ac:dyDescent="0.2">
      <c r="B19" s="624" t="s">
        <v>213</v>
      </c>
      <c r="C19" s="625"/>
      <c r="D19" s="625"/>
      <c r="E19" s="625"/>
      <c r="F19" s="625"/>
      <c r="G19" s="625"/>
      <c r="H19" s="625"/>
      <c r="I19" s="625"/>
      <c r="J19" s="625"/>
      <c r="K19" s="625"/>
      <c r="L19" s="625"/>
      <c r="M19" s="625"/>
      <c r="N19" s="625"/>
      <c r="O19" s="626"/>
    </row>
    <row r="20" spans="2:18" ht="14" customHeight="1" thickTop="1" thickBot="1" x14ac:dyDescent="0.2">
      <c r="B20" s="627"/>
      <c r="C20" s="628"/>
      <c r="D20" s="628"/>
      <c r="E20" s="628"/>
      <c r="F20" s="628"/>
      <c r="G20" s="628"/>
      <c r="H20" s="628"/>
      <c r="I20" s="628"/>
      <c r="J20" s="628"/>
      <c r="K20" s="628"/>
      <c r="L20" s="628"/>
      <c r="M20" s="628"/>
      <c r="N20" s="628"/>
      <c r="O20" s="629"/>
      <c r="Q20" s="638" t="str">
        <f>CONCATENATE("Montant à insérer dans la case ",Pointage!D2," ",Pointage!G2)</f>
        <v>Montant à insérer dans la case Octobre 2022</v>
      </c>
      <c r="R20" s="639"/>
    </row>
    <row r="21" spans="2:18" ht="24" customHeight="1" thickTop="1" thickBot="1" x14ac:dyDescent="0.2">
      <c r="B21" s="619" t="s">
        <v>108</v>
      </c>
      <c r="C21" s="620"/>
      <c r="D21" s="621"/>
      <c r="E21" s="420"/>
      <c r="F21" s="421"/>
      <c r="G21" s="421"/>
      <c r="H21" s="421"/>
      <c r="I21" s="422"/>
      <c r="J21" s="422"/>
      <c r="K21" s="422"/>
      <c r="L21" s="422"/>
      <c r="M21" s="422"/>
      <c r="N21" s="422"/>
      <c r="O21" s="423"/>
      <c r="Q21" s="640"/>
      <c r="R21" s="641"/>
    </row>
    <row r="22" spans="2:18" ht="15" customHeight="1" thickTop="1" thickBot="1" x14ac:dyDescent="0.2">
      <c r="B22" s="427" t="s">
        <v>17</v>
      </c>
      <c r="C22" s="438" t="s">
        <v>18</v>
      </c>
      <c r="D22" s="435" t="s">
        <v>19</v>
      </c>
      <c r="E22" s="435" t="s">
        <v>20</v>
      </c>
      <c r="F22" s="435" t="s">
        <v>21</v>
      </c>
      <c r="G22" s="435" t="s">
        <v>22</v>
      </c>
      <c r="H22" s="435" t="s">
        <v>23</v>
      </c>
      <c r="I22" s="435" t="s">
        <v>24</v>
      </c>
      <c r="J22" s="435" t="s">
        <v>41</v>
      </c>
      <c r="K22" s="435" t="s">
        <v>25</v>
      </c>
      <c r="L22" s="435" t="s">
        <v>26</v>
      </c>
      <c r="M22" s="435" t="s">
        <v>27</v>
      </c>
      <c r="N22" s="436" t="s">
        <v>28</v>
      </c>
      <c r="O22" s="425" t="s">
        <v>45</v>
      </c>
      <c r="Q22" s="622">
        <f>'Bulletin de Paie'!L31</f>
        <v>121.21000000000001</v>
      </c>
      <c r="R22" s="623"/>
    </row>
    <row r="23" spans="2:18" ht="15" customHeight="1" x14ac:dyDescent="0.15">
      <c r="B23" s="426">
        <v>2019</v>
      </c>
      <c r="C23" s="439">
        <v>339.78</v>
      </c>
      <c r="D23" s="431">
        <v>0</v>
      </c>
      <c r="E23" s="431">
        <v>0</v>
      </c>
      <c r="F23" s="431">
        <v>0</v>
      </c>
      <c r="G23" s="431">
        <v>0</v>
      </c>
      <c r="H23" s="431">
        <v>0</v>
      </c>
      <c r="I23" s="431">
        <v>339.78</v>
      </c>
      <c r="J23" s="431">
        <v>313.97000000000003</v>
      </c>
      <c r="K23" s="431">
        <v>313.97000000000003</v>
      </c>
      <c r="L23" s="431">
        <v>313.97000000000003</v>
      </c>
      <c r="M23" s="431">
        <v>313.97000000000003</v>
      </c>
      <c r="N23" s="454">
        <v>313.97000000000003</v>
      </c>
      <c r="O23" s="465">
        <f t="shared" ref="O23:O29" si="1">SUM(C23:N23)</f>
        <v>2249.41</v>
      </c>
    </row>
    <row r="24" spans="2:18" ht="15" customHeight="1" x14ac:dyDescent="0.15">
      <c r="B24" s="416">
        <v>2020</v>
      </c>
      <c r="C24" s="458">
        <v>339.78</v>
      </c>
      <c r="D24" s="33">
        <v>313.97000000000003</v>
      </c>
      <c r="E24" s="33">
        <v>313.97000000000003</v>
      </c>
      <c r="F24" s="33">
        <v>313.97000000000003</v>
      </c>
      <c r="G24" s="33">
        <v>313.97000000000003</v>
      </c>
      <c r="H24" s="33">
        <v>313.97000000000003</v>
      </c>
      <c r="I24" s="33">
        <v>322.58</v>
      </c>
      <c r="J24" s="33">
        <v>313.97000000000003</v>
      </c>
      <c r="K24" s="33">
        <v>313.97000000000003</v>
      </c>
      <c r="L24" s="33">
        <v>313.97000000000003</v>
      </c>
      <c r="M24" s="33">
        <v>313.97000000000003</v>
      </c>
      <c r="N24" s="171">
        <v>313.97000000000003</v>
      </c>
      <c r="O24" s="466">
        <f t="shared" si="1"/>
        <v>3802.0600000000013</v>
      </c>
    </row>
    <row r="25" spans="2:18" ht="15" customHeight="1" x14ac:dyDescent="0.15">
      <c r="B25" s="416">
        <v>2021</v>
      </c>
      <c r="C25" s="459">
        <v>313.97000000000003</v>
      </c>
      <c r="D25" s="32">
        <v>313.97000000000003</v>
      </c>
      <c r="E25" s="32">
        <v>322.58</v>
      </c>
      <c r="F25" s="32">
        <v>313.97000000000003</v>
      </c>
      <c r="G25" s="32">
        <v>313.97000000000003</v>
      </c>
      <c r="H25" s="32">
        <v>335.48</v>
      </c>
      <c r="I25" s="32">
        <v>313.97000000000003</v>
      </c>
      <c r="J25" s="32">
        <v>313.97000000000003</v>
      </c>
      <c r="K25" s="32">
        <v>313.97000000000003</v>
      </c>
      <c r="L25" s="32">
        <v>313.97000000000003</v>
      </c>
      <c r="M25" s="32">
        <v>313.97000000000003</v>
      </c>
      <c r="N25" s="170">
        <v>313.97000000000003</v>
      </c>
      <c r="O25" s="466">
        <f t="shared" si="1"/>
        <v>3797.7600000000011</v>
      </c>
    </row>
    <row r="26" spans="2:18" ht="15" customHeight="1" x14ac:dyDescent="0.15">
      <c r="B26" s="416">
        <v>2022</v>
      </c>
      <c r="C26" s="458">
        <v>313.97000000000003</v>
      </c>
      <c r="D26" s="33">
        <v>330.41</v>
      </c>
      <c r="E26" s="33">
        <v>285.43</v>
      </c>
      <c r="F26" s="33">
        <v>354.25</v>
      </c>
      <c r="G26" s="33">
        <v>285.43</v>
      </c>
      <c r="H26" s="33">
        <v>316.70999999999998</v>
      </c>
      <c r="I26" s="33">
        <v>289.33999999999997</v>
      </c>
      <c r="J26" s="33">
        <v>480.63</v>
      </c>
      <c r="K26" s="33">
        <v>285.43</v>
      </c>
      <c r="L26" s="33">
        <v>0</v>
      </c>
      <c r="M26" s="33">
        <v>0</v>
      </c>
      <c r="N26" s="171">
        <v>0</v>
      </c>
      <c r="O26" s="466">
        <f t="shared" si="1"/>
        <v>2941.6000000000004</v>
      </c>
    </row>
    <row r="27" spans="2:18" ht="15" customHeight="1" x14ac:dyDescent="0.15">
      <c r="B27" s="416">
        <v>2023</v>
      </c>
      <c r="C27" s="459">
        <v>0</v>
      </c>
      <c r="D27" s="32">
        <v>0</v>
      </c>
      <c r="E27" s="32">
        <v>0</v>
      </c>
      <c r="F27" s="32">
        <v>0</v>
      </c>
      <c r="G27" s="32">
        <v>0</v>
      </c>
      <c r="H27" s="32">
        <v>0</v>
      </c>
      <c r="I27" s="32">
        <v>0</v>
      </c>
      <c r="J27" s="32">
        <v>0</v>
      </c>
      <c r="K27" s="32">
        <v>0</v>
      </c>
      <c r="L27" s="32">
        <v>0</v>
      </c>
      <c r="M27" s="32">
        <v>0</v>
      </c>
      <c r="N27" s="170">
        <v>0</v>
      </c>
      <c r="O27" s="466">
        <f t="shared" si="1"/>
        <v>0</v>
      </c>
    </row>
    <row r="28" spans="2:18" ht="15" customHeight="1" x14ac:dyDescent="0.15">
      <c r="B28" s="416">
        <v>2024</v>
      </c>
      <c r="C28" s="458">
        <v>0</v>
      </c>
      <c r="D28" s="33">
        <v>0</v>
      </c>
      <c r="E28" s="33">
        <v>0</v>
      </c>
      <c r="F28" s="33">
        <v>0</v>
      </c>
      <c r="G28" s="33">
        <v>0</v>
      </c>
      <c r="H28" s="33">
        <v>0</v>
      </c>
      <c r="I28" s="33">
        <v>0</v>
      </c>
      <c r="J28" s="33">
        <v>0</v>
      </c>
      <c r="K28" s="33">
        <v>0</v>
      </c>
      <c r="L28" s="33">
        <v>0</v>
      </c>
      <c r="M28" s="33">
        <v>0</v>
      </c>
      <c r="N28" s="171">
        <v>0</v>
      </c>
      <c r="O28" s="466">
        <f t="shared" si="1"/>
        <v>0</v>
      </c>
    </row>
    <row r="29" spans="2:18" ht="15" customHeight="1" thickBot="1" x14ac:dyDescent="0.2">
      <c r="B29" s="446">
        <v>2025</v>
      </c>
      <c r="C29" s="463">
        <v>0</v>
      </c>
      <c r="D29" s="452">
        <v>0</v>
      </c>
      <c r="E29" s="452">
        <v>0</v>
      </c>
      <c r="F29" s="452">
        <v>0</v>
      </c>
      <c r="G29" s="452">
        <v>0</v>
      </c>
      <c r="H29" s="452">
        <v>0</v>
      </c>
      <c r="I29" s="452">
        <v>0</v>
      </c>
      <c r="J29" s="452">
        <v>0</v>
      </c>
      <c r="K29" s="452">
        <v>0</v>
      </c>
      <c r="L29" s="452">
        <v>0</v>
      </c>
      <c r="M29" s="452">
        <v>0</v>
      </c>
      <c r="N29" s="464">
        <v>0</v>
      </c>
      <c r="O29" s="467">
        <f t="shared" si="1"/>
        <v>0</v>
      </c>
    </row>
    <row r="30" spans="2:18" ht="13" customHeight="1" thickBot="1" x14ac:dyDescent="0.2">
      <c r="B30" s="392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91"/>
    </row>
    <row r="31" spans="2:18" ht="20" customHeight="1" thickTop="1" thickBot="1" x14ac:dyDescent="0.2">
      <c r="B31" s="630" t="s">
        <v>30</v>
      </c>
      <c r="C31" s="631"/>
      <c r="D31" s="631"/>
      <c r="E31" s="631"/>
      <c r="F31" s="631"/>
      <c r="G31" s="631"/>
      <c r="H31" s="631"/>
      <c r="I31" s="631"/>
      <c r="J31" s="631"/>
      <c r="K31" s="631"/>
      <c r="L31" s="631"/>
      <c r="M31" s="634">
        <f>SUM(C23:N29)</f>
        <v>12790.829999999998</v>
      </c>
      <c r="N31" s="635"/>
      <c r="O31" s="391"/>
    </row>
    <row r="32" spans="2:18" ht="13" customHeight="1" thickTop="1" thickBot="1" x14ac:dyDescent="0.2">
      <c r="B32" s="383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91"/>
    </row>
    <row r="33" spans="2:18" ht="20" thickTop="1" thickBot="1" x14ac:dyDescent="0.2">
      <c r="B33" s="632" t="s">
        <v>148</v>
      </c>
      <c r="C33" s="633"/>
      <c r="D33" s="633"/>
      <c r="E33" s="633"/>
      <c r="F33" s="633"/>
      <c r="G33" s="633"/>
      <c r="H33" s="633"/>
      <c r="I33" s="633"/>
      <c r="J33" s="633"/>
      <c r="K33" s="633"/>
      <c r="L33" s="633"/>
      <c r="M33" s="636">
        <f>M31/80</f>
        <v>159.88537499999998</v>
      </c>
      <c r="N33" s="637"/>
      <c r="O33" s="391"/>
    </row>
    <row r="34" spans="2:18" ht="13" customHeight="1" thickTop="1" thickBot="1" x14ac:dyDescent="0.2">
      <c r="B34" s="384"/>
      <c r="C34" s="393"/>
      <c r="D34" s="393"/>
      <c r="E34" s="393"/>
      <c r="F34" s="393"/>
      <c r="G34" s="393"/>
      <c r="H34" s="393"/>
      <c r="I34" s="393"/>
      <c r="J34" s="393"/>
      <c r="K34" s="393"/>
      <c r="L34" s="393"/>
      <c r="M34" s="393"/>
      <c r="N34" s="393"/>
      <c r="O34" s="394"/>
    </row>
    <row r="35" spans="2:18" ht="15" thickTop="1" thickBot="1" x14ac:dyDescent="0.2"/>
    <row r="36" spans="2:18" ht="24" customHeight="1" thickTop="1" thickBot="1" x14ac:dyDescent="0.2">
      <c r="B36" s="624" t="s">
        <v>149</v>
      </c>
      <c r="C36" s="625"/>
      <c r="D36" s="625"/>
      <c r="E36" s="625"/>
      <c r="F36" s="625"/>
      <c r="G36" s="625"/>
      <c r="H36" s="625"/>
      <c r="I36" s="625"/>
      <c r="J36" s="625"/>
      <c r="K36" s="625"/>
      <c r="L36" s="625"/>
      <c r="M36" s="625"/>
      <c r="N36" s="625"/>
      <c r="O36" s="626"/>
    </row>
    <row r="37" spans="2:18" ht="14" customHeight="1" thickTop="1" thickBot="1" x14ac:dyDescent="0.2">
      <c r="B37" s="627"/>
      <c r="C37" s="628"/>
      <c r="D37" s="628"/>
      <c r="E37" s="628"/>
      <c r="F37" s="628"/>
      <c r="G37" s="628"/>
      <c r="H37" s="628"/>
      <c r="I37" s="628"/>
      <c r="J37" s="628"/>
      <c r="K37" s="628"/>
      <c r="L37" s="628"/>
      <c r="M37" s="628"/>
      <c r="N37" s="628"/>
      <c r="O37" s="629"/>
      <c r="Q37" s="638" t="str">
        <f>CONCATENATE("Montant à insérer dans la case ",Pointage!D2," ",Pointage!G2)</f>
        <v>Montant à insérer dans la case Octobre 2022</v>
      </c>
      <c r="R37" s="639"/>
    </row>
    <row r="38" spans="2:18" ht="24" customHeight="1" thickTop="1" thickBot="1" x14ac:dyDescent="0.2">
      <c r="B38" s="619" t="s">
        <v>109</v>
      </c>
      <c r="C38" s="620"/>
      <c r="D38" s="621"/>
      <c r="E38" s="91"/>
      <c r="F38" s="91"/>
      <c r="G38" s="91"/>
      <c r="H38" s="91"/>
      <c r="I38" s="34"/>
      <c r="J38" s="34"/>
      <c r="K38" s="34"/>
      <c r="L38" s="34"/>
      <c r="M38" s="34"/>
      <c r="N38" s="34"/>
      <c r="O38" s="391"/>
      <c r="Q38" s="640"/>
      <c r="R38" s="641"/>
    </row>
    <row r="39" spans="2:18" ht="15" customHeight="1" thickTop="1" thickBot="1" x14ac:dyDescent="0.2">
      <c r="B39" s="427" t="s">
        <v>17</v>
      </c>
      <c r="C39" s="457" t="s">
        <v>18</v>
      </c>
      <c r="D39" s="455" t="s">
        <v>19</v>
      </c>
      <c r="E39" s="455" t="s">
        <v>20</v>
      </c>
      <c r="F39" s="455" t="s">
        <v>21</v>
      </c>
      <c r="G39" s="455" t="s">
        <v>40</v>
      </c>
      <c r="H39" s="455" t="s">
        <v>23</v>
      </c>
      <c r="I39" s="455" t="s">
        <v>24</v>
      </c>
      <c r="J39" s="455" t="s">
        <v>41</v>
      </c>
      <c r="K39" s="455" t="s">
        <v>25</v>
      </c>
      <c r="L39" s="455" t="s">
        <v>26</v>
      </c>
      <c r="M39" s="455" t="s">
        <v>27</v>
      </c>
      <c r="N39" s="456" t="s">
        <v>28</v>
      </c>
      <c r="O39" s="437" t="s">
        <v>45</v>
      </c>
      <c r="Q39" s="622">
        <f>'Bulletin de Paie'!L45</f>
        <v>94.688948975000002</v>
      </c>
      <c r="R39" s="623"/>
    </row>
    <row r="40" spans="2:18" ht="15" customHeight="1" x14ac:dyDescent="0.15">
      <c r="B40" s="460">
        <v>2019</v>
      </c>
      <c r="C40" s="439">
        <v>297.23</v>
      </c>
      <c r="D40" s="431">
        <v>0</v>
      </c>
      <c r="E40" s="431">
        <v>0</v>
      </c>
      <c r="F40" s="431">
        <v>0</v>
      </c>
      <c r="G40" s="431">
        <v>0</v>
      </c>
      <c r="H40" s="431">
        <v>0</v>
      </c>
      <c r="I40" s="431">
        <v>265.43</v>
      </c>
      <c r="J40" s="431">
        <v>245.27</v>
      </c>
      <c r="K40" s="431">
        <v>245.27</v>
      </c>
      <c r="L40" s="431">
        <v>245.27</v>
      </c>
      <c r="M40" s="431">
        <v>245.27</v>
      </c>
      <c r="N40" s="454">
        <v>245.27</v>
      </c>
      <c r="O40" s="434">
        <f t="shared" ref="O40:O46" si="2">SUM(C40:N40)</f>
        <v>1789.01</v>
      </c>
    </row>
    <row r="41" spans="2:18" ht="15" customHeight="1" x14ac:dyDescent="0.15">
      <c r="B41" s="461">
        <v>2020</v>
      </c>
      <c r="C41" s="458">
        <v>265.43</v>
      </c>
      <c r="D41" s="33">
        <v>245.27</v>
      </c>
      <c r="E41" s="33">
        <v>245.27</v>
      </c>
      <c r="F41" s="33">
        <v>245.27</v>
      </c>
      <c r="G41" s="33">
        <v>245.27</v>
      </c>
      <c r="H41" s="33">
        <v>245.27</v>
      </c>
      <c r="I41" s="33">
        <v>251.99</v>
      </c>
      <c r="J41" s="33">
        <v>245.27</v>
      </c>
      <c r="K41" s="33">
        <v>245.27</v>
      </c>
      <c r="L41" s="33">
        <v>245.27</v>
      </c>
      <c r="M41" s="33">
        <v>245.27</v>
      </c>
      <c r="N41" s="171">
        <v>245.27</v>
      </c>
      <c r="O41" s="429">
        <f t="shared" si="2"/>
        <v>2970.12</v>
      </c>
    </row>
    <row r="42" spans="2:18" ht="15" customHeight="1" x14ac:dyDescent="0.15">
      <c r="B42" s="461">
        <v>2021</v>
      </c>
      <c r="C42" s="459">
        <v>245.27</v>
      </c>
      <c r="D42" s="32">
        <v>245.27</v>
      </c>
      <c r="E42" s="32">
        <v>251.99</v>
      </c>
      <c r="F42" s="32">
        <v>245.27</v>
      </c>
      <c r="G42" s="32">
        <v>245.27</v>
      </c>
      <c r="H42" s="32">
        <v>262.07</v>
      </c>
      <c r="I42" s="32">
        <v>245.27</v>
      </c>
      <c r="J42" s="32">
        <v>244.93</v>
      </c>
      <c r="K42" s="32">
        <v>244.93</v>
      </c>
      <c r="L42" s="32">
        <v>244.93</v>
      </c>
      <c r="M42" s="32">
        <v>244.93</v>
      </c>
      <c r="N42" s="170">
        <v>244.93</v>
      </c>
      <c r="O42" s="429">
        <f t="shared" si="2"/>
        <v>2965.0599999999995</v>
      </c>
    </row>
    <row r="43" spans="2:18" ht="15" customHeight="1" x14ac:dyDescent="0.15">
      <c r="B43" s="461">
        <v>2022</v>
      </c>
      <c r="C43" s="458">
        <v>245.02</v>
      </c>
      <c r="D43" s="33">
        <v>257.85000000000002</v>
      </c>
      <c r="E43" s="33">
        <v>222.75</v>
      </c>
      <c r="F43" s="33">
        <v>276.45</v>
      </c>
      <c r="G43" s="33">
        <v>222.75</v>
      </c>
      <c r="H43" s="33">
        <v>247.16</v>
      </c>
      <c r="I43" s="33">
        <v>226.47</v>
      </c>
      <c r="J43" s="33">
        <v>375.47</v>
      </c>
      <c r="K43" s="33">
        <v>222.98</v>
      </c>
      <c r="L43" s="33">
        <v>0</v>
      </c>
      <c r="M43" s="33">
        <v>0</v>
      </c>
      <c r="N43" s="171">
        <v>0</v>
      </c>
      <c r="O43" s="429">
        <f t="shared" si="2"/>
        <v>2296.9</v>
      </c>
    </row>
    <row r="44" spans="2:18" ht="15" customHeight="1" x14ac:dyDescent="0.15">
      <c r="B44" s="461">
        <v>2023</v>
      </c>
      <c r="C44" s="459">
        <v>0</v>
      </c>
      <c r="D44" s="32">
        <v>0</v>
      </c>
      <c r="E44" s="32">
        <v>0</v>
      </c>
      <c r="F44" s="32">
        <v>0</v>
      </c>
      <c r="G44" s="32">
        <v>0</v>
      </c>
      <c r="H44" s="32">
        <v>0</v>
      </c>
      <c r="I44" s="32">
        <v>0</v>
      </c>
      <c r="J44" s="32">
        <v>0</v>
      </c>
      <c r="K44" s="32">
        <v>0</v>
      </c>
      <c r="L44" s="32">
        <v>0</v>
      </c>
      <c r="M44" s="32">
        <v>0</v>
      </c>
      <c r="N44" s="170">
        <v>0</v>
      </c>
      <c r="O44" s="429">
        <f t="shared" si="2"/>
        <v>0</v>
      </c>
    </row>
    <row r="45" spans="2:18" ht="15" customHeight="1" x14ac:dyDescent="0.15">
      <c r="B45" s="461">
        <v>2024</v>
      </c>
      <c r="C45" s="458">
        <v>0</v>
      </c>
      <c r="D45" s="33">
        <v>0</v>
      </c>
      <c r="E45" s="33">
        <v>0</v>
      </c>
      <c r="F45" s="33">
        <v>0</v>
      </c>
      <c r="G45" s="33">
        <v>0</v>
      </c>
      <c r="H45" s="33">
        <v>0</v>
      </c>
      <c r="I45" s="33">
        <v>0</v>
      </c>
      <c r="J45" s="33">
        <v>0</v>
      </c>
      <c r="K45" s="33">
        <v>0</v>
      </c>
      <c r="L45" s="33">
        <v>0</v>
      </c>
      <c r="M45" s="33">
        <v>0</v>
      </c>
      <c r="N45" s="171">
        <v>0</v>
      </c>
      <c r="O45" s="429">
        <f t="shared" si="2"/>
        <v>0</v>
      </c>
    </row>
    <row r="46" spans="2:18" ht="15" customHeight="1" thickBot="1" x14ac:dyDescent="0.2">
      <c r="B46" s="462">
        <v>2025</v>
      </c>
      <c r="C46" s="463">
        <v>0</v>
      </c>
      <c r="D46" s="452">
        <v>0</v>
      </c>
      <c r="E46" s="452">
        <v>0</v>
      </c>
      <c r="F46" s="452">
        <v>0</v>
      </c>
      <c r="G46" s="452">
        <v>0</v>
      </c>
      <c r="H46" s="452">
        <v>0</v>
      </c>
      <c r="I46" s="452">
        <v>0</v>
      </c>
      <c r="J46" s="452">
        <v>0</v>
      </c>
      <c r="K46" s="452">
        <v>0</v>
      </c>
      <c r="L46" s="452">
        <v>0</v>
      </c>
      <c r="M46" s="452">
        <v>0</v>
      </c>
      <c r="N46" s="464">
        <v>0</v>
      </c>
      <c r="O46" s="430">
        <f t="shared" si="2"/>
        <v>0</v>
      </c>
    </row>
    <row r="47" spans="2:18" ht="14" thickBot="1" x14ac:dyDescent="0.2">
      <c r="B47" s="392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91"/>
    </row>
    <row r="48" spans="2:18" ht="20" customHeight="1" thickTop="1" thickBot="1" x14ac:dyDescent="0.2">
      <c r="B48" s="630" t="s">
        <v>29</v>
      </c>
      <c r="C48" s="631"/>
      <c r="D48" s="631"/>
      <c r="E48" s="631"/>
      <c r="F48" s="631"/>
      <c r="G48" s="631"/>
      <c r="H48" s="631"/>
      <c r="I48" s="631"/>
      <c r="J48" s="631"/>
      <c r="K48" s="631"/>
      <c r="L48" s="631"/>
      <c r="M48" s="634">
        <f>SUM(C40:N46)</f>
        <v>10021.090000000004</v>
      </c>
      <c r="N48" s="635"/>
      <c r="O48" s="391"/>
    </row>
    <row r="49" spans="2:91" ht="13" customHeight="1" thickTop="1" thickBot="1" x14ac:dyDescent="0.2">
      <c r="B49" s="383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91"/>
    </row>
    <row r="50" spans="2:91" ht="20" thickTop="1" thickBot="1" x14ac:dyDescent="0.2">
      <c r="B50" s="632" t="s">
        <v>150</v>
      </c>
      <c r="C50" s="633"/>
      <c r="D50" s="633"/>
      <c r="E50" s="633"/>
      <c r="F50" s="633"/>
      <c r="G50" s="633"/>
      <c r="H50" s="633"/>
      <c r="I50" s="633"/>
      <c r="J50" s="633"/>
      <c r="K50" s="633"/>
      <c r="L50" s="633"/>
      <c r="M50" s="636">
        <f>M48/120</f>
        <v>83.509083333333365</v>
      </c>
      <c r="N50" s="637"/>
      <c r="O50" s="391"/>
    </row>
    <row r="51" spans="2:91" ht="13" customHeight="1" thickTop="1" thickBot="1" x14ac:dyDescent="0.2">
      <c r="B51" s="384"/>
      <c r="C51" s="393"/>
      <c r="D51" s="393"/>
      <c r="E51" s="393"/>
      <c r="F51" s="393"/>
      <c r="G51" s="393"/>
      <c r="H51" s="393"/>
      <c r="I51" s="393"/>
      <c r="J51" s="393"/>
      <c r="K51" s="393"/>
      <c r="L51" s="393"/>
      <c r="M51" s="393"/>
      <c r="N51" s="393"/>
      <c r="O51" s="394"/>
    </row>
    <row r="52" spans="2:91" ht="15" thickTop="1" thickBot="1" x14ac:dyDescent="0.2"/>
    <row r="53" spans="2:91" ht="24" customHeight="1" thickTop="1" thickBot="1" x14ac:dyDescent="0.2">
      <c r="B53" s="624" t="s">
        <v>151</v>
      </c>
      <c r="C53" s="625"/>
      <c r="D53" s="625"/>
      <c r="E53" s="625"/>
      <c r="F53" s="625"/>
      <c r="G53" s="625"/>
      <c r="H53" s="625"/>
      <c r="I53" s="625"/>
      <c r="J53" s="625"/>
      <c r="K53" s="625"/>
      <c r="L53" s="625"/>
      <c r="M53" s="625"/>
      <c r="N53" s="625"/>
      <c r="O53" s="626"/>
    </row>
    <row r="54" spans="2:91" ht="14" customHeight="1" thickTop="1" thickBot="1" x14ac:dyDescent="0.2">
      <c r="B54" s="627"/>
      <c r="C54" s="628"/>
      <c r="D54" s="628"/>
      <c r="E54" s="628"/>
      <c r="F54" s="628"/>
      <c r="G54" s="628"/>
      <c r="H54" s="628"/>
      <c r="I54" s="628"/>
      <c r="J54" s="628"/>
      <c r="K54" s="628"/>
      <c r="L54" s="628"/>
      <c r="M54" s="628"/>
      <c r="N54" s="628"/>
      <c r="O54" s="629"/>
      <c r="Q54" s="638" t="str">
        <f>CONCATENATE("Montant à insérer dans la case ",Pointage!D2," ",Pointage!G2)</f>
        <v>Montant à insérer dans la case Octobre 2022</v>
      </c>
      <c r="R54" s="639"/>
    </row>
    <row r="55" spans="2:91" ht="24" customHeight="1" thickTop="1" thickBot="1" x14ac:dyDescent="0.2">
      <c r="B55" s="619" t="s">
        <v>152</v>
      </c>
      <c r="C55" s="620"/>
      <c r="D55" s="620"/>
      <c r="E55" s="620"/>
      <c r="F55" s="620"/>
      <c r="G55" s="620"/>
      <c r="H55" s="621"/>
      <c r="I55" s="428"/>
      <c r="J55" s="422"/>
      <c r="K55" s="422"/>
      <c r="L55" s="422"/>
      <c r="M55" s="422"/>
      <c r="N55" s="422"/>
      <c r="O55" s="423"/>
      <c r="Q55" s="640"/>
      <c r="R55" s="641"/>
      <c r="CL55" s="642" t="s">
        <v>212</v>
      </c>
      <c r="CM55" s="643"/>
    </row>
    <row r="56" spans="2:91" ht="15" customHeight="1" thickTop="1" thickBot="1" x14ac:dyDescent="0.2">
      <c r="B56" s="427" t="s">
        <v>17</v>
      </c>
      <c r="C56" s="438" t="s">
        <v>18</v>
      </c>
      <c r="D56" s="435" t="s">
        <v>19</v>
      </c>
      <c r="E56" s="435" t="s">
        <v>20</v>
      </c>
      <c r="F56" s="435" t="s">
        <v>21</v>
      </c>
      <c r="G56" s="435" t="s">
        <v>22</v>
      </c>
      <c r="H56" s="435" t="s">
        <v>23</v>
      </c>
      <c r="I56" s="435" t="s">
        <v>24</v>
      </c>
      <c r="J56" s="435" t="s">
        <v>41</v>
      </c>
      <c r="K56" s="435" t="s">
        <v>25</v>
      </c>
      <c r="L56" s="435" t="s">
        <v>26</v>
      </c>
      <c r="M56" s="435" t="s">
        <v>27</v>
      </c>
      <c r="N56" s="436" t="s">
        <v>28</v>
      </c>
      <c r="O56" s="437" t="s">
        <v>45</v>
      </c>
      <c r="Q56" s="622">
        <f>SUM('Bulletin de Paie'!L31-'Bulletin de Paie'!L29)</f>
        <v>121.21000000000001</v>
      </c>
      <c r="R56" s="623"/>
      <c r="CL56" s="403" t="str">
        <f>C65</f>
        <v>2019-2020</v>
      </c>
      <c r="CM56" s="404">
        <f>D65</f>
        <v>3186.6499999999996</v>
      </c>
    </row>
    <row r="57" spans="2:91" ht="15" customHeight="1" x14ac:dyDescent="0.15">
      <c r="B57" s="426">
        <v>2019</v>
      </c>
      <c r="C57" s="439">
        <v>308.89</v>
      </c>
      <c r="D57" s="431">
        <v>0</v>
      </c>
      <c r="E57" s="431">
        <v>0</v>
      </c>
      <c r="F57" s="431">
        <v>0</v>
      </c>
      <c r="G57" s="431">
        <v>0</v>
      </c>
      <c r="H57" s="432">
        <v>0</v>
      </c>
      <c r="I57" s="432">
        <v>308.89</v>
      </c>
      <c r="J57" s="432">
        <v>285.43</v>
      </c>
      <c r="K57" s="432">
        <v>285.43</v>
      </c>
      <c r="L57" s="432">
        <v>285.43</v>
      </c>
      <c r="M57" s="432">
        <v>285.43</v>
      </c>
      <c r="N57" s="433">
        <v>285.43</v>
      </c>
      <c r="O57" s="434">
        <f t="shared" ref="O57:O63" si="3">SUM(C57:N57)</f>
        <v>2044.9300000000003</v>
      </c>
      <c r="CL57" s="405" t="str">
        <f>E65</f>
        <v>2020-2021</v>
      </c>
      <c r="CM57" s="406">
        <f>F65</f>
        <v>3440.7999999999997</v>
      </c>
    </row>
    <row r="58" spans="2:91" ht="15" customHeight="1" x14ac:dyDescent="0.15">
      <c r="B58" s="416">
        <v>2020</v>
      </c>
      <c r="C58" s="440">
        <v>308.89</v>
      </c>
      <c r="D58" s="179">
        <v>285.43</v>
      </c>
      <c r="E58" s="179">
        <v>285.43</v>
      </c>
      <c r="F58" s="179">
        <v>285.43</v>
      </c>
      <c r="G58" s="179">
        <v>285.43</v>
      </c>
      <c r="H58" s="180">
        <v>285.43</v>
      </c>
      <c r="I58" s="180">
        <v>293.25</v>
      </c>
      <c r="J58" s="180">
        <v>285.43</v>
      </c>
      <c r="K58" s="180">
        <v>285.43</v>
      </c>
      <c r="L58" s="180">
        <v>285.43</v>
      </c>
      <c r="M58" s="180">
        <v>285.43</v>
      </c>
      <c r="N58" s="181">
        <v>285.43</v>
      </c>
      <c r="O58" s="429">
        <f t="shared" si="3"/>
        <v>3456.4399999999996</v>
      </c>
      <c r="CL58" s="405" t="str">
        <f>G65</f>
        <v>2021-2022</v>
      </c>
      <c r="CM58" s="406">
        <f>H65</f>
        <v>3444.7099999999996</v>
      </c>
    </row>
    <row r="59" spans="2:91" ht="15" customHeight="1" x14ac:dyDescent="0.15">
      <c r="B59" s="416">
        <v>2021</v>
      </c>
      <c r="C59" s="441">
        <v>285.43</v>
      </c>
      <c r="D59" s="180">
        <v>285.43</v>
      </c>
      <c r="E59" s="180">
        <v>293.25</v>
      </c>
      <c r="F59" s="180">
        <v>285.43</v>
      </c>
      <c r="G59" s="180">
        <v>285.43</v>
      </c>
      <c r="H59" s="182">
        <v>304.98</v>
      </c>
      <c r="I59" s="182">
        <v>285.43</v>
      </c>
      <c r="J59" s="182">
        <v>285.43</v>
      </c>
      <c r="K59" s="182">
        <v>285.43</v>
      </c>
      <c r="L59" s="182">
        <v>285.43</v>
      </c>
      <c r="M59" s="182">
        <v>285.43</v>
      </c>
      <c r="N59" s="183">
        <v>285.43</v>
      </c>
      <c r="O59" s="429">
        <f t="shared" si="3"/>
        <v>3452.5299999999993</v>
      </c>
      <c r="CL59" s="405" t="str">
        <f>I65</f>
        <v>2022-2023</v>
      </c>
      <c r="CM59" s="406">
        <f>J65</f>
        <v>1176.9100000000001</v>
      </c>
    </row>
    <row r="60" spans="2:91" ht="15" customHeight="1" x14ac:dyDescent="0.15">
      <c r="B60" s="416">
        <v>2022</v>
      </c>
      <c r="C60" s="442">
        <v>285.43</v>
      </c>
      <c r="D60" s="182">
        <v>285.43</v>
      </c>
      <c r="E60" s="182">
        <v>285.43</v>
      </c>
      <c r="F60" s="182">
        <v>285.43</v>
      </c>
      <c r="G60" s="182">
        <v>285.43</v>
      </c>
      <c r="H60" s="186">
        <v>316.70999999999998</v>
      </c>
      <c r="I60" s="186">
        <v>289.33999999999997</v>
      </c>
      <c r="J60" s="186">
        <v>285.43</v>
      </c>
      <c r="K60" s="186">
        <v>285.43</v>
      </c>
      <c r="L60" s="186">
        <v>0</v>
      </c>
      <c r="M60" s="186">
        <v>0</v>
      </c>
      <c r="N60" s="187">
        <v>0</v>
      </c>
      <c r="O60" s="429">
        <f t="shared" si="3"/>
        <v>2604.06</v>
      </c>
      <c r="CL60" s="405" t="str">
        <f>K65</f>
        <v>2023-2024</v>
      </c>
      <c r="CM60" s="406">
        <f>L65</f>
        <v>0</v>
      </c>
    </row>
    <row r="61" spans="2:91" ht="15" customHeight="1" thickBot="1" x14ac:dyDescent="0.2">
      <c r="B61" s="416">
        <v>2023</v>
      </c>
      <c r="C61" s="443">
        <v>0</v>
      </c>
      <c r="D61" s="186">
        <v>0</v>
      </c>
      <c r="E61" s="186">
        <v>0</v>
      </c>
      <c r="F61" s="186">
        <v>0</v>
      </c>
      <c r="G61" s="186">
        <v>0</v>
      </c>
      <c r="H61" s="184">
        <v>0</v>
      </c>
      <c r="I61" s="184">
        <v>0</v>
      </c>
      <c r="J61" s="184">
        <v>0</v>
      </c>
      <c r="K61" s="184">
        <v>0</v>
      </c>
      <c r="L61" s="184">
        <v>0</v>
      </c>
      <c r="M61" s="184">
        <v>0</v>
      </c>
      <c r="N61" s="185">
        <v>0</v>
      </c>
      <c r="O61" s="429">
        <f t="shared" si="3"/>
        <v>0</v>
      </c>
      <c r="CL61" s="407" t="str">
        <f>M65</f>
        <v>2024-2025</v>
      </c>
      <c r="CM61" s="408">
        <f>N65</f>
        <v>0</v>
      </c>
    </row>
    <row r="62" spans="2:91" ht="15" customHeight="1" thickTop="1" x14ac:dyDescent="0.15">
      <c r="B62" s="416">
        <v>2024</v>
      </c>
      <c r="C62" s="444">
        <v>0</v>
      </c>
      <c r="D62" s="184">
        <v>0</v>
      </c>
      <c r="E62" s="184">
        <v>0</v>
      </c>
      <c r="F62" s="184">
        <v>0</v>
      </c>
      <c r="G62" s="184">
        <v>0</v>
      </c>
      <c r="H62" s="188">
        <v>0</v>
      </c>
      <c r="I62" s="188">
        <v>0</v>
      </c>
      <c r="J62" s="188">
        <v>0</v>
      </c>
      <c r="K62" s="188">
        <v>0</v>
      </c>
      <c r="L62" s="188">
        <v>0</v>
      </c>
      <c r="M62" s="188">
        <v>0</v>
      </c>
      <c r="N62" s="189">
        <v>0</v>
      </c>
      <c r="O62" s="429">
        <f t="shared" si="3"/>
        <v>0</v>
      </c>
    </row>
    <row r="63" spans="2:91" ht="15" customHeight="1" thickBot="1" x14ac:dyDescent="0.2">
      <c r="B63" s="446">
        <v>2025</v>
      </c>
      <c r="C63" s="450">
        <v>0</v>
      </c>
      <c r="D63" s="451">
        <v>0</v>
      </c>
      <c r="E63" s="451">
        <v>0</v>
      </c>
      <c r="F63" s="451">
        <v>0</v>
      </c>
      <c r="G63" s="451">
        <v>0</v>
      </c>
      <c r="H63" s="452">
        <v>0</v>
      </c>
      <c r="I63" s="452">
        <v>0</v>
      </c>
      <c r="J63" s="452">
        <v>0</v>
      </c>
      <c r="K63" s="452">
        <v>0</v>
      </c>
      <c r="L63" s="452">
        <v>0</v>
      </c>
      <c r="M63" s="452">
        <v>0</v>
      </c>
      <c r="N63" s="453">
        <v>0</v>
      </c>
      <c r="O63" s="430">
        <f t="shared" si="3"/>
        <v>0</v>
      </c>
    </row>
    <row r="64" spans="2:91" ht="13" customHeight="1" thickBot="1" x14ac:dyDescent="0.2">
      <c r="B64" s="392"/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91"/>
    </row>
    <row r="65" spans="2:15" ht="20" customHeight="1" thickTop="1" thickBot="1" x14ac:dyDescent="0.2">
      <c r="B65" s="384"/>
      <c r="C65" s="395" t="s">
        <v>134</v>
      </c>
      <c r="D65" s="398">
        <f>SUM(H57,I57,J57,K57,L57,M57,N57,C58,D58,E58,F58,G58)</f>
        <v>3186.6499999999996</v>
      </c>
      <c r="E65" s="397" t="s">
        <v>135</v>
      </c>
      <c r="F65" s="399">
        <f>SUM(H58,I58,J58,K58,L58,M58,N58,C59,D59,E59,F59,G59)</f>
        <v>3440.7999999999997</v>
      </c>
      <c r="G65" s="397" t="s">
        <v>136</v>
      </c>
      <c r="H65" s="400">
        <f>SUM(H59,I59,J59,K59,L59,M59,N59,C60,D60,E60,F60,G60)</f>
        <v>3444.7099999999996</v>
      </c>
      <c r="I65" s="397" t="s">
        <v>137</v>
      </c>
      <c r="J65" s="401">
        <f>SUM(H60,I60,J60,K60,L60,M60,N60,C61,D61,E61,F61,G61)</f>
        <v>1176.9100000000001</v>
      </c>
      <c r="K65" s="397" t="s">
        <v>138</v>
      </c>
      <c r="L65" s="402">
        <f>SUM(H61,I61,J61,K61,L61,M61,N61,C62,D62,E62,F62,G62)</f>
        <v>0</v>
      </c>
      <c r="M65" s="397" t="s">
        <v>139</v>
      </c>
      <c r="N65" s="396">
        <f>SUM(H62,I62,J62,K62,L62,M62,N62,C63,D63,E63,F63,G63)</f>
        <v>0</v>
      </c>
      <c r="O65" s="394"/>
    </row>
    <row r="66" spans="2:15" ht="14" thickTop="1" x14ac:dyDescent="0.15">
      <c r="C66" s="21"/>
    </row>
    <row r="67" spans="2:15" ht="13" customHeight="1" x14ac:dyDescent="0.15">
      <c r="C67" s="21"/>
    </row>
    <row r="68" spans="2:15" ht="13" customHeight="1" x14ac:dyDescent="0.15">
      <c r="C68" s="21"/>
    </row>
    <row r="69" spans="2:15" x14ac:dyDescent="0.15">
      <c r="C69" s="21"/>
    </row>
    <row r="70" spans="2:15" x14ac:dyDescent="0.15">
      <c r="C70" s="21"/>
    </row>
    <row r="71" spans="2:15" x14ac:dyDescent="0.15">
      <c r="C71" s="21"/>
    </row>
    <row r="72" spans="2:15" x14ac:dyDescent="0.15">
      <c r="C72" s="21"/>
    </row>
    <row r="73" spans="2:15" x14ac:dyDescent="0.15">
      <c r="C73" s="21"/>
    </row>
    <row r="74" spans="2:15" x14ac:dyDescent="0.15">
      <c r="C74" s="21"/>
    </row>
    <row r="75" spans="2:15" x14ac:dyDescent="0.15">
      <c r="C75" s="21"/>
    </row>
    <row r="76" spans="2:15" x14ac:dyDescent="0.15">
      <c r="C76" s="21"/>
    </row>
    <row r="77" spans="2:15" x14ac:dyDescent="0.15">
      <c r="C77" s="21"/>
    </row>
    <row r="78" spans="2:15" x14ac:dyDescent="0.15">
      <c r="C78" s="21"/>
    </row>
    <row r="79" spans="2:15" x14ac:dyDescent="0.15">
      <c r="C79" s="21"/>
    </row>
    <row r="80" spans="2:15" x14ac:dyDescent="0.15">
      <c r="C80" s="21"/>
    </row>
    <row r="81" spans="3:3" x14ac:dyDescent="0.15">
      <c r="C81" s="21"/>
    </row>
    <row r="82" spans="3:3" x14ac:dyDescent="0.15">
      <c r="C82" s="21"/>
    </row>
    <row r="83" spans="3:3" x14ac:dyDescent="0.15">
      <c r="C83" s="21"/>
    </row>
    <row r="84" spans="3:3" ht="13" customHeight="1" x14ac:dyDescent="0.15">
      <c r="C84" s="21"/>
    </row>
    <row r="85" spans="3:3" ht="13" customHeight="1" x14ac:dyDescent="0.15">
      <c r="C85" s="21"/>
    </row>
    <row r="86" spans="3:3" x14ac:dyDescent="0.15">
      <c r="C86" s="21"/>
    </row>
    <row r="87" spans="3:3" x14ac:dyDescent="0.15">
      <c r="C87" s="21"/>
    </row>
    <row r="88" spans="3:3" x14ac:dyDescent="0.15">
      <c r="C88" s="21"/>
    </row>
    <row r="89" spans="3:3" x14ac:dyDescent="0.15">
      <c r="C89" s="21"/>
    </row>
    <row r="90" spans="3:3" x14ac:dyDescent="0.15">
      <c r="C90" s="21"/>
    </row>
    <row r="91" spans="3:3" x14ac:dyDescent="0.15">
      <c r="C91" s="21"/>
    </row>
    <row r="92" spans="3:3" x14ac:dyDescent="0.15">
      <c r="C92" s="21"/>
    </row>
    <row r="93" spans="3:3" x14ac:dyDescent="0.15">
      <c r="C93" s="21"/>
    </row>
    <row r="94" spans="3:3" x14ac:dyDescent="0.15">
      <c r="C94" s="21"/>
    </row>
    <row r="95" spans="3:3" x14ac:dyDescent="0.15">
      <c r="C95" s="21"/>
    </row>
    <row r="96" spans="3:3" x14ac:dyDescent="0.15">
      <c r="C96" s="21"/>
    </row>
    <row r="97" spans="3:15" x14ac:dyDescent="0.15">
      <c r="C97" s="21"/>
    </row>
    <row r="101" spans="3:15" ht="13" customHeight="1" x14ac:dyDescent="0.15"/>
    <row r="102" spans="3:15" ht="13" customHeight="1" x14ac:dyDescent="0.15"/>
    <row r="112" spans="3:15" x14ac:dyDescent="0.1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</row>
    <row r="113" ht="17" customHeight="1" x14ac:dyDescent="0.15"/>
  </sheetData>
  <sheetProtection formatCells="0" formatColumns="0" formatRows="0" selectLockedCells="1"/>
  <mergeCells count="29">
    <mergeCell ref="CL55:CM55"/>
    <mergeCell ref="B16:L16"/>
    <mergeCell ref="M16:N16"/>
    <mergeCell ref="Q3:R4"/>
    <mergeCell ref="Q5:R5"/>
    <mergeCell ref="Q20:R21"/>
    <mergeCell ref="Q22:R22"/>
    <mergeCell ref="B2:O3"/>
    <mergeCell ref="B14:L14"/>
    <mergeCell ref="M14:N14"/>
    <mergeCell ref="B4:D4"/>
    <mergeCell ref="Q37:R38"/>
    <mergeCell ref="Q39:R39"/>
    <mergeCell ref="M33:N33"/>
    <mergeCell ref="B33:L33"/>
    <mergeCell ref="Q54:R55"/>
    <mergeCell ref="B19:O20"/>
    <mergeCell ref="M31:N31"/>
    <mergeCell ref="B36:O37"/>
    <mergeCell ref="B31:L31"/>
    <mergeCell ref="B21:D21"/>
    <mergeCell ref="Q56:R56"/>
    <mergeCell ref="B55:H55"/>
    <mergeCell ref="B53:O54"/>
    <mergeCell ref="B38:D38"/>
    <mergeCell ref="B48:L48"/>
    <mergeCell ref="B50:L50"/>
    <mergeCell ref="M48:N48"/>
    <mergeCell ref="M50:N50"/>
  </mergeCells>
  <phoneticPr fontId="0" type="noConversion"/>
  <printOptions horizontalCentered="1" verticalCentered="1"/>
  <pageMargins left="0.25" right="0.25" top="0.39370078740157483" bottom="0.39370078740157483" header="0" footer="0"/>
  <pageSetup paperSize="9" scale="66" orientation="landscape" horizontalDpi="0" verticalDpi="0"/>
  <ignoredErrors>
    <ignoredError sqref="O7:O8 O40:O46 O25:O29 O23:O24 O57:O63" formulaRange="1" unlockedFormula="1"/>
    <ignoredError sqref="O6 O9:O12" formulaRange="1" unlockedFormula="1" emptyCellReference="1"/>
    <ignoredError sqref="M14 M16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>
    <tabColor rgb="FFFF0000"/>
    <pageSetUpPr fitToPage="1"/>
  </sheetPr>
  <dimension ref="B1:DG83"/>
  <sheetViews>
    <sheetView tabSelected="1" zoomScale="130" zoomScaleNormal="130" zoomScalePageLayoutView="130" workbookViewId="0">
      <selection activeCell="P42" sqref="P42"/>
    </sheetView>
  </sheetViews>
  <sheetFormatPr baseColWidth="10" defaultRowHeight="13" x14ac:dyDescent="0.15"/>
  <cols>
    <col min="1" max="1" width="0.5" customWidth="1"/>
    <col min="2" max="2" width="4.83203125" customWidth="1"/>
    <col min="3" max="3" width="12.83203125" customWidth="1"/>
    <col min="4" max="9" width="9.83203125" customWidth="1"/>
    <col min="10" max="11" width="6.83203125" customWidth="1"/>
    <col min="12" max="12" width="9.83203125" customWidth="1"/>
    <col min="13" max="14" width="8.83203125" customWidth="1"/>
    <col min="15" max="15" width="3.83203125" customWidth="1"/>
    <col min="16" max="16" width="32.33203125" customWidth="1"/>
    <col min="17" max="17" width="1.33203125" style="87" customWidth="1"/>
    <col min="18" max="18" width="13.83203125" customWidth="1"/>
    <col min="19" max="19" width="9.83203125" customWidth="1"/>
    <col min="20" max="20" width="5.83203125" customWidth="1"/>
    <col min="21" max="21" width="13.83203125" customWidth="1"/>
    <col min="22" max="27" width="12.33203125" customWidth="1"/>
    <col min="28" max="28" width="12.33203125" style="159" customWidth="1"/>
    <col min="29" max="29" width="5.83203125" customWidth="1"/>
    <col min="30" max="30" width="24.83203125" customWidth="1"/>
    <col min="31" max="31" width="28.83203125" customWidth="1"/>
    <col min="32" max="32" width="11.83203125" customWidth="1"/>
    <col min="33" max="33" width="28.83203125" customWidth="1"/>
    <col min="34" max="34" width="14.83203125" customWidth="1"/>
    <col min="103" max="103" width="12.83203125" customWidth="1"/>
    <col min="104" max="104" width="13.83203125" customWidth="1"/>
    <col min="105" max="105" width="5.83203125" customWidth="1"/>
    <col min="106" max="106" width="13.83203125" customWidth="1"/>
    <col min="107" max="107" width="23.83203125" customWidth="1"/>
    <col min="108" max="109" width="19.1640625" customWidth="1"/>
    <col min="110" max="110" width="12.33203125" customWidth="1"/>
  </cols>
  <sheetData>
    <row r="1" spans="2:111" ht="2" customHeight="1" thickBot="1" x14ac:dyDescent="0.2"/>
    <row r="2" spans="2:111" ht="15" customHeight="1" thickTop="1" thickBot="1" x14ac:dyDescent="0.2">
      <c r="B2" s="776" t="s">
        <v>111</v>
      </c>
      <c r="C2" s="777"/>
      <c r="D2" s="767" t="s">
        <v>26</v>
      </c>
      <c r="E2" s="768"/>
      <c r="F2" s="245" t="s">
        <v>112</v>
      </c>
      <c r="G2" s="272">
        <v>2022</v>
      </c>
      <c r="H2" s="778" t="str">
        <f>"Période du "&amp;TEXT(C6,"jj/mm/aaaa")&amp;" au "&amp;TEXT(EOMONTH(C6,0),"jj/mm/aaaa")</f>
        <v>Période du 01/10/2022 au 31/10/2022</v>
      </c>
      <c r="I2" s="779"/>
      <c r="J2" s="779"/>
      <c r="K2" s="779"/>
      <c r="L2" s="780"/>
      <c r="M2" s="105"/>
      <c r="N2" s="769" t="str">
        <f ca="1">"Aujourd'hui, nous sommes le "&amp;TEXT(TODAY(),"[$-F800]jj,mm,aaaa")</f>
        <v>Aujourd'hui, nous sommes le mardi 6 septembre 2022</v>
      </c>
      <c r="O2" s="770"/>
      <c r="P2" s="770"/>
      <c r="Q2" s="770"/>
      <c r="R2" s="770"/>
      <c r="S2" s="771"/>
      <c r="DC2" s="113"/>
      <c r="DD2" s="113"/>
      <c r="DE2" s="113"/>
      <c r="DF2" s="113"/>
    </row>
    <row r="3" spans="2:111" ht="15" customHeight="1" thickTop="1" thickBot="1" x14ac:dyDescent="0.2">
      <c r="B3" s="774" t="s">
        <v>113</v>
      </c>
      <c r="C3" s="775"/>
      <c r="D3" s="775"/>
      <c r="E3" s="766" t="s">
        <v>42</v>
      </c>
      <c r="F3" s="766"/>
      <c r="G3" s="766"/>
      <c r="H3" s="781"/>
      <c r="I3" s="782"/>
      <c r="J3" s="782"/>
      <c r="K3" s="782"/>
      <c r="L3" s="783"/>
      <c r="M3" s="160"/>
      <c r="N3" s="160"/>
      <c r="O3" s="161"/>
      <c r="P3" s="226"/>
      <c r="U3" s="657" t="s">
        <v>147</v>
      </c>
      <c r="V3" s="658"/>
      <c r="W3" s="658"/>
      <c r="X3" s="658"/>
      <c r="Y3" s="658"/>
      <c r="Z3" s="658"/>
      <c r="AA3" s="658"/>
      <c r="AB3" s="659"/>
      <c r="AD3" s="657" t="str">
        <f>CONCATENATE("Tableau des jours fériés automatique de l'année ",Pointage!G2,"-",Pointage!G2+1,)</f>
        <v>Tableau des jours fériés automatique de l'année 2022-2023</v>
      </c>
      <c r="AE3" s="658"/>
      <c r="AF3" s="658"/>
      <c r="AG3" s="659"/>
      <c r="DC3" s="113"/>
      <c r="DD3" s="113"/>
      <c r="DE3" s="113"/>
      <c r="DF3" s="113"/>
    </row>
    <row r="4" spans="2:111" ht="15" customHeight="1" thickTop="1" thickBot="1" x14ac:dyDescent="0.2">
      <c r="B4" s="804" t="s">
        <v>80</v>
      </c>
      <c r="C4" s="809" t="s">
        <v>9</v>
      </c>
      <c r="D4" s="788" t="s">
        <v>38</v>
      </c>
      <c r="E4" s="785"/>
      <c r="F4" s="784" t="s">
        <v>46</v>
      </c>
      <c r="G4" s="785"/>
      <c r="H4" s="784" t="s">
        <v>47</v>
      </c>
      <c r="I4" s="808"/>
      <c r="J4" s="818" t="s">
        <v>32</v>
      </c>
      <c r="K4" s="806" t="s">
        <v>33</v>
      </c>
      <c r="L4" s="793" t="s">
        <v>39</v>
      </c>
      <c r="M4" s="256" t="s">
        <v>76</v>
      </c>
      <c r="N4" s="257" t="s">
        <v>76</v>
      </c>
      <c r="O4" s="772" t="s">
        <v>101</v>
      </c>
      <c r="P4" s="789" t="s">
        <v>52</v>
      </c>
      <c r="R4" s="791" t="s">
        <v>68</v>
      </c>
      <c r="S4" s="792"/>
      <c r="U4" s="660"/>
      <c r="V4" s="661"/>
      <c r="W4" s="661"/>
      <c r="X4" s="661"/>
      <c r="Y4" s="661"/>
      <c r="Z4" s="661"/>
      <c r="AA4" s="661"/>
      <c r="AB4" s="662"/>
      <c r="AD4" s="660"/>
      <c r="AE4" s="661"/>
      <c r="AF4" s="661"/>
      <c r="AG4" s="662"/>
      <c r="AH4" s="194"/>
      <c r="DC4" s="224"/>
      <c r="DD4" s="224"/>
      <c r="DE4" s="224"/>
      <c r="DF4" s="224"/>
    </row>
    <row r="5" spans="2:111" ht="15" customHeight="1" thickTop="1" thickBot="1" x14ac:dyDescent="0.2">
      <c r="B5" s="805"/>
      <c r="C5" s="810"/>
      <c r="D5" s="117" t="s">
        <v>35</v>
      </c>
      <c r="E5" s="270" t="s">
        <v>34</v>
      </c>
      <c r="F5" s="271" t="s">
        <v>35</v>
      </c>
      <c r="G5" s="270" t="s">
        <v>34</v>
      </c>
      <c r="H5" s="271" t="s">
        <v>35</v>
      </c>
      <c r="I5" s="118" t="s">
        <v>34</v>
      </c>
      <c r="J5" s="819"/>
      <c r="K5" s="807"/>
      <c r="L5" s="794"/>
      <c r="M5" s="258">
        <f>G62</f>
        <v>2.65</v>
      </c>
      <c r="N5" s="98">
        <f>G63</f>
        <v>3.55</v>
      </c>
      <c r="O5" s="773"/>
      <c r="P5" s="790"/>
      <c r="R5" s="786" t="s">
        <v>67</v>
      </c>
      <c r="S5" s="787"/>
      <c r="U5" s="289" t="s">
        <v>94</v>
      </c>
      <c r="V5" s="126" t="s">
        <v>91</v>
      </c>
      <c r="W5" s="126" t="s">
        <v>153</v>
      </c>
      <c r="X5" s="127" t="s">
        <v>90</v>
      </c>
      <c r="Y5" s="684" t="s">
        <v>93</v>
      </c>
      <c r="Z5" s="685"/>
      <c r="AA5" s="684" t="s">
        <v>52</v>
      </c>
      <c r="AB5" s="823"/>
      <c r="AD5" s="307" t="s">
        <v>189</v>
      </c>
      <c r="AE5" s="126" t="str">
        <f>CONCATENATE("Dates pour ",Pointage!G2,)</f>
        <v>Dates pour 2022</v>
      </c>
      <c r="AF5" s="308" t="s">
        <v>183</v>
      </c>
      <c r="AG5" s="313" t="str">
        <f>CONCATENATE("Dates pour ",Pointage!G2+1,)</f>
        <v>Dates pour 2023</v>
      </c>
      <c r="AH5" s="194"/>
      <c r="AJ5" s="24"/>
      <c r="CY5" s="692" t="s">
        <v>107</v>
      </c>
      <c r="CZ5" s="693"/>
      <c r="DA5" s="693"/>
      <c r="DB5" s="694"/>
      <c r="DC5" s="663" t="s">
        <v>204</v>
      </c>
      <c r="DD5" s="664"/>
      <c r="DE5" s="665"/>
      <c r="DF5" s="669" t="s">
        <v>207</v>
      </c>
      <c r="DG5" s="114"/>
    </row>
    <row r="6" spans="2:111" ht="15" customHeight="1" thickBot="1" x14ac:dyDescent="0.2">
      <c r="B6" s="246">
        <f>IF(C6&lt;&gt;"",WEEKNUM(C6,2),"")</f>
        <v>40</v>
      </c>
      <c r="C6" s="69">
        <f>DATE(Année,MONTH("1/"&amp;Mois),1)</f>
        <v>44835</v>
      </c>
      <c r="D6" s="61"/>
      <c r="E6" s="55"/>
      <c r="F6" s="58"/>
      <c r="G6" s="55"/>
      <c r="H6" s="58"/>
      <c r="I6" s="64"/>
      <c r="J6" s="51"/>
      <c r="K6" s="48"/>
      <c r="L6" s="247" t="str">
        <f t="shared" ref="L6:L36" si="0">IF(C6="","",IF(WEEKDAY(C6,2)=7,"/",IF(P6="AT","AT",IF(O6="x","CP",IF(O6="/","Férié",IF((SUM(E6-D6+G6-F6+I6-H6)&gt;0.00001),(SUM(E6-D6+G6-F6+I6-H6)),""))))))</f>
        <v/>
      </c>
      <c r="M6" s="259" t="str">
        <f t="shared" ref="M6:M29" si="1">IF(WEEKDAY(C6,2)=7,"/",IF(L6&lt;TIME(8,59,59),"x",""))</f>
        <v/>
      </c>
      <c r="N6" s="73" t="str">
        <f t="shared" ref="N6:N29" si="2">IF(WEEKDAY(C6,2)=7,"/",IF(SUM(E6-D6+G6-F6+I6-H6)&lt;TIME(8,59,59),"","x"))</f>
        <v/>
      </c>
      <c r="O6" s="123"/>
      <c r="P6" s="260"/>
      <c r="R6" s="795" t="s">
        <v>69</v>
      </c>
      <c r="S6" s="796"/>
      <c r="U6" s="290" t="s">
        <v>23</v>
      </c>
      <c r="V6" s="343"/>
      <c r="W6" s="344">
        <v>2.5</v>
      </c>
      <c r="X6" s="345"/>
      <c r="Y6" s="708"/>
      <c r="Z6" s="709"/>
      <c r="AA6" s="677"/>
      <c r="AB6" s="678"/>
      <c r="AC6" s="115"/>
      <c r="AD6" s="303" t="s">
        <v>117</v>
      </c>
      <c r="AE6" s="158">
        <f>DATE($G$2,1,1)</f>
        <v>44562</v>
      </c>
      <c r="AF6" s="309" t="str">
        <f>CHOOSE(MATCH(MONTH(AE6)*100+DAY(AE6),{0;320;621;922;1221},1),"Hiver","Printemps","Eté","Automne","Hiver")</f>
        <v>Hiver</v>
      </c>
      <c r="AG6" s="314">
        <f>DATE($G$2+1,1,1)</f>
        <v>44927</v>
      </c>
      <c r="AH6" s="195"/>
      <c r="AJ6" s="192"/>
      <c r="CY6" s="695"/>
      <c r="CZ6" s="696"/>
      <c r="DA6" s="696"/>
      <c r="DB6" s="697"/>
      <c r="DC6" s="666"/>
      <c r="DD6" s="667"/>
      <c r="DE6" s="668"/>
      <c r="DF6" s="670"/>
    </row>
    <row r="7" spans="2:111" ht="15" customHeight="1" thickBot="1" x14ac:dyDescent="0.2">
      <c r="B7" s="248">
        <f t="shared" ref="B7:B36" si="3">IF(C7&lt;&gt;"",WEEKNUM(C7,2),"")</f>
        <v>40</v>
      </c>
      <c r="C7" s="70">
        <f t="shared" ref="C7:C35" si="4">IF(ISNUMBER(C6),IF(MONTH(C6+1) = MONTH(C6),C6+1,""),"")</f>
        <v>44836</v>
      </c>
      <c r="D7" s="128"/>
      <c r="E7" s="129"/>
      <c r="F7" s="130"/>
      <c r="G7" s="129"/>
      <c r="H7" s="130"/>
      <c r="I7" s="131"/>
      <c r="J7" s="132"/>
      <c r="K7" s="174"/>
      <c r="L7" s="249" t="str">
        <f t="shared" si="0"/>
        <v>/</v>
      </c>
      <c r="M7" s="261" t="str">
        <f t="shared" si="1"/>
        <v>/</v>
      </c>
      <c r="N7" s="74" t="str">
        <f t="shared" si="2"/>
        <v>/</v>
      </c>
      <c r="O7" s="133"/>
      <c r="P7" s="262"/>
      <c r="R7" s="832" t="s">
        <v>231</v>
      </c>
      <c r="S7" s="833"/>
      <c r="U7" s="291" t="s">
        <v>24</v>
      </c>
      <c r="V7" s="147"/>
      <c r="W7" s="132">
        <v>2.5</v>
      </c>
      <c r="X7" s="132"/>
      <c r="Y7" s="679"/>
      <c r="Z7" s="680"/>
      <c r="AA7" s="703"/>
      <c r="AB7" s="704"/>
      <c r="AC7" s="115"/>
      <c r="AD7" s="304" t="s">
        <v>118</v>
      </c>
      <c r="AE7" s="157">
        <f>AE17+1</f>
        <v>44669</v>
      </c>
      <c r="AF7" s="310" t="str">
        <f>CHOOSE(MATCH(MONTH(AE7)*100+DAY(AE7),{0;320;621;922;1221},1),"Hiver","Printemps","Eté","Automne","Hiver")</f>
        <v>Printemps</v>
      </c>
      <c r="AG7" s="315">
        <f>AG17+1</f>
        <v>45026</v>
      </c>
      <c r="AH7" s="193"/>
      <c r="CY7" s="698"/>
      <c r="CZ7" s="699"/>
      <c r="DA7" s="699"/>
      <c r="DB7" s="700"/>
      <c r="DC7" s="201" t="s">
        <v>194</v>
      </c>
      <c r="DD7" s="202">
        <v>2.5</v>
      </c>
      <c r="DE7" s="216">
        <f>PRODUCT(Y25/10)/30*Y21</f>
        <v>0</v>
      </c>
      <c r="DF7" s="220">
        <f>(M52*24/6)</f>
        <v>1</v>
      </c>
    </row>
    <row r="8" spans="2:111" ht="16" thickTop="1" thickBot="1" x14ac:dyDescent="0.2">
      <c r="B8" s="248">
        <f t="shared" si="3"/>
        <v>41</v>
      </c>
      <c r="C8" s="70">
        <f t="shared" si="4"/>
        <v>44837</v>
      </c>
      <c r="D8" s="62"/>
      <c r="E8" s="56"/>
      <c r="F8" s="59"/>
      <c r="G8" s="56"/>
      <c r="H8" s="59"/>
      <c r="I8" s="65"/>
      <c r="J8" s="52"/>
      <c r="K8" s="49"/>
      <c r="L8" s="249" t="str">
        <f t="shared" si="0"/>
        <v/>
      </c>
      <c r="M8" s="261" t="str">
        <f t="shared" si="1"/>
        <v/>
      </c>
      <c r="N8" s="74" t="str">
        <f t="shared" si="2"/>
        <v/>
      </c>
      <c r="O8" s="124"/>
      <c r="P8" s="263"/>
      <c r="R8" s="24"/>
      <c r="S8" s="24"/>
      <c r="U8" s="291" t="s">
        <v>41</v>
      </c>
      <c r="V8" s="146">
        <v>195.20023333333333</v>
      </c>
      <c r="W8" s="346">
        <v>2.5</v>
      </c>
      <c r="X8" s="346">
        <v>17</v>
      </c>
      <c r="Y8" s="714" t="s">
        <v>214</v>
      </c>
      <c r="Z8" s="715"/>
      <c r="AA8" s="701" t="s">
        <v>215</v>
      </c>
      <c r="AB8" s="702"/>
      <c r="AC8" s="115"/>
      <c r="AD8" s="304" t="s">
        <v>119</v>
      </c>
      <c r="AE8" s="156">
        <f>DATE($G$2,5,1)</f>
        <v>44682</v>
      </c>
      <c r="AF8" s="311" t="str">
        <f>CHOOSE(MATCH(MONTH(AE8)*100+DAY(AE8),{0;320;621;922;1221},1),"Hiver","Printemps","Eté","Automne","Hiver")</f>
        <v>Printemps</v>
      </c>
      <c r="AG8" s="316">
        <f>DATE($G$2+1,5,1)</f>
        <v>45047</v>
      </c>
      <c r="AH8" s="193"/>
      <c r="AI8" s="138"/>
      <c r="CY8" s="235" t="s">
        <v>211</v>
      </c>
      <c r="CZ8" s="236">
        <f t="array" ref="CZ8">MIN(IF(L6:L36="CP",C6:C36,""))</f>
        <v>0</v>
      </c>
      <c r="DA8" s="237" t="s">
        <v>210</v>
      </c>
      <c r="DB8" s="238">
        <f t="array" ref="DB8">MAX(IF(L6:L36="CP",C6:C36,""))</f>
        <v>0</v>
      </c>
      <c r="DC8" s="203" t="s">
        <v>195</v>
      </c>
      <c r="DD8" s="204">
        <v>2.5</v>
      </c>
      <c r="DE8" s="217">
        <f>PRODUCT((M51*N51)*24)*Y21/26</f>
        <v>0</v>
      </c>
      <c r="DF8" s="221">
        <f>(M52*24/6)</f>
        <v>1</v>
      </c>
    </row>
    <row r="9" spans="2:111" ht="16" thickTop="1" thickBot="1" x14ac:dyDescent="0.2">
      <c r="B9" s="248">
        <f t="shared" si="3"/>
        <v>41</v>
      </c>
      <c r="C9" s="70">
        <f t="shared" si="4"/>
        <v>44838</v>
      </c>
      <c r="D9" s="128"/>
      <c r="E9" s="129"/>
      <c r="F9" s="130"/>
      <c r="G9" s="129"/>
      <c r="H9" s="130"/>
      <c r="I9" s="131"/>
      <c r="J9" s="132"/>
      <c r="K9" s="174"/>
      <c r="L9" s="249" t="str">
        <f t="shared" si="0"/>
        <v/>
      </c>
      <c r="M9" s="261" t="str">
        <f t="shared" si="1"/>
        <v/>
      </c>
      <c r="N9" s="74" t="str">
        <f t="shared" si="2"/>
        <v/>
      </c>
      <c r="O9" s="133"/>
      <c r="P9" s="262"/>
      <c r="R9" s="734" t="s">
        <v>88</v>
      </c>
      <c r="S9" s="735"/>
      <c r="T9" s="113"/>
      <c r="U9" s="291" t="s">
        <v>25</v>
      </c>
      <c r="V9" s="147"/>
      <c r="W9" s="132">
        <v>2.5</v>
      </c>
      <c r="X9" s="132"/>
      <c r="Y9" s="679"/>
      <c r="Z9" s="680"/>
      <c r="AA9" s="703"/>
      <c r="AB9" s="704"/>
      <c r="AC9" s="115"/>
      <c r="AD9" s="304" t="s">
        <v>120</v>
      </c>
      <c r="AE9" s="157">
        <f>DATE($G$2,5,8)</f>
        <v>44689</v>
      </c>
      <c r="AF9" s="310" t="str">
        <f>CHOOSE(MATCH(MONTH(AE9)*100+DAY(AE9),{0;320;621;922;1221},1),"Hiver","Printemps","Eté","Automne","Hiver")</f>
        <v>Printemps</v>
      </c>
      <c r="AG9" s="315">
        <f>DATE($G$2+1,5,8)</f>
        <v>45054</v>
      </c>
      <c r="AH9" s="193"/>
      <c r="AI9" s="138"/>
      <c r="DC9" s="205" t="s">
        <v>196</v>
      </c>
      <c r="DD9" s="206">
        <v>2.0833333333333299</v>
      </c>
      <c r="DE9" s="218">
        <f>PRODUCT(Y25/10)/25*Y21</f>
        <v>0</v>
      </c>
      <c r="DF9" s="222">
        <f>(M52*24/5)</f>
        <v>1.2</v>
      </c>
    </row>
    <row r="10" spans="2:111" ht="16" thickTop="1" thickBot="1" x14ac:dyDescent="0.2">
      <c r="B10" s="248">
        <f t="shared" si="3"/>
        <v>41</v>
      </c>
      <c r="C10" s="70">
        <f t="shared" si="4"/>
        <v>44839</v>
      </c>
      <c r="D10" s="62"/>
      <c r="E10" s="56"/>
      <c r="F10" s="59"/>
      <c r="G10" s="56"/>
      <c r="H10" s="59"/>
      <c r="I10" s="65"/>
      <c r="J10" s="52"/>
      <c r="K10" s="49"/>
      <c r="L10" s="249" t="str">
        <f t="shared" si="0"/>
        <v/>
      </c>
      <c r="M10" s="261" t="str">
        <f t="shared" si="1"/>
        <v/>
      </c>
      <c r="N10" s="74" t="str">
        <f t="shared" si="2"/>
        <v/>
      </c>
      <c r="O10" s="124"/>
      <c r="P10" s="263"/>
      <c r="R10" s="333" t="s">
        <v>80</v>
      </c>
      <c r="S10" s="334" t="s">
        <v>143</v>
      </c>
      <c r="T10" s="113"/>
      <c r="U10" s="291" t="s">
        <v>26</v>
      </c>
      <c r="V10" s="146"/>
      <c r="W10" s="346"/>
      <c r="X10" s="346"/>
      <c r="Y10" s="714"/>
      <c r="Z10" s="715"/>
      <c r="AA10" s="701"/>
      <c r="AB10" s="702"/>
      <c r="AC10" s="115"/>
      <c r="AD10" s="304" t="s">
        <v>121</v>
      </c>
      <c r="AE10" s="156">
        <f>AE17+39</f>
        <v>44707</v>
      </c>
      <c r="AF10" s="311" t="str">
        <f>CHOOSE(MATCH(MONTH(AE10)*100+DAY(AE10),{0;320;621;922;1221},1),"Hiver","Printemps","Eté","Automne","Hiver")</f>
        <v>Printemps</v>
      </c>
      <c r="AG10" s="316">
        <f>AG17+39</f>
        <v>45064</v>
      </c>
      <c r="AH10" s="193"/>
      <c r="AI10" s="138"/>
      <c r="DC10" s="207" t="s">
        <v>197</v>
      </c>
      <c r="DD10" s="208">
        <v>2.0833333333333299</v>
      </c>
      <c r="DE10" s="219">
        <f>PRODUCT((M51*N51)*24)*Y21/21.67</f>
        <v>0</v>
      </c>
      <c r="DF10" s="223">
        <f>(M52*24/5)</f>
        <v>1.2</v>
      </c>
    </row>
    <row r="11" spans="2:111" ht="15" customHeight="1" thickTop="1" x14ac:dyDescent="0.15">
      <c r="B11" s="248">
        <f t="shared" si="3"/>
        <v>41</v>
      </c>
      <c r="C11" s="70">
        <f t="shared" si="4"/>
        <v>44840</v>
      </c>
      <c r="D11" s="128"/>
      <c r="E11" s="129"/>
      <c r="F11" s="130"/>
      <c r="G11" s="129"/>
      <c r="H11" s="130"/>
      <c r="I11" s="131"/>
      <c r="J11" s="132"/>
      <c r="K11" s="174"/>
      <c r="L11" s="249" t="str">
        <f t="shared" si="0"/>
        <v/>
      </c>
      <c r="M11" s="261" t="str">
        <f t="shared" si="1"/>
        <v/>
      </c>
      <c r="N11" s="74" t="str">
        <f t="shared" si="2"/>
        <v/>
      </c>
      <c r="O11" s="133"/>
      <c r="P11" s="262"/>
      <c r="R11" s="273">
        <f>$B$6</f>
        <v>40</v>
      </c>
      <c r="S11" s="274" t="str">
        <f t="array" ref="S11">IF((SUMIFS(L6:L36,B6:B36,R11)+L40&gt;M52),(SUMIFS(L6:L36,B6:B36,R11)+L40-M52),"")</f>
        <v/>
      </c>
      <c r="U11" s="291" t="s">
        <v>27</v>
      </c>
      <c r="V11" s="148"/>
      <c r="W11" s="132"/>
      <c r="X11" s="132"/>
      <c r="Y11" s="679"/>
      <c r="Z11" s="680"/>
      <c r="AA11" s="703"/>
      <c r="AB11" s="704"/>
      <c r="AC11" s="115"/>
      <c r="AD11" s="304" t="s">
        <v>123</v>
      </c>
      <c r="AE11" s="157">
        <f>AE17+50</f>
        <v>44718</v>
      </c>
      <c r="AF11" s="312" t="str">
        <f>CHOOSE(MATCH(MONTH(AE11)*100+DAY(AE11),{0;320;621;922;1221},1),"Hiver","Printemps","Eté","Automne","Hiver")</f>
        <v>Printemps</v>
      </c>
      <c r="AG11" s="317">
        <f>AG17+50</f>
        <v>45075</v>
      </c>
      <c r="AH11" s="193"/>
      <c r="AI11" s="138"/>
    </row>
    <row r="12" spans="2:111" ht="15" customHeight="1" x14ac:dyDescent="0.15">
      <c r="B12" s="248">
        <f t="shared" si="3"/>
        <v>41</v>
      </c>
      <c r="C12" s="70">
        <f t="shared" si="4"/>
        <v>44841</v>
      </c>
      <c r="D12" s="62"/>
      <c r="E12" s="56"/>
      <c r="F12" s="59"/>
      <c r="G12" s="56"/>
      <c r="H12" s="59"/>
      <c r="I12" s="65"/>
      <c r="J12" s="52"/>
      <c r="K12" s="49"/>
      <c r="L12" s="249" t="str">
        <f t="shared" si="0"/>
        <v/>
      </c>
      <c r="M12" s="261" t="str">
        <f t="shared" si="1"/>
        <v/>
      </c>
      <c r="N12" s="74" t="str">
        <f t="shared" si="2"/>
        <v/>
      </c>
      <c r="O12" s="124"/>
      <c r="P12" s="263"/>
      <c r="R12" s="275">
        <f t="array" ref="R12">IF(COUNTIF($B$6:$B$36,$R$11+1)&gt;0,$R$11+1,"")</f>
        <v>41</v>
      </c>
      <c r="S12" s="276" t="str">
        <f>IF(AND(COUNTIF(B6:B36,R12)=7,SUMIFS(L6:L36,B6:B36,R12)&gt;M52),SUMIFS(L6:L36,B6:B36,R12)-M52,"")</f>
        <v/>
      </c>
      <c r="T12" s="113"/>
      <c r="U12" s="291" t="s">
        <v>28</v>
      </c>
      <c r="V12" s="347"/>
      <c r="W12" s="346"/>
      <c r="X12" s="346"/>
      <c r="Y12" s="714"/>
      <c r="Z12" s="715"/>
      <c r="AA12" s="701"/>
      <c r="AB12" s="702"/>
      <c r="AC12" s="115"/>
      <c r="AD12" s="304" t="s">
        <v>124</v>
      </c>
      <c r="AE12" s="156">
        <f>DATE($G$2,7,14)</f>
        <v>44756</v>
      </c>
      <c r="AF12" s="311" t="str">
        <f>CHOOSE(MATCH(MONTH(AE12)*100+DAY(AE12),{0;320;621;922;1221},1),"Hiver","Printemps","Eté","Automne","Hiver")</f>
        <v>Eté</v>
      </c>
      <c r="AG12" s="316">
        <f>DATE($G$2+1,7,14)</f>
        <v>45121</v>
      </c>
      <c r="AH12" s="193"/>
      <c r="AI12" s="138"/>
    </row>
    <row r="13" spans="2:111" ht="15" customHeight="1" x14ac:dyDescent="0.15">
      <c r="B13" s="248">
        <f t="shared" si="3"/>
        <v>41</v>
      </c>
      <c r="C13" s="70">
        <f t="shared" si="4"/>
        <v>44842</v>
      </c>
      <c r="D13" s="128"/>
      <c r="E13" s="129"/>
      <c r="F13" s="130"/>
      <c r="G13" s="129"/>
      <c r="H13" s="130"/>
      <c r="I13" s="131"/>
      <c r="J13" s="132"/>
      <c r="K13" s="174"/>
      <c r="L13" s="249" t="str">
        <f t="shared" si="0"/>
        <v/>
      </c>
      <c r="M13" s="261" t="str">
        <f t="shared" si="1"/>
        <v/>
      </c>
      <c r="N13" s="74" t="str">
        <f t="shared" si="2"/>
        <v/>
      </c>
      <c r="O13" s="133"/>
      <c r="P13" s="262"/>
      <c r="R13" s="277">
        <f t="array" ref="R13">IF(COUNTIF($B$6:$B$36,$R$12+1)&gt;0,$R$12+1,"")</f>
        <v>42</v>
      </c>
      <c r="S13" s="278" t="str">
        <f>IF(AND(COUNTIF(B6:B36,R13)=7,SUMIFS(L6:L36,B6:B36,R13)&gt;M52),SUMIFS(L6:L36,B6:B36,R13)-M52,"")</f>
        <v/>
      </c>
      <c r="U13" s="291" t="s">
        <v>18</v>
      </c>
      <c r="V13" s="148"/>
      <c r="W13" s="132"/>
      <c r="X13" s="132"/>
      <c r="Y13" s="679"/>
      <c r="Z13" s="680"/>
      <c r="AA13" s="703"/>
      <c r="AB13" s="704"/>
      <c r="AC13" s="115"/>
      <c r="AD13" s="304" t="s">
        <v>125</v>
      </c>
      <c r="AE13" s="157">
        <f>DATE($G$2,8,15)</f>
        <v>44788</v>
      </c>
      <c r="AF13" s="312" t="str">
        <f>CHOOSE(MATCH(MONTH(AE13)*100+DAY(AE13),{0;320;621;922;1221},1),"Hiver","Printemps","Eté","Automne","Hiver")</f>
        <v>Eté</v>
      </c>
      <c r="AG13" s="317">
        <f>DATE($G$2+1,8,15)</f>
        <v>45153</v>
      </c>
      <c r="AH13" s="193"/>
      <c r="AI13" s="138"/>
    </row>
    <row r="14" spans="2:111" ht="15" customHeight="1" x14ac:dyDescent="0.15">
      <c r="B14" s="248">
        <f t="shared" si="3"/>
        <v>41</v>
      </c>
      <c r="C14" s="70">
        <f t="shared" si="4"/>
        <v>44843</v>
      </c>
      <c r="D14" s="62"/>
      <c r="E14" s="56"/>
      <c r="F14" s="59"/>
      <c r="G14" s="56"/>
      <c r="H14" s="59"/>
      <c r="I14" s="65"/>
      <c r="J14" s="52"/>
      <c r="K14" s="49"/>
      <c r="L14" s="249" t="str">
        <f t="shared" si="0"/>
        <v>/</v>
      </c>
      <c r="M14" s="261" t="str">
        <f t="shared" si="1"/>
        <v>/</v>
      </c>
      <c r="N14" s="74" t="str">
        <f t="shared" si="2"/>
        <v>/</v>
      </c>
      <c r="O14" s="124"/>
      <c r="P14" s="263"/>
      <c r="R14" s="275">
        <f t="array" ref="R14">IF(COUNTIF($B$6:$B$36,$R$13+1)&gt;0,$R$13+1,"")</f>
        <v>43</v>
      </c>
      <c r="S14" s="276" t="str">
        <f>IF(AND(COUNTIF(B6:B36,R14)=7,SUMIFS(L6:L36,B6:B36,R14)&gt;M52),SUMIFS(L6:L36,B6:B36,R14)-M52,"")</f>
        <v/>
      </c>
      <c r="T14" s="200"/>
      <c r="U14" s="291" t="s">
        <v>19</v>
      </c>
      <c r="V14" s="347"/>
      <c r="W14" s="346"/>
      <c r="X14" s="346"/>
      <c r="Y14" s="714"/>
      <c r="Z14" s="715"/>
      <c r="AA14" s="701"/>
      <c r="AB14" s="702"/>
      <c r="AC14" s="115"/>
      <c r="AD14" s="304" t="s">
        <v>126</v>
      </c>
      <c r="AE14" s="156">
        <f>DATE($G$2,11,1)</f>
        <v>44866</v>
      </c>
      <c r="AF14" s="311" t="str">
        <f>CHOOSE(MATCH(MONTH(AE14)*100+DAY(AE14),{0;320;621;922;1221},1),"Hiver","Printemps","Eté","Automne","Hiver")</f>
        <v>Automne</v>
      </c>
      <c r="AG14" s="316">
        <f>DATE($G$2+1,11,1)</f>
        <v>45231</v>
      </c>
      <c r="AH14" s="193"/>
      <c r="AI14" s="138"/>
    </row>
    <row r="15" spans="2:111" ht="14" x14ac:dyDescent="0.15">
      <c r="B15" s="248">
        <f t="shared" si="3"/>
        <v>42</v>
      </c>
      <c r="C15" s="70">
        <f t="shared" si="4"/>
        <v>44844</v>
      </c>
      <c r="D15" s="128"/>
      <c r="E15" s="129"/>
      <c r="F15" s="130"/>
      <c r="G15" s="129"/>
      <c r="H15" s="130"/>
      <c r="I15" s="131"/>
      <c r="J15" s="132"/>
      <c r="K15" s="174"/>
      <c r="L15" s="249" t="str">
        <f t="shared" si="0"/>
        <v/>
      </c>
      <c r="M15" s="261" t="str">
        <f t="shared" si="1"/>
        <v/>
      </c>
      <c r="N15" s="74" t="str">
        <f t="shared" si="2"/>
        <v/>
      </c>
      <c r="O15" s="133"/>
      <c r="P15" s="262"/>
      <c r="R15" s="277">
        <f t="array" ref="R15">IF(COUNTIF($B$6:$B$36,$R$14+1)&gt;0,$R$14+1,"")</f>
        <v>44</v>
      </c>
      <c r="S15" s="278" t="str">
        <f>IF(AND(COUNTIF(B6:B36,R15)=7,SUMIFS(L6:L36,B6:B36,R15)&gt;M52),SUMIFS(L6:L36,B6:B36,R15)-M52,"")</f>
        <v/>
      </c>
      <c r="U15" s="291" t="s">
        <v>20</v>
      </c>
      <c r="V15" s="148"/>
      <c r="W15" s="132"/>
      <c r="X15" s="132"/>
      <c r="Y15" s="679"/>
      <c r="Z15" s="680"/>
      <c r="AA15" s="703"/>
      <c r="AB15" s="704"/>
      <c r="AC15" s="115"/>
      <c r="AD15" s="304" t="s">
        <v>127</v>
      </c>
      <c r="AE15" s="157">
        <f>DATE($G$2,11,11)</f>
        <v>44876</v>
      </c>
      <c r="AF15" s="312" t="str">
        <f>CHOOSE(MATCH(MONTH(AE15)*100+DAY(AE15),{0;320;621;922;1221},1),"Hiver","Printemps","Eté","Automne","Hiver")</f>
        <v>Automne</v>
      </c>
      <c r="AG15" s="317">
        <f>DATE($G$2+1,11,11)</f>
        <v>45241</v>
      </c>
      <c r="AH15" s="193"/>
    </row>
    <row r="16" spans="2:111" ht="15" customHeight="1" thickBot="1" x14ac:dyDescent="0.2">
      <c r="B16" s="248">
        <f t="shared" si="3"/>
        <v>42</v>
      </c>
      <c r="C16" s="70">
        <f t="shared" si="4"/>
        <v>44845</v>
      </c>
      <c r="D16" s="62"/>
      <c r="E16" s="56"/>
      <c r="F16" s="59"/>
      <c r="G16" s="56"/>
      <c r="H16" s="59"/>
      <c r="I16" s="65"/>
      <c r="J16" s="52"/>
      <c r="K16" s="49"/>
      <c r="L16" s="249" t="str">
        <f t="shared" si="0"/>
        <v/>
      </c>
      <c r="M16" s="261" t="str">
        <f t="shared" si="1"/>
        <v/>
      </c>
      <c r="N16" s="74" t="str">
        <f t="shared" si="2"/>
        <v/>
      </c>
      <c r="O16" s="124"/>
      <c r="P16" s="263"/>
      <c r="R16" s="275">
        <f t="array" ref="R16">IF(COUNTIF($B$6:$B$36,$R$15+1)&gt;0,$R$15+1,"")</f>
        <v>45</v>
      </c>
      <c r="S16" s="276" t="str">
        <f>IF(AND(COUNTIF(B6:B36,R16)=7,SUMIFS(L6:L36,B6:B36,R16)&gt;M52),SUMIFS(L6:L36,B6:B36,R16)-M52,"")</f>
        <v/>
      </c>
      <c r="U16" s="291" t="s">
        <v>21</v>
      </c>
      <c r="V16" s="347"/>
      <c r="W16" s="346"/>
      <c r="X16" s="346"/>
      <c r="Y16" s="714"/>
      <c r="Z16" s="715"/>
      <c r="AA16" s="701"/>
      <c r="AB16" s="702"/>
      <c r="AC16" s="115"/>
      <c r="AD16" s="318" t="s">
        <v>128</v>
      </c>
      <c r="AE16" s="319">
        <f>DATE($G$2,12,25)</f>
        <v>44920</v>
      </c>
      <c r="AF16" s="320" t="str">
        <f>CHOOSE(MATCH(MONTH(AE16)*100+DAY(AE16),{0;320;621;922;1221},1),"Hiver","Printemps","Eté","Automne","Hiver")</f>
        <v>Hiver</v>
      </c>
      <c r="AG16" s="316">
        <f>DATE($G$2+1,12,25)</f>
        <v>45285</v>
      </c>
      <c r="AH16" s="193"/>
      <c r="AI16" s="138"/>
    </row>
    <row r="17" spans="2:106" ht="15" customHeight="1" thickTop="1" thickBot="1" x14ac:dyDescent="0.2">
      <c r="B17" s="248">
        <f t="shared" si="3"/>
        <v>42</v>
      </c>
      <c r="C17" s="70">
        <f t="shared" si="4"/>
        <v>44846</v>
      </c>
      <c r="D17" s="128"/>
      <c r="E17" s="129"/>
      <c r="F17" s="130"/>
      <c r="G17" s="129"/>
      <c r="H17" s="130"/>
      <c r="I17" s="131"/>
      <c r="J17" s="132"/>
      <c r="K17" s="174"/>
      <c r="L17" s="249" t="str">
        <f t="shared" si="0"/>
        <v/>
      </c>
      <c r="M17" s="261" t="str">
        <f t="shared" si="1"/>
        <v/>
      </c>
      <c r="N17" s="74" t="str">
        <f t="shared" si="2"/>
        <v/>
      </c>
      <c r="O17" s="133"/>
      <c r="P17" s="262"/>
      <c r="R17" s="340" t="s">
        <v>81</v>
      </c>
      <c r="S17" s="341" t="str">
        <f>IF((SUM(S11:S16)&gt;TIME(0,1,0)),(SUM(S11:S16)),"0")</f>
        <v>0</v>
      </c>
      <c r="U17" s="292" t="s">
        <v>40</v>
      </c>
      <c r="V17" s="348"/>
      <c r="W17" s="349"/>
      <c r="X17" s="349"/>
      <c r="Y17" s="741"/>
      <c r="Z17" s="742"/>
      <c r="AA17" s="719"/>
      <c r="AB17" s="720"/>
      <c r="AC17" s="115"/>
      <c r="AD17" s="321" t="s">
        <v>129</v>
      </c>
      <c r="AE17" s="322">
        <f>FLOOR(DAY(MINUTE($G$2/38)/2+56)&amp;"/5/"&amp;$G$2,7)-34</f>
        <v>44668</v>
      </c>
      <c r="AF17" s="324" t="str">
        <f>CHOOSE(MATCH(MONTH(AE17)*100+DAY(AE17),{0;320;621;922;1221},1),"Hiver","Printemps","Eté","Automne","Hiver")</f>
        <v>Printemps</v>
      </c>
      <c r="AG17" s="371">
        <f>FLOOR(DAY(MINUTE($G$2+1/38)/2+56)&amp;"/5/"&amp;$G$2+1,7)-34</f>
        <v>45025</v>
      </c>
      <c r="AH17" s="193"/>
      <c r="AI17" s="199"/>
    </row>
    <row r="18" spans="2:106" ht="15" customHeight="1" thickTop="1" thickBot="1" x14ac:dyDescent="0.2">
      <c r="B18" s="248">
        <f t="shared" si="3"/>
        <v>42</v>
      </c>
      <c r="C18" s="70">
        <f t="shared" si="4"/>
        <v>44847</v>
      </c>
      <c r="D18" s="62"/>
      <c r="E18" s="56"/>
      <c r="F18" s="59"/>
      <c r="G18" s="56"/>
      <c r="H18" s="59"/>
      <c r="I18" s="65"/>
      <c r="J18" s="52"/>
      <c r="K18" s="49"/>
      <c r="L18" s="249" t="str">
        <f t="shared" si="0"/>
        <v/>
      </c>
      <c r="M18" s="261" t="str">
        <f t="shared" si="1"/>
        <v/>
      </c>
      <c r="N18" s="74" t="str">
        <f t="shared" si="2"/>
        <v/>
      </c>
      <c r="O18" s="124"/>
      <c r="P18" s="263"/>
      <c r="R18" s="24"/>
      <c r="S18" s="24"/>
      <c r="U18" s="293" t="s">
        <v>45</v>
      </c>
      <c r="V18" s="239">
        <f>IF((SUM(V6:V17)&gt;0.00001),(SUM(V6:V17)),"")</f>
        <v>195.20023333333333</v>
      </c>
      <c r="W18" s="172">
        <f>IF((SUM(W6:W17)&gt;0.00001),(SUM(W6:W17)),"0")</f>
        <v>10</v>
      </c>
      <c r="X18" s="102">
        <f>IF((SUM(X6:X17)&gt;0.00001),(SUM(X6:X17)),"")</f>
        <v>17</v>
      </c>
      <c r="Y18" s="681" t="str">
        <f>IF(Y21&gt;0.00001,Y21&amp;" jours pris du "&amp;Y22,"")</f>
        <v/>
      </c>
      <c r="Z18" s="682"/>
      <c r="AA18" s="682"/>
      <c r="AB18" s="683"/>
      <c r="AD18" s="305" t="s">
        <v>122</v>
      </c>
      <c r="AE18" s="306">
        <f>AE17+49</f>
        <v>44717</v>
      </c>
      <c r="AF18" s="325" t="str">
        <f>CHOOSE(MATCH(MONTH(AE18)*100+DAY(AE18),{0;320;621;922;1221},1),"Hiver","Printemps","Eté","Automne","Hiver")</f>
        <v>Printemps</v>
      </c>
      <c r="AG18" s="323">
        <f>AG17+49</f>
        <v>45074</v>
      </c>
      <c r="AH18" s="193"/>
      <c r="AI18" s="138"/>
    </row>
    <row r="19" spans="2:106" ht="15" customHeight="1" thickTop="1" thickBot="1" x14ac:dyDescent="0.2">
      <c r="B19" s="248">
        <f t="shared" si="3"/>
        <v>42</v>
      </c>
      <c r="C19" s="70">
        <f t="shared" si="4"/>
        <v>44848</v>
      </c>
      <c r="D19" s="128"/>
      <c r="E19" s="129"/>
      <c r="F19" s="130"/>
      <c r="G19" s="129"/>
      <c r="H19" s="130"/>
      <c r="I19" s="131"/>
      <c r="J19" s="132"/>
      <c r="K19" s="174"/>
      <c r="L19" s="249" t="str">
        <f t="shared" si="0"/>
        <v/>
      </c>
      <c r="M19" s="261" t="str">
        <f t="shared" si="1"/>
        <v/>
      </c>
      <c r="N19" s="74" t="str">
        <f t="shared" si="2"/>
        <v/>
      </c>
      <c r="O19" s="133"/>
      <c r="P19" s="262"/>
      <c r="R19" s="734" t="s">
        <v>89</v>
      </c>
      <c r="S19" s="735"/>
      <c r="U19" s="746" t="str">
        <f>CONCATENATE("Montant à insérer dans la case ''montants'' de ",Pointage!D2,)</f>
        <v>Montant à insérer dans la case ''montants'' de Octobre</v>
      </c>
      <c r="V19" s="747"/>
      <c r="W19" s="747"/>
      <c r="X19" s="748"/>
      <c r="Y19" s="738">
        <f>Y26</f>
        <v>0</v>
      </c>
      <c r="Z19" s="739"/>
      <c r="AA19" s="739"/>
      <c r="AB19" s="740"/>
      <c r="AE19" s="113"/>
      <c r="AH19" s="193"/>
    </row>
    <row r="20" spans="2:106" ht="15" customHeight="1" thickTop="1" x14ac:dyDescent="0.15">
      <c r="B20" s="248">
        <f t="shared" si="3"/>
        <v>42</v>
      </c>
      <c r="C20" s="70">
        <f t="shared" si="4"/>
        <v>44849</v>
      </c>
      <c r="D20" s="62"/>
      <c r="E20" s="56"/>
      <c r="F20" s="59"/>
      <c r="G20" s="56"/>
      <c r="H20" s="59"/>
      <c r="I20" s="65"/>
      <c r="J20" s="52"/>
      <c r="K20" s="49"/>
      <c r="L20" s="249" t="str">
        <f t="shared" si="0"/>
        <v/>
      </c>
      <c r="M20" s="261" t="str">
        <f t="shared" si="1"/>
        <v/>
      </c>
      <c r="N20" s="74" t="str">
        <f t="shared" si="2"/>
        <v/>
      </c>
      <c r="O20" s="124"/>
      <c r="P20" s="263"/>
      <c r="R20" s="336" t="s">
        <v>80</v>
      </c>
      <c r="S20" s="337" t="s">
        <v>82</v>
      </c>
      <c r="U20" s="743" t="str">
        <f>CONCATENATE("Chiffre à insérer dans la case ","''J.Acquis'' de ",Pointage!D2,)</f>
        <v>Chiffre à insérer dans la case ''J.Acquis'' de Octobre</v>
      </c>
      <c r="V20" s="744"/>
      <c r="W20" s="744"/>
      <c r="X20" s="745"/>
      <c r="Y20" s="705">
        <f>SUMIF(DC7:DC10,W26,DD7:DD10)</f>
        <v>2.5</v>
      </c>
      <c r="Z20" s="706"/>
      <c r="AA20" s="706"/>
      <c r="AB20" s="707"/>
      <c r="AD20" s="671" t="s">
        <v>192</v>
      </c>
      <c r="AE20" s="672"/>
      <c r="AF20" s="672"/>
      <c r="AG20" s="673"/>
      <c r="AH20" s="139"/>
      <c r="AI20" s="138"/>
    </row>
    <row r="21" spans="2:106" ht="15" customHeight="1" thickBot="1" x14ac:dyDescent="0.2">
      <c r="B21" s="248">
        <f t="shared" si="3"/>
        <v>42</v>
      </c>
      <c r="C21" s="70">
        <f t="shared" si="4"/>
        <v>44850</v>
      </c>
      <c r="D21" s="128"/>
      <c r="E21" s="129"/>
      <c r="F21" s="130"/>
      <c r="G21" s="129"/>
      <c r="H21" s="130"/>
      <c r="I21" s="131"/>
      <c r="J21" s="132"/>
      <c r="K21" s="174"/>
      <c r="L21" s="249" t="str">
        <f t="shared" si="0"/>
        <v>/</v>
      </c>
      <c r="M21" s="261" t="str">
        <f t="shared" si="1"/>
        <v>/</v>
      </c>
      <c r="N21" s="74" t="str">
        <f t="shared" si="2"/>
        <v>/</v>
      </c>
      <c r="O21" s="133"/>
      <c r="P21" s="262"/>
      <c r="R21" s="273">
        <f t="shared" ref="R21:R26" si="5">R11</f>
        <v>40</v>
      </c>
      <c r="S21" s="335" t="str">
        <f>IF((SUMIFS(L6:L36,B6:B36,R21)+L40),(SUMIFS(L6:L36,B6:B36,R21)+L40),"")</f>
        <v/>
      </c>
      <c r="U21" s="939" t="str">
        <f>CONCATENATE("Chiffre à insérer dans la case ","''J.Pris'' de ",Pointage!D2,)</f>
        <v>Chiffre à insérer dans la case ''J.Pris'' de Octobre</v>
      </c>
      <c r="V21" s="940"/>
      <c r="W21" s="940"/>
      <c r="X21" s="941"/>
      <c r="Y21" s="730">
        <f>O39</f>
        <v>0</v>
      </c>
      <c r="Z21" s="731"/>
      <c r="AA21" s="731"/>
      <c r="AB21" s="732"/>
      <c r="AD21" s="674"/>
      <c r="AE21" s="675"/>
      <c r="AF21" s="675"/>
      <c r="AG21" s="676"/>
      <c r="AH21" s="326"/>
    </row>
    <row r="22" spans="2:106" ht="15" customHeight="1" thickTop="1" thickBot="1" x14ac:dyDescent="0.2">
      <c r="B22" s="248">
        <f t="shared" si="3"/>
        <v>43</v>
      </c>
      <c r="C22" s="70">
        <f t="shared" si="4"/>
        <v>44851</v>
      </c>
      <c r="D22" s="62"/>
      <c r="E22" s="56"/>
      <c r="F22" s="59"/>
      <c r="G22" s="56"/>
      <c r="H22" s="59"/>
      <c r="I22" s="65"/>
      <c r="J22" s="52"/>
      <c r="K22" s="49"/>
      <c r="L22" s="249" t="str">
        <f t="shared" si="0"/>
        <v/>
      </c>
      <c r="M22" s="261" t="str">
        <f t="shared" si="1"/>
        <v/>
      </c>
      <c r="N22" s="74" t="str">
        <f t="shared" si="2"/>
        <v/>
      </c>
      <c r="O22" s="124"/>
      <c r="P22" s="263"/>
      <c r="R22" s="275">
        <f t="shared" si="5"/>
        <v>41</v>
      </c>
      <c r="S22" s="279" t="str">
        <f>IF((SUMIFS(L6:L36,B6:B36,R22)),(SUMIFS(L6:L36,B6:B36,R22)),"")</f>
        <v/>
      </c>
      <c r="U22" s="725" t="str">
        <f>CONCATENATE("Dates à insérer dans la case ","''Dates'' de ",Pointage!D2,)</f>
        <v>Dates à insérer dans la case ''Dates'' de Octobre</v>
      </c>
      <c r="V22" s="726"/>
      <c r="W22" s="726"/>
      <c r="X22" s="727"/>
      <c r="Y22" s="756" t="str">
        <f>IF(Y21&gt;0.00001,""&amp;TEXT(CZ8,"jj/mm/aaaa")&amp;" au "&amp;TEXT(DB8,"jj/mm/aaaa"),"")</f>
        <v/>
      </c>
      <c r="Z22" s="757"/>
      <c r="AA22" s="757"/>
      <c r="AB22" s="758"/>
      <c r="AD22" s="356" t="s">
        <v>193</v>
      </c>
      <c r="AE22" s="365" t="s">
        <v>136</v>
      </c>
      <c r="AF22" s="360" t="s">
        <v>191</v>
      </c>
      <c r="AG22" s="359" t="s">
        <v>137</v>
      </c>
      <c r="AH22" s="327"/>
    </row>
    <row r="23" spans="2:106" ht="15" customHeight="1" thickTop="1" x14ac:dyDescent="0.15">
      <c r="B23" s="248">
        <f t="shared" si="3"/>
        <v>43</v>
      </c>
      <c r="C23" s="70">
        <f t="shared" si="4"/>
        <v>44852</v>
      </c>
      <c r="D23" s="128"/>
      <c r="E23" s="129"/>
      <c r="F23" s="130"/>
      <c r="G23" s="129"/>
      <c r="H23" s="130"/>
      <c r="I23" s="131"/>
      <c r="J23" s="132"/>
      <c r="K23" s="174"/>
      <c r="L23" s="249" t="str">
        <f t="shared" si="0"/>
        <v/>
      </c>
      <c r="M23" s="261" t="str">
        <f t="shared" si="1"/>
        <v/>
      </c>
      <c r="N23" s="74" t="str">
        <f t="shared" si="2"/>
        <v/>
      </c>
      <c r="O23" s="133"/>
      <c r="P23" s="262"/>
      <c r="R23" s="277">
        <f t="shared" si="5"/>
        <v>42</v>
      </c>
      <c r="S23" s="280" t="str">
        <f>IF((SUMIFS(L6:L36,B6:B36,R23)),(SUMIFS(L6:L36,B6:B36,R23)),"")</f>
        <v/>
      </c>
      <c r="U23" s="723" t="s">
        <v>154</v>
      </c>
      <c r="V23" s="724"/>
      <c r="W23" s="724"/>
      <c r="X23" s="299">
        <v>30</v>
      </c>
      <c r="Y23" s="690" t="s">
        <v>202</v>
      </c>
      <c r="Z23" s="690"/>
      <c r="AA23" s="691"/>
      <c r="AB23" s="294">
        <f>W18</f>
        <v>10</v>
      </c>
      <c r="AD23" s="357" t="s">
        <v>170</v>
      </c>
      <c r="AE23" s="366">
        <v>44441</v>
      </c>
      <c r="AF23" s="361" t="s">
        <v>168</v>
      </c>
      <c r="AG23" s="328">
        <v>44805</v>
      </c>
      <c r="AH23" s="327"/>
    </row>
    <row r="24" spans="2:106" ht="15" customHeight="1" thickBot="1" x14ac:dyDescent="0.2">
      <c r="B24" s="248">
        <f t="shared" si="3"/>
        <v>43</v>
      </c>
      <c r="C24" s="70">
        <f t="shared" si="4"/>
        <v>44853</v>
      </c>
      <c r="D24" s="62"/>
      <c r="E24" s="56"/>
      <c r="F24" s="59"/>
      <c r="G24" s="56"/>
      <c r="H24" s="59"/>
      <c r="I24" s="65"/>
      <c r="J24" s="52"/>
      <c r="K24" s="49"/>
      <c r="L24" s="249" t="str">
        <f t="shared" si="0"/>
        <v/>
      </c>
      <c r="M24" s="261" t="str">
        <f t="shared" si="1"/>
        <v/>
      </c>
      <c r="N24" s="74" t="str">
        <f t="shared" si="2"/>
        <v/>
      </c>
      <c r="O24" s="124"/>
      <c r="P24" s="263"/>
      <c r="R24" s="275">
        <f t="shared" si="5"/>
        <v>43</v>
      </c>
      <c r="S24" s="279" t="str">
        <f>IF((SUMIFS(L6:L36,B6:B36,R24)),(SUMIFS(L6:L36,B6:B36,R24)),"")</f>
        <v/>
      </c>
      <c r="U24" s="728" t="s">
        <v>198</v>
      </c>
      <c r="V24" s="729"/>
      <c r="W24" s="729"/>
      <c r="X24" s="300">
        <f>IF((SUM(X23-(X6+X7+X8+X9+X10+X11+X12+X13+X14+X15+X16+X17))&gt;0.00001),(SUM(X23-(X6+X7+X8+X9+X10+X11+X12+X13+X14+X15+X16+X17))),"0")</f>
        <v>13</v>
      </c>
      <c r="Y24" s="765" t="s">
        <v>203</v>
      </c>
      <c r="Z24" s="765"/>
      <c r="AA24" s="765"/>
      <c r="AB24" s="296">
        <f>'Bulletin de Paie'!I64</f>
        <v>10</v>
      </c>
      <c r="AD24" s="749" t="s">
        <v>171</v>
      </c>
      <c r="AE24" s="367">
        <v>44494</v>
      </c>
      <c r="AF24" s="362" t="s">
        <v>168</v>
      </c>
      <c r="AG24" s="329">
        <v>44858</v>
      </c>
      <c r="AH24" s="327"/>
    </row>
    <row r="25" spans="2:106" ht="15" customHeight="1" thickTop="1" x14ac:dyDescent="0.15">
      <c r="B25" s="248">
        <f t="shared" si="3"/>
        <v>43</v>
      </c>
      <c r="C25" s="70">
        <f t="shared" si="4"/>
        <v>44854</v>
      </c>
      <c r="D25" s="128"/>
      <c r="E25" s="129"/>
      <c r="F25" s="130"/>
      <c r="G25" s="129"/>
      <c r="H25" s="130"/>
      <c r="I25" s="131"/>
      <c r="J25" s="132"/>
      <c r="K25" s="174"/>
      <c r="L25" s="249" t="str">
        <f t="shared" si="0"/>
        <v/>
      </c>
      <c r="M25" s="261" t="str">
        <f t="shared" si="1"/>
        <v/>
      </c>
      <c r="N25" s="74" t="str">
        <f t="shared" si="2"/>
        <v/>
      </c>
      <c r="O25" s="133"/>
      <c r="P25" s="262"/>
      <c r="R25" s="277">
        <f t="shared" si="5"/>
        <v>44</v>
      </c>
      <c r="S25" s="280" t="str">
        <f>IF((SUMIFS(L6:L36,B6:B36,R25)),(SUMIFS(L6:L36,B6:B36,R25)),"")</f>
        <v/>
      </c>
      <c r="U25" s="723" t="s">
        <v>199</v>
      </c>
      <c r="V25" s="724"/>
      <c r="W25" s="946"/>
      <c r="X25" s="295" t="s">
        <v>136</v>
      </c>
      <c r="Y25" s="716">
        <f>SUMIF('Indemnité de Licenciement'!CL56:CL61,X25,'Indemnité de Licenciement'!CM56:CM61)</f>
        <v>3444.7099999999996</v>
      </c>
      <c r="Z25" s="717"/>
      <c r="AA25" s="717"/>
      <c r="AB25" s="718"/>
      <c r="AD25" s="750"/>
      <c r="AE25" s="368">
        <v>44505</v>
      </c>
      <c r="AF25" s="363" t="s">
        <v>169</v>
      </c>
      <c r="AG25" s="330">
        <v>44869</v>
      </c>
      <c r="AH25" s="327"/>
    </row>
    <row r="26" spans="2:106" ht="15" customHeight="1" thickBot="1" x14ac:dyDescent="0.2">
      <c r="B26" s="248">
        <f t="shared" si="3"/>
        <v>43</v>
      </c>
      <c r="C26" s="70">
        <f t="shared" si="4"/>
        <v>44855</v>
      </c>
      <c r="D26" s="62"/>
      <c r="E26" s="56"/>
      <c r="F26" s="59"/>
      <c r="G26" s="56"/>
      <c r="H26" s="59"/>
      <c r="I26" s="65"/>
      <c r="J26" s="52"/>
      <c r="K26" s="49"/>
      <c r="L26" s="249" t="str">
        <f t="shared" si="0"/>
        <v/>
      </c>
      <c r="M26" s="261" t="str">
        <f t="shared" si="1"/>
        <v/>
      </c>
      <c r="N26" s="74" t="str">
        <f t="shared" si="2"/>
        <v/>
      </c>
      <c r="O26" s="124"/>
      <c r="P26" s="263"/>
      <c r="R26" s="275">
        <f t="shared" si="5"/>
        <v>45</v>
      </c>
      <c r="S26" s="279" t="str">
        <f>IF((SUMIFS(L6:L36,B6:B36,R26)),(SUMIFS(L6:L36,B6:B36,R26)),"")</f>
        <v/>
      </c>
      <c r="U26" s="728" t="s">
        <v>201</v>
      </c>
      <c r="V26" s="729"/>
      <c r="W26" s="759" t="s">
        <v>194</v>
      </c>
      <c r="X26" s="760"/>
      <c r="Y26" s="751">
        <f>SUMIF(DC7:DC10,W26,DE7:DE10)</f>
        <v>0</v>
      </c>
      <c r="Z26" s="752"/>
      <c r="AA26" s="752"/>
      <c r="AB26" s="753"/>
      <c r="AD26" s="721" t="s">
        <v>172</v>
      </c>
      <c r="AE26" s="367">
        <v>44550</v>
      </c>
      <c r="AF26" s="362" t="s">
        <v>168</v>
      </c>
      <c r="AG26" s="329">
        <v>44914</v>
      </c>
      <c r="AH26" s="327"/>
    </row>
    <row r="27" spans="2:106" ht="15" customHeight="1" thickTop="1" thickBot="1" x14ac:dyDescent="0.2">
      <c r="B27" s="248">
        <f t="shared" si="3"/>
        <v>43</v>
      </c>
      <c r="C27" s="70">
        <f t="shared" si="4"/>
        <v>44856</v>
      </c>
      <c r="D27" s="128"/>
      <c r="E27" s="129"/>
      <c r="F27" s="130"/>
      <c r="G27" s="129"/>
      <c r="H27" s="130"/>
      <c r="I27" s="131"/>
      <c r="J27" s="132"/>
      <c r="K27" s="174"/>
      <c r="L27" s="249" t="str">
        <f t="shared" si="0"/>
        <v/>
      </c>
      <c r="M27" s="261" t="str">
        <f t="shared" si="1"/>
        <v/>
      </c>
      <c r="N27" s="74" t="str">
        <f t="shared" si="2"/>
        <v/>
      </c>
      <c r="O27" s="133"/>
      <c r="P27" s="262"/>
      <c r="R27" s="338" t="s">
        <v>83</v>
      </c>
      <c r="S27" s="339" t="str">
        <f>IF((SUM(S21:S26)&gt;0.00001),(SUM(S21:S26)),"")</f>
        <v/>
      </c>
      <c r="U27" s="763" t="s">
        <v>155</v>
      </c>
      <c r="V27" s="764"/>
      <c r="W27" s="764"/>
      <c r="X27" s="297" t="s">
        <v>179</v>
      </c>
      <c r="Y27" s="378">
        <f>PRODUCT(Y25/10)/30*Y21</f>
        <v>0</v>
      </c>
      <c r="Z27" s="761" t="s">
        <v>156</v>
      </c>
      <c r="AA27" s="761"/>
      <c r="AB27" s="762"/>
      <c r="AD27" s="722"/>
      <c r="AE27" s="368">
        <v>44563</v>
      </c>
      <c r="AF27" s="363" t="s">
        <v>169</v>
      </c>
      <c r="AG27" s="330">
        <v>44928</v>
      </c>
      <c r="AH27" s="327"/>
    </row>
    <row r="28" spans="2:106" ht="15" customHeight="1" thickTop="1" thickBot="1" x14ac:dyDescent="0.2">
      <c r="B28" s="248">
        <f t="shared" si="3"/>
        <v>43</v>
      </c>
      <c r="C28" s="70">
        <f t="shared" si="4"/>
        <v>44857</v>
      </c>
      <c r="D28" s="62"/>
      <c r="E28" s="56"/>
      <c r="F28" s="59"/>
      <c r="G28" s="56"/>
      <c r="H28" s="59"/>
      <c r="I28" s="65"/>
      <c r="J28" s="52"/>
      <c r="K28" s="49"/>
      <c r="L28" s="249" t="str">
        <f t="shared" si="0"/>
        <v>/</v>
      </c>
      <c r="M28" s="261" t="str">
        <f t="shared" si="1"/>
        <v>/</v>
      </c>
      <c r="N28" s="74" t="str">
        <f t="shared" si="2"/>
        <v>/</v>
      </c>
      <c r="O28" s="124"/>
      <c r="P28" s="263"/>
      <c r="R28" s="24"/>
      <c r="S28" s="24"/>
      <c r="U28" s="651" t="s">
        <v>185</v>
      </c>
      <c r="V28" s="652"/>
      <c r="W28" s="652"/>
      <c r="X28" s="240" t="s">
        <v>180</v>
      </c>
      <c r="Y28" s="379">
        <f>PRODUCT((M51*N51)*24)*Y21/26</f>
        <v>0</v>
      </c>
      <c r="Z28" s="754" t="s">
        <v>187</v>
      </c>
      <c r="AA28" s="754"/>
      <c r="AB28" s="755"/>
      <c r="AD28" s="749" t="s">
        <v>175</v>
      </c>
      <c r="AE28" s="367">
        <v>44606</v>
      </c>
      <c r="AF28" s="362" t="s">
        <v>168</v>
      </c>
      <c r="AG28" s="329">
        <v>44963</v>
      </c>
      <c r="AH28" s="327"/>
    </row>
    <row r="29" spans="2:106" ht="15" customHeight="1" thickTop="1" thickBot="1" x14ac:dyDescent="0.2">
      <c r="B29" s="248">
        <f t="shared" si="3"/>
        <v>44</v>
      </c>
      <c r="C29" s="70">
        <f t="shared" si="4"/>
        <v>44858</v>
      </c>
      <c r="D29" s="128"/>
      <c r="E29" s="129"/>
      <c r="F29" s="130"/>
      <c r="G29" s="129"/>
      <c r="H29" s="130"/>
      <c r="I29" s="131"/>
      <c r="J29" s="132"/>
      <c r="K29" s="174"/>
      <c r="L29" s="249" t="str">
        <f t="shared" si="0"/>
        <v/>
      </c>
      <c r="M29" s="261" t="str">
        <f t="shared" si="1"/>
        <v/>
      </c>
      <c r="N29" s="74" t="str">
        <f t="shared" si="2"/>
        <v/>
      </c>
      <c r="O29" s="133"/>
      <c r="P29" s="262"/>
      <c r="R29" s="799" t="str">
        <f>CONCATENATE("Info sur ",Pointage!D2," ",Pointage!G2,)</f>
        <v>Info sur Octobre 2022</v>
      </c>
      <c r="S29" s="800"/>
      <c r="U29" s="733" t="s">
        <v>184</v>
      </c>
      <c r="V29" s="652"/>
      <c r="W29" s="652"/>
      <c r="X29" s="240" t="s">
        <v>181</v>
      </c>
      <c r="Y29" s="380">
        <f>PRODUCT(Y25/10)/25*Y21</f>
        <v>0</v>
      </c>
      <c r="Z29" s="935" t="s">
        <v>186</v>
      </c>
      <c r="AA29" s="935"/>
      <c r="AB29" s="936"/>
      <c r="AD29" s="750"/>
      <c r="AE29" s="368">
        <v>44617</v>
      </c>
      <c r="AF29" s="363" t="s">
        <v>169</v>
      </c>
      <c r="AG29" s="330">
        <v>44974</v>
      </c>
      <c r="AH29" s="327"/>
    </row>
    <row r="30" spans="2:106" ht="15" customHeight="1" thickTop="1" thickBot="1" x14ac:dyDescent="0.2">
      <c r="B30" s="248">
        <f t="shared" si="3"/>
        <v>44</v>
      </c>
      <c r="C30" s="70">
        <f t="shared" si="4"/>
        <v>44859</v>
      </c>
      <c r="D30" s="62"/>
      <c r="E30" s="56"/>
      <c r="F30" s="59"/>
      <c r="G30" s="56"/>
      <c r="H30" s="59"/>
      <c r="I30" s="65"/>
      <c r="J30" s="52"/>
      <c r="K30" s="49"/>
      <c r="L30" s="249" t="str">
        <f t="shared" si="0"/>
        <v/>
      </c>
      <c r="M30" s="261" t="str">
        <f t="shared" ref="M30:M36" si="6">IF(C30="","",IF(WEEKDAY(C30,2)=7,"/",IF(L30&lt;TIME(8,59,59),"x","")))</f>
        <v/>
      </c>
      <c r="N30" s="74" t="str">
        <f t="shared" ref="N30:N36" si="7">IF(C30="","",IF(WEEKDAY(C30,2)=7,"/",IF(SUM(E30-D30+G30-F30+I30-H30)&lt;TIME(8,59,59),"","x")))</f>
        <v/>
      </c>
      <c r="O30" s="124"/>
      <c r="P30" s="263"/>
      <c r="R30" s="287" t="s">
        <v>130</v>
      </c>
      <c r="S30" s="288">
        <f ca="1">SUMPRODUCT((WEEKDAY(ROW(INDIRECT(C$6&amp;":"&amp;EOMONTH(C$6,0))),1)=7)*1)</f>
        <v>5</v>
      </c>
      <c r="U30" s="929" t="s">
        <v>176</v>
      </c>
      <c r="V30" s="930"/>
      <c r="W30" s="930"/>
      <c r="X30" s="298" t="s">
        <v>182</v>
      </c>
      <c r="Y30" s="381">
        <f>PRODUCT((M51*N51)*24)*Y21/21.67</f>
        <v>0</v>
      </c>
      <c r="Z30" s="923" t="s">
        <v>177</v>
      </c>
      <c r="AA30" s="923"/>
      <c r="AB30" s="924"/>
      <c r="AD30" s="749" t="s">
        <v>173</v>
      </c>
      <c r="AE30" s="367">
        <v>44669</v>
      </c>
      <c r="AF30" s="362" t="s">
        <v>168</v>
      </c>
      <c r="AG30" s="329">
        <v>45026</v>
      </c>
      <c r="AH30" s="327"/>
    </row>
    <row r="31" spans="2:106" ht="15" customHeight="1" thickTop="1" x14ac:dyDescent="0.15">
      <c r="B31" s="248">
        <f t="shared" si="3"/>
        <v>44</v>
      </c>
      <c r="C31" s="70">
        <f t="shared" si="4"/>
        <v>44860</v>
      </c>
      <c r="D31" s="128"/>
      <c r="E31" s="129"/>
      <c r="F31" s="130"/>
      <c r="G31" s="129"/>
      <c r="H31" s="130"/>
      <c r="I31" s="131"/>
      <c r="J31" s="132"/>
      <c r="K31" s="174"/>
      <c r="L31" s="249" t="str">
        <f t="shared" si="0"/>
        <v/>
      </c>
      <c r="M31" s="261" t="str">
        <f t="shared" si="6"/>
        <v/>
      </c>
      <c r="N31" s="74" t="str">
        <f t="shared" si="7"/>
        <v/>
      </c>
      <c r="O31" s="133"/>
      <c r="P31" s="262"/>
      <c r="R31" s="281" t="s">
        <v>189</v>
      </c>
      <c r="S31" s="282">
        <f>SUMPRODUCT(($AE$6:$AE$16&gt;=C$6)*($AE$6:$AE$16&lt;=EOMONTH(C$6,0)))</f>
        <v>0</v>
      </c>
      <c r="U31" s="931" t="s">
        <v>157</v>
      </c>
      <c r="V31" s="932"/>
      <c r="W31" s="932"/>
      <c r="X31" s="932"/>
      <c r="Y31" s="932"/>
      <c r="Z31" s="932"/>
      <c r="AA31" s="932"/>
      <c r="AB31" s="933"/>
      <c r="AD31" s="750"/>
      <c r="AE31" s="368">
        <v>44680</v>
      </c>
      <c r="AF31" s="363" t="s">
        <v>169</v>
      </c>
      <c r="AG31" s="330">
        <v>45037</v>
      </c>
      <c r="AH31" s="327"/>
      <c r="CY31" s="1"/>
      <c r="CZ31" s="1"/>
      <c r="DA31" s="1"/>
      <c r="DB31" s="1"/>
    </row>
    <row r="32" spans="2:106" ht="15" customHeight="1" thickBot="1" x14ac:dyDescent="0.2">
      <c r="B32" s="248">
        <f t="shared" si="3"/>
        <v>44</v>
      </c>
      <c r="C32" s="70">
        <f t="shared" si="4"/>
        <v>44861</v>
      </c>
      <c r="D32" s="62"/>
      <c r="E32" s="56"/>
      <c r="F32" s="59"/>
      <c r="G32" s="56"/>
      <c r="H32" s="59"/>
      <c r="I32" s="65"/>
      <c r="J32" s="52"/>
      <c r="K32" s="49"/>
      <c r="L32" s="249" t="str">
        <f t="shared" si="0"/>
        <v/>
      </c>
      <c r="M32" s="261" t="str">
        <f t="shared" si="6"/>
        <v/>
      </c>
      <c r="N32" s="74" t="str">
        <f t="shared" si="7"/>
        <v/>
      </c>
      <c r="O32" s="124"/>
      <c r="P32" s="263"/>
      <c r="R32" s="283" t="s">
        <v>142</v>
      </c>
      <c r="S32" s="284">
        <f>NETWORKDAYS(C$6,EOMONTH(C$6,0),$AE$6:$AE$16)</f>
        <v>21</v>
      </c>
      <c r="U32" s="925" t="s">
        <v>158</v>
      </c>
      <c r="V32" s="926"/>
      <c r="W32" s="926"/>
      <c r="X32" s="926"/>
      <c r="Y32" s="926"/>
      <c r="Z32" s="926"/>
      <c r="AA32" s="926"/>
      <c r="AB32" s="927"/>
      <c r="AD32" s="749" t="s">
        <v>174</v>
      </c>
      <c r="AE32" s="369">
        <v>44706</v>
      </c>
      <c r="AF32" s="362" t="s">
        <v>168</v>
      </c>
      <c r="AG32" s="329">
        <v>45063</v>
      </c>
      <c r="AH32" s="327"/>
      <c r="CY32" s="1"/>
      <c r="CZ32" s="1"/>
      <c r="DA32" s="1"/>
      <c r="DB32" s="1"/>
    </row>
    <row r="33" spans="2:34" ht="15" customHeight="1" thickTop="1" thickBot="1" x14ac:dyDescent="0.2">
      <c r="B33" s="248">
        <f t="shared" si="3"/>
        <v>44</v>
      </c>
      <c r="C33" s="70">
        <f t="shared" si="4"/>
        <v>44862</v>
      </c>
      <c r="D33" s="128"/>
      <c r="E33" s="129"/>
      <c r="F33" s="130"/>
      <c r="G33" s="129"/>
      <c r="H33" s="130"/>
      <c r="I33" s="131"/>
      <c r="J33" s="132"/>
      <c r="K33" s="174"/>
      <c r="L33" s="249" t="str">
        <f t="shared" si="0"/>
        <v/>
      </c>
      <c r="M33" s="261" t="str">
        <f t="shared" si="6"/>
        <v/>
      </c>
      <c r="N33" s="74" t="str">
        <f t="shared" si="7"/>
        <v/>
      </c>
      <c r="O33" s="133"/>
      <c r="P33" s="262"/>
      <c r="R33" s="285" t="s">
        <v>141</v>
      </c>
      <c r="S33" s="286">
        <f>NETWORKDAYS.INTL(C$6,EOMONTH(C$6,0),11,$AE$6:$AE$16)</f>
        <v>26</v>
      </c>
      <c r="U33" s="162"/>
      <c r="V33" s="162"/>
      <c r="W33" s="162"/>
      <c r="X33" s="162"/>
      <c r="Y33" s="162"/>
      <c r="Z33" s="162"/>
      <c r="AA33" s="162"/>
      <c r="AB33" s="162"/>
      <c r="AD33" s="750"/>
      <c r="AE33" s="368">
        <v>44708</v>
      </c>
      <c r="AF33" s="363" t="s">
        <v>169</v>
      </c>
      <c r="AG33" s="330">
        <v>45065</v>
      </c>
      <c r="AH33" s="327"/>
    </row>
    <row r="34" spans="2:34" ht="15" customHeight="1" thickTop="1" thickBot="1" x14ac:dyDescent="0.2">
      <c r="B34" s="248">
        <f t="shared" si="3"/>
        <v>44</v>
      </c>
      <c r="C34" s="70">
        <f t="shared" si="4"/>
        <v>44863</v>
      </c>
      <c r="D34" s="62"/>
      <c r="E34" s="56"/>
      <c r="F34" s="59"/>
      <c r="G34" s="56"/>
      <c r="H34" s="59"/>
      <c r="I34" s="65"/>
      <c r="J34" s="52"/>
      <c r="K34" s="49"/>
      <c r="L34" s="249" t="str">
        <f t="shared" si="0"/>
        <v/>
      </c>
      <c r="M34" s="261" t="str">
        <f t="shared" si="6"/>
        <v/>
      </c>
      <c r="N34" s="74" t="str">
        <f t="shared" si="7"/>
        <v/>
      </c>
      <c r="O34" s="124"/>
      <c r="P34" s="263"/>
      <c r="R34" s="24"/>
      <c r="S34" s="24"/>
      <c r="U34" s="736" t="str">
        <f>CONCATENATE("Récapitulatif du mois de ",Pointage!D2," ",Pointage!G2,)</f>
        <v>Récapitulatif du mois de Octobre 2022</v>
      </c>
      <c r="V34" s="737"/>
      <c r="W34" s="737"/>
      <c r="X34" s="737"/>
      <c r="Y34" s="737"/>
      <c r="Z34" s="921" t="s">
        <v>145</v>
      </c>
      <c r="AA34" s="922"/>
      <c r="AB34" s="372" t="str">
        <f>L39</f>
        <v/>
      </c>
      <c r="AD34" s="358" t="s">
        <v>190</v>
      </c>
      <c r="AE34" s="370">
        <v>44750</v>
      </c>
      <c r="AF34" s="364" t="s">
        <v>168</v>
      </c>
      <c r="AG34" s="331">
        <v>45117</v>
      </c>
    </row>
    <row r="35" spans="2:34" ht="15" customHeight="1" thickTop="1" thickBot="1" x14ac:dyDescent="0.2">
      <c r="B35" s="248">
        <f t="shared" si="3"/>
        <v>44</v>
      </c>
      <c r="C35" s="70">
        <f t="shared" si="4"/>
        <v>44864</v>
      </c>
      <c r="D35" s="128"/>
      <c r="E35" s="129"/>
      <c r="F35" s="130"/>
      <c r="G35" s="129"/>
      <c r="H35" s="130"/>
      <c r="I35" s="131"/>
      <c r="J35" s="132"/>
      <c r="K35" s="174"/>
      <c r="L35" s="249" t="str">
        <f t="shared" si="0"/>
        <v>/</v>
      </c>
      <c r="M35" s="261" t="str">
        <f t="shared" si="6"/>
        <v>/</v>
      </c>
      <c r="N35" s="74" t="str">
        <f t="shared" si="7"/>
        <v>/</v>
      </c>
      <c r="O35" s="133"/>
      <c r="P35" s="262"/>
      <c r="R35" s="836"/>
      <c r="S35" s="837"/>
      <c r="U35" s="828" t="s">
        <v>146</v>
      </c>
      <c r="V35" s="829"/>
      <c r="W35" s="824" t="s">
        <v>161</v>
      </c>
      <c r="X35" s="825"/>
      <c r="Y35" s="352">
        <f>'Bulletin de Paie'!L17</f>
        <v>121.21000000000001</v>
      </c>
      <c r="Z35" s="928" t="s">
        <v>206</v>
      </c>
      <c r="AA35" s="825"/>
      <c r="AB35" s="373">
        <f>'Bulletin de Paie'!L50+'Bulletin de Paie'!L51</f>
        <v>0</v>
      </c>
      <c r="AD35" s="919" t="s">
        <v>209</v>
      </c>
      <c r="AE35" s="920"/>
      <c r="AF35" s="332" t="s">
        <v>191</v>
      </c>
      <c r="AG35" s="228"/>
    </row>
    <row r="36" spans="2:34" ht="15" customHeight="1" thickTop="1" thickBot="1" x14ac:dyDescent="0.2">
      <c r="B36" s="250">
        <f t="shared" si="3"/>
        <v>45</v>
      </c>
      <c r="C36" s="71">
        <f>IF(ISNUMBER(C35),IF(MONTH(C35+1) = MONTH(C35),C35+1,""),"")</f>
        <v>44865</v>
      </c>
      <c r="D36" s="63"/>
      <c r="E36" s="57"/>
      <c r="F36" s="60"/>
      <c r="G36" s="57"/>
      <c r="H36" s="60"/>
      <c r="I36" s="66"/>
      <c r="J36" s="53"/>
      <c r="K36" s="50"/>
      <c r="L36" s="251" t="str">
        <f t="shared" si="0"/>
        <v/>
      </c>
      <c r="M36" s="264" t="str">
        <f t="shared" si="6"/>
        <v/>
      </c>
      <c r="N36" s="75" t="str">
        <f t="shared" si="7"/>
        <v/>
      </c>
      <c r="O36" s="125"/>
      <c r="P36" s="265"/>
      <c r="R36" s="912"/>
      <c r="S36" s="840"/>
      <c r="U36" s="828"/>
      <c r="V36" s="829"/>
      <c r="W36" s="686" t="s">
        <v>166</v>
      </c>
      <c r="X36" s="687"/>
      <c r="Y36" s="377">
        <f>'Bulletin de Paie'!L20+'Bulletin de Paie'!L23+'Bulletin de Paie'!L26</f>
        <v>0</v>
      </c>
      <c r="Z36" s="917" t="s">
        <v>162</v>
      </c>
      <c r="AA36" s="687"/>
      <c r="AB36" s="374">
        <f>'Bulletin de Paie'!L48+'Bulletin de Paie'!L49</f>
        <v>0</v>
      </c>
      <c r="AD36" s="178"/>
      <c r="AE36" s="178"/>
    </row>
    <row r="37" spans="2:34" ht="15" customHeight="1" thickBot="1" x14ac:dyDescent="0.2">
      <c r="B37" s="812" t="s">
        <v>45</v>
      </c>
      <c r="C37" s="813"/>
      <c r="D37" s="119" t="s">
        <v>35</v>
      </c>
      <c r="E37" s="120" t="s">
        <v>34</v>
      </c>
      <c r="F37" s="121" t="s">
        <v>35</v>
      </c>
      <c r="G37" s="120" t="s">
        <v>34</v>
      </c>
      <c r="H37" s="121" t="s">
        <v>35</v>
      </c>
      <c r="I37" s="122" t="s">
        <v>34</v>
      </c>
      <c r="J37" s="838" t="s">
        <v>32</v>
      </c>
      <c r="K37" s="947" t="s">
        <v>33</v>
      </c>
      <c r="L37" s="826" t="s">
        <v>39</v>
      </c>
      <c r="M37" s="266" t="s">
        <v>76</v>
      </c>
      <c r="N37" s="72" t="s">
        <v>76</v>
      </c>
      <c r="O37" s="838" t="s">
        <v>101</v>
      </c>
      <c r="P37" s="916" t="s">
        <v>52</v>
      </c>
      <c r="R37" s="912"/>
      <c r="S37" s="840"/>
      <c r="U37" s="830"/>
      <c r="V37" s="831"/>
      <c r="W37" s="878" t="s">
        <v>200</v>
      </c>
      <c r="X37" s="879"/>
      <c r="Y37" s="382">
        <f>Y26</f>
        <v>0</v>
      </c>
      <c r="Z37" s="688" t="s">
        <v>163</v>
      </c>
      <c r="AA37" s="689"/>
      <c r="AB37" s="353">
        <f>'Bulletin de Paie'!L45</f>
        <v>94.688948975000002</v>
      </c>
      <c r="AD37" s="178"/>
      <c r="AE37" s="196"/>
    </row>
    <row r="38" spans="2:34" ht="15" customHeight="1" thickBot="1" x14ac:dyDescent="0.2">
      <c r="B38" s="814"/>
      <c r="C38" s="815"/>
      <c r="D38" s="811" t="s">
        <v>38</v>
      </c>
      <c r="E38" s="802"/>
      <c r="F38" s="801" t="s">
        <v>46</v>
      </c>
      <c r="G38" s="802"/>
      <c r="H38" s="801" t="s">
        <v>47</v>
      </c>
      <c r="I38" s="803"/>
      <c r="J38" s="839"/>
      <c r="K38" s="948"/>
      <c r="L38" s="827"/>
      <c r="M38" s="267">
        <f>G62</f>
        <v>2.65</v>
      </c>
      <c r="N38" s="99">
        <f>G63</f>
        <v>3.55</v>
      </c>
      <c r="O38" s="839"/>
      <c r="P38" s="790"/>
      <c r="R38" s="912"/>
      <c r="S38" s="840"/>
      <c r="U38" s="942" t="s">
        <v>131</v>
      </c>
      <c r="V38" s="943"/>
      <c r="W38" s="880" t="s">
        <v>164</v>
      </c>
      <c r="X38" s="881"/>
      <c r="Y38" s="350">
        <f>M51</f>
        <v>1.2916666666666667</v>
      </c>
      <c r="Z38" s="934" t="s">
        <v>166</v>
      </c>
      <c r="AA38" s="881"/>
      <c r="AB38" s="351">
        <f>M54+M55+M56</f>
        <v>0</v>
      </c>
      <c r="AD38" s="178"/>
      <c r="AE38" s="178"/>
      <c r="AF38" s="191"/>
    </row>
    <row r="39" spans="2:34" ht="15" customHeight="1" thickBot="1" x14ac:dyDescent="0.2">
      <c r="B39" s="816"/>
      <c r="C39" s="817"/>
      <c r="D39" s="797" t="s">
        <v>78</v>
      </c>
      <c r="E39" s="798"/>
      <c r="F39" s="798"/>
      <c r="G39" s="798"/>
      <c r="H39" s="798"/>
      <c r="I39" s="252">
        <f>COUNT(L6:L36)</f>
        <v>0</v>
      </c>
      <c r="J39" s="253">
        <f>COUNTIF(J6:J36,"x")</f>
        <v>0</v>
      </c>
      <c r="K39" s="254">
        <f>COUNTIF(K6:K36,"x")</f>
        <v>0</v>
      </c>
      <c r="L39" s="255" t="str">
        <f>IF((SUM(L6:L36)+M56&gt;0.00001),(SUM(L6:L36)+M56),"")</f>
        <v/>
      </c>
      <c r="M39" s="268">
        <f>COUNTIF(M6:M36,"x")</f>
        <v>0</v>
      </c>
      <c r="N39" s="254">
        <f>COUNTIF(N6:N36,"x")</f>
        <v>0</v>
      </c>
      <c r="O39" s="254">
        <f>COUNTIF(O6:O36,"x")</f>
        <v>0</v>
      </c>
      <c r="P39" s="269"/>
      <c r="R39" s="912"/>
      <c r="S39" s="840"/>
      <c r="U39" s="828"/>
      <c r="V39" s="829"/>
      <c r="W39" s="937" t="s">
        <v>165</v>
      </c>
      <c r="X39" s="938"/>
      <c r="Y39" s="354">
        <f>I39</f>
        <v>0</v>
      </c>
      <c r="Z39" s="949" t="s">
        <v>167</v>
      </c>
      <c r="AA39" s="938"/>
      <c r="AB39" s="355">
        <f>'Bulletin de Paie'!L54</f>
        <v>94.688948975000002</v>
      </c>
      <c r="AD39" s="178"/>
      <c r="AE39" s="178"/>
    </row>
    <row r="40" spans="2:34" ht="15" customHeight="1" thickTop="1" thickBot="1" x14ac:dyDescent="0.2">
      <c r="B40" s="846" t="s">
        <v>160</v>
      </c>
      <c r="C40" s="847"/>
      <c r="D40" s="847"/>
      <c r="E40" s="847"/>
      <c r="F40" s="847"/>
      <c r="G40" s="847"/>
      <c r="H40" s="847"/>
      <c r="I40" s="847"/>
      <c r="J40" s="847"/>
      <c r="K40" s="847"/>
      <c r="L40" s="342"/>
      <c r="M40" s="854" t="s">
        <v>188</v>
      </c>
      <c r="N40" s="854"/>
      <c r="O40" s="854"/>
      <c r="P40" s="854"/>
      <c r="R40" s="913"/>
      <c r="S40" s="841"/>
      <c r="U40" s="944"/>
      <c r="V40" s="945"/>
      <c r="W40" s="918" t="s">
        <v>162</v>
      </c>
      <c r="X40" s="915"/>
      <c r="Y40" s="376">
        <f>AB36</f>
        <v>0</v>
      </c>
      <c r="Z40" s="914" t="s">
        <v>206</v>
      </c>
      <c r="AA40" s="915"/>
      <c r="AB40" s="375">
        <f>'Bulletin de Paie'!L50+'Bulletin de Paie'!L51</f>
        <v>0</v>
      </c>
    </row>
    <row r="41" spans="2:34" ht="15" customHeight="1" thickTop="1" x14ac:dyDescent="0.15">
      <c r="B41" s="87"/>
      <c r="C41" s="87"/>
      <c r="D41" s="87"/>
      <c r="E41" s="87"/>
      <c r="F41" s="87"/>
      <c r="G41" s="87"/>
      <c r="H41" s="87"/>
      <c r="I41" s="87"/>
      <c r="J41" s="87"/>
      <c r="K41" s="87"/>
      <c r="L41" s="225"/>
      <c r="M41" s="87"/>
      <c r="N41" s="87"/>
      <c r="O41" s="87"/>
      <c r="P41" s="87"/>
      <c r="R41" s="164"/>
      <c r="S41" s="163"/>
      <c r="U41" s="482"/>
      <c r="V41" s="482"/>
      <c r="W41" s="482"/>
      <c r="X41" s="483"/>
      <c r="Y41" s="301"/>
      <c r="Z41" s="302"/>
      <c r="AA41" s="302"/>
      <c r="AB41" s="301"/>
    </row>
    <row r="42" spans="2:34" s="76" customFormat="1" ht="15" customHeight="1" thickBot="1" x14ac:dyDescent="0.2">
      <c r="B42" s="88"/>
      <c r="C42" s="88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227"/>
      <c r="Q42" s="88"/>
      <c r="R42" s="77"/>
      <c r="S42" s="77"/>
      <c r="U42" s="241"/>
      <c r="V42" s="241"/>
      <c r="W42" s="241"/>
      <c r="X42" s="241"/>
      <c r="Y42" s="241"/>
      <c r="Z42" s="241"/>
      <c r="AA42" s="241"/>
      <c r="AB42" s="242"/>
    </row>
    <row r="43" spans="2:34" ht="14" thickTop="1" x14ac:dyDescent="0.15"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R43" s="24"/>
      <c r="S43" s="24"/>
      <c r="U43" s="1"/>
      <c r="V43" s="1"/>
      <c r="W43" s="1"/>
      <c r="X43" s="1"/>
      <c r="Y43" s="1"/>
      <c r="Z43" s="1"/>
      <c r="AA43" s="1"/>
      <c r="AB43" s="234"/>
    </row>
    <row r="44" spans="2:34" ht="14" thickBot="1" x14ac:dyDescent="0.2"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R44" s="24"/>
      <c r="S44" s="24"/>
    </row>
    <row r="45" spans="2:34" ht="20" customHeight="1" thickTop="1" x14ac:dyDescent="0.15">
      <c r="C45" s="861" t="s">
        <v>79</v>
      </c>
      <c r="D45" s="862"/>
      <c r="E45" s="862"/>
      <c r="F45" s="862"/>
      <c r="G45" s="862"/>
      <c r="H45" s="863"/>
      <c r="I45" s="890" t="s">
        <v>110</v>
      </c>
      <c r="J45" s="891"/>
      <c r="K45" s="891"/>
      <c r="L45" s="891"/>
      <c r="M45" s="891"/>
      <c r="N45" s="892"/>
    </row>
    <row r="46" spans="2:34" ht="20" customHeight="1" x14ac:dyDescent="0.15">
      <c r="C46" s="864"/>
      <c r="D46" s="865"/>
      <c r="E46" s="865"/>
      <c r="F46" s="865"/>
      <c r="G46" s="865"/>
      <c r="H46" s="866"/>
      <c r="I46" s="893"/>
      <c r="J46" s="894"/>
      <c r="K46" s="894"/>
      <c r="L46" s="894"/>
      <c r="M46" s="894"/>
      <c r="N46" s="895"/>
    </row>
    <row r="47" spans="2:34" ht="20" customHeight="1" thickBot="1" x14ac:dyDescent="0.2">
      <c r="C47" s="867"/>
      <c r="D47" s="868"/>
      <c r="E47" s="868"/>
      <c r="F47" s="868"/>
      <c r="G47" s="868"/>
      <c r="H47" s="869"/>
      <c r="I47" s="896"/>
      <c r="J47" s="897"/>
      <c r="K47" s="897"/>
      <c r="L47" s="897"/>
      <c r="M47" s="897"/>
      <c r="N47" s="898"/>
    </row>
    <row r="48" spans="2:34" ht="14" customHeight="1" thickTop="1" x14ac:dyDescent="0.15">
      <c r="C48" s="882" t="s">
        <v>217</v>
      </c>
      <c r="D48" s="883"/>
      <c r="E48" s="883"/>
      <c r="F48" s="884"/>
      <c r="G48" s="888" t="s">
        <v>115</v>
      </c>
      <c r="H48" s="889"/>
      <c r="I48" s="848" t="s">
        <v>86</v>
      </c>
      <c r="J48" s="849"/>
      <c r="K48" s="849"/>
      <c r="L48" s="850"/>
      <c r="M48" s="136"/>
      <c r="N48" s="137"/>
    </row>
    <row r="49" spans="3:18" ht="14" customHeight="1" x14ac:dyDescent="0.15">
      <c r="C49" s="882"/>
      <c r="D49" s="883"/>
      <c r="E49" s="883"/>
      <c r="F49" s="884"/>
      <c r="G49" s="844">
        <v>44774</v>
      </c>
      <c r="H49" s="845"/>
      <c r="I49" s="848"/>
      <c r="J49" s="849"/>
      <c r="K49" s="849"/>
      <c r="L49" s="850"/>
      <c r="M49" s="80"/>
      <c r="N49" s="81"/>
    </row>
    <row r="50" spans="3:18" ht="14" customHeight="1" x14ac:dyDescent="0.15">
      <c r="C50" s="885"/>
      <c r="D50" s="886"/>
      <c r="E50" s="886"/>
      <c r="F50" s="887"/>
      <c r="G50" s="135" t="s">
        <v>70</v>
      </c>
      <c r="H50" s="141" t="s">
        <v>114</v>
      </c>
      <c r="I50" s="851"/>
      <c r="J50" s="852"/>
      <c r="K50" s="852"/>
      <c r="L50" s="853"/>
      <c r="M50" s="78" t="s">
        <v>102</v>
      </c>
      <c r="N50" s="79" t="s">
        <v>87</v>
      </c>
    </row>
    <row r="51" spans="3:18" ht="14" customHeight="1" x14ac:dyDescent="0.15">
      <c r="C51" s="842" t="s">
        <v>218</v>
      </c>
      <c r="D51" s="843"/>
      <c r="E51" s="843"/>
      <c r="F51" s="843"/>
      <c r="G51" s="142">
        <v>4.0000000000000001E-3</v>
      </c>
      <c r="H51" s="143"/>
      <c r="I51" s="858" t="s">
        <v>85</v>
      </c>
      <c r="J51" s="859"/>
      <c r="K51" s="859"/>
      <c r="L51" s="860"/>
      <c r="M51" s="145">
        <v>1.2916666666666667</v>
      </c>
      <c r="N51" s="211">
        <v>3.91</v>
      </c>
    </row>
    <row r="52" spans="3:18" ht="14" customHeight="1" x14ac:dyDescent="0.15">
      <c r="C52" s="842" t="s">
        <v>219</v>
      </c>
      <c r="D52" s="843"/>
      <c r="E52" s="843"/>
      <c r="F52" s="843"/>
      <c r="G52" s="142">
        <v>6.9000000000000006E-2</v>
      </c>
      <c r="H52" s="143"/>
      <c r="I52" s="651" t="s">
        <v>84</v>
      </c>
      <c r="J52" s="652"/>
      <c r="K52" s="652"/>
      <c r="L52" s="653"/>
      <c r="M52" s="145">
        <v>0.25</v>
      </c>
      <c r="N52" s="215">
        <f>SUMIF(DC7:DC10,W26,DF7:DF10)</f>
        <v>1</v>
      </c>
      <c r="R52" s="113"/>
    </row>
    <row r="53" spans="3:18" ht="14" customHeight="1" x14ac:dyDescent="0.15">
      <c r="C53" s="842" t="s">
        <v>50</v>
      </c>
      <c r="D53" s="843"/>
      <c r="E53" s="843"/>
      <c r="F53" s="843"/>
      <c r="G53" s="142">
        <v>1.04E-2</v>
      </c>
      <c r="H53" s="143"/>
      <c r="I53" s="651" t="s">
        <v>242</v>
      </c>
      <c r="J53" s="652"/>
      <c r="K53" s="652"/>
      <c r="L53" s="653"/>
      <c r="M53" s="145">
        <v>0.83333333333333337</v>
      </c>
      <c r="N53" s="215"/>
    </row>
    <row r="54" spans="3:18" ht="14" customHeight="1" x14ac:dyDescent="0.15">
      <c r="C54" s="855" t="s">
        <v>220</v>
      </c>
      <c r="D54" s="856"/>
      <c r="E54" s="856"/>
      <c r="F54" s="857"/>
      <c r="G54" s="142">
        <v>3.15E-2</v>
      </c>
      <c r="H54" s="143"/>
      <c r="I54" s="820" t="s">
        <v>16</v>
      </c>
      <c r="J54" s="821"/>
      <c r="K54" s="821"/>
      <c r="L54" s="822"/>
      <c r="M54" s="230" t="str">
        <f>S17</f>
        <v>0</v>
      </c>
      <c r="N54" s="212">
        <v>3.91</v>
      </c>
      <c r="P54" s="113"/>
    </row>
    <row r="55" spans="3:18" ht="14" customHeight="1" x14ac:dyDescent="0.15">
      <c r="C55" s="842" t="s">
        <v>221</v>
      </c>
      <c r="D55" s="843"/>
      <c r="E55" s="843"/>
      <c r="F55" s="843"/>
      <c r="G55" s="142">
        <v>8.6E-3</v>
      </c>
      <c r="H55" s="143"/>
      <c r="I55" s="858" t="s">
        <v>37</v>
      </c>
      <c r="J55" s="859"/>
      <c r="K55" s="859"/>
      <c r="L55" s="860"/>
      <c r="M55" s="231">
        <v>0</v>
      </c>
      <c r="N55" s="212">
        <v>3.91</v>
      </c>
    </row>
    <row r="56" spans="3:18" ht="14" customHeight="1" x14ac:dyDescent="0.15">
      <c r="C56" s="909" t="s">
        <v>73</v>
      </c>
      <c r="D56" s="910"/>
      <c r="E56" s="910"/>
      <c r="F56" s="910"/>
      <c r="G56" s="54">
        <v>0.98250000000000004</v>
      </c>
      <c r="H56" s="143"/>
      <c r="I56" s="858" t="s">
        <v>3</v>
      </c>
      <c r="J56" s="859"/>
      <c r="K56" s="859"/>
      <c r="L56" s="860"/>
      <c r="M56" s="232">
        <v>0</v>
      </c>
      <c r="N56" s="213">
        <v>3.91</v>
      </c>
    </row>
    <row r="57" spans="3:18" ht="14" customHeight="1" x14ac:dyDescent="0.15">
      <c r="C57" s="842" t="s">
        <v>74</v>
      </c>
      <c r="D57" s="843"/>
      <c r="E57" s="843"/>
      <c r="F57" s="843"/>
      <c r="G57" s="142">
        <v>6.8000000000000005E-2</v>
      </c>
      <c r="H57" s="143"/>
      <c r="I57" s="858"/>
      <c r="J57" s="859"/>
      <c r="K57" s="859"/>
      <c r="L57" s="860"/>
      <c r="M57" s="210"/>
      <c r="N57" s="214"/>
      <c r="O57" s="24"/>
    </row>
    <row r="58" spans="3:18" ht="14" customHeight="1" x14ac:dyDescent="0.15">
      <c r="C58" s="842" t="s">
        <v>75</v>
      </c>
      <c r="D58" s="843"/>
      <c r="E58" s="843"/>
      <c r="F58" s="843"/>
      <c r="G58" s="142">
        <v>2.9000000000000001E-2</v>
      </c>
      <c r="H58" s="143"/>
      <c r="I58" s="233" t="s">
        <v>205</v>
      </c>
      <c r="J58" s="911" t="s">
        <v>116</v>
      </c>
      <c r="K58" s="911"/>
      <c r="L58" s="911"/>
      <c r="M58" s="710">
        <f>COUNTIF(L6:L36,"AT")</f>
        <v>0</v>
      </c>
      <c r="N58" s="712">
        <f>('Bulletin de Paie'!L17/(M51*24)*(M58*N52))</f>
        <v>0</v>
      </c>
      <c r="Q58"/>
    </row>
    <row r="59" spans="3:18" ht="14" customHeight="1" thickBot="1" x14ac:dyDescent="0.2">
      <c r="C59" s="872" t="s">
        <v>230</v>
      </c>
      <c r="D59" s="873"/>
      <c r="E59" s="873"/>
      <c r="F59" s="874"/>
      <c r="G59" s="468">
        <v>0.11310000000000001</v>
      </c>
      <c r="H59" s="469"/>
      <c r="I59" s="243">
        <f t="array" ref="I59">MIN(IF(L6:L36=I58,C6:C36,""))</f>
        <v>0</v>
      </c>
      <c r="J59" s="902" t="s">
        <v>210</v>
      </c>
      <c r="K59" s="902"/>
      <c r="L59" s="244">
        <f t="array" ref="L59">MAX(IF(L6:L36=I58,C6:C36,""))</f>
        <v>0</v>
      </c>
      <c r="M59" s="711"/>
      <c r="N59" s="713"/>
      <c r="Q59"/>
    </row>
    <row r="60" spans="3:18" ht="14" customHeight="1" thickTop="1" x14ac:dyDescent="0.15">
      <c r="C60" s="899" t="s">
        <v>71</v>
      </c>
      <c r="D60" s="900"/>
      <c r="E60" s="900"/>
      <c r="F60" s="900"/>
      <c r="G60" s="901"/>
      <c r="H60" s="472">
        <f>SUMPRODUCT(G51:G55)+((G57+G58)*G56)</f>
        <v>0.21880250000000001</v>
      </c>
      <c r="I60" s="149"/>
      <c r="J60" s="150"/>
      <c r="K60" s="150"/>
      <c r="L60" s="150"/>
      <c r="M60" s="151"/>
      <c r="N60" s="152"/>
      <c r="Q60"/>
    </row>
    <row r="61" spans="3:18" ht="14" customHeight="1" thickBot="1" x14ac:dyDescent="0.2">
      <c r="C61" s="903" t="s">
        <v>72</v>
      </c>
      <c r="D61" s="904"/>
      <c r="E61" s="904"/>
      <c r="F61" s="904"/>
      <c r="G61" s="905"/>
      <c r="H61" s="473">
        <f>1-H60</f>
        <v>0.78119749999999999</v>
      </c>
      <c r="I61" s="153"/>
      <c r="J61" s="1"/>
      <c r="K61" s="154"/>
      <c r="L61" s="1"/>
      <c r="M61" s="1"/>
      <c r="N61" s="1"/>
    </row>
    <row r="62" spans="3:18" ht="15" customHeight="1" thickTop="1" x14ac:dyDescent="0.15">
      <c r="C62" s="950" t="s">
        <v>59</v>
      </c>
      <c r="D62" s="951"/>
      <c r="E62" s="951"/>
      <c r="F62" s="952"/>
      <c r="G62" s="470">
        <v>2.65</v>
      </c>
      <c r="H62" s="471"/>
      <c r="I62" s="24"/>
      <c r="K62" s="87"/>
    </row>
    <row r="63" spans="3:18" ht="14" customHeight="1" thickBot="1" x14ac:dyDescent="0.2">
      <c r="C63" s="906" t="s">
        <v>58</v>
      </c>
      <c r="D63" s="907"/>
      <c r="E63" s="907"/>
      <c r="F63" s="908"/>
      <c r="G63" s="140">
        <v>3.55</v>
      </c>
      <c r="H63" s="144" t="s">
        <v>216</v>
      </c>
      <c r="K63" s="87"/>
    </row>
    <row r="64" spans="3:18" ht="15" customHeight="1" thickTop="1" thickBot="1" x14ac:dyDescent="0.2">
      <c r="C64" s="165"/>
      <c r="D64" s="165"/>
      <c r="E64" s="165"/>
      <c r="F64" s="165"/>
      <c r="G64" s="165"/>
      <c r="H64" s="165"/>
      <c r="I64" s="24"/>
      <c r="J64" s="134"/>
      <c r="K64" s="24"/>
    </row>
    <row r="65" spans="3:9" ht="15" thickTop="1" x14ac:dyDescent="0.15">
      <c r="C65" s="953" t="str">
        <f>SUBSTITUTE(C48,"Salariales","Patronales")</f>
        <v>Cotisations Patronales au 01/07/2022</v>
      </c>
      <c r="D65" s="954"/>
      <c r="E65" s="954"/>
      <c r="F65" s="955"/>
      <c r="G65" s="870" t="s">
        <v>115</v>
      </c>
      <c r="H65" s="871"/>
      <c r="I65" s="24"/>
    </row>
    <row r="66" spans="3:9" ht="14" x14ac:dyDescent="0.15">
      <c r="C66" s="956"/>
      <c r="D66" s="957"/>
      <c r="E66" s="957"/>
      <c r="F66" s="958"/>
      <c r="G66" s="834">
        <f>G49</f>
        <v>44774</v>
      </c>
      <c r="H66" s="835"/>
      <c r="I66" s="24"/>
    </row>
    <row r="67" spans="3:9" ht="14" x14ac:dyDescent="0.15">
      <c r="C67" s="959"/>
      <c r="D67" s="960"/>
      <c r="E67" s="960"/>
      <c r="F67" s="961"/>
      <c r="G67" s="135" t="s">
        <v>70</v>
      </c>
      <c r="H67" s="166" t="s">
        <v>114</v>
      </c>
    </row>
    <row r="68" spans="3:9" ht="14" x14ac:dyDescent="0.15">
      <c r="C68" s="842" t="s">
        <v>222</v>
      </c>
      <c r="D68" s="843"/>
      <c r="E68" s="843"/>
      <c r="F68" s="843"/>
      <c r="G68" s="142">
        <v>0.13</v>
      </c>
      <c r="H68" s="143"/>
    </row>
    <row r="69" spans="3:9" ht="14" x14ac:dyDescent="0.15">
      <c r="C69" s="842" t="s">
        <v>218</v>
      </c>
      <c r="D69" s="843"/>
      <c r="E69" s="843"/>
      <c r="F69" s="843"/>
      <c r="G69" s="142">
        <v>1.9E-2</v>
      </c>
      <c r="H69" s="143"/>
    </row>
    <row r="70" spans="3:9" ht="14" x14ac:dyDescent="0.15">
      <c r="C70" s="842" t="s">
        <v>219</v>
      </c>
      <c r="D70" s="843"/>
      <c r="E70" s="843"/>
      <c r="F70" s="843"/>
      <c r="G70" s="142">
        <v>8.5500000000000007E-2</v>
      </c>
      <c r="H70" s="143"/>
    </row>
    <row r="71" spans="3:9" ht="14" x14ac:dyDescent="0.15">
      <c r="C71" s="842" t="s">
        <v>223</v>
      </c>
      <c r="D71" s="843"/>
      <c r="E71" s="843"/>
      <c r="F71" s="843"/>
      <c r="G71" s="142">
        <v>5.2499999999999998E-2</v>
      </c>
      <c r="H71" s="143"/>
    </row>
    <row r="72" spans="3:9" ht="16" customHeight="1" x14ac:dyDescent="0.15">
      <c r="C72" s="855" t="s">
        <v>224</v>
      </c>
      <c r="D72" s="856"/>
      <c r="E72" s="856"/>
      <c r="F72" s="857"/>
      <c r="G72" s="142">
        <v>9.4999999999999998E-3</v>
      </c>
      <c r="H72" s="143"/>
    </row>
    <row r="73" spans="3:9" ht="14" x14ac:dyDescent="0.15">
      <c r="C73" s="855" t="s">
        <v>225</v>
      </c>
      <c r="D73" s="856"/>
      <c r="E73" s="856"/>
      <c r="F73" s="857"/>
      <c r="G73" s="142">
        <v>3.0000000000000001E-3</v>
      </c>
      <c r="H73" s="143"/>
    </row>
    <row r="74" spans="3:9" ht="14" x14ac:dyDescent="0.15">
      <c r="C74" s="855" t="s">
        <v>226</v>
      </c>
      <c r="D74" s="856"/>
      <c r="E74" s="856"/>
      <c r="F74" s="857"/>
      <c r="G74" s="142">
        <v>1E-3</v>
      </c>
      <c r="H74" s="143"/>
    </row>
    <row r="75" spans="3:9" ht="14" x14ac:dyDescent="0.15">
      <c r="C75" s="855" t="s">
        <v>227</v>
      </c>
      <c r="D75" s="856"/>
      <c r="E75" s="856"/>
      <c r="F75" s="857"/>
      <c r="G75" s="142">
        <v>2.1499999999999998E-2</v>
      </c>
      <c r="H75" s="143"/>
    </row>
    <row r="76" spans="3:9" ht="14" x14ac:dyDescent="0.15">
      <c r="C76" s="855" t="s">
        <v>220</v>
      </c>
      <c r="D76" s="856"/>
      <c r="E76" s="856"/>
      <c r="F76" s="857"/>
      <c r="G76" s="142">
        <v>4.7199999999999999E-2</v>
      </c>
      <c r="H76" s="143"/>
    </row>
    <row r="77" spans="3:9" ht="14" x14ac:dyDescent="0.15">
      <c r="C77" s="855" t="s">
        <v>221</v>
      </c>
      <c r="D77" s="856"/>
      <c r="E77" s="856"/>
      <c r="F77" s="857"/>
      <c r="G77" s="142">
        <v>1.29E-2</v>
      </c>
      <c r="H77" s="143"/>
    </row>
    <row r="78" spans="3:9" ht="14" x14ac:dyDescent="0.15">
      <c r="C78" s="855" t="s">
        <v>51</v>
      </c>
      <c r="D78" s="856"/>
      <c r="E78" s="856"/>
      <c r="F78" s="857"/>
      <c r="G78" s="142">
        <v>4.0500000000000001E-2</v>
      </c>
      <c r="H78" s="143"/>
    </row>
    <row r="79" spans="3:9" ht="14" x14ac:dyDescent="0.15">
      <c r="C79" s="855" t="s">
        <v>132</v>
      </c>
      <c r="D79" s="856"/>
      <c r="E79" s="856"/>
      <c r="F79" s="857"/>
      <c r="G79" s="142">
        <v>5.4999999999999997E-3</v>
      </c>
      <c r="H79" s="143"/>
    </row>
    <row r="80" spans="3:9" ht="15" thickBot="1" x14ac:dyDescent="0.2">
      <c r="C80" s="872" t="s">
        <v>133</v>
      </c>
      <c r="D80" s="873"/>
      <c r="E80" s="873"/>
      <c r="F80" s="874"/>
      <c r="G80" s="474">
        <v>1.6000000000000001E-4</v>
      </c>
      <c r="H80" s="475"/>
    </row>
    <row r="81" spans="3:8" ht="15" thickTop="1" x14ac:dyDescent="0.15">
      <c r="C81" s="875" t="str">
        <f>SUBSTITUTE(C60,"SALARIALES","PATRONALES")</f>
        <v>TAUX GLOBAL DES CHARGES PATRONALES</v>
      </c>
      <c r="D81" s="876"/>
      <c r="E81" s="876"/>
      <c r="F81" s="876"/>
      <c r="G81" s="877"/>
      <c r="H81" s="476">
        <f>SUMPRODUCT(G68:G80)</f>
        <v>0.42826000000000003</v>
      </c>
    </row>
    <row r="82" spans="3:8" ht="15" thickBot="1" x14ac:dyDescent="0.2">
      <c r="C82" s="654" t="s">
        <v>229</v>
      </c>
      <c r="D82" s="655"/>
      <c r="E82" s="655"/>
      <c r="F82" s="655"/>
      <c r="G82" s="656"/>
      <c r="H82" s="477">
        <f>PRODUCT('Bulletin de Paie'!L31*H81)+'Bulletin de Paie'!L39</f>
        <v>51.909394600000006</v>
      </c>
    </row>
    <row r="83" spans="3:8" ht="14" thickTop="1" x14ac:dyDescent="0.15"/>
  </sheetData>
  <sheetProtection formatCells="0" formatColumns="0" formatRows="0" insertHyperlinks="0" selectLockedCells="1"/>
  <dataConsolidate/>
  <mergeCells count="169">
    <mergeCell ref="C74:F74"/>
    <mergeCell ref="C75:F75"/>
    <mergeCell ref="C76:F76"/>
    <mergeCell ref="C77:F77"/>
    <mergeCell ref="C62:F62"/>
    <mergeCell ref="C65:F67"/>
    <mergeCell ref="C68:F68"/>
    <mergeCell ref="C69:F69"/>
    <mergeCell ref="C70:F70"/>
    <mergeCell ref="Z29:AB29"/>
    <mergeCell ref="W39:X39"/>
    <mergeCell ref="I57:L57"/>
    <mergeCell ref="U21:X21"/>
    <mergeCell ref="U38:V40"/>
    <mergeCell ref="U25:W25"/>
    <mergeCell ref="I52:L52"/>
    <mergeCell ref="K37:K38"/>
    <mergeCell ref="Z39:AA39"/>
    <mergeCell ref="AD35:AE35"/>
    <mergeCell ref="Z34:AA34"/>
    <mergeCell ref="Z30:AB30"/>
    <mergeCell ref="AD30:AD31"/>
    <mergeCell ref="U32:AB32"/>
    <mergeCell ref="AD32:AD33"/>
    <mergeCell ref="Z35:AA35"/>
    <mergeCell ref="U30:W30"/>
    <mergeCell ref="U31:AB31"/>
    <mergeCell ref="I51:L51"/>
    <mergeCell ref="R36:R40"/>
    <mergeCell ref="Z40:AA40"/>
    <mergeCell ref="P37:P38"/>
    <mergeCell ref="Z36:AA36"/>
    <mergeCell ref="W40:X40"/>
    <mergeCell ref="J37:J38"/>
    <mergeCell ref="Z38:AA38"/>
    <mergeCell ref="C60:G60"/>
    <mergeCell ref="I56:L56"/>
    <mergeCell ref="C59:F59"/>
    <mergeCell ref="J59:K59"/>
    <mergeCell ref="C61:G61"/>
    <mergeCell ref="C63:F63"/>
    <mergeCell ref="C56:F56"/>
    <mergeCell ref="J58:L58"/>
    <mergeCell ref="G65:H65"/>
    <mergeCell ref="C79:F79"/>
    <mergeCell ref="C80:F80"/>
    <mergeCell ref="C81:G81"/>
    <mergeCell ref="W37:X37"/>
    <mergeCell ref="W38:X38"/>
    <mergeCell ref="C52:F52"/>
    <mergeCell ref="C48:F50"/>
    <mergeCell ref="G48:H48"/>
    <mergeCell ref="I45:N47"/>
    <mergeCell ref="C78:F78"/>
    <mergeCell ref="I55:L55"/>
    <mergeCell ref="C55:F55"/>
    <mergeCell ref="C45:H47"/>
    <mergeCell ref="C73:F73"/>
    <mergeCell ref="C72:F72"/>
    <mergeCell ref="C57:F57"/>
    <mergeCell ref="C58:F58"/>
    <mergeCell ref="C71:F71"/>
    <mergeCell ref="C54:F54"/>
    <mergeCell ref="G66:H66"/>
    <mergeCell ref="R35:S35"/>
    <mergeCell ref="O37:O38"/>
    <mergeCell ref="S36:S40"/>
    <mergeCell ref="C53:F53"/>
    <mergeCell ref="C51:F51"/>
    <mergeCell ref="G49:H49"/>
    <mergeCell ref="B40:K40"/>
    <mergeCell ref="I48:L50"/>
    <mergeCell ref="M40:P40"/>
    <mergeCell ref="I54:L54"/>
    <mergeCell ref="AA5:AB5"/>
    <mergeCell ref="AA7:AB7"/>
    <mergeCell ref="W35:X35"/>
    <mergeCell ref="L37:L38"/>
    <mergeCell ref="U35:V37"/>
    <mergeCell ref="R7:S7"/>
    <mergeCell ref="U34:Y34"/>
    <mergeCell ref="Y10:Z10"/>
    <mergeCell ref="Y8:Z8"/>
    <mergeCell ref="B4:B5"/>
    <mergeCell ref="K4:K5"/>
    <mergeCell ref="H4:I4"/>
    <mergeCell ref="C4:C5"/>
    <mergeCell ref="D38:E38"/>
    <mergeCell ref="B37:C39"/>
    <mergeCell ref="J4:J5"/>
    <mergeCell ref="P4:P5"/>
    <mergeCell ref="R4:S4"/>
    <mergeCell ref="L4:L5"/>
    <mergeCell ref="R19:S19"/>
    <mergeCell ref="R6:S6"/>
    <mergeCell ref="D39:H39"/>
    <mergeCell ref="R29:S29"/>
    <mergeCell ref="F38:G38"/>
    <mergeCell ref="H38:I38"/>
    <mergeCell ref="E3:G3"/>
    <mergeCell ref="D2:E2"/>
    <mergeCell ref="N2:S2"/>
    <mergeCell ref="O4:O5"/>
    <mergeCell ref="B3:D3"/>
    <mergeCell ref="B2:C2"/>
    <mergeCell ref="H2:L3"/>
    <mergeCell ref="F4:G4"/>
    <mergeCell ref="R5:S5"/>
    <mergeCell ref="D4:E4"/>
    <mergeCell ref="AD24:AD25"/>
    <mergeCell ref="Y26:AB26"/>
    <mergeCell ref="Z28:AB28"/>
    <mergeCell ref="Y22:AB22"/>
    <mergeCell ref="AD28:AD29"/>
    <mergeCell ref="U26:V26"/>
    <mergeCell ref="W26:X26"/>
    <mergeCell ref="Z27:AB27"/>
    <mergeCell ref="U27:W27"/>
    <mergeCell ref="Y24:AA24"/>
    <mergeCell ref="Y21:AB21"/>
    <mergeCell ref="U28:W28"/>
    <mergeCell ref="U29:W29"/>
    <mergeCell ref="R9:S9"/>
    <mergeCell ref="U34:Y34"/>
    <mergeCell ref="Y19:AB19"/>
    <mergeCell ref="Y17:Z17"/>
    <mergeCell ref="Y16:Z16"/>
    <mergeCell ref="U20:X20"/>
    <mergeCell ref="U19:X19"/>
    <mergeCell ref="AA17:AB17"/>
    <mergeCell ref="AD26:AD27"/>
    <mergeCell ref="U23:W23"/>
    <mergeCell ref="U22:X22"/>
    <mergeCell ref="U24:W24"/>
    <mergeCell ref="AA8:AB8"/>
    <mergeCell ref="AA9:AB9"/>
    <mergeCell ref="Y9:Z9"/>
    <mergeCell ref="Y14:Z14"/>
    <mergeCell ref="AA16:AB16"/>
    <mergeCell ref="Y20:AB20"/>
    <mergeCell ref="Y15:Z15"/>
    <mergeCell ref="Y6:Z6"/>
    <mergeCell ref="M58:M59"/>
    <mergeCell ref="N58:N59"/>
    <mergeCell ref="AA13:AB13"/>
    <mergeCell ref="AA15:AB15"/>
    <mergeCell ref="Y12:Z12"/>
    <mergeCell ref="Y13:Z13"/>
    <mergeCell ref="Y25:AB25"/>
    <mergeCell ref="Y5:Z5"/>
    <mergeCell ref="Y7:Z7"/>
    <mergeCell ref="W36:X36"/>
    <mergeCell ref="Z37:AA37"/>
    <mergeCell ref="Y23:AA23"/>
    <mergeCell ref="CY5:DB7"/>
    <mergeCell ref="AA14:AB14"/>
    <mergeCell ref="AA12:AB12"/>
    <mergeCell ref="AA10:AB10"/>
    <mergeCell ref="AA11:AB11"/>
    <mergeCell ref="I53:L53"/>
    <mergeCell ref="C82:G82"/>
    <mergeCell ref="U3:AB4"/>
    <mergeCell ref="DC5:DE6"/>
    <mergeCell ref="DF5:DF6"/>
    <mergeCell ref="AD20:AG21"/>
    <mergeCell ref="AD3:AG4"/>
    <mergeCell ref="AA6:AB6"/>
    <mergeCell ref="Y11:Z11"/>
    <mergeCell ref="Y18:AB18"/>
  </mergeCells>
  <phoneticPr fontId="10" type="noConversion"/>
  <conditionalFormatting sqref="L6:L22">
    <cfRule type="expression" dxfId="39" priority="39">
      <formula>L6:L36&gt;=TIME(9,0,0)</formula>
    </cfRule>
  </conditionalFormatting>
  <conditionalFormatting sqref="D6:P36">
    <cfRule type="expression" dxfId="38" priority="1">
      <formula>WEEKDAY($C6,2)=7</formula>
    </cfRule>
    <cfRule type="expression" dxfId="37" priority="13">
      <formula>$C6=""</formula>
    </cfRule>
    <cfRule type="expression" dxfId="36" priority="29" stopIfTrue="1">
      <formula>$O6="x"</formula>
    </cfRule>
  </conditionalFormatting>
  <conditionalFormatting sqref="U6:U17">
    <cfRule type="expression" dxfId="35" priority="40" stopIfTrue="1">
      <formula>$U6=$D$2</formula>
    </cfRule>
  </conditionalFormatting>
  <conditionalFormatting sqref="V6:AB17">
    <cfRule type="expression" dxfId="34" priority="42">
      <formula>$U6=$D$2</formula>
    </cfRule>
  </conditionalFormatting>
  <conditionalFormatting sqref="D6:N36 P6:P36">
    <cfRule type="expression" dxfId="33" priority="38">
      <formula>WEEKDAY($C6,2)&gt;5</formula>
    </cfRule>
  </conditionalFormatting>
  <conditionalFormatting sqref="AE23:AF29">
    <cfRule type="expression" dxfId="32" priority="5">
      <formula>MONTH($C$6)&amp;YEAR($C$6)=MONTH($AE23:$AE34)&amp;YEAR($AE23:$AE34)</formula>
    </cfRule>
  </conditionalFormatting>
  <conditionalFormatting sqref="AF23:AG29">
    <cfRule type="expression" dxfId="31" priority="3">
      <formula>MONTH($C$6)&amp;YEAR($C$6)=MONTH($AG23:$AG34)&amp;YEAR($AG23:$AG34)</formula>
    </cfRule>
  </conditionalFormatting>
  <conditionalFormatting sqref="AE6:AF18">
    <cfRule type="expression" dxfId="30" priority="126">
      <formula>MONTH($AE6:$AE18)=MONTH($C$6:$C$36)</formula>
    </cfRule>
  </conditionalFormatting>
  <conditionalFormatting sqref="L23:L25">
    <cfRule type="expression" dxfId="29" priority="264">
      <formula>L23:L54&gt;=TIME(9,0,0)</formula>
    </cfRule>
  </conditionalFormatting>
  <conditionalFormatting sqref="L26">
    <cfRule type="expression" dxfId="28" priority="266">
      <formula>L26:L58&gt;=TIME(9,0,0)</formula>
    </cfRule>
  </conditionalFormatting>
  <conditionalFormatting sqref="B6:K36 O6:O36">
    <cfRule type="expression" dxfId="27" priority="272">
      <formula>($C6=$AE$6)</formula>
    </cfRule>
    <cfRule type="expression" dxfId="26" priority="273">
      <formula>($C6=$AE$7)</formula>
    </cfRule>
    <cfRule type="expression" dxfId="25" priority="274">
      <formula>($C6=$AE$8)</formula>
    </cfRule>
    <cfRule type="expression" dxfId="18" priority="275">
      <formula>($C6=$AE$9)</formula>
    </cfRule>
    <cfRule type="expression" dxfId="17" priority="276">
      <formula>($C6=$AE$10)</formula>
    </cfRule>
    <cfRule type="expression" dxfId="16" priority="277">
      <formula>($C6=$AE$11)</formula>
    </cfRule>
    <cfRule type="expression" dxfId="15" priority="278">
      <formula>($C6=$AE$12)</formula>
    </cfRule>
    <cfRule type="expression" dxfId="14" priority="279">
      <formula>($C6=$AE$13)</formula>
    </cfRule>
    <cfRule type="expression" dxfId="13" priority="280">
      <formula>($C6=$AE$14)</formula>
    </cfRule>
    <cfRule type="expression" dxfId="12" priority="281">
      <formula>($C6=$AE$15)</formula>
    </cfRule>
    <cfRule type="expression" dxfId="11" priority="291">
      <formula>($C6=$AE$16)</formula>
    </cfRule>
  </conditionalFormatting>
  <conditionalFormatting sqref="B6:C36">
    <cfRule type="expression" dxfId="24" priority="292">
      <formula>OR($C6=$AE$23,$C6=$AG$23)</formula>
    </cfRule>
    <cfRule type="expression" dxfId="23" priority="293">
      <formula>OR($C6=$AE$34,$C6=$AG$34)</formula>
    </cfRule>
    <cfRule type="expression" dxfId="22" priority="294" stopIfTrue="1">
      <formula>WEEKDAY($C6,2)&gt;5</formula>
    </cfRule>
    <cfRule type="expression" dxfId="10" priority="295">
      <formula>AND($C6&gt;=$AE$24,$C6&lt;=$AE$25)</formula>
    </cfRule>
    <cfRule type="expression" dxfId="9" priority="296">
      <formula>AND($C6&gt;=$AG$24,$C6&lt;=$AG$25)</formula>
    </cfRule>
    <cfRule type="expression" dxfId="8" priority="297">
      <formula>AND($C6&gt;=$AE$26,$C6&lt;=$AE$27)</formula>
    </cfRule>
    <cfRule type="expression" dxfId="7" priority="298">
      <formula>AND($C6&gt;=$AG$26,$C6&lt;=$AG$27)</formula>
    </cfRule>
    <cfRule type="expression" dxfId="6" priority="299">
      <formula>AND($C6&gt;=$AE$28,$C6&lt;=$AE$29)</formula>
    </cfRule>
    <cfRule type="expression" dxfId="5" priority="300">
      <formula>AND($C6&gt;=$AG$28,$C6&lt;=$AG$29)</formula>
    </cfRule>
    <cfRule type="expression" dxfId="4" priority="301">
      <formula>AND($C6&gt;=$AE$30,$C6&lt;=$AE$31)</formula>
    </cfRule>
    <cfRule type="expression" dxfId="3" priority="302">
      <formula>AND($C6&gt;=$AG$30,$C6&lt;=$AG$31)</formula>
    </cfRule>
    <cfRule type="expression" dxfId="2" priority="303">
      <formula>AND($C6&gt;=$AE$32,$C6&lt;=$AE$33)</formula>
    </cfRule>
    <cfRule type="expression" dxfId="1" priority="304">
      <formula>AND($C6&gt;=$AG$32,$C6&lt;=$AG$33)</formula>
    </cfRule>
    <cfRule type="expression" dxfId="0" priority="305">
      <formula>AND($C6&gt;=$AE$34,$C6&lt;=$AG$23)</formula>
    </cfRule>
  </conditionalFormatting>
  <conditionalFormatting sqref="AE30:AF34">
    <cfRule type="expression" dxfId="21" priority="307">
      <formula>MONTH($C$6)&amp;YEAR($C$6)=MONTH($AE30:$AE42)&amp;YEAR($AE30:$AE42)</formula>
    </cfRule>
  </conditionalFormatting>
  <conditionalFormatting sqref="AF30:AG34">
    <cfRule type="expression" dxfId="20" priority="309">
      <formula>MONTH($C$6)&amp;YEAR($C$6)=MONTH($AG30:$AG42)&amp;YEAR($AG30:$AG42)</formula>
    </cfRule>
  </conditionalFormatting>
  <conditionalFormatting sqref="L27:L36">
    <cfRule type="expression" dxfId="19" priority="313">
      <formula>L27:L60&gt;=TIME(9,0,0)</formula>
    </cfRule>
  </conditionalFormatting>
  <dataValidations count="8">
    <dataValidation type="list" allowBlank="1" showInputMessage="1" showErrorMessage="1" sqref="G2">
      <formula1>"2015,2016,2017,2018,2019,2020,2021,2022,2023,2024,2025,2026,2027,2028,2029,2030,2031,2032,2033,2034,2035,2036,2037,2038,2039,2040,2041,2042,2043,2044,2045,2046,2047,2048,2049,2050,2051,2052,2053,2054,2055,2056,2057,2058,2059,2060,2061,2062,2063,2064,2065,"</formula1>
    </dataValidation>
    <dataValidation type="list" allowBlank="1" showInputMessage="1" showErrorMessage="1" sqref="D2">
      <formula1>"Janvier,Février,Mars,Avril,Mai,Juin,Juillet,Août,Septembre,Octobre,Novembre,Décembre"</formula1>
    </dataValidation>
    <dataValidation type="list" allowBlank="1" showInputMessage="1" showErrorMessage="1" sqref="X23">
      <formula1>"30,25"</formula1>
    </dataValidation>
    <dataValidation type="list" allowBlank="1" showInputMessage="1" showErrorMessage="1" sqref="W26:X26">
      <formula1>"Méthode du 1/10e,M.S (Jours Ouvrables),Méthode du 1/25e,M.S (Jours Ouvrés)"</formula1>
    </dataValidation>
    <dataValidation type="list" allowBlank="1" showInputMessage="1" showErrorMessage="1" sqref="W6:W17">
      <formula1>"2,5,2,08333333333333"</formula1>
    </dataValidation>
    <dataValidation type="list" allowBlank="1" showInputMessage="1" showErrorMessage="1" sqref="Y6:Z17">
      <formula1>$Y$22</formula1>
    </dataValidation>
    <dataValidation type="list" allowBlank="1" showInputMessage="1" showErrorMessage="1" sqref="X6:X17">
      <formula1>$Y$21</formula1>
    </dataValidation>
    <dataValidation type="list" allowBlank="1" showInputMessage="1" showErrorMessage="1" sqref="V6:V17">
      <formula1>$Y$19</formula1>
    </dataValidation>
  </dataValidations>
  <hyperlinks>
    <hyperlink ref="R5" r:id="rId1" tooltip="https://www.pajemploi.urssaf.fr"/>
    <hyperlink ref="S5" r:id="rId2" tooltip="https://www.pajemploi.urssaf.fr" display="https://www.pajemploi.urssaf.fr/pajewebinfo/cms/sites/pajewebinfo/accueil/employeur-dassistante-maternelle/je-minforme/le-cout-de-la-garde.html"/>
    <hyperlink ref="R6" r:id="rId3" tooltip="https://www.caf.fr"/>
    <hyperlink ref="S6" r:id="rId4" tooltip="https://www.caf.fr" display="https://www.caf.fr/"/>
    <hyperlink ref="AF35" r:id="rId5"/>
    <hyperlink ref="AF22" r:id="rId6"/>
    <hyperlink ref="R7" r:id="rId7" tooltip="https://vacances-scolaires.education"/>
    <hyperlink ref="S7" r:id="rId8" tooltip="https://vacances-scolaires.education" display="https://vacances-scolaires.education/zone-a/"/>
  </hyperlinks>
  <printOptions horizontalCentered="1"/>
  <pageMargins left="0.25" right="0.25" top="0.75000000000000011" bottom="0.75000000000000011" header="0.30000000000000004" footer="0.30000000000000004"/>
  <pageSetup paperSize="9" scale="92" orientation="portrait" horizontalDpi="0" verticalDpi="0"/>
  <ignoredErrors>
    <ignoredError sqref="M39:O39 J39:K39 S21 V18 X18 N6:N7 N9:N36 X24 S11 L6:L36" emptyCellReference="1"/>
    <ignoredError sqref="S24 S26 S30 S31 S32:S33 G66 C65 AB23 Y37 S22 S23 H81" unlockedFormula="1"/>
    <ignoredError sqref="W18 L39 N8" formula="1" emptyCellReference="1"/>
    <ignoredError sqref="M8 AF6 AF7 AF10:AF11 AF18" formula="1"/>
  </ignoredErrors>
  <legacyDrawing r:id="rId9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'Indemnité de Licenciement'!$CL$56:$CL$61</xm:f>
          </x14:formula1>
          <xm:sqref>X25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Bulletin de Paie</vt:lpstr>
      <vt:lpstr>Indemnité de Licenciement</vt:lpstr>
      <vt:lpstr>Pointage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Cyril</dc:creator>
  <cp:keywords/>
  <dc:description/>
  <cp:lastModifiedBy>Utilisateur de Microsoft Office</cp:lastModifiedBy>
  <cp:lastPrinted>2021-10-13T15:50:28Z</cp:lastPrinted>
  <dcterms:created xsi:type="dcterms:W3CDTF">2007-08-02T11:32:50Z</dcterms:created>
  <dcterms:modified xsi:type="dcterms:W3CDTF">2022-09-06T15:32:35Z</dcterms:modified>
  <cp:category/>
</cp:coreProperties>
</file>