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19AE285-92AA-41A0-AF06-0C1436DE21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cherche Tein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3" i="1" l="1"/>
  <c r="B43" i="1"/>
  <c r="H42" i="1"/>
  <c r="G42" i="1"/>
  <c r="K41" i="1"/>
  <c r="B41" i="1"/>
  <c r="H40" i="1"/>
  <c r="G40" i="1"/>
  <c r="K39" i="1"/>
  <c r="B39" i="1"/>
  <c r="H38" i="1"/>
  <c r="G38" i="1"/>
  <c r="K37" i="1"/>
  <c r="B37" i="1"/>
  <c r="H36" i="1"/>
  <c r="G36" i="1"/>
  <c r="K35" i="1"/>
  <c r="B35" i="1"/>
  <c r="H34" i="1"/>
  <c r="G34" i="1"/>
  <c r="K33" i="1"/>
  <c r="B33" i="1"/>
  <c r="H32" i="1"/>
  <c r="G32" i="1"/>
  <c r="K31" i="1"/>
  <c r="B31" i="1"/>
  <c r="H30" i="1"/>
  <c r="G30" i="1"/>
  <c r="K29" i="1"/>
  <c r="B29" i="1"/>
  <c r="H28" i="1"/>
  <c r="G28" i="1"/>
  <c r="K27" i="1"/>
  <c r="B27" i="1"/>
  <c r="H26" i="1"/>
  <c r="G26" i="1"/>
  <c r="K25" i="1"/>
  <c r="B25" i="1"/>
  <c r="H24" i="1"/>
  <c r="G24" i="1"/>
  <c r="K23" i="1"/>
  <c r="B23" i="1"/>
  <c r="H22" i="1"/>
  <c r="G22" i="1"/>
  <c r="K21" i="1"/>
  <c r="B21" i="1"/>
  <c r="H20" i="1"/>
  <c r="G20" i="1"/>
  <c r="K19" i="1"/>
  <c r="B19" i="1"/>
  <c r="H18" i="1"/>
  <c r="G18" i="1"/>
  <c r="K17" i="1"/>
  <c r="B17" i="1"/>
  <c r="H16" i="1"/>
  <c r="G16" i="1"/>
  <c r="K15" i="1"/>
  <c r="B15" i="1"/>
  <c r="H14" i="1"/>
  <c r="G14" i="1"/>
  <c r="K13" i="1"/>
  <c r="B13" i="1"/>
  <c r="H12" i="1"/>
  <c r="G12" i="1"/>
  <c r="K11" i="1"/>
  <c r="B11" i="1"/>
  <c r="H10" i="1"/>
  <c r="G10" i="1"/>
  <c r="K9" i="1"/>
  <c r="I9" i="1" s="1"/>
  <c r="AA9" i="1" s="1"/>
  <c r="B9" i="1"/>
  <c r="H8" i="1"/>
  <c r="G8" i="1"/>
  <c r="K7" i="1"/>
  <c r="I7" i="1"/>
  <c r="AA7" i="1" s="1"/>
  <c r="B7" i="1"/>
  <c r="H6" i="1"/>
  <c r="G6" i="1"/>
  <c r="K5" i="1"/>
  <c r="I5" i="1"/>
  <c r="AA5" i="1" s="1"/>
  <c r="B5" i="1"/>
  <c r="H4" i="1"/>
  <c r="G4" i="1"/>
  <c r="H3" i="1"/>
  <c r="G3" i="1"/>
  <c r="I43" i="1" l="1"/>
  <c r="AA43" i="1" s="1"/>
  <c r="I41" i="1"/>
  <c r="AA41" i="1" s="1"/>
  <c r="I39" i="1"/>
  <c r="AA39" i="1" s="1"/>
  <c r="I37" i="1"/>
  <c r="AA37" i="1" s="1"/>
  <c r="I35" i="1"/>
  <c r="AA35" i="1" s="1"/>
  <c r="I33" i="1"/>
  <c r="AA33" i="1" s="1"/>
  <c r="I31" i="1"/>
  <c r="AA31" i="1" s="1"/>
  <c r="I29" i="1"/>
  <c r="AA29" i="1" s="1"/>
  <c r="I27" i="1"/>
  <c r="AA27" i="1" s="1"/>
  <c r="D41" i="1"/>
  <c r="X41" i="1" s="1"/>
  <c r="D33" i="1"/>
  <c r="X33" i="1" s="1"/>
  <c r="D25" i="1"/>
  <c r="X25" i="1" s="1"/>
  <c r="D23" i="1"/>
  <c r="X23" i="1" s="1"/>
  <c r="D43" i="1"/>
  <c r="X43" i="1" s="1"/>
  <c r="D35" i="1"/>
  <c r="X35" i="1" s="1"/>
  <c r="D27" i="1"/>
  <c r="X27" i="1" s="1"/>
  <c r="D37" i="1"/>
  <c r="X37" i="1" s="1"/>
  <c r="D29" i="1"/>
  <c r="X29" i="1" s="1"/>
  <c r="D39" i="1"/>
  <c r="X39" i="1" s="1"/>
  <c r="D31" i="1"/>
  <c r="X31" i="1" s="1"/>
  <c r="I25" i="1"/>
  <c r="AA25" i="1" s="1"/>
  <c r="I23" i="1"/>
  <c r="AA23" i="1" s="1"/>
  <c r="I21" i="1"/>
  <c r="AA21" i="1" s="1"/>
  <c r="I19" i="1"/>
  <c r="AA19" i="1" s="1"/>
  <c r="D5" i="1"/>
  <c r="X5" i="1" s="1"/>
  <c r="D7" i="1"/>
  <c r="X7" i="1" s="1"/>
  <c r="D9" i="1"/>
  <c r="X9" i="1" s="1"/>
  <c r="D11" i="1"/>
  <c r="X11" i="1" s="1"/>
  <c r="D13" i="1"/>
  <c r="X13" i="1" s="1"/>
  <c r="D15" i="1"/>
  <c r="X15" i="1" s="1"/>
  <c r="D17" i="1"/>
  <c r="X17" i="1" s="1"/>
  <c r="I17" i="1"/>
  <c r="AA17" i="1" s="1"/>
  <c r="I11" i="1"/>
  <c r="AA11" i="1" s="1"/>
  <c r="I13" i="1"/>
  <c r="AA13" i="1" s="1"/>
  <c r="I15" i="1"/>
  <c r="AA15" i="1" s="1"/>
  <c r="D19" i="1"/>
  <c r="X19" i="1" s="1"/>
  <c r="D21" i="1"/>
  <c r="X21" i="1" s="1"/>
  <c r="AJ11" i="1" l="1"/>
  <c r="Y11" i="1"/>
  <c r="Q11" i="1"/>
  <c r="AJ31" i="1"/>
  <c r="Y31" i="1"/>
  <c r="Q31" i="1"/>
  <c r="AF27" i="1"/>
  <c r="AE27" i="1"/>
  <c r="AD31" i="1"/>
  <c r="U31" i="1"/>
  <c r="V31" i="1"/>
  <c r="AD9" i="1"/>
  <c r="U9" i="1"/>
  <c r="V9" i="1"/>
  <c r="AF13" i="1"/>
  <c r="AE13" i="1"/>
  <c r="Q17" i="1"/>
  <c r="Y17" i="1"/>
  <c r="AJ17" i="1"/>
  <c r="AJ33" i="1"/>
  <c r="Y33" i="1"/>
  <c r="Q33" i="1"/>
  <c r="T9" i="1"/>
  <c r="W9" i="1"/>
  <c r="AJ7" i="1"/>
  <c r="Y7" i="1"/>
  <c r="Q7" i="1"/>
  <c r="Z27" i="1"/>
  <c r="W27" i="1"/>
  <c r="AJ41" i="1"/>
  <c r="Y41" i="1"/>
  <c r="Q41" i="1"/>
  <c r="Z21" i="1"/>
  <c r="AF31" i="1"/>
  <c r="AE31" i="1"/>
  <c r="J31" i="1"/>
  <c r="L31" i="1"/>
  <c r="M31" i="1"/>
  <c r="O31" i="1"/>
  <c r="T31" i="1"/>
  <c r="W31" i="1"/>
  <c r="AF5" i="1"/>
  <c r="AE5" i="1"/>
  <c r="W15" i="1"/>
  <c r="AJ43" i="1"/>
  <c r="Y43" i="1"/>
  <c r="Q43" i="1"/>
  <c r="Z33" i="1"/>
  <c r="AC7" i="1"/>
  <c r="AB7" i="1"/>
  <c r="W39" i="1"/>
  <c r="A5" i="1"/>
  <c r="A7" i="1"/>
  <c r="A39" i="1"/>
  <c r="A15" i="1"/>
  <c r="A41" i="1"/>
  <c r="A37" i="1"/>
  <c r="A21" i="1"/>
  <c r="A11" i="1"/>
  <c r="A33" i="1"/>
  <c r="A29" i="1"/>
  <c r="A31" i="1"/>
  <c r="A23" i="1"/>
  <c r="A35" i="1"/>
  <c r="A25" i="1"/>
  <c r="A17" i="1"/>
  <c r="A9" i="1"/>
  <c r="A27" i="1"/>
  <c r="A13" i="1"/>
  <c r="A19" i="1"/>
  <c r="H9" i="1"/>
  <c r="A43" i="1"/>
  <c r="H23" i="1"/>
  <c r="H33" i="1"/>
  <c r="H29" i="1"/>
  <c r="H21" i="1"/>
  <c r="H13" i="1"/>
  <c r="H39" i="1"/>
  <c r="H41" i="1"/>
  <c r="H15" i="1"/>
  <c r="H5" i="1"/>
  <c r="H27" i="1"/>
  <c r="H25" i="1"/>
  <c r="H7" i="1"/>
  <c r="H31" i="1"/>
  <c r="H43" i="1"/>
  <c r="H11" i="1"/>
  <c r="H37" i="1"/>
  <c r="H17" i="1"/>
  <c r="H35" i="1"/>
  <c r="H19" i="1"/>
  <c r="Z17" i="1"/>
  <c r="AF21" i="1"/>
  <c r="AE21" i="1"/>
  <c r="W11" i="1"/>
  <c r="Z29" i="1"/>
  <c r="Z41" i="1"/>
  <c r="AF37" i="1"/>
  <c r="AE37" i="1"/>
  <c r="AD7" i="1"/>
  <c r="U7" i="1"/>
  <c r="V7" i="1"/>
  <c r="AF17" i="1"/>
  <c r="AE17" i="1"/>
  <c r="AJ35" i="1"/>
  <c r="Y35" i="1"/>
  <c r="Q35" i="1"/>
  <c r="F7" i="1"/>
  <c r="S25" i="1"/>
  <c r="F37" i="1"/>
  <c r="F15" i="1"/>
  <c r="F17" i="1"/>
  <c r="S39" i="1"/>
  <c r="F5" i="1"/>
  <c r="F29" i="1"/>
  <c r="S13" i="1"/>
  <c r="S17" i="1"/>
  <c r="S11" i="1"/>
  <c r="F21" i="1"/>
  <c r="F43" i="1"/>
  <c r="F23" i="1"/>
  <c r="S21" i="1"/>
  <c r="S35" i="1"/>
  <c r="S23" i="1"/>
  <c r="S29" i="1"/>
  <c r="S7" i="1"/>
  <c r="S41" i="1"/>
  <c r="F13" i="1"/>
  <c r="F19" i="1"/>
  <c r="S9" i="1"/>
  <c r="S27" i="1"/>
  <c r="S33" i="1"/>
  <c r="F33" i="1"/>
  <c r="S5" i="1"/>
  <c r="S19" i="1"/>
  <c r="F39" i="1"/>
  <c r="S37" i="1"/>
  <c r="F25" i="1"/>
  <c r="S31" i="1"/>
  <c r="F35" i="1"/>
  <c r="S15" i="1"/>
  <c r="S43" i="1"/>
  <c r="F11" i="1"/>
  <c r="F9" i="1"/>
  <c r="F41" i="1"/>
  <c r="F31" i="1"/>
  <c r="F27" i="1"/>
  <c r="C37" i="1"/>
  <c r="C31" i="1"/>
  <c r="C7" i="1"/>
  <c r="C19" i="1"/>
  <c r="C11" i="1"/>
  <c r="C33" i="1"/>
  <c r="C43" i="1"/>
  <c r="C5" i="1"/>
  <c r="C17" i="1"/>
  <c r="C15" i="1"/>
  <c r="C35" i="1"/>
  <c r="C23" i="1"/>
  <c r="C25" i="1"/>
  <c r="C21" i="1"/>
  <c r="C29" i="1"/>
  <c r="C39" i="1"/>
  <c r="C41" i="1"/>
  <c r="C13" i="1"/>
  <c r="C27" i="1"/>
  <c r="C9" i="1"/>
  <c r="AB21" i="1"/>
  <c r="N21" i="1"/>
  <c r="P21" i="1"/>
  <c r="R21" i="1"/>
  <c r="AC21" i="1"/>
  <c r="Z37" i="1"/>
  <c r="Z31" i="1"/>
  <c r="Z7" i="1"/>
  <c r="AJ15" i="1"/>
  <c r="Y15" i="1"/>
  <c r="Q15" i="1"/>
  <c r="Z9" i="1"/>
  <c r="AF23" i="1"/>
  <c r="AE23" i="1"/>
  <c r="AJ5" i="1"/>
  <c r="Y5" i="1"/>
  <c r="Q5" i="1"/>
  <c r="AB39" i="1"/>
  <c r="AC39" i="1"/>
  <c r="W17" i="1"/>
  <c r="AF11" i="1"/>
  <c r="AE11" i="1"/>
  <c r="V33" i="1"/>
  <c r="U33" i="1"/>
  <c r="AD33" i="1"/>
  <c r="AF15" i="1"/>
  <c r="AE15" i="1"/>
  <c r="Q19" i="1"/>
  <c r="Y19" i="1"/>
  <c r="AJ19" i="1"/>
  <c r="Q21" i="1"/>
  <c r="Y21" i="1"/>
  <c r="AJ21" i="1"/>
  <c r="W37" i="1"/>
  <c r="AC35" i="1"/>
  <c r="AB35" i="1"/>
  <c r="AD35" i="1"/>
  <c r="U35" i="1"/>
  <c r="V35" i="1"/>
  <c r="Z5" i="1"/>
  <c r="AF43" i="1"/>
  <c r="AE43" i="1"/>
  <c r="AC27" i="1"/>
  <c r="N27" i="1"/>
  <c r="P27" i="1"/>
  <c r="R27" i="1"/>
  <c r="AB27" i="1"/>
  <c r="AF29" i="1"/>
  <c r="AE29" i="1"/>
  <c r="AF41" i="1"/>
  <c r="AE41" i="1"/>
  <c r="AC31" i="1"/>
  <c r="N31" i="1"/>
  <c r="P31" i="1"/>
  <c r="R31" i="1"/>
  <c r="AB31" i="1"/>
  <c r="AJ27" i="1"/>
  <c r="Q27" i="1"/>
  <c r="Y27" i="1"/>
  <c r="Z15" i="1"/>
  <c r="Q13" i="1"/>
  <c r="Y13" i="1"/>
  <c r="AJ13" i="1"/>
  <c r="E31" i="1"/>
  <c r="E43" i="1"/>
  <c r="E41" i="1"/>
  <c r="E27" i="1"/>
  <c r="E5" i="1"/>
  <c r="E17" i="1"/>
  <c r="E29" i="1"/>
  <c r="E25" i="1"/>
  <c r="E33" i="1"/>
  <c r="E7" i="1"/>
  <c r="E35" i="1"/>
  <c r="E21" i="1"/>
  <c r="E15" i="1"/>
  <c r="E37" i="1"/>
  <c r="E19" i="1"/>
  <c r="E23" i="1"/>
  <c r="E39" i="1"/>
  <c r="E11" i="1"/>
  <c r="E13" i="1"/>
  <c r="E9" i="1"/>
  <c r="J35" i="1"/>
  <c r="L35" i="1"/>
  <c r="M35" i="1"/>
  <c r="O35" i="1"/>
  <c r="T35" i="1"/>
  <c r="W35" i="1"/>
  <c r="AB11" i="1"/>
  <c r="R11" i="1"/>
  <c r="AC11" i="1"/>
  <c r="Z43" i="1"/>
  <c r="W13" i="1"/>
  <c r="AD19" i="1"/>
  <c r="U19" i="1"/>
  <c r="V19" i="1"/>
  <c r="N7" i="1"/>
  <c r="P7" i="1"/>
  <c r="R7" i="1"/>
  <c r="AE7" i="1"/>
  <c r="AF7" i="1"/>
  <c r="V39" i="1"/>
  <c r="T39" i="1"/>
  <c r="U39" i="1"/>
  <c r="AD39" i="1"/>
  <c r="V29" i="1"/>
  <c r="U29" i="1"/>
  <c r="AD29" i="1"/>
  <c r="AC19" i="1"/>
  <c r="AB19" i="1"/>
  <c r="R39" i="1"/>
  <c r="AE39" i="1"/>
  <c r="AF39" i="1"/>
  <c r="AC5" i="1"/>
  <c r="N5" i="1"/>
  <c r="P5" i="1"/>
  <c r="R5" i="1"/>
  <c r="AB5" i="1"/>
  <c r="AJ9" i="1"/>
  <c r="M9" i="1"/>
  <c r="O9" i="1"/>
  <c r="Q9" i="1"/>
  <c r="Y9" i="1"/>
  <c r="W21" i="1"/>
  <c r="AD17" i="1"/>
  <c r="J17" i="1"/>
  <c r="L17" i="1"/>
  <c r="M17" i="1"/>
  <c r="O17" i="1"/>
  <c r="T17" i="1"/>
  <c r="U17" i="1"/>
  <c r="V17" i="1"/>
  <c r="J7" i="1"/>
  <c r="L7" i="1"/>
  <c r="M7" i="1"/>
  <c r="O7" i="1"/>
  <c r="T7" i="1"/>
  <c r="W7" i="1"/>
  <c r="AD43" i="1"/>
  <c r="U43" i="1"/>
  <c r="V43" i="1"/>
  <c r="R35" i="1"/>
  <c r="AE35" i="1"/>
  <c r="AF35" i="1"/>
  <c r="AD5" i="1"/>
  <c r="U5" i="1"/>
  <c r="V5" i="1"/>
  <c r="W41" i="1"/>
  <c r="V23" i="1"/>
  <c r="U23" i="1"/>
  <c r="AD23" i="1"/>
  <c r="AB13" i="1"/>
  <c r="R13" i="1"/>
  <c r="AC13" i="1"/>
  <c r="N13" i="1"/>
  <c r="P13" i="1"/>
  <c r="Z13" i="1"/>
  <c r="Z25" i="1"/>
  <c r="Q25" i="1"/>
  <c r="Y25" i="1"/>
  <c r="AJ25" i="1"/>
  <c r="G7" i="1"/>
  <c r="G11" i="1"/>
  <c r="G17" i="1"/>
  <c r="G31" i="1"/>
  <c r="G9" i="1"/>
  <c r="G15" i="1"/>
  <c r="G29" i="1"/>
  <c r="G5" i="1"/>
  <c r="G23" i="1"/>
  <c r="G27" i="1"/>
  <c r="G13" i="1"/>
  <c r="G25" i="1"/>
  <c r="G41" i="1"/>
  <c r="G37" i="1"/>
  <c r="G35" i="1"/>
  <c r="G39" i="1"/>
  <c r="G33" i="1"/>
  <c r="G19" i="1"/>
  <c r="G43" i="1"/>
  <c r="G21" i="1"/>
  <c r="AF33" i="1"/>
  <c r="AE33" i="1"/>
  <c r="AB29" i="1"/>
  <c r="N29" i="1"/>
  <c r="P29" i="1"/>
  <c r="R29" i="1"/>
  <c r="AC29" i="1"/>
  <c r="AB23" i="1"/>
  <c r="R23" i="1"/>
  <c r="AC23" i="1"/>
  <c r="AB41" i="1"/>
  <c r="N41" i="1"/>
  <c r="P41" i="1"/>
  <c r="R41" i="1"/>
  <c r="AC41" i="1"/>
  <c r="Q23" i="1"/>
  <c r="Y23" i="1"/>
  <c r="AJ23" i="1"/>
  <c r="AC15" i="1"/>
  <c r="N15" i="1"/>
  <c r="P15" i="1"/>
  <c r="R15" i="1"/>
  <c r="AB15" i="1"/>
  <c r="AC25" i="1"/>
  <c r="AB25" i="1"/>
  <c r="AC43" i="1"/>
  <c r="N43" i="1"/>
  <c r="P43" i="1"/>
  <c r="R43" i="1"/>
  <c r="AB43" i="1"/>
  <c r="N35" i="1"/>
  <c r="P35" i="1"/>
  <c r="Z35" i="1"/>
  <c r="N11" i="1"/>
  <c r="P11" i="1"/>
  <c r="Z11" i="1"/>
  <c r="N23" i="1"/>
  <c r="P23" i="1"/>
  <c r="Z23" i="1"/>
  <c r="AC37" i="1"/>
  <c r="N37" i="1"/>
  <c r="P37" i="1"/>
  <c r="R37" i="1"/>
  <c r="AB37" i="1"/>
  <c r="AD13" i="1"/>
  <c r="J13" i="1"/>
  <c r="L13" i="1"/>
  <c r="M13" i="1"/>
  <c r="O13" i="1"/>
  <c r="T13" i="1"/>
  <c r="U13" i="1"/>
  <c r="V13" i="1"/>
  <c r="T29" i="1"/>
  <c r="W29" i="1"/>
  <c r="J19" i="1"/>
  <c r="L19" i="1"/>
  <c r="M19" i="1"/>
  <c r="O19" i="1"/>
  <c r="T19" i="1"/>
  <c r="W19" i="1"/>
  <c r="AB17" i="1"/>
  <c r="N17" i="1"/>
  <c r="P17" i="1"/>
  <c r="R17" i="1"/>
  <c r="AC17" i="1"/>
  <c r="Q37" i="1"/>
  <c r="Y37" i="1"/>
  <c r="AJ37" i="1"/>
  <c r="AF9" i="1"/>
  <c r="AE9" i="1"/>
  <c r="N39" i="1"/>
  <c r="P39" i="1"/>
  <c r="Z39" i="1"/>
  <c r="AB9" i="1"/>
  <c r="N9" i="1"/>
  <c r="P9" i="1"/>
  <c r="R9" i="1"/>
  <c r="AC9" i="1"/>
  <c r="V37" i="1"/>
  <c r="J37" i="1"/>
  <c r="L37" i="1"/>
  <c r="M37" i="1"/>
  <c r="O37" i="1"/>
  <c r="T37" i="1"/>
  <c r="U37" i="1"/>
  <c r="AD37" i="1"/>
  <c r="AB33" i="1"/>
  <c r="N33" i="1"/>
  <c r="P33" i="1"/>
  <c r="R33" i="1"/>
  <c r="AC33" i="1"/>
  <c r="R19" i="1"/>
  <c r="AE19" i="1"/>
  <c r="AF19" i="1"/>
  <c r="N25" i="1"/>
  <c r="P25" i="1"/>
  <c r="R25" i="1"/>
  <c r="AE25" i="1"/>
  <c r="AF25" i="1"/>
  <c r="J23" i="1"/>
  <c r="L23" i="1"/>
  <c r="M23" i="1"/>
  <c r="O23" i="1"/>
  <c r="T23" i="1"/>
  <c r="W23" i="1"/>
  <c r="V27" i="1"/>
  <c r="J27" i="1"/>
  <c r="L27" i="1"/>
  <c r="M27" i="1"/>
  <c r="O27" i="1"/>
  <c r="T27" i="1"/>
  <c r="U27" i="1"/>
  <c r="AD27" i="1"/>
  <c r="V21" i="1"/>
  <c r="J21" i="1"/>
  <c r="L21" i="1"/>
  <c r="M21" i="1"/>
  <c r="O21" i="1"/>
  <c r="T21" i="1"/>
  <c r="U21" i="1"/>
  <c r="AD21" i="1"/>
  <c r="V15" i="1"/>
  <c r="J15" i="1"/>
  <c r="L15" i="1"/>
  <c r="M15" i="1"/>
  <c r="O15" i="1"/>
  <c r="T15" i="1"/>
  <c r="U15" i="1"/>
  <c r="AD15" i="1"/>
  <c r="V11" i="1"/>
  <c r="J11" i="1"/>
  <c r="L11" i="1"/>
  <c r="M11" i="1"/>
  <c r="O11" i="1"/>
  <c r="T11" i="1"/>
  <c r="U11" i="1"/>
  <c r="AD11" i="1"/>
  <c r="J43" i="1"/>
  <c r="L43" i="1"/>
  <c r="M43" i="1"/>
  <c r="O43" i="1"/>
  <c r="T43" i="1"/>
  <c r="W43" i="1"/>
  <c r="N19" i="1"/>
  <c r="P19" i="1"/>
  <c r="Z19" i="1"/>
  <c r="J5" i="1"/>
  <c r="L5" i="1"/>
  <c r="M5" i="1"/>
  <c r="O5" i="1"/>
  <c r="T5" i="1"/>
  <c r="W5" i="1"/>
  <c r="AD41" i="1"/>
  <c r="J41" i="1"/>
  <c r="L41" i="1"/>
  <c r="M41" i="1"/>
  <c r="O41" i="1"/>
  <c r="T41" i="1"/>
  <c r="U41" i="1"/>
  <c r="V41" i="1"/>
  <c r="W25" i="1"/>
  <c r="J33" i="1"/>
  <c r="L33" i="1"/>
  <c r="M33" i="1"/>
  <c r="O33" i="1"/>
  <c r="T33" i="1"/>
  <c r="W33" i="1"/>
  <c r="AD25" i="1"/>
  <c r="J25" i="1"/>
  <c r="L25" i="1"/>
  <c r="M25" i="1"/>
  <c r="O25" i="1"/>
  <c r="T25" i="1"/>
  <c r="U25" i="1"/>
  <c r="V25" i="1"/>
  <c r="J29" i="1"/>
  <c r="L29" i="1"/>
  <c r="M29" i="1"/>
  <c r="O29" i="1"/>
  <c r="Q29" i="1"/>
  <c r="Y29" i="1"/>
  <c r="AJ29" i="1"/>
  <c r="J9" i="1"/>
  <c r="L9" i="1"/>
  <c r="J39" i="1"/>
  <c r="L39" i="1"/>
  <c r="M39" i="1"/>
  <c r="O39" i="1"/>
  <c r="Q39" i="1"/>
  <c r="Y39" i="1"/>
  <c r="AJ39" i="1"/>
</calcChain>
</file>

<file path=xl/sharedStrings.xml><?xml version="1.0" encoding="utf-8"?>
<sst xmlns="http://schemas.openxmlformats.org/spreadsheetml/2006/main" count="57" uniqueCount="37">
  <si>
    <t>Teinte / essai</t>
  </si>
  <si>
    <t>g/m²</t>
  </si>
  <si>
    <t>CMYK</t>
  </si>
  <si>
    <t>L</t>
  </si>
  <si>
    <t>a</t>
  </si>
  <si>
    <t>b</t>
  </si>
  <si>
    <t>C</t>
  </si>
  <si>
    <t>h (°)</t>
  </si>
  <si>
    <t>L'</t>
  </si>
  <si>
    <t>C1</t>
  </si>
  <si>
    <t>C2</t>
  </si>
  <si>
    <t>CC</t>
  </si>
  <si>
    <t>G</t>
  </si>
  <si>
    <t>a'1</t>
  </si>
  <si>
    <t>a'2</t>
  </si>
  <si>
    <t>C'1</t>
  </si>
  <si>
    <t>C'2</t>
  </si>
  <si>
    <t>CC'</t>
  </si>
  <si>
    <t>h'1</t>
  </si>
  <si>
    <t>h'2</t>
  </si>
  <si>
    <t>H'</t>
  </si>
  <si>
    <t>T</t>
  </si>
  <si>
    <t>Dh'</t>
  </si>
  <si>
    <t>DL'</t>
  </si>
  <si>
    <t>DC'</t>
  </si>
  <si>
    <t>DH'2</t>
  </si>
  <si>
    <t>SL</t>
  </si>
  <si>
    <t>SC</t>
  </si>
  <si>
    <t>SH</t>
  </si>
  <si>
    <r>
      <t>D</t>
    </r>
    <r>
      <rPr>
        <sz val="11"/>
        <color theme="1"/>
        <rFont val="Arial"/>
        <family val="2"/>
      </rPr>
      <t>θ</t>
    </r>
  </si>
  <si>
    <t>RC</t>
  </si>
  <si>
    <t>RT</t>
  </si>
  <si>
    <t>KL</t>
  </si>
  <si>
    <t>KC</t>
  </si>
  <si>
    <t>KH</t>
  </si>
  <si>
    <t>ΔE00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</si>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</sst>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.5"/>
      <color theme="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C00000"/>
        <bgColor indexed="64"/>
      </patternFill>
    </fill>
    <fill>
      <patternFill patternType="solid">
        <fgColor theme="2" tint="-0.89999084444715716"/>
        <bgColor indexed="64"/>
      </patternFill>
    </fill>
  </fills>
  <borders count="2">
    <border>
      <left/>
      <right/>
      <top/>
      <bottom/>
      <diagonal/>
    </border>
    <border>
      <left/>
      <right style="medium">
        <color theme="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3" borderId="0" xfId="0" applyNumberFormat="1" applyFont="1" applyFill="1" applyAlignment="1">
      <alignment horizontal="center" vertical="center"/>
    </xf>
    <xf numFmtId="2" fontId="1" fillId="4" borderId="0" xfId="0" applyNumberFormat="1" applyFont="1" applyFill="1" applyAlignment="1" applyProtection="1">
      <alignment horizontal="center" vertical="center"/>
      <protection locked="0"/>
    </xf>
    <xf numFmtId="2" fontId="1" fillId="5" borderId="0" xfId="0" applyNumberFormat="1" applyFont="1" applyFill="1" applyAlignment="1" applyProtection="1">
      <alignment horizontal="center" vertical="center"/>
      <protection locked="0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6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1" fillId="0" borderId="0" xfId="0" applyNumberFormat="1" applyFont="1" applyAlignment="1" applyProtection="1">
      <alignment horizontal="center" vertical="center"/>
      <protection locked="0"/>
    </xf>
    <xf numFmtId="0" fontId="1" fillId="7" borderId="1" xfId="0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</cellXfs>
  <cellStyles count="1">
    <cellStyle name="Normal" xfId="0" builtinId="0"/>
  </cellStyles>
  <dxfs count="38"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numFmt numFmtId="2" formatCode="0.00"/>
      <fill>
        <patternFill patternType="solid">
          <fgColor indexed="64"/>
          <bgColor theme="2" tint="-0.8999908444471571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171450</xdr:colOff>
      <xdr:row>0</xdr:row>
      <xdr:rowOff>180975</xdr:rowOff>
    </xdr:from>
    <xdr:to>
      <xdr:col>38</xdr:col>
      <xdr:colOff>577103</xdr:colOff>
      <xdr:row>2</xdr:row>
      <xdr:rowOff>1245</xdr:rowOff>
    </xdr:to>
    <xdr:sp macro="[0]!Dem_Sav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381098-C6C8-4BA3-AA15-DF452CE7F6E6}"/>
            </a:ext>
          </a:extLst>
        </xdr:cNvPr>
        <xdr:cNvSpPr/>
      </xdr:nvSpPr>
      <xdr:spPr>
        <a:xfrm>
          <a:off x="5657850" y="180975"/>
          <a:ext cx="1624853" cy="35367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Enregistrement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43F3C4-EA0A-482E-BF6D-E5A305AF63B5}" name="Tab_Rch1" displayName="Tab_Rch1" ref="A2:AJ43" totalsRowShown="0" headerRowDxfId="37" dataDxfId="36">
  <autoFilter ref="A2:AJ43" xr:uid="{EC43F3C4-EA0A-482E-BF6D-E5A305AF63B5}"/>
  <tableColumns count="36">
    <tableColumn id="1" xr3:uid="{FBC555FB-8563-4231-B298-A8EEA9266EAC}" name="Teinte / essai" dataDxfId="35"/>
    <tableColumn id="9" xr3:uid="{E54E217D-B0C1-456A-9EA3-F598DD491664}" name="g/m²" dataDxfId="34">
      <calculatedColumnFormula>IF(AND(0.7&lt;B2,B2&lt;1.9),"Ok","Attention")</calculatedColumnFormula>
    </tableColumn>
    <tableColumn id="8" xr3:uid="{B04AFCDC-5450-42B0-88C7-CEE26568C021}" name="CMYK" dataDxfId="33"/>
    <tableColumn id="2" xr3:uid="{C3A60FEE-5587-411B-8820-F6AAACCDEDF1}" name="L" dataDxfId="32">
      <calculatedColumnFormula>D2-$K$5</calculatedColumnFormula>
    </tableColumn>
    <tableColumn id="3" xr3:uid="{823229C9-8E11-4F40-9AAD-6A80668BD077}" name="a" dataDxfId="31"/>
    <tableColumn id="4" xr3:uid="{35566061-31BD-4C37-AFFA-B9DEB99BF80F}" name="b" dataDxfId="30"/>
    <tableColumn id="5" xr3:uid="{FCB42772-564C-4C1C-B123-F1E95056A06F}" name="C" dataDxfId="29"/>
    <tableColumn id="6" xr3:uid="{AA5D7116-A028-4D65-A3D6-82D2A54D9E76}" name="h (°)" dataDxfId="28"/>
    <tableColumn id="40" xr3:uid="{CC2BA7A7-A8F9-4B4F-842C-0B9345BF67D4}" name="L'" dataDxfId="27">
      <calculatedColumnFormula>($K$9+D2)/2</calculatedColumnFormula>
    </tableColumn>
    <tableColumn id="41" xr3:uid="{3F1A0D0B-DA75-472E-96B0-CE3C88969032}" name="C1" dataDxfId="26">
      <calculatedColumnFormula>SQRT(($L$9^2)+($M$9^2))</calculatedColumnFormula>
    </tableColumn>
    <tableColumn id="34" xr3:uid="{C9E8047E-23B3-4BF4-9AC5-BEB25E9BE9D4}" name="C2" dataDxfId="25">
      <calculatedColumnFormula>SQRT((E2^2)+(F2^2))</calculatedColumnFormula>
    </tableColumn>
    <tableColumn id="35" xr3:uid="{696A7982-14D0-4B3E-B1CD-49EE67ECC440}" name="CC" dataDxfId="24">
      <calculatedColumnFormula>(Tab_Rch1[[#This Row],[C1]]+Tab_Rch1[[#This Row],[C2]])/2</calculatedColumnFormula>
    </tableColumn>
    <tableColumn id="36" xr3:uid="{73FDC3E2-BFC5-422E-9239-F8ED7A720D4A}" name="G" dataDxfId="23">
      <calculatedColumnFormula>0.5*(1-SQRT((Tab_Rch1[[#This Row],[CC]]^7)/((Tab_Rch1[[#This Row],[CC]]^7)+(25^7))))</calculatedColumnFormula>
    </tableColumn>
    <tableColumn id="37" xr3:uid="{D0A4899C-C6A6-4EF9-939A-8616F863820D}" name="a'1" dataDxfId="22">
      <calculatedColumnFormula>$L$9*(1+Tab_Rch1[[#This Row],[G]])</calculatedColumnFormula>
    </tableColumn>
    <tableColumn id="38" xr3:uid="{680C5D0B-94A8-4BBE-96E9-81DE6B009820}" name="a'2" dataDxfId="21">
      <calculatedColumnFormula>E2*(1+Tab_Rch1[[#This Row],[G]])</calculatedColumnFormula>
    </tableColumn>
    <tableColumn id="39" xr3:uid="{8A5B3449-C019-41EF-AC9C-A31302D5CF79}" name="C'1" dataDxfId="20">
      <calculatedColumnFormula>SQRT((Tab_Rch1[[#This Row],[a''1]]^2)+($M$9^2))</calculatedColumnFormula>
    </tableColumn>
    <tableColumn id="28" xr3:uid="{2274143C-B977-410B-9595-43208479BC46}" name="C'2" dataDxfId="19">
      <calculatedColumnFormula>SQRT((Tab_Rch1[[#This Row],[a''2]]^2)+(F2^2))</calculatedColumnFormula>
    </tableColumn>
    <tableColumn id="29" xr3:uid="{64ED2DF6-306F-4A83-9959-7A435068D6EA}" name="CC'" dataDxfId="18">
      <calculatedColumnFormula>(Tab_Rch1[[#This Row],[C''1]]+Tab_Rch1[[#This Row],[C''2]])/2</calculatedColumnFormula>
    </tableColumn>
    <tableColumn id="30" xr3:uid="{C8D92B34-8C55-48E5-AEF3-664F8679E396}" name="h'1" dataDxfId="17">
      <calculatedColumnFormula>IF($M$9&gt;=0,DEGREES(ATAN2(Tab_Rch1[[#This Row],[a''1]],$M$9)),360+DEGREES(ATAN2(Tab_Rch1[[#This Row],[a''1]],$M$9)))</calculatedColumnFormula>
    </tableColumn>
    <tableColumn id="31" xr3:uid="{C698C428-06A7-46F4-BE24-93A5D2C15D4B}" name="h'2" dataDxfId="16">
      <calculatedColumnFormula>IF(F2&gt;=0,DEGREES(ATAN2(Tab_Rch1[[#This Row],[a''2]],F2)),360+DEGREES(ATAN2(Tab_Rch1[[#This Row],[a''2]],F2)))</calculatedColumnFormula>
    </tableColumn>
    <tableColumn id="32" xr3:uid="{16CF0CC5-8C99-4021-B019-49FA0E201566}" name="H'" dataDxfId="15">
      <calculatedColumnFormula>IF(ABS(Tab_Rch1[[#This Row],[h''2]]-Tab_Rch1[[#This Row],[h''1]])&lt;=180,(Tab_Rch1[[#This Row],[h''1]]+Tab_Rch1[[#This Row],[h''2]])/2,(Tab_Rch1[[#This Row],[h''1]]+Tab_Rch1[[#This Row],[h''2]]-360)/2)</calculatedColumnFormula>
    </tableColumn>
    <tableColumn id="33" xr3:uid="{A94372EF-7917-4EB2-8452-8B2B66BBFDD6}" name="T" dataDxfId="14">
      <calculatedColumnFormula>1-0.17*COS(RADIANS(Tab_Rch1[[#This Row],[H'']]-30))+0.24*COS(RADIANS(2*Tab_Rch1[[#This Row],[H'']]))+0.32*COS(RADIANS(3*Tab_Rch1[[#This Row],[H'']]+6))-0.2*COS(RADIANS(4*Tab_Rch1[[#This Row],[H'']]-63))</calculatedColumnFormula>
    </tableColumn>
    <tableColumn id="22" xr3:uid="{4268FAD2-CE92-4A0E-B823-5FA3F83ACD88}" name="Dh'" dataDxfId="13">
      <calculatedColumnFormula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calculatedColumnFormula>
    </tableColumn>
    <tableColumn id="23" xr3:uid="{5A314CA8-891E-4630-A41C-6A101D834248}" name="DL'" dataDxfId="12">
      <calculatedColumnFormula>ABS(Tab_Rch1[[#This Row],[L]]-$B$2)</calculatedColumnFormula>
    </tableColumn>
    <tableColumn id="24" xr3:uid="{7D0066D2-51EE-42E8-94F2-5BF38BF7E827}" name="DC'" dataDxfId="11">
      <calculatedColumnFormula>ABS(Tab_Rch1[[#This Row],[C''2]]-Tab_Rch1[[#This Row],[C''1]])</calculatedColumnFormula>
    </tableColumn>
    <tableColumn id="25" xr3:uid="{CDF2DF73-6CF4-4F57-A567-A30FF7050E35}" name="DH'2" dataDxfId="10">
      <calculatedColumnFormula>2*SQRT(Tab_Rch1[[#This Row],[C''1]]*Tab_Rch1[[#This Row],[C''2]])*SIN(RADIANS(Tab_Rch1[[#This Row],[Dh'']]/2))</calculatedColumnFormula>
    </tableColumn>
    <tableColumn id="26" xr3:uid="{9F616B45-4E8A-4BBD-811C-292BE21CF9EF}" name="SL" dataDxfId="9">
      <calculatedColumnFormula>1+((0.015*((Tab_Rch1[[#This Row],[L'']]-50)^2))/SQRT(20+((Tab_Rch1[[#This Row],[L'']]-50)^2)))</calculatedColumnFormula>
    </tableColumn>
    <tableColumn id="27" xr3:uid="{5C8AC383-5A82-4192-B8C2-967B51DE8011}" name="SC" dataDxfId="8">
      <calculatedColumnFormula>1+(0.045*Tab_Rch1[[#This Row],[CC'']])</calculatedColumnFormula>
    </tableColumn>
    <tableColumn id="16" xr3:uid="{63A741EF-ADC8-4962-836F-59EECC3DA2D7}" name="SH" dataDxfId="7">
      <calculatedColumnFormula>1+(0.015*Tab_Rch1[[#This Row],[CC'']]*Tab_Rch1[[#This Row],[T]])</calculatedColumnFormula>
    </tableColumn>
    <tableColumn id="17" xr3:uid="{A4DDE003-08B2-476C-9D8A-421AAFC641FF}" name="Dθ" dataDxfId="6">
      <calculatedColumnFormula>30*EXP(-(((Tab_Rch1[[#This Row],[H'']]-275)/25)^2))</calculatedColumnFormula>
    </tableColumn>
    <tableColumn id="18" xr3:uid="{C9212640-1077-46E8-BE31-5C78A20191F3}" name="RC" dataDxfId="5">
      <calculatedColumnFormula>2*SQRT((Tab_Rch1[[#This Row],[CC'']]^7)/(((Tab_Rch1[[#This Row],[CC'']]^7)+(25^7))))</calculatedColumnFormula>
    </tableColumn>
    <tableColumn id="19" xr3:uid="{C85CB09A-8671-40DD-8F0D-287AEEFA4E55}" name="RT" dataDxfId="4">
      <calculatedColumnFormula>-Tab_Rch1[[#This Row],[RC]]*SIN(RADIANS(2*Tab_Rch1[[#This Row],[Dθ]]))</calculatedColumnFormula>
    </tableColumn>
    <tableColumn id="20" xr3:uid="{4015E49E-6AB7-4BF4-AB7C-F24B4657F5AA}" name="KL" dataDxfId="3"/>
    <tableColumn id="21" xr3:uid="{D9223254-7242-4F5E-83D3-30EEB28CEA05}" name="KC" dataDxfId="2"/>
    <tableColumn id="14" xr3:uid="{58C857E7-574C-4F6E-98F5-4ACD81E41DED}" name="KH" dataDxfId="1"/>
    <tableColumn id="7" xr3:uid="{F91442C0-CD33-493D-BFE5-A4841FCAF90D}" name="ΔE00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J43"/>
  <sheetViews>
    <sheetView tabSelected="1" workbookViewId="0">
      <selection activeCell="AM9" sqref="AM9"/>
    </sheetView>
  </sheetViews>
  <sheetFormatPr baseColWidth="10" defaultColWidth="9.140625" defaultRowHeight="15" x14ac:dyDescent="0.25"/>
  <cols>
    <col min="1" max="1" width="13" bestFit="1" customWidth="1"/>
    <col min="9" max="35" width="0" hidden="1" customWidth="1"/>
  </cols>
  <sheetData>
    <row r="2" spans="1:36" ht="27" x14ac:dyDescent="0.25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  <c r="AA2" s="3" t="s">
        <v>26</v>
      </c>
      <c r="AB2" s="3" t="s">
        <v>27</v>
      </c>
      <c r="AC2" s="3" t="s">
        <v>28</v>
      </c>
      <c r="AD2" s="3" t="s">
        <v>29</v>
      </c>
      <c r="AE2" s="3" t="s">
        <v>30</v>
      </c>
      <c r="AF2" s="3" t="s">
        <v>31</v>
      </c>
      <c r="AG2" s="3" t="s">
        <v>32</v>
      </c>
      <c r="AH2" s="3" t="s">
        <v>33</v>
      </c>
      <c r="AI2" s="3" t="s">
        <v>34</v>
      </c>
      <c r="AJ2" s="2" t="s">
        <v>35</v>
      </c>
    </row>
    <row r="3" spans="1:36" x14ac:dyDescent="0.25">
      <c r="A3" s="4">
        <v>7407</v>
      </c>
      <c r="B3" s="5"/>
      <c r="C3" s="6">
        <v>0.87</v>
      </c>
      <c r="D3" s="7">
        <v>68.3</v>
      </c>
      <c r="E3" s="7">
        <v>10.35</v>
      </c>
      <c r="F3" s="7">
        <v>45.17</v>
      </c>
      <c r="G3" s="8">
        <f>SQRT((E3*E3)+(F3*F3))</f>
        <v>46.340602067733222</v>
      </c>
      <c r="H3" s="8">
        <f>IF(AND(E3&lt;0,F3&gt;0),180+DEGREES(ATAN(F3/E3)),IF(AND(E3&lt;0,F3&lt;0),-180+DEGREES(ATAN(F3/E3)),IF(AND(E3=0,F3&lt;0),-90,IF(AND(E3=0,F3&gt;0),90,IF(AND(E3&lt;0,F3=0),180,IF(AND(E3&gt;0,F3=0),0,DEGREES(ATAN(F3/E3))))))))</f>
        <v>77.094348860280761</v>
      </c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10" t="s">
        <v>36</v>
      </c>
    </row>
    <row r="4" spans="1:36" x14ac:dyDescent="0.25">
      <c r="A4" s="11">
        <v>1</v>
      </c>
      <c r="B4" s="12"/>
      <c r="C4" s="12">
        <v>0.8</v>
      </c>
      <c r="D4" s="12">
        <v>70.88</v>
      </c>
      <c r="E4" s="12">
        <v>11.96</v>
      </c>
      <c r="F4" s="12">
        <v>45.34</v>
      </c>
      <c r="G4" s="8">
        <f>SQRT((E4*E4)+(F4*F4))</f>
        <v>46.890907434171076</v>
      </c>
      <c r="H4" s="8">
        <f>IF(AND(E4&lt;0,F4&gt;0),180+DEGREES(ATAN(F4/E4)),IF(AND(E4&lt;0,F4&lt;0),-180+DEGREES(ATAN(F4/E4)),IF(AND(E4=0,F4&lt;0),-90,IF(AND(E4=0,F4&gt;0),90,IF(AND(E4&lt;0,F4=0),180,IF(AND(E4&gt;0,F4=0),0,DEGREES(ATAN(F4/E4))))))))</f>
        <v>75.222853031586411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8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10" t="s">
        <v>36</v>
      </c>
    </row>
    <row r="5" spans="1:36" x14ac:dyDescent="0.25">
      <c r="A5" s="13" t="str">
        <f ca="1">"Δ =&gt; "&amp;$H$9</f>
        <v>Δ =&gt; 7407</v>
      </c>
      <c r="B5" s="14" t="str">
        <f>IF(B4="","",IF(AND(0.7&lt;B4,B4&lt;1.9),"Ok","Attention"))</f>
        <v/>
      </c>
      <c r="C5" s="14">
        <f ca="1">C4-$J$9</f>
        <v>-6.9999999999999951E-2</v>
      </c>
      <c r="D5" s="14">
        <f>D4-$K$9</f>
        <v>23.595481391897408</v>
      </c>
      <c r="E5" s="14">
        <f ca="1">E4-$L$9</f>
        <v>1.6100000000000012</v>
      </c>
      <c r="F5" s="14">
        <f ca="1">F4-$M$9</f>
        <v>0.17000000000000171</v>
      </c>
      <c r="G5" s="14">
        <f ca="1">G4-$N$9</f>
        <v>0.5503053664378541</v>
      </c>
      <c r="H5" s="14">
        <f ca="1">H4-$O$9</f>
        <v>-1.8714958286943499</v>
      </c>
      <c r="I5" s="15">
        <f>($K$9+D4)/2</f>
        <v>59.082259304051291</v>
      </c>
      <c r="J5" s="15">
        <f ca="1">SQRT(($L$9^2)+($M$9^2))</f>
        <v>46.340602067733222</v>
      </c>
      <c r="K5" s="15">
        <f>SQRT((E4^2)+(F4^2))</f>
        <v>46.890907434171076</v>
      </c>
      <c r="L5" s="15">
        <f ca="1">(Tab_Rch1[[#This Row],[C1]]+Tab_Rch1[[#This Row],[C2]])/2</f>
        <v>46.615754750952149</v>
      </c>
      <c r="M5" s="15">
        <f ca="1">0.5*(1-SQRT((Tab_Rch1[[#This Row],[CC]]^7)/((Tab_Rch1[[#This Row],[CC]]^7)+(25^7))))</f>
        <v>3.1597952185664635E-3</v>
      </c>
      <c r="N5" s="15">
        <f ca="1">$L$9*(1+Tab_Rch1[[#This Row],[G]])</f>
        <v>10.382703880512162</v>
      </c>
      <c r="O5" s="15">
        <f ca="1">E4*(1+Tab_Rch1[[#This Row],[G]])</f>
        <v>11.997791150814056</v>
      </c>
      <c r="P5" s="15">
        <f ca="1">SQRT((Tab_Rch1[[#This Row],[a''1]]^2)+($M$9^2))</f>
        <v>46.347917319663921</v>
      </c>
      <c r="Q5" s="15">
        <f ca="1">SQRT((Tab_Rch1[[#This Row],[a''2]]^2)+(F4^2))</f>
        <v>46.900560684266374</v>
      </c>
      <c r="R5" s="15">
        <f ca="1">(Tab_Rch1[[#This Row],[C''1]]+Tab_Rch1[[#This Row],[C''2]])/2</f>
        <v>46.624239001965151</v>
      </c>
      <c r="S5" s="15">
        <f ca="1">IF($M$9&gt;=0,DEGREES(ATAN2(Tab_Rch1[[#This Row],[a''1]],$M$9)),360+DEGREES(ATAN2(Tab_Rch1[[#This Row],[a''1]],$M$9)))</f>
        <v>77.054941245508502</v>
      </c>
      <c r="T5" s="15">
        <f ca="1">IF(F4&gt;=0,DEGREES(ATAN2(Tab_Rch1[[#This Row],[a''2]],F4)),360+DEGREES(ATAN2(Tab_Rch1[[#This Row],[a''2]],F4)))</f>
        <v>75.178212676812933</v>
      </c>
      <c r="U5" s="15">
        <f ca="1">IF(ABS(Tab_Rch1[[#This Row],[h''2]]-Tab_Rch1[[#This Row],[h''1]])&lt;=180,(Tab_Rch1[[#This Row],[h''1]]+Tab_Rch1[[#This Row],[h''2]])/2,(Tab_Rch1[[#This Row],[h''1]]+Tab_Rch1[[#This Row],[h''2]]-360)/2)</f>
        <v>76.116576961160717</v>
      </c>
      <c r="V5" s="15">
        <f ca="1">1-0.17*COS(RADIANS(Tab_Rch1[[#This Row],[H'']]-30))+0.24*COS(RADIANS(2*Tab_Rch1[[#This Row],[H'']]))+0.32*COS(RADIANS(3*Tab_Rch1[[#This Row],[H'']]+6))-0.2*COS(RADIANS(4*Tab_Rch1[[#This Row],[H'']]-63))</f>
        <v>0.57882049633770238</v>
      </c>
      <c r="W5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-1.8767285686955688</v>
      </c>
      <c r="X5" s="14">
        <f>ABS(Tab_Rch1[[#This Row],[L]]-0)</f>
        <v>23.595481391897408</v>
      </c>
      <c r="Y5" s="15">
        <f ca="1">ABS(Tab_Rch1[[#This Row],[C''2]]-Tab_Rch1[[#This Row],[C''1]])</f>
        <v>0.55264336460245289</v>
      </c>
      <c r="Z5" s="15">
        <f ca="1">2*SQRT(Tab_Rch1[[#This Row],[C''1]]*Tab_Rch1[[#This Row],[C''2]])*SIN(RADIANS(Tab_Rch1[[#This Row],[Dh'']]/2))</f>
        <v>-1.5270861803618325</v>
      </c>
      <c r="AA5" s="15">
        <f>1+((0.015*((Tab_Rch1[[#This Row],[L'']]-50)^2))/SQRT(20+((Tab_Rch1[[#This Row],[L'']]-50)^2)))</f>
        <v>1.1222204119714607</v>
      </c>
      <c r="AB5" s="15">
        <f ca="1">1+(0.045*Tab_Rch1[[#This Row],[CC'']])</f>
        <v>3.0980907550884318</v>
      </c>
      <c r="AC5" s="15">
        <f ca="1">1+(0.015*Tab_Rch1[[#This Row],[CC'']]*Tab_Rch1[[#This Row],[T]])</f>
        <v>1.404805977407277</v>
      </c>
      <c r="AD5" s="15">
        <f ca="1">30*EXP(-(((Tab_Rch1[[#This Row],[H'']]-275)/25)^2))</f>
        <v>9.8120316994018774E-27</v>
      </c>
      <c r="AE5" s="15">
        <f ca="1">2*SQRT((Tab_Rch1[[#This Row],[CC'']]^7)/(((Tab_Rch1[[#This Row],[CC'']]^7)+(25^7))))</f>
        <v>1.9873767580548825</v>
      </c>
      <c r="AF5" s="15">
        <f ca="1">-Tab_Rch1[[#This Row],[RC]]*SIN(RADIANS(2*Tab_Rch1[[#This Row],[Dθ]]))</f>
        <v>-6.8068552044872938E-28</v>
      </c>
      <c r="AG5" s="15">
        <v>1</v>
      </c>
      <c r="AH5" s="15">
        <v>1</v>
      </c>
      <c r="AI5" s="15">
        <v>1</v>
      </c>
      <c r="AJ5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2.2881007531426123</v>
      </c>
    </row>
    <row r="6" spans="1:36" x14ac:dyDescent="0.25">
      <c r="A6" s="11">
        <v>2</v>
      </c>
      <c r="B6" s="12">
        <v>1.05</v>
      </c>
      <c r="C6" s="12">
        <v>0.87</v>
      </c>
      <c r="D6" s="12">
        <v>68.430000000000007</v>
      </c>
      <c r="E6" s="12">
        <v>12.15</v>
      </c>
      <c r="F6" s="12">
        <v>46.3</v>
      </c>
      <c r="G6" s="8">
        <f>SQRT((E6*E6)+(F6*F6))</f>
        <v>47.867656094695086</v>
      </c>
      <c r="H6" s="8">
        <f>IF(AND(E6&lt;0,F6&gt;0),180+DEGREES(ATAN(F6/E6)),IF(AND(E6&lt;0,F6&lt;0),-180+DEGREES(ATAN(F6/E6)),IF(AND(E6=0,F6&lt;0),-90,IF(AND(E6=0,F6&gt;0),90,IF(AND(E6&lt;0,F6=0),180,IF(AND(E6&gt;0,F6=0),0,DEGREES(ATAN(F6/E6))))))))</f>
        <v>75.296037621558185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8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10" t="s">
        <v>36</v>
      </c>
    </row>
    <row r="7" spans="1:36" x14ac:dyDescent="0.25">
      <c r="A7" s="13" t="str">
        <f ca="1">"Δ =&gt; "&amp;$H$9</f>
        <v>Δ =&gt; 7407</v>
      </c>
      <c r="B7" s="14" t="str">
        <f>IF(B6="","",IF(AND(0.7&lt;B6,B6&lt;1.9),"Ok","Attention"))</f>
        <v>Ok</v>
      </c>
      <c r="C7" s="14">
        <f ca="1">C6-$J$9</f>
        <v>0</v>
      </c>
      <c r="D7" s="14">
        <f>D6-$K$9</f>
        <v>21.14548139189742</v>
      </c>
      <c r="E7" s="14">
        <f ca="1">E6-$L$9</f>
        <v>1.8000000000000007</v>
      </c>
      <c r="F7" s="14">
        <f ca="1">F6-$M$9</f>
        <v>1.1299999999999955</v>
      </c>
      <c r="G7" s="14">
        <f ca="1">G6-$N$9</f>
        <v>1.5270540269618635</v>
      </c>
      <c r="H7" s="14">
        <f ca="1">H6-$O$9</f>
        <v>-1.7983112387225759</v>
      </c>
      <c r="I7" s="15">
        <f t="shared" ref="I7:I43" si="0">($K$9+D6)/2</f>
        <v>57.857259304051297</v>
      </c>
      <c r="J7" s="15">
        <f t="shared" ref="J7:J43" ca="1" si="1">SQRT(($L$9^2)+($M$9^2))</f>
        <v>46.340602067733222</v>
      </c>
      <c r="K7" s="15">
        <f t="shared" ref="K7:K43" si="2">SQRT((E6^2)+(F6^2))</f>
        <v>47.867656094695086</v>
      </c>
      <c r="L7" s="15">
        <f ca="1">(Tab_Rch1[[#This Row],[C1]]+Tab_Rch1[[#This Row],[C2]])/2</f>
        <v>47.104129081214154</v>
      </c>
      <c r="M7" s="15">
        <f ca="1">0.5*(1-SQRT((Tab_Rch1[[#This Row],[CC]]^7)/((Tab_Rch1[[#This Row],[CC]]^7)+(25^7))))</f>
        <v>2.9394378793367038E-3</v>
      </c>
      <c r="N7" s="15">
        <f ca="1">$L$9*(1+Tab_Rch1[[#This Row],[G]])</f>
        <v>10.380423182051135</v>
      </c>
      <c r="O7" s="15">
        <f ca="1">E6*(1+Tab_Rch1[[#This Row],[G]])</f>
        <v>12.185714170233943</v>
      </c>
      <c r="P7" s="15">
        <f ca="1">SQRT((Tab_Rch1[[#This Row],[a''1]]^2)+($M$9^2))</f>
        <v>46.34740645859771</v>
      </c>
      <c r="Q7" s="15">
        <f ca="1">SQRT((Tab_Rch1[[#This Row],[a''2]]^2)+(F6^2))</f>
        <v>47.87673370060493</v>
      </c>
      <c r="R7" s="15">
        <f ca="1">(Tab_Rch1[[#This Row],[C''1]]+Tab_Rch1[[#This Row],[C''2]])/2</f>
        <v>47.112070079601324</v>
      </c>
      <c r="S7" s="15">
        <f ca="1">IF($M$9&gt;=0,DEGREES(ATAN2(Tab_Rch1[[#This Row],[a''1]],$M$9)),360+DEGREES(ATAN2(Tab_Rch1[[#This Row],[a''1]],$M$9)))</f>
        <v>77.057689044327233</v>
      </c>
      <c r="T7" s="15">
        <f ca="1">IF(F6&gt;=0,DEGREES(ATAN2(Tab_Rch1[[#This Row],[a''2]],F6)),360+DEGREES(ATAN2(Tab_Rch1[[#This Row],[a''2]],F6)))</f>
        <v>75.254696947882152</v>
      </c>
      <c r="U7" s="15">
        <f ca="1">IF(ABS(Tab_Rch1[[#This Row],[h''2]]-Tab_Rch1[[#This Row],[h''1]])&lt;=180,(Tab_Rch1[[#This Row],[h''1]]+Tab_Rch1[[#This Row],[h''2]])/2,(Tab_Rch1[[#This Row],[h''1]]+Tab_Rch1[[#This Row],[h''2]]-360)/2)</f>
        <v>76.156192996104693</v>
      </c>
      <c r="V7" s="15">
        <f ca="1">1-0.17*COS(RADIANS(Tab_Rch1[[#This Row],[H'']]-30))+0.24*COS(RADIANS(2*Tab_Rch1[[#This Row],[H'']]))+0.32*COS(RADIANS(3*Tab_Rch1[[#This Row],[H'']]+6))-0.2*COS(RADIANS(4*Tab_Rch1[[#This Row],[H'']]-63))</f>
        <v>0.57880428342385271</v>
      </c>
      <c r="W7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-1.802992096445081</v>
      </c>
      <c r="X7" s="14">
        <f>ABS(Tab_Rch1[[#This Row],[L]]-0)</f>
        <v>21.14548139189742</v>
      </c>
      <c r="Y7" s="15">
        <f ca="1">ABS(Tab_Rch1[[#This Row],[C''2]]-Tab_Rch1[[#This Row],[C''1]])</f>
        <v>1.5293272420072199</v>
      </c>
      <c r="Z7" s="15">
        <f ca="1">2*SQRT(Tab_Rch1[[#This Row],[C''1]]*Tab_Rch1[[#This Row],[C''2]])*SIN(RADIANS(Tab_Rch1[[#This Row],[Dh'']]/2))</f>
        <v>-1.4822731660758934</v>
      </c>
      <c r="AA7" s="15">
        <f>1+((0.015*((Tab_Rch1[[#This Row],[L'']]-50)^2))/SQRT(20+((Tab_Rch1[[#This Row],[L'']]-50)^2)))</f>
        <v>1.1024295699120528</v>
      </c>
      <c r="AB7" s="15">
        <f ca="1">1+(0.045*Tab_Rch1[[#This Row],[CC'']])</f>
        <v>3.1200431535820594</v>
      </c>
      <c r="AC7" s="15">
        <f ca="1">1+(0.015*Tab_Rch1[[#This Row],[CC'']]*Tab_Rch1[[#This Row],[T]])</f>
        <v>1.4090300194455696</v>
      </c>
      <c r="AD7" s="15">
        <f ca="1">30*EXP(-(((Tab_Rch1[[#This Row],[H'']]-275)/25)^2))</f>
        <v>1.0062539401535985E-26</v>
      </c>
      <c r="AE7" s="15">
        <f ca="1">2*SQRT((Tab_Rch1[[#This Row],[CC'']]^7)/(((Tab_Rch1[[#This Row],[CC'']]^7)+(25^7))))</f>
        <v>1.9882559924140963</v>
      </c>
      <c r="AF7" s="15">
        <f ca="1">-Tab_Rch1[[#This Row],[RC]]*SIN(RADIANS(2*Tab_Rch1[[#This Row],[Dθ]]))</f>
        <v>-6.9837270507642573E-28</v>
      </c>
      <c r="AG7" s="15">
        <v>1</v>
      </c>
      <c r="AH7" s="15">
        <v>1</v>
      </c>
      <c r="AI7" s="15">
        <v>1</v>
      </c>
      <c r="AJ7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1.1650924410556747</v>
      </c>
    </row>
    <row r="8" spans="1:36" x14ac:dyDescent="0.25">
      <c r="A8" s="11">
        <v>3</v>
      </c>
      <c r="B8" s="12">
        <v>0.76</v>
      </c>
      <c r="C8" s="12">
        <v>0.85</v>
      </c>
      <c r="D8" s="12">
        <v>68.95</v>
      </c>
      <c r="E8" s="12">
        <v>11.91</v>
      </c>
      <c r="F8" s="12">
        <v>45.76</v>
      </c>
      <c r="G8" s="8">
        <f>SQRT((E8*E8)+(F8*F8))</f>
        <v>47.284518608102587</v>
      </c>
      <c r="H8" s="8">
        <f>IF(AND(E8&lt;0,F8&gt;0),180+DEGREES(ATAN(F8/E8)),IF(AND(E8&lt;0,F8&lt;0),-180+DEGREES(ATAN(F8/E8)),IF(AND(E8=0,F8&lt;0),-90,IF(AND(E8=0,F8&gt;0),90,IF(AND(E8&lt;0,F8=0),180,IF(AND(E8&gt;0,F8=0),0,DEGREES(ATAN(F8/E8))))))))</f>
        <v>75.411241904843834</v>
      </c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8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10" t="s">
        <v>36</v>
      </c>
    </row>
    <row r="9" spans="1:36" x14ac:dyDescent="0.25">
      <c r="A9" s="13" t="str">
        <f ca="1">"Δ =&gt; "&amp;$H$9</f>
        <v>Δ =&gt; 7407</v>
      </c>
      <c r="B9" s="14" t="str">
        <f>IF(B8="","",IF(AND(0.7&lt;B8,B8&lt;1.9),"Ok","Attention"))</f>
        <v>Ok</v>
      </c>
      <c r="C9" s="14">
        <f ca="1">C8-$J$9</f>
        <v>-2.0000000000000018E-2</v>
      </c>
      <c r="D9" s="14">
        <f>D8-$K$9</f>
        <v>21.665481391897416</v>
      </c>
      <c r="E9" s="14">
        <f ca="1">E8-$L$9</f>
        <v>1.5600000000000005</v>
      </c>
      <c r="F9" s="14">
        <f ca="1">F8-$M$9</f>
        <v>0.58999999999999631</v>
      </c>
      <c r="G9" s="14">
        <f ca="1">G8-$N$9</f>
        <v>0.94391654036936501</v>
      </c>
      <c r="H9" s="14">
        <f ca="1">H8-$O$9</f>
        <v>-1.6831069554369265</v>
      </c>
      <c r="I9" s="15">
        <f>($K$9+D8)/2</f>
        <v>58.117259304051295</v>
      </c>
      <c r="J9" s="15">
        <f ca="1">SQRT(($L$9^2)+($M$9^2))</f>
        <v>0</v>
      </c>
      <c r="K9" s="15">
        <f t="shared" si="2"/>
        <v>47.284518608102587</v>
      </c>
      <c r="L9" s="15">
        <f ca="1">(Tab_Rch1[[#This Row],[C1]]+Tab_Rch1[[#This Row],[C2]])/2</f>
        <v>46.812560337917901</v>
      </c>
      <c r="M9" s="15">
        <f ca="1">0.5*(1-SQRT((Tab_Rch1[[#This Row],[CC]]^7)/((Tab_Rch1[[#This Row],[CC]]^7)+(25^7))))</f>
        <v>3.0688143767553244E-3</v>
      </c>
      <c r="N9" s="15">
        <f ca="1">$L$9*(1+Tab_Rch1[[#This Row],[G]])</f>
        <v>10.381762228799417</v>
      </c>
      <c r="O9" s="15">
        <f ca="1">E8*(1+Tab_Rch1[[#This Row],[G]])</f>
        <v>11.946549579227154</v>
      </c>
      <c r="P9" s="15">
        <f ca="1">SQRT((Tab_Rch1[[#This Row],[a''1]]^2)+($M$9^2))</f>
        <v>46.347706383113788</v>
      </c>
      <c r="Q9" s="15">
        <f ca="1">SQRT((Tab_Rch1[[#This Row],[a''2]]^2)+(F8^2))</f>
        <v>47.293737924263631</v>
      </c>
      <c r="R9" s="15">
        <f ca="1">(Tab_Rch1[[#This Row],[C''1]]+Tab_Rch1[[#This Row],[C''2]])/2</f>
        <v>46.820722153688706</v>
      </c>
      <c r="S9" s="15">
        <f ca="1">IF($M$9&gt;=0,DEGREES(ATAN2(Tab_Rch1[[#This Row],[a''1]],$M$9)),360+DEGREES(ATAN2(Tab_Rch1[[#This Row],[a''1]],$M$9)))</f>
        <v>77.056075745646666</v>
      </c>
      <c r="T9" s="15">
        <f ca="1">IF(F8&gt;=0,DEGREES(ATAN2(Tab_Rch1[[#This Row],[a''2]],F8)),360+DEGREES(ATAN2(Tab_Rch1[[#This Row],[a''2]],F8)))</f>
        <v>75.368390165172357</v>
      </c>
      <c r="U9" s="15">
        <f ca="1">IF(ABS(Tab_Rch1[[#This Row],[h''2]]-Tab_Rch1[[#This Row],[h''1]])&lt;=180,(Tab_Rch1[[#This Row],[h''1]]+Tab_Rch1[[#This Row],[h''2]])/2,(Tab_Rch1[[#This Row],[h''1]]+Tab_Rch1[[#This Row],[h''2]]-360)/2)</f>
        <v>76.212232955409519</v>
      </c>
      <c r="V9" s="15">
        <f ca="1">1-0.17*COS(RADIANS(Tab_Rch1[[#This Row],[H'']]-30))+0.24*COS(RADIANS(2*Tab_Rch1[[#This Row],[H'']]))+0.32*COS(RADIANS(3*Tab_Rch1[[#This Row],[H'']]+6))-0.2*COS(RADIANS(4*Tab_Rch1[[#This Row],[H'']]-63))</f>
        <v>0.57878226444513425</v>
      </c>
      <c r="W9" s="15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-1.6876855804743087</v>
      </c>
      <c r="X9" s="14">
        <f>ABS(Tab_Rch1[[#This Row],[L]]-0)</f>
        <v>21.665481391897416</v>
      </c>
      <c r="Y9" s="15">
        <f ca="1">ABS(Tab_Rch1[[#This Row],[C''2]]-Tab_Rch1[[#This Row],[C''1]])</f>
        <v>0.94603154114984278</v>
      </c>
      <c r="Z9" s="15">
        <f ca="1">2*SQRT(Tab_Rch1[[#This Row],[C''1]]*Tab_Rch1[[#This Row],[C''2]])*SIN(RADIANS(Tab_Rch1[[#This Row],[Dh'']]/2))</f>
        <v>-1.3790155094154244</v>
      </c>
      <c r="AA9" s="15">
        <f>1+((0.015*((Tab_Rch1[[#This Row],[L'']]-50)^2))/SQRT(20+((Tab_Rch1[[#This Row],[L'']]-50)^2)))</f>
        <v>1.1066446450959035</v>
      </c>
      <c r="AB9" s="15">
        <f ca="1">1+(0.045*Tab_Rch1[[#This Row],[CC'']])</f>
        <v>3.1069324969159915</v>
      </c>
      <c r="AC9" s="15">
        <f ca="1">1+(0.015*Tab_Rch1[[#This Row],[CC'']]*Tab_Rch1[[#This Row],[T]])</f>
        <v>1.4064850538660263</v>
      </c>
      <c r="AD9" s="15">
        <f ca="1">30*EXP(-(((Tab_Rch1[[#This Row],[H'']]-275)/25)^2))</f>
        <v>1.0427773442806406E-26</v>
      </c>
      <c r="AE9" s="15">
        <f ca="1">2*SQRT((Tab_Rch1[[#This Row],[CC'']]^7)/(((Tab_Rch1[[#This Row],[CC'']]^7)+(25^7))))</f>
        <v>1.9877395760911247</v>
      </c>
      <c r="AF9" s="15">
        <f ca="1">-Tab_Rch1[[#This Row],[RC]]*SIN(RADIANS(2*Tab_Rch1[[#This Row],[Dθ]]))</f>
        <v>-7.2353315161880451E-28</v>
      </c>
      <c r="AG9" s="15">
        <v>1</v>
      </c>
      <c r="AH9" s="15">
        <v>1</v>
      </c>
      <c r="AI9" s="15">
        <v>1</v>
      </c>
      <c r="AJ9" s="14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1.1468671944864051</v>
      </c>
    </row>
    <row r="10" spans="1:36" x14ac:dyDescent="0.25">
      <c r="A10" s="11">
        <v>4</v>
      </c>
      <c r="B10" s="12"/>
      <c r="C10" s="12"/>
      <c r="D10" s="12"/>
      <c r="E10" s="12"/>
      <c r="F10" s="12"/>
      <c r="G10" s="8">
        <f>SQRT((E10*E10)+(F10*F10))</f>
        <v>0</v>
      </c>
      <c r="H10" s="8" t="e">
        <f>IF(AND(E10&lt;0,F10&gt;0),180+DEGREES(ATAN(F10/E10)),IF(AND(E10&lt;0,F10&lt;0),-180+DEGREES(ATAN(F10/E10)),IF(AND(E10=0,F10&lt;0),-90,IF(AND(E10=0,F10&gt;0),90,IF(AND(E10&lt;0,F10=0),180,IF(AND(E10&gt;0,F10=0),0,DEGREES(ATAN(F10/E10))))))))</f>
        <v>#DIV/0!</v>
      </c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8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10" t="s">
        <v>36</v>
      </c>
    </row>
    <row r="11" spans="1:36" x14ac:dyDescent="0.25">
      <c r="A11" s="13" t="str">
        <f ca="1">"Δ =&gt; "&amp;$H$9</f>
        <v>Δ =&gt; 7407</v>
      </c>
      <c r="B11" s="14" t="str">
        <f>IF(B10="","",IF(AND(0.7&lt;B10,B10&lt;1.9),"Ok","Attention"))</f>
        <v/>
      </c>
      <c r="C11" s="14">
        <f ca="1">C10-$J$9</f>
        <v>-0.87</v>
      </c>
      <c r="D11" s="14">
        <f>D10-$K$9</f>
        <v>-47.284518608102587</v>
      </c>
      <c r="E11" s="14">
        <f ca="1">E10-$L$9</f>
        <v>-10.35</v>
      </c>
      <c r="F11" s="14">
        <f ca="1">F10-$M$9</f>
        <v>-45.17</v>
      </c>
      <c r="G11" s="14">
        <f ca="1">G10-$N$9</f>
        <v>-46.340602067733222</v>
      </c>
      <c r="H11" s="14" t="e">
        <f ca="1">H10-$O$9</f>
        <v>#DIV/0!</v>
      </c>
      <c r="I11" s="15">
        <f t="shared" si="0"/>
        <v>23.642259304051294</v>
      </c>
      <c r="J11" s="15">
        <f t="shared" ca="1" si="1"/>
        <v>46.340602067733222</v>
      </c>
      <c r="K11" s="15">
        <f t="shared" si="2"/>
        <v>0</v>
      </c>
      <c r="L11" s="15">
        <f ca="1">(Tab_Rch1[[#This Row],[C1]]+Tab_Rch1[[#This Row],[C2]])/2</f>
        <v>23.170301033866611</v>
      </c>
      <c r="M11" s="15">
        <f ca="1">0.5*(1-SQRT((Tab_Rch1[[#This Row],[CC]]^7)/((Tab_Rch1[[#This Row],[CC]]^7)+(25^7))))</f>
        <v>0.19584411591831385</v>
      </c>
      <c r="N11" s="15">
        <f ca="1">$L$9*(1+Tab_Rch1[[#This Row],[G]])</f>
        <v>12.376986599754547</v>
      </c>
      <c r="O11" s="15">
        <f ca="1">E10*(1+Tab_Rch1[[#This Row],[G]])</f>
        <v>0</v>
      </c>
      <c r="P11" s="15">
        <f ca="1">SQRT((Tab_Rch1[[#This Row],[a''1]]^2)+($M$9^2))</f>
        <v>46.835015717841962</v>
      </c>
      <c r="Q11" s="15">
        <f ca="1">SQRT((Tab_Rch1[[#This Row],[a''2]]^2)+(F10^2))</f>
        <v>0</v>
      </c>
      <c r="R11" s="15">
        <f ca="1">(Tab_Rch1[[#This Row],[C''1]]+Tab_Rch1[[#This Row],[C''2]])/2</f>
        <v>23.417507858920981</v>
      </c>
      <c r="S11" s="15">
        <f ca="1">IF($M$9&gt;=0,DEGREES(ATAN2(Tab_Rch1[[#This Row],[a''1]],$M$9)),360+DEGREES(ATAN2(Tab_Rch1[[#This Row],[a''1]],$M$9)))</f>
        <v>74.676550055156724</v>
      </c>
      <c r="T11" s="15" t="e">
        <f ca="1">IF(F10&gt;=0,DEGREES(ATAN2(Tab_Rch1[[#This Row],[a''2]],F10)),360+DEGREES(ATAN2(Tab_Rch1[[#This Row],[a''2]],F10)))</f>
        <v>#DIV/0!</v>
      </c>
      <c r="U1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1" s="14">
        <f>ABS(Tab_Rch1[[#This Row],[L]]-0)</f>
        <v>47.284518608102587</v>
      </c>
      <c r="Y11" s="15">
        <f ca="1">ABS(Tab_Rch1[[#This Row],[C''2]]-Tab_Rch1[[#This Row],[C''1]])</f>
        <v>46.835015717841962</v>
      </c>
      <c r="Z11" s="15" t="e">
        <f ca="1">2*SQRT(Tab_Rch1[[#This Row],[C''1]]*Tab_Rch1[[#This Row],[C''2]])*SIN(RADIANS(Tab_Rch1[[#This Row],[Dh'']]/2))</f>
        <v>#DIV/0!</v>
      </c>
      <c r="AA11" s="15">
        <f>1+((0.015*((Tab_Rch1[[#This Row],[L'']]-50)^2))/SQRT(20+((Tab_Rch1[[#This Row],[L'']]-50)^2)))</f>
        <v>1.3897951806698294</v>
      </c>
      <c r="AB11" s="15">
        <f ca="1">1+(0.045*Tab_Rch1[[#This Row],[CC'']])</f>
        <v>2.053787853651444</v>
      </c>
      <c r="AC11" s="15" t="e">
        <f ca="1">1+(0.015*Tab_Rch1[[#This Row],[CC'']]*Tab_Rch1[[#This Row],[T]])</f>
        <v>#DIV/0!</v>
      </c>
      <c r="AD11" s="15" t="e">
        <f ca="1">30*EXP(-(((Tab_Rch1[[#This Row],[H'']]-275)/25)^2))</f>
        <v>#DIV/0!</v>
      </c>
      <c r="AE11" s="15">
        <f ca="1">2*SQRT((Tab_Rch1[[#This Row],[CC'']]^7)/(((Tab_Rch1[[#This Row],[CC'']]^7)+(25^7))))</f>
        <v>1.2450242409503147</v>
      </c>
      <c r="AF11" s="15" t="e">
        <f ca="1">-Tab_Rch1[[#This Row],[RC]]*SIN(RADIANS(2*Tab_Rch1[[#This Row],[Dθ]]))</f>
        <v>#DIV/0!</v>
      </c>
      <c r="AG11" s="15">
        <v>1</v>
      </c>
      <c r="AH11" s="15">
        <v>1</v>
      </c>
      <c r="AI11" s="15">
        <v>1</v>
      </c>
      <c r="AJ1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2" spans="1:36" x14ac:dyDescent="0.25">
      <c r="A12" s="11">
        <v>5</v>
      </c>
      <c r="B12" s="12"/>
      <c r="C12" s="12"/>
      <c r="D12" s="12"/>
      <c r="E12" s="12"/>
      <c r="F12" s="12"/>
      <c r="G12" s="8">
        <f>SQRT((E12*E12)+(F12*F12))</f>
        <v>0</v>
      </c>
      <c r="H12" s="8" t="e">
        <f>IF(AND(E12&lt;0,F12&gt;0),180+DEGREES(ATAN(F12/E12)),IF(AND(E12&lt;0,F12&lt;0),-180+DEGREES(ATAN(F12/E12)),IF(AND(E12=0,F12&lt;0),-90,IF(AND(E12=0,F12&gt;0),90,IF(AND(E12&lt;0,F12=0),180,IF(AND(E12&gt;0,F12=0),0,DEGREES(ATAN(F12/E12))))))))</f>
        <v>#DIV/0!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8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 t="s">
        <v>36</v>
      </c>
    </row>
    <row r="13" spans="1:36" x14ac:dyDescent="0.25">
      <c r="A13" s="13" t="str">
        <f ca="1">"Δ =&gt; "&amp;$H$9</f>
        <v>Δ =&gt; 7407</v>
      </c>
      <c r="B13" s="14" t="str">
        <f>IF(B12="","",IF(AND(0.7&lt;B12,B12&lt;1.9),"Ok","Attention"))</f>
        <v/>
      </c>
      <c r="C13" s="14">
        <f ca="1">C12-$J$9</f>
        <v>-0.87</v>
      </c>
      <c r="D13" s="14">
        <f>D12-$K$9</f>
        <v>-47.284518608102587</v>
      </c>
      <c r="E13" s="14">
        <f ca="1">E12-$L$9</f>
        <v>-10.35</v>
      </c>
      <c r="F13" s="14">
        <f ca="1">F12-$M$9</f>
        <v>-45.17</v>
      </c>
      <c r="G13" s="14">
        <f ca="1">G12-$N$9</f>
        <v>-46.340602067733222</v>
      </c>
      <c r="H13" s="14" t="e">
        <f ca="1">H12-$O$9</f>
        <v>#DIV/0!</v>
      </c>
      <c r="I13" s="15">
        <f t="shared" si="0"/>
        <v>23.642259304051294</v>
      </c>
      <c r="J13" s="15">
        <f t="shared" ca="1" si="1"/>
        <v>46.340602067733222</v>
      </c>
      <c r="K13" s="15">
        <f t="shared" si="2"/>
        <v>0</v>
      </c>
      <c r="L13" s="15">
        <f ca="1">(Tab_Rch1[[#This Row],[C1]]+Tab_Rch1[[#This Row],[C2]])/2</f>
        <v>23.170301033866611</v>
      </c>
      <c r="M13" s="15">
        <f ca="1">0.5*(1-SQRT((Tab_Rch1[[#This Row],[CC]]^7)/((Tab_Rch1[[#This Row],[CC]]^7)+(25^7))))</f>
        <v>0.19584411591831385</v>
      </c>
      <c r="N13" s="15">
        <f ca="1">$L$9*(1+Tab_Rch1[[#This Row],[G]])</f>
        <v>12.376986599754547</v>
      </c>
      <c r="O13" s="15">
        <f ca="1">E12*(1+Tab_Rch1[[#This Row],[G]])</f>
        <v>0</v>
      </c>
      <c r="P13" s="15">
        <f ca="1">SQRT((Tab_Rch1[[#This Row],[a''1]]^2)+($M$9^2))</f>
        <v>46.835015717841962</v>
      </c>
      <c r="Q13" s="15">
        <f ca="1">SQRT((Tab_Rch1[[#This Row],[a''2]]^2)+(F12^2))</f>
        <v>0</v>
      </c>
      <c r="R13" s="15">
        <f ca="1">(Tab_Rch1[[#This Row],[C''1]]+Tab_Rch1[[#This Row],[C''2]])/2</f>
        <v>23.417507858920981</v>
      </c>
      <c r="S13" s="15">
        <f ca="1">IF($M$9&gt;=0,DEGREES(ATAN2(Tab_Rch1[[#This Row],[a''1]],$M$9)),360+DEGREES(ATAN2(Tab_Rch1[[#This Row],[a''1]],$M$9)))</f>
        <v>74.676550055156724</v>
      </c>
      <c r="T13" s="15" t="e">
        <f ca="1">IF(F12&gt;=0,DEGREES(ATAN2(Tab_Rch1[[#This Row],[a''2]],F12)),360+DEGREES(ATAN2(Tab_Rch1[[#This Row],[a''2]],F12)))</f>
        <v>#DIV/0!</v>
      </c>
      <c r="U1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3" s="14">
        <f>ABS(Tab_Rch1[[#This Row],[L]]-0)</f>
        <v>47.284518608102587</v>
      </c>
      <c r="Y13" s="15">
        <f ca="1">ABS(Tab_Rch1[[#This Row],[C''2]]-Tab_Rch1[[#This Row],[C''1]])</f>
        <v>46.835015717841962</v>
      </c>
      <c r="Z13" s="15" t="e">
        <f ca="1">2*SQRT(Tab_Rch1[[#This Row],[C''1]]*Tab_Rch1[[#This Row],[C''2]])*SIN(RADIANS(Tab_Rch1[[#This Row],[Dh'']]/2))</f>
        <v>#DIV/0!</v>
      </c>
      <c r="AA13" s="15">
        <f>1+((0.015*((Tab_Rch1[[#This Row],[L'']]-50)^2))/SQRT(20+((Tab_Rch1[[#This Row],[L'']]-50)^2)))</f>
        <v>1.3897951806698294</v>
      </c>
      <c r="AB13" s="15">
        <f ca="1">1+(0.045*Tab_Rch1[[#This Row],[CC'']])</f>
        <v>2.053787853651444</v>
      </c>
      <c r="AC13" s="15" t="e">
        <f ca="1">1+(0.015*Tab_Rch1[[#This Row],[CC'']]*Tab_Rch1[[#This Row],[T]])</f>
        <v>#DIV/0!</v>
      </c>
      <c r="AD13" s="15" t="e">
        <f ca="1">30*EXP(-(((Tab_Rch1[[#This Row],[H'']]-275)/25)^2))</f>
        <v>#DIV/0!</v>
      </c>
      <c r="AE13" s="15">
        <f ca="1">2*SQRT((Tab_Rch1[[#This Row],[CC'']]^7)/(((Tab_Rch1[[#This Row],[CC'']]^7)+(25^7))))</f>
        <v>1.2450242409503147</v>
      </c>
      <c r="AF13" s="15" t="e">
        <f ca="1">-Tab_Rch1[[#This Row],[RC]]*SIN(RADIANS(2*Tab_Rch1[[#This Row],[Dθ]]))</f>
        <v>#DIV/0!</v>
      </c>
      <c r="AG13" s="15">
        <v>1</v>
      </c>
      <c r="AH13" s="15">
        <v>1</v>
      </c>
      <c r="AI13" s="15">
        <v>1</v>
      </c>
      <c r="AJ1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4" spans="1:36" x14ac:dyDescent="0.25">
      <c r="A14" s="11">
        <v>6</v>
      </c>
      <c r="B14" s="12"/>
      <c r="C14" s="12"/>
      <c r="D14" s="12"/>
      <c r="E14" s="12"/>
      <c r="F14" s="12"/>
      <c r="G14" s="8">
        <f>SQRT((E14*E14)+(F14*F14))</f>
        <v>0</v>
      </c>
      <c r="H14" s="8" t="e">
        <f>IF(AND(E14&lt;0,F14&gt;0),180+DEGREES(ATAN(F14/E14)),IF(AND(E14&lt;0,F14&lt;0),-180+DEGREES(ATAN(F14/E14)),IF(AND(E14=0,F14&lt;0),-90,IF(AND(E14=0,F14&gt;0),90,IF(AND(E14&lt;0,F14=0),180,IF(AND(E14&gt;0,F14=0),0,DEGREES(ATAN(F14/E14))))))))</f>
        <v>#DIV/0!</v>
      </c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8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10" t="s">
        <v>36</v>
      </c>
    </row>
    <row r="15" spans="1:36" x14ac:dyDescent="0.25">
      <c r="A15" s="13" t="str">
        <f ca="1">"Δ =&gt; "&amp;$H$9</f>
        <v>Δ =&gt; 7407</v>
      </c>
      <c r="B15" s="14" t="str">
        <f>IF(B14="","",IF(AND(0.7&lt;B14,B14&lt;1.9),"Ok","Attention"))</f>
        <v/>
      </c>
      <c r="C15" s="14">
        <f ca="1">C14-$J$9</f>
        <v>-0.87</v>
      </c>
      <c r="D15" s="14">
        <f>D14-$K$9</f>
        <v>-47.284518608102587</v>
      </c>
      <c r="E15" s="14">
        <f ca="1">E14-$L$9</f>
        <v>-10.35</v>
      </c>
      <c r="F15" s="14">
        <f ca="1">F14-$M$9</f>
        <v>-45.17</v>
      </c>
      <c r="G15" s="14">
        <f ca="1">G14-$N$9</f>
        <v>-46.340602067733222</v>
      </c>
      <c r="H15" s="14" t="e">
        <f ca="1">H14-$O$9</f>
        <v>#DIV/0!</v>
      </c>
      <c r="I15" s="15">
        <f t="shared" si="0"/>
        <v>23.642259304051294</v>
      </c>
      <c r="J15" s="15">
        <f t="shared" ca="1" si="1"/>
        <v>46.340602067733222</v>
      </c>
      <c r="K15" s="15">
        <f t="shared" si="2"/>
        <v>0</v>
      </c>
      <c r="L15" s="15">
        <f ca="1">(Tab_Rch1[[#This Row],[C1]]+Tab_Rch1[[#This Row],[C2]])/2</f>
        <v>23.170301033866611</v>
      </c>
      <c r="M15" s="15">
        <f ca="1">0.5*(1-SQRT((Tab_Rch1[[#This Row],[CC]]^7)/((Tab_Rch1[[#This Row],[CC]]^7)+(25^7))))</f>
        <v>0.19584411591831385</v>
      </c>
      <c r="N15" s="15">
        <f ca="1">$L$9*(1+Tab_Rch1[[#This Row],[G]])</f>
        <v>12.376986599754547</v>
      </c>
      <c r="O15" s="15">
        <f ca="1">E14*(1+Tab_Rch1[[#This Row],[G]])</f>
        <v>0</v>
      </c>
      <c r="P15" s="15">
        <f ca="1">SQRT((Tab_Rch1[[#This Row],[a''1]]^2)+($M$9^2))</f>
        <v>46.835015717841962</v>
      </c>
      <c r="Q15" s="15">
        <f ca="1">SQRT((Tab_Rch1[[#This Row],[a''2]]^2)+(F14^2))</f>
        <v>0</v>
      </c>
      <c r="R15" s="15">
        <f ca="1">(Tab_Rch1[[#This Row],[C''1]]+Tab_Rch1[[#This Row],[C''2]])/2</f>
        <v>23.417507858920981</v>
      </c>
      <c r="S15" s="15">
        <f ca="1">IF($M$9&gt;=0,DEGREES(ATAN2(Tab_Rch1[[#This Row],[a''1]],$M$9)),360+DEGREES(ATAN2(Tab_Rch1[[#This Row],[a''1]],$M$9)))</f>
        <v>74.676550055156724</v>
      </c>
      <c r="T15" s="15" t="e">
        <f ca="1">IF(F14&gt;=0,DEGREES(ATAN2(Tab_Rch1[[#This Row],[a''2]],F14)),360+DEGREES(ATAN2(Tab_Rch1[[#This Row],[a''2]],F14)))</f>
        <v>#DIV/0!</v>
      </c>
      <c r="U1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5" s="14">
        <f>ABS(Tab_Rch1[[#This Row],[L]]-0)</f>
        <v>47.284518608102587</v>
      </c>
      <c r="Y15" s="15">
        <f ca="1">ABS(Tab_Rch1[[#This Row],[C''2]]-Tab_Rch1[[#This Row],[C''1]])</f>
        <v>46.835015717841962</v>
      </c>
      <c r="Z15" s="15" t="e">
        <f ca="1">2*SQRT(Tab_Rch1[[#This Row],[C''1]]*Tab_Rch1[[#This Row],[C''2]])*SIN(RADIANS(Tab_Rch1[[#This Row],[Dh'']]/2))</f>
        <v>#DIV/0!</v>
      </c>
      <c r="AA15" s="15">
        <f>1+((0.015*((Tab_Rch1[[#This Row],[L'']]-50)^2))/SQRT(20+((Tab_Rch1[[#This Row],[L'']]-50)^2)))</f>
        <v>1.3897951806698294</v>
      </c>
      <c r="AB15" s="15">
        <f ca="1">1+(0.045*Tab_Rch1[[#This Row],[CC'']])</f>
        <v>2.053787853651444</v>
      </c>
      <c r="AC15" s="15" t="e">
        <f ca="1">1+(0.015*Tab_Rch1[[#This Row],[CC'']]*Tab_Rch1[[#This Row],[T]])</f>
        <v>#DIV/0!</v>
      </c>
      <c r="AD15" s="15" t="e">
        <f ca="1">30*EXP(-(((Tab_Rch1[[#This Row],[H'']]-275)/25)^2))</f>
        <v>#DIV/0!</v>
      </c>
      <c r="AE15" s="15">
        <f ca="1">2*SQRT((Tab_Rch1[[#This Row],[CC'']]^7)/(((Tab_Rch1[[#This Row],[CC'']]^7)+(25^7))))</f>
        <v>1.2450242409503147</v>
      </c>
      <c r="AF15" s="15" t="e">
        <f ca="1">-Tab_Rch1[[#This Row],[RC]]*SIN(RADIANS(2*Tab_Rch1[[#This Row],[Dθ]]))</f>
        <v>#DIV/0!</v>
      </c>
      <c r="AG15" s="15">
        <v>1</v>
      </c>
      <c r="AH15" s="15">
        <v>1</v>
      </c>
      <c r="AI15" s="15">
        <v>1</v>
      </c>
      <c r="AJ1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6" spans="1:36" x14ac:dyDescent="0.25">
      <c r="A16" s="11">
        <v>7</v>
      </c>
      <c r="B16" s="12"/>
      <c r="C16" s="12"/>
      <c r="D16" s="12"/>
      <c r="E16" s="12"/>
      <c r="F16" s="12"/>
      <c r="G16" s="8">
        <f>SQRT((E16*E16)+(F16*F16))</f>
        <v>0</v>
      </c>
      <c r="H16" s="8" t="e">
        <f>IF(AND(E16&lt;0,F16&gt;0),180+DEGREES(ATAN(F16/E16)),IF(AND(E16&lt;0,F16&lt;0),-180+DEGREES(ATAN(F16/E16)),IF(AND(E16=0,F16&lt;0),-90,IF(AND(E16=0,F16&gt;0),90,IF(AND(E16&lt;0,F16=0),180,IF(AND(E16&gt;0,F16=0),0,DEGREES(ATAN(F16/E16))))))))</f>
        <v>#DIV/0!</v>
      </c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8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10" t="s">
        <v>36</v>
      </c>
    </row>
    <row r="17" spans="1:36" x14ac:dyDescent="0.25">
      <c r="A17" s="13" t="str">
        <f ca="1">"Δ =&gt; "&amp;$H$9</f>
        <v>Δ =&gt; 7407</v>
      </c>
      <c r="B17" s="14" t="str">
        <f>IF(B16="","",IF(AND(0.7&lt;B16,B16&lt;1.9),"Ok","Attention"))</f>
        <v/>
      </c>
      <c r="C17" s="14">
        <f ca="1">C16-$J$9</f>
        <v>-0.87</v>
      </c>
      <c r="D17" s="14">
        <f>D16-$K$9</f>
        <v>-47.284518608102587</v>
      </c>
      <c r="E17" s="14">
        <f ca="1">E16-$L$9</f>
        <v>-10.35</v>
      </c>
      <c r="F17" s="14">
        <f ca="1">F16-$M$9</f>
        <v>-45.17</v>
      </c>
      <c r="G17" s="14">
        <f ca="1">G16-$N$9</f>
        <v>-46.340602067733222</v>
      </c>
      <c r="H17" s="14" t="e">
        <f ca="1">H16-$O$9</f>
        <v>#DIV/0!</v>
      </c>
      <c r="I17" s="15">
        <f t="shared" si="0"/>
        <v>23.642259304051294</v>
      </c>
      <c r="J17" s="15">
        <f t="shared" ca="1" si="1"/>
        <v>46.340602067733222</v>
      </c>
      <c r="K17" s="15">
        <f t="shared" si="2"/>
        <v>0</v>
      </c>
      <c r="L17" s="15">
        <f ca="1">(Tab_Rch1[[#This Row],[C1]]+Tab_Rch1[[#This Row],[C2]])/2</f>
        <v>23.170301033866611</v>
      </c>
      <c r="M17" s="15">
        <f ca="1">0.5*(1-SQRT((Tab_Rch1[[#This Row],[CC]]^7)/((Tab_Rch1[[#This Row],[CC]]^7)+(25^7))))</f>
        <v>0.19584411591831385</v>
      </c>
      <c r="N17" s="15">
        <f ca="1">$L$9*(1+Tab_Rch1[[#This Row],[G]])</f>
        <v>12.376986599754547</v>
      </c>
      <c r="O17" s="15">
        <f ca="1">E16*(1+Tab_Rch1[[#This Row],[G]])</f>
        <v>0</v>
      </c>
      <c r="P17" s="15">
        <f ca="1">SQRT((Tab_Rch1[[#This Row],[a''1]]^2)+($M$9^2))</f>
        <v>46.835015717841962</v>
      </c>
      <c r="Q17" s="15">
        <f ca="1">SQRT((Tab_Rch1[[#This Row],[a''2]]^2)+(F16^2))</f>
        <v>0</v>
      </c>
      <c r="R17" s="15">
        <f ca="1">(Tab_Rch1[[#This Row],[C''1]]+Tab_Rch1[[#This Row],[C''2]])/2</f>
        <v>23.417507858920981</v>
      </c>
      <c r="S17" s="15">
        <f ca="1">IF($M$9&gt;=0,DEGREES(ATAN2(Tab_Rch1[[#This Row],[a''1]],$M$9)),360+DEGREES(ATAN2(Tab_Rch1[[#This Row],[a''1]],$M$9)))</f>
        <v>74.676550055156724</v>
      </c>
      <c r="T17" s="15" t="e">
        <f ca="1">IF(F16&gt;=0,DEGREES(ATAN2(Tab_Rch1[[#This Row],[a''2]],F16)),360+DEGREES(ATAN2(Tab_Rch1[[#This Row],[a''2]],F16)))</f>
        <v>#DIV/0!</v>
      </c>
      <c r="U1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7" s="14">
        <f>ABS(Tab_Rch1[[#This Row],[L]]-0)</f>
        <v>47.284518608102587</v>
      </c>
      <c r="Y17" s="15">
        <f ca="1">ABS(Tab_Rch1[[#This Row],[C''2]]-Tab_Rch1[[#This Row],[C''1]])</f>
        <v>46.835015717841962</v>
      </c>
      <c r="Z17" s="15" t="e">
        <f ca="1">2*SQRT(Tab_Rch1[[#This Row],[C''1]]*Tab_Rch1[[#This Row],[C''2]])*SIN(RADIANS(Tab_Rch1[[#This Row],[Dh'']]/2))</f>
        <v>#DIV/0!</v>
      </c>
      <c r="AA17" s="15">
        <f>1+((0.015*((Tab_Rch1[[#This Row],[L'']]-50)^2))/SQRT(20+((Tab_Rch1[[#This Row],[L'']]-50)^2)))</f>
        <v>1.3897951806698294</v>
      </c>
      <c r="AB17" s="15">
        <f ca="1">1+(0.045*Tab_Rch1[[#This Row],[CC'']])</f>
        <v>2.053787853651444</v>
      </c>
      <c r="AC17" s="15" t="e">
        <f ca="1">1+(0.015*Tab_Rch1[[#This Row],[CC'']]*Tab_Rch1[[#This Row],[T]])</f>
        <v>#DIV/0!</v>
      </c>
      <c r="AD17" s="15" t="e">
        <f ca="1">30*EXP(-(((Tab_Rch1[[#This Row],[H'']]-275)/25)^2))</f>
        <v>#DIV/0!</v>
      </c>
      <c r="AE17" s="15">
        <f ca="1">2*SQRT((Tab_Rch1[[#This Row],[CC'']]^7)/(((Tab_Rch1[[#This Row],[CC'']]^7)+(25^7))))</f>
        <v>1.2450242409503147</v>
      </c>
      <c r="AF17" s="15" t="e">
        <f ca="1">-Tab_Rch1[[#This Row],[RC]]*SIN(RADIANS(2*Tab_Rch1[[#This Row],[Dθ]]))</f>
        <v>#DIV/0!</v>
      </c>
      <c r="AG17" s="15">
        <v>1</v>
      </c>
      <c r="AH17" s="15">
        <v>1</v>
      </c>
      <c r="AI17" s="15">
        <v>1</v>
      </c>
      <c r="AJ1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18" spans="1:36" x14ac:dyDescent="0.25">
      <c r="A18" s="11">
        <v>8</v>
      </c>
      <c r="B18" s="12"/>
      <c r="C18" s="12"/>
      <c r="D18" s="12"/>
      <c r="E18" s="12"/>
      <c r="F18" s="12"/>
      <c r="G18" s="8">
        <f>SQRT((E18*E18)+(F18*F18))</f>
        <v>0</v>
      </c>
      <c r="H18" s="8" t="e">
        <f>IF(AND(E18&lt;0,F18&gt;0),180+DEGREES(ATAN(F18/E18)),IF(AND(E18&lt;0,F18&lt;0),-180+DEGREES(ATAN(F18/E18)),IF(AND(E18=0,F18&lt;0),-90,IF(AND(E18=0,F18&gt;0),90,IF(AND(E18&lt;0,F18=0),180,IF(AND(E18&gt;0,F18=0),0,DEGREES(ATAN(F18/E18))))))))</f>
        <v>#DIV/0!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8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10" t="s">
        <v>36</v>
      </c>
    </row>
    <row r="19" spans="1:36" x14ac:dyDescent="0.25">
      <c r="A19" s="13" t="str">
        <f ca="1">"Δ =&gt; "&amp;$H$9</f>
        <v>Δ =&gt; 7407</v>
      </c>
      <c r="B19" s="14" t="str">
        <f>IF(B18="","",IF(AND(0.7&lt;B18,B18&lt;1.9),"Ok","Attention"))</f>
        <v/>
      </c>
      <c r="C19" s="14">
        <f ca="1">C18-$J$9</f>
        <v>-0.87</v>
      </c>
      <c r="D19" s="14">
        <f>D18-$K$9</f>
        <v>-47.284518608102587</v>
      </c>
      <c r="E19" s="14">
        <f ca="1">E18-$L$9</f>
        <v>-10.35</v>
      </c>
      <c r="F19" s="14">
        <f ca="1">F18-$M$9</f>
        <v>-45.17</v>
      </c>
      <c r="G19" s="14">
        <f ca="1">G18-$N$9</f>
        <v>-46.340602067733222</v>
      </c>
      <c r="H19" s="14" t="e">
        <f ca="1">H18-$O$9</f>
        <v>#DIV/0!</v>
      </c>
      <c r="I19" s="15">
        <f t="shared" si="0"/>
        <v>23.642259304051294</v>
      </c>
      <c r="J19" s="15">
        <f t="shared" ca="1" si="1"/>
        <v>46.340602067733222</v>
      </c>
      <c r="K19" s="15">
        <f t="shared" si="2"/>
        <v>0</v>
      </c>
      <c r="L19" s="15">
        <f ca="1">(Tab_Rch1[[#This Row],[C1]]+Tab_Rch1[[#This Row],[C2]])/2</f>
        <v>23.170301033866611</v>
      </c>
      <c r="M19" s="15">
        <f ca="1">0.5*(1-SQRT((Tab_Rch1[[#This Row],[CC]]^7)/((Tab_Rch1[[#This Row],[CC]]^7)+(25^7))))</f>
        <v>0.19584411591831385</v>
      </c>
      <c r="N19" s="15">
        <f ca="1">$L$9*(1+Tab_Rch1[[#This Row],[G]])</f>
        <v>12.376986599754547</v>
      </c>
      <c r="O19" s="15">
        <f ca="1">E18*(1+Tab_Rch1[[#This Row],[G]])</f>
        <v>0</v>
      </c>
      <c r="P19" s="15">
        <f ca="1">SQRT((Tab_Rch1[[#This Row],[a''1]]^2)+($M$9^2))</f>
        <v>46.835015717841962</v>
      </c>
      <c r="Q19" s="15">
        <f ca="1">SQRT((Tab_Rch1[[#This Row],[a''2]]^2)+(F18^2))</f>
        <v>0</v>
      </c>
      <c r="R19" s="15">
        <f ca="1">(Tab_Rch1[[#This Row],[C''1]]+Tab_Rch1[[#This Row],[C''2]])/2</f>
        <v>23.417507858920981</v>
      </c>
      <c r="S19" s="15">
        <f ca="1">IF($M$9&gt;=0,DEGREES(ATAN2(Tab_Rch1[[#This Row],[a''1]],$M$9)),360+DEGREES(ATAN2(Tab_Rch1[[#This Row],[a''1]],$M$9)))</f>
        <v>74.676550055156724</v>
      </c>
      <c r="T19" s="15" t="e">
        <f ca="1">IF(F18&gt;=0,DEGREES(ATAN2(Tab_Rch1[[#This Row],[a''2]],F18)),360+DEGREES(ATAN2(Tab_Rch1[[#This Row],[a''2]],F18)))</f>
        <v>#DIV/0!</v>
      </c>
      <c r="U1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1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1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19" s="14">
        <f>ABS(Tab_Rch1[[#This Row],[L]]-0)</f>
        <v>47.284518608102587</v>
      </c>
      <c r="Y19" s="15">
        <f ca="1">ABS(Tab_Rch1[[#This Row],[C''2]]-Tab_Rch1[[#This Row],[C''1]])</f>
        <v>46.835015717841962</v>
      </c>
      <c r="Z19" s="15" t="e">
        <f ca="1">2*SQRT(Tab_Rch1[[#This Row],[C''1]]*Tab_Rch1[[#This Row],[C''2]])*SIN(RADIANS(Tab_Rch1[[#This Row],[Dh'']]/2))</f>
        <v>#DIV/0!</v>
      </c>
      <c r="AA19" s="15">
        <f>1+((0.015*((Tab_Rch1[[#This Row],[L'']]-50)^2))/SQRT(20+((Tab_Rch1[[#This Row],[L'']]-50)^2)))</f>
        <v>1.3897951806698294</v>
      </c>
      <c r="AB19" s="15">
        <f ca="1">1+(0.045*Tab_Rch1[[#This Row],[CC'']])</f>
        <v>2.053787853651444</v>
      </c>
      <c r="AC19" s="15" t="e">
        <f ca="1">1+(0.015*Tab_Rch1[[#This Row],[CC'']]*Tab_Rch1[[#This Row],[T]])</f>
        <v>#DIV/0!</v>
      </c>
      <c r="AD19" s="15" t="e">
        <f ca="1">30*EXP(-(((Tab_Rch1[[#This Row],[H'']]-275)/25)^2))</f>
        <v>#DIV/0!</v>
      </c>
      <c r="AE19" s="15">
        <f ca="1">2*SQRT((Tab_Rch1[[#This Row],[CC'']]^7)/(((Tab_Rch1[[#This Row],[CC'']]^7)+(25^7))))</f>
        <v>1.2450242409503147</v>
      </c>
      <c r="AF19" s="15" t="e">
        <f ca="1">-Tab_Rch1[[#This Row],[RC]]*SIN(RADIANS(2*Tab_Rch1[[#This Row],[Dθ]]))</f>
        <v>#DIV/0!</v>
      </c>
      <c r="AG19" s="15">
        <v>1</v>
      </c>
      <c r="AH19" s="15">
        <v>1</v>
      </c>
      <c r="AI19" s="15">
        <v>1</v>
      </c>
      <c r="AJ19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0" spans="1:36" x14ac:dyDescent="0.25">
      <c r="A20" s="11">
        <v>9</v>
      </c>
      <c r="B20" s="12"/>
      <c r="C20" s="12"/>
      <c r="D20" s="12"/>
      <c r="E20" s="12"/>
      <c r="F20" s="12"/>
      <c r="G20" s="8">
        <f>SQRT((E20*E20)+(F20*F20))</f>
        <v>0</v>
      </c>
      <c r="H20" s="8" t="e">
        <f>IF(AND(E20&lt;0,F20&gt;0),180+DEGREES(ATAN(F20/E20)),IF(AND(E20&lt;0,F20&lt;0),-180+DEGREES(ATAN(F20/E20)),IF(AND(E20=0,F20&lt;0),-90,IF(AND(E20=0,F20&gt;0),90,IF(AND(E20&lt;0,F20=0),180,IF(AND(E20&gt;0,F20=0),0,DEGREES(ATAN(F20/E20))))))))</f>
        <v>#DIV/0!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8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10" t="s">
        <v>36</v>
      </c>
    </row>
    <row r="21" spans="1:36" x14ac:dyDescent="0.25">
      <c r="A21" s="13" t="str">
        <f ca="1">"Δ =&gt; "&amp;$H$9</f>
        <v>Δ =&gt; 7407</v>
      </c>
      <c r="B21" s="14" t="str">
        <f>IF(B20="","",IF(AND(0.7&lt;B20,B20&lt;1.9),"Ok","Attention"))</f>
        <v/>
      </c>
      <c r="C21" s="14">
        <f ca="1">C20-$J$9</f>
        <v>-0.87</v>
      </c>
      <c r="D21" s="14">
        <f>D20-$K$9</f>
        <v>-47.284518608102587</v>
      </c>
      <c r="E21" s="14">
        <f ca="1">E20-$L$9</f>
        <v>-10.35</v>
      </c>
      <c r="F21" s="14">
        <f ca="1">F20-$M$9</f>
        <v>-45.17</v>
      </c>
      <c r="G21" s="14">
        <f ca="1">G20-$N$9</f>
        <v>-46.340602067733222</v>
      </c>
      <c r="H21" s="14" t="e">
        <f ca="1">H20-$O$9</f>
        <v>#DIV/0!</v>
      </c>
      <c r="I21" s="15">
        <f t="shared" si="0"/>
        <v>23.642259304051294</v>
      </c>
      <c r="J21" s="15">
        <f t="shared" ca="1" si="1"/>
        <v>46.340602067733222</v>
      </c>
      <c r="K21" s="15">
        <f t="shared" si="2"/>
        <v>0</v>
      </c>
      <c r="L21" s="15">
        <f ca="1">(Tab_Rch1[[#This Row],[C1]]+Tab_Rch1[[#This Row],[C2]])/2</f>
        <v>23.170301033866611</v>
      </c>
      <c r="M21" s="15">
        <f ca="1">0.5*(1-SQRT((Tab_Rch1[[#This Row],[CC]]^7)/((Tab_Rch1[[#This Row],[CC]]^7)+(25^7))))</f>
        <v>0.19584411591831385</v>
      </c>
      <c r="N21" s="15">
        <f ca="1">$L$9*(1+Tab_Rch1[[#This Row],[G]])</f>
        <v>12.376986599754547</v>
      </c>
      <c r="O21" s="15">
        <f ca="1">E20*(1+Tab_Rch1[[#This Row],[G]])</f>
        <v>0</v>
      </c>
      <c r="P21" s="15">
        <f ca="1">SQRT((Tab_Rch1[[#This Row],[a''1]]^2)+($M$9^2))</f>
        <v>46.835015717841962</v>
      </c>
      <c r="Q21" s="15">
        <f ca="1">SQRT((Tab_Rch1[[#This Row],[a''2]]^2)+(F20^2))</f>
        <v>0</v>
      </c>
      <c r="R21" s="15">
        <f ca="1">(Tab_Rch1[[#This Row],[C''1]]+Tab_Rch1[[#This Row],[C''2]])/2</f>
        <v>23.417507858920981</v>
      </c>
      <c r="S21" s="15">
        <f ca="1">IF($M$9&gt;=0,DEGREES(ATAN2(Tab_Rch1[[#This Row],[a''1]],$M$9)),360+DEGREES(ATAN2(Tab_Rch1[[#This Row],[a''1]],$M$9)))</f>
        <v>74.676550055156724</v>
      </c>
      <c r="T21" s="15" t="e">
        <f ca="1">IF(F20&gt;=0,DEGREES(ATAN2(Tab_Rch1[[#This Row],[a''2]],F20)),360+DEGREES(ATAN2(Tab_Rch1[[#This Row],[a''2]],F20)))</f>
        <v>#DIV/0!</v>
      </c>
      <c r="U2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1" s="14">
        <f>ABS(Tab_Rch1[[#This Row],[L]]-0)</f>
        <v>47.284518608102587</v>
      </c>
      <c r="Y21" s="15">
        <f ca="1">ABS(Tab_Rch1[[#This Row],[C''2]]-Tab_Rch1[[#This Row],[C''1]])</f>
        <v>46.835015717841962</v>
      </c>
      <c r="Z21" s="15" t="e">
        <f ca="1">2*SQRT(Tab_Rch1[[#This Row],[C''1]]*Tab_Rch1[[#This Row],[C''2]])*SIN(RADIANS(Tab_Rch1[[#This Row],[Dh'']]/2))</f>
        <v>#DIV/0!</v>
      </c>
      <c r="AA21" s="15">
        <f>1+((0.015*((Tab_Rch1[[#This Row],[L'']]-50)^2))/SQRT(20+((Tab_Rch1[[#This Row],[L'']]-50)^2)))</f>
        <v>1.3897951806698294</v>
      </c>
      <c r="AB21" s="15">
        <f ca="1">1+(0.045*Tab_Rch1[[#This Row],[CC'']])</f>
        <v>2.053787853651444</v>
      </c>
      <c r="AC21" s="15" t="e">
        <f ca="1">1+(0.015*Tab_Rch1[[#This Row],[CC'']]*Tab_Rch1[[#This Row],[T]])</f>
        <v>#DIV/0!</v>
      </c>
      <c r="AD21" s="15" t="e">
        <f ca="1">30*EXP(-(((Tab_Rch1[[#This Row],[H'']]-275)/25)^2))</f>
        <v>#DIV/0!</v>
      </c>
      <c r="AE21" s="15">
        <f ca="1">2*SQRT((Tab_Rch1[[#This Row],[CC'']]^7)/(((Tab_Rch1[[#This Row],[CC'']]^7)+(25^7))))</f>
        <v>1.2450242409503147</v>
      </c>
      <c r="AF21" s="15" t="e">
        <f ca="1">-Tab_Rch1[[#This Row],[RC]]*SIN(RADIANS(2*Tab_Rch1[[#This Row],[Dθ]]))</f>
        <v>#DIV/0!</v>
      </c>
      <c r="AG21" s="15">
        <v>1</v>
      </c>
      <c r="AH21" s="15">
        <v>1</v>
      </c>
      <c r="AI21" s="15">
        <v>1</v>
      </c>
      <c r="AJ2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2" spans="1:36" x14ac:dyDescent="0.25">
      <c r="A22" s="11">
        <v>10</v>
      </c>
      <c r="B22" s="12"/>
      <c r="C22" s="12"/>
      <c r="D22" s="12"/>
      <c r="E22" s="12"/>
      <c r="F22" s="12"/>
      <c r="G22" s="8">
        <f>SQRT((E22*E22)+(F22*F22))</f>
        <v>0</v>
      </c>
      <c r="H22" s="8" t="e">
        <f>IF(AND(E22&lt;0,F22&gt;0),180+DEGREES(ATAN(F22/E22)),IF(AND(E22&lt;0,F22&lt;0),-180+DEGREES(ATAN(F22/E22)),IF(AND(E22=0,F22&lt;0),-90,IF(AND(E22=0,F22&gt;0),90,IF(AND(E22&lt;0,F22=0),180,IF(AND(E22&gt;0,F22=0),0,DEGREES(ATAN(F22/E22))))))))</f>
        <v>#DIV/0!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8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10" t="s">
        <v>36</v>
      </c>
    </row>
    <row r="23" spans="1:36" x14ac:dyDescent="0.25">
      <c r="A23" s="13" t="str">
        <f ca="1">"Δ =&gt; "&amp;$H$9</f>
        <v>Δ =&gt; 7407</v>
      </c>
      <c r="B23" s="14" t="str">
        <f>IF(B22="","",IF(AND(0.7&lt;B22,B22&lt;1.9),"Ok","Attention"))</f>
        <v/>
      </c>
      <c r="C23" s="14">
        <f ca="1">C22-$J$9</f>
        <v>-0.87</v>
      </c>
      <c r="D23" s="14">
        <f>D22-$K$9</f>
        <v>-47.284518608102587</v>
      </c>
      <c r="E23" s="14">
        <f ca="1">E22-$L$9</f>
        <v>-10.35</v>
      </c>
      <c r="F23" s="14">
        <f ca="1">F22-$M$9</f>
        <v>-45.17</v>
      </c>
      <c r="G23" s="14">
        <f ca="1">G22-$N$9</f>
        <v>-46.340602067733222</v>
      </c>
      <c r="H23" s="14" t="e">
        <f ca="1">H22-$O$9</f>
        <v>#DIV/0!</v>
      </c>
      <c r="I23" s="15">
        <f t="shared" si="0"/>
        <v>23.642259304051294</v>
      </c>
      <c r="J23" s="15">
        <f t="shared" ca="1" si="1"/>
        <v>46.340602067733222</v>
      </c>
      <c r="K23" s="15">
        <f t="shared" si="2"/>
        <v>0</v>
      </c>
      <c r="L23" s="15">
        <f ca="1">(Tab_Rch1[[#This Row],[C1]]+Tab_Rch1[[#This Row],[C2]])/2</f>
        <v>23.170301033866611</v>
      </c>
      <c r="M23" s="15">
        <f ca="1">0.5*(1-SQRT((Tab_Rch1[[#This Row],[CC]]^7)/((Tab_Rch1[[#This Row],[CC]]^7)+(25^7))))</f>
        <v>0.19584411591831385</v>
      </c>
      <c r="N23" s="15">
        <f ca="1">$L$9*(1+Tab_Rch1[[#This Row],[G]])</f>
        <v>12.376986599754547</v>
      </c>
      <c r="O23" s="15">
        <f ca="1">E22*(1+Tab_Rch1[[#This Row],[G]])</f>
        <v>0</v>
      </c>
      <c r="P23" s="15">
        <f ca="1">SQRT((Tab_Rch1[[#This Row],[a''1]]^2)+($M$9^2))</f>
        <v>46.835015717841962</v>
      </c>
      <c r="Q23" s="15">
        <f ca="1">SQRT((Tab_Rch1[[#This Row],[a''2]]^2)+(F22^2))</f>
        <v>0</v>
      </c>
      <c r="R23" s="15">
        <f ca="1">(Tab_Rch1[[#This Row],[C''1]]+Tab_Rch1[[#This Row],[C''2]])/2</f>
        <v>23.417507858920981</v>
      </c>
      <c r="S23" s="15">
        <f ca="1">IF($M$9&gt;=0,DEGREES(ATAN2(Tab_Rch1[[#This Row],[a''1]],$M$9)),360+DEGREES(ATAN2(Tab_Rch1[[#This Row],[a''1]],$M$9)))</f>
        <v>74.676550055156724</v>
      </c>
      <c r="T23" s="15" t="e">
        <f ca="1">IF(F22&gt;=0,DEGREES(ATAN2(Tab_Rch1[[#This Row],[a''2]],F22)),360+DEGREES(ATAN2(Tab_Rch1[[#This Row],[a''2]],F22)))</f>
        <v>#DIV/0!</v>
      </c>
      <c r="U2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3" s="14">
        <f>ABS(Tab_Rch1[[#This Row],[L]]-0)</f>
        <v>47.284518608102587</v>
      </c>
      <c r="Y23" s="15">
        <f ca="1">ABS(Tab_Rch1[[#This Row],[C''2]]-Tab_Rch1[[#This Row],[C''1]])</f>
        <v>46.835015717841962</v>
      </c>
      <c r="Z23" s="15" t="e">
        <f ca="1">2*SQRT(Tab_Rch1[[#This Row],[C''1]]*Tab_Rch1[[#This Row],[C''2]])*SIN(RADIANS(Tab_Rch1[[#This Row],[Dh'']]/2))</f>
        <v>#DIV/0!</v>
      </c>
      <c r="AA23" s="15">
        <f>1+((0.015*((Tab_Rch1[[#This Row],[L'']]-50)^2))/SQRT(20+((Tab_Rch1[[#This Row],[L'']]-50)^2)))</f>
        <v>1.3897951806698294</v>
      </c>
      <c r="AB23" s="15">
        <f ca="1">1+(0.045*Tab_Rch1[[#This Row],[CC'']])</f>
        <v>2.053787853651444</v>
      </c>
      <c r="AC23" s="15" t="e">
        <f ca="1">1+(0.015*Tab_Rch1[[#This Row],[CC'']]*Tab_Rch1[[#This Row],[T]])</f>
        <v>#DIV/0!</v>
      </c>
      <c r="AD23" s="15" t="e">
        <f ca="1">30*EXP(-(((Tab_Rch1[[#This Row],[H'']]-275)/25)^2))</f>
        <v>#DIV/0!</v>
      </c>
      <c r="AE23" s="15">
        <f ca="1">2*SQRT((Tab_Rch1[[#This Row],[CC'']]^7)/(((Tab_Rch1[[#This Row],[CC'']]^7)+(25^7))))</f>
        <v>1.2450242409503147</v>
      </c>
      <c r="AF23" s="15" t="e">
        <f ca="1">-Tab_Rch1[[#This Row],[RC]]*SIN(RADIANS(2*Tab_Rch1[[#This Row],[Dθ]]))</f>
        <v>#DIV/0!</v>
      </c>
      <c r="AG23" s="15">
        <v>1</v>
      </c>
      <c r="AH23" s="15">
        <v>1</v>
      </c>
      <c r="AI23" s="15">
        <v>1</v>
      </c>
      <c r="AJ23" s="5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4" spans="1:36" x14ac:dyDescent="0.25">
      <c r="A24" s="11">
        <v>11</v>
      </c>
      <c r="B24" s="12"/>
      <c r="C24" s="12"/>
      <c r="D24" s="12"/>
      <c r="E24" s="12"/>
      <c r="F24" s="12"/>
      <c r="G24" s="8">
        <f>SQRT((E24*E24)+(F24*F24))</f>
        <v>0</v>
      </c>
      <c r="H24" s="8" t="e">
        <f>IF(AND(E24&lt;0,F24&gt;0),180+DEGREES(ATAN(F24/E24)),IF(AND(E24&lt;0,F24&lt;0),-180+DEGREES(ATAN(F24/E24)),IF(AND(E24=0,F24&lt;0),-90,IF(AND(E24=0,F24&gt;0),90,IF(AND(E24&lt;0,F24=0),180,IF(AND(E24&gt;0,F24=0),0,DEGREES(ATAN(F24/E24))))))))</f>
        <v>#DIV/0!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8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10" t="s">
        <v>36</v>
      </c>
    </row>
    <row r="25" spans="1:36" x14ac:dyDescent="0.25">
      <c r="A25" s="13" t="str">
        <f ca="1">"Δ =&gt; "&amp;$H$9</f>
        <v>Δ =&gt; 7407</v>
      </c>
      <c r="B25" s="14" t="str">
        <f>IF(B24="","",IF(AND(0.7&lt;B24,B24&lt;1.9),"Ok","Attention"))</f>
        <v/>
      </c>
      <c r="C25" s="14">
        <f ca="1">C24-$J$9</f>
        <v>-0.87</v>
      </c>
      <c r="D25" s="14">
        <f>D24-$K$9</f>
        <v>-47.284518608102587</v>
      </c>
      <c r="E25" s="14">
        <f ca="1">E24-$L$9</f>
        <v>-10.35</v>
      </c>
      <c r="F25" s="14">
        <f ca="1">F24-$M$9</f>
        <v>-45.17</v>
      </c>
      <c r="G25" s="14">
        <f ca="1">G24-$N$9</f>
        <v>-46.340602067733222</v>
      </c>
      <c r="H25" s="14" t="e">
        <f ca="1">H24-$O$9</f>
        <v>#DIV/0!</v>
      </c>
      <c r="I25" s="15">
        <f t="shared" si="0"/>
        <v>23.642259304051294</v>
      </c>
      <c r="J25" s="15">
        <f t="shared" ca="1" si="1"/>
        <v>46.340602067733222</v>
      </c>
      <c r="K25" s="15">
        <f t="shared" si="2"/>
        <v>0</v>
      </c>
      <c r="L25" s="15">
        <f ca="1">(Tab_Rch1[[#This Row],[C1]]+Tab_Rch1[[#This Row],[C2]])/2</f>
        <v>23.170301033866611</v>
      </c>
      <c r="M25" s="15">
        <f ca="1">0.5*(1-SQRT((Tab_Rch1[[#This Row],[CC]]^7)/((Tab_Rch1[[#This Row],[CC]]^7)+(25^7))))</f>
        <v>0.19584411591831385</v>
      </c>
      <c r="N25" s="15">
        <f ca="1">$L$9*(1+Tab_Rch1[[#This Row],[G]])</f>
        <v>12.376986599754547</v>
      </c>
      <c r="O25" s="15">
        <f ca="1">E24*(1+Tab_Rch1[[#This Row],[G]])</f>
        <v>0</v>
      </c>
      <c r="P25" s="15">
        <f ca="1">SQRT((Tab_Rch1[[#This Row],[a''1]]^2)+($M$9^2))</f>
        <v>46.835015717841962</v>
      </c>
      <c r="Q25" s="15">
        <f ca="1">SQRT((Tab_Rch1[[#This Row],[a''2]]^2)+(F24^2))</f>
        <v>0</v>
      </c>
      <c r="R25" s="15">
        <f ca="1">(Tab_Rch1[[#This Row],[C''1]]+Tab_Rch1[[#This Row],[C''2]])/2</f>
        <v>23.417507858920981</v>
      </c>
      <c r="S25" s="15">
        <f ca="1">IF($M$9&gt;=0,DEGREES(ATAN2(Tab_Rch1[[#This Row],[a''1]],$M$9)),360+DEGREES(ATAN2(Tab_Rch1[[#This Row],[a''1]],$M$9)))</f>
        <v>74.676550055156724</v>
      </c>
      <c r="T25" s="15" t="e">
        <f ca="1">IF(F24&gt;=0,DEGREES(ATAN2(Tab_Rch1[[#This Row],[a''2]],F24)),360+DEGREES(ATAN2(Tab_Rch1[[#This Row],[a''2]],F24)))</f>
        <v>#DIV/0!</v>
      </c>
      <c r="U2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5" s="14">
        <f>ABS(Tab_Rch1[[#This Row],[L]]-0)</f>
        <v>47.284518608102587</v>
      </c>
      <c r="Y25" s="15">
        <f ca="1">ABS(Tab_Rch1[[#This Row],[C''2]]-Tab_Rch1[[#This Row],[C''1]])</f>
        <v>46.835015717841962</v>
      </c>
      <c r="Z25" s="15" t="e">
        <f ca="1">2*SQRT(Tab_Rch1[[#This Row],[C''1]]*Tab_Rch1[[#This Row],[C''2]])*SIN(RADIANS(Tab_Rch1[[#This Row],[Dh'']]/2))</f>
        <v>#DIV/0!</v>
      </c>
      <c r="AA25" s="15">
        <f>1+((0.015*((Tab_Rch1[[#This Row],[L'']]-50)^2))/SQRT(20+((Tab_Rch1[[#This Row],[L'']]-50)^2)))</f>
        <v>1.3897951806698294</v>
      </c>
      <c r="AB25" s="15">
        <f ca="1">1+(0.045*Tab_Rch1[[#This Row],[CC'']])</f>
        <v>2.053787853651444</v>
      </c>
      <c r="AC25" s="15" t="e">
        <f ca="1">1+(0.015*Tab_Rch1[[#This Row],[CC'']]*Tab_Rch1[[#This Row],[T]])</f>
        <v>#DIV/0!</v>
      </c>
      <c r="AD25" s="15" t="e">
        <f ca="1">30*EXP(-(((Tab_Rch1[[#This Row],[H'']]-275)/25)^2))</f>
        <v>#DIV/0!</v>
      </c>
      <c r="AE25" s="15">
        <f ca="1">2*SQRT((Tab_Rch1[[#This Row],[CC'']]^7)/(((Tab_Rch1[[#This Row],[CC'']]^7)+(25^7))))</f>
        <v>1.2450242409503147</v>
      </c>
      <c r="AF25" s="15" t="e">
        <f ca="1">-Tab_Rch1[[#This Row],[RC]]*SIN(RADIANS(2*Tab_Rch1[[#This Row],[Dθ]]))</f>
        <v>#DIV/0!</v>
      </c>
      <c r="AG25" s="15">
        <v>1</v>
      </c>
      <c r="AH25" s="15">
        <v>1</v>
      </c>
      <c r="AI25" s="15">
        <v>1</v>
      </c>
      <c r="AJ2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6" spans="1:36" x14ac:dyDescent="0.25">
      <c r="A26" s="11">
        <v>12</v>
      </c>
      <c r="B26" s="12"/>
      <c r="C26" s="12"/>
      <c r="D26" s="12"/>
      <c r="E26" s="12"/>
      <c r="F26" s="12"/>
      <c r="G26" s="8">
        <f>SQRT((E26*E26)+(F26*F26))</f>
        <v>0</v>
      </c>
      <c r="H26" s="8" t="e">
        <f>IF(AND(E26&lt;0,F26&gt;0),180+DEGREES(ATAN(F26/E26)),IF(AND(E26&lt;0,F26&lt;0),-180+DEGREES(ATAN(F26/E26)),IF(AND(E26=0,F26&lt;0),-90,IF(AND(E26=0,F26&gt;0),90,IF(AND(E26&lt;0,F26=0),180,IF(AND(E26&gt;0,F26=0),0,DEGREES(ATAN(F26/E26))))))))</f>
        <v>#DIV/0!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8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10" t="s">
        <v>36</v>
      </c>
    </row>
    <row r="27" spans="1:36" x14ac:dyDescent="0.25">
      <c r="A27" s="13" t="str">
        <f ca="1">"Δ =&gt; "&amp;$H$9</f>
        <v>Δ =&gt; 7407</v>
      </c>
      <c r="B27" s="14" t="str">
        <f>IF(B26="","",IF(AND(0.7&lt;B26,B26&lt;1.9),"Ok","Attention"))</f>
        <v/>
      </c>
      <c r="C27" s="14">
        <f ca="1">C26-$J$9</f>
        <v>-0.87</v>
      </c>
      <c r="D27" s="14">
        <f>D26-$K$9</f>
        <v>-47.284518608102587</v>
      </c>
      <c r="E27" s="14">
        <f ca="1">E26-$L$9</f>
        <v>-10.35</v>
      </c>
      <c r="F27" s="14">
        <f ca="1">F26-$M$9</f>
        <v>-45.17</v>
      </c>
      <c r="G27" s="14">
        <f ca="1">G26-$N$9</f>
        <v>-46.340602067733222</v>
      </c>
      <c r="H27" s="14" t="e">
        <f ca="1">H26-$O$9</f>
        <v>#DIV/0!</v>
      </c>
      <c r="I27" s="15">
        <f t="shared" si="0"/>
        <v>23.642259304051294</v>
      </c>
      <c r="J27" s="15">
        <f t="shared" ca="1" si="1"/>
        <v>46.340602067733222</v>
      </c>
      <c r="K27" s="15">
        <f t="shared" si="2"/>
        <v>0</v>
      </c>
      <c r="L27" s="15">
        <f ca="1">(Tab_Rch1[[#This Row],[C1]]+Tab_Rch1[[#This Row],[C2]])/2</f>
        <v>23.170301033866611</v>
      </c>
      <c r="M27" s="15">
        <f ca="1">0.5*(1-SQRT((Tab_Rch1[[#This Row],[CC]]^7)/((Tab_Rch1[[#This Row],[CC]]^7)+(25^7))))</f>
        <v>0.19584411591831385</v>
      </c>
      <c r="N27" s="15">
        <f ca="1">$L$9*(1+Tab_Rch1[[#This Row],[G]])</f>
        <v>12.376986599754547</v>
      </c>
      <c r="O27" s="15">
        <f ca="1">E26*(1+Tab_Rch1[[#This Row],[G]])</f>
        <v>0</v>
      </c>
      <c r="P27" s="15">
        <f ca="1">SQRT((Tab_Rch1[[#This Row],[a''1]]^2)+($M$9^2))</f>
        <v>46.835015717841962</v>
      </c>
      <c r="Q27" s="15">
        <f ca="1">SQRT((Tab_Rch1[[#This Row],[a''2]]^2)+(F26^2))</f>
        <v>0</v>
      </c>
      <c r="R27" s="15">
        <f ca="1">(Tab_Rch1[[#This Row],[C''1]]+Tab_Rch1[[#This Row],[C''2]])/2</f>
        <v>23.417507858920981</v>
      </c>
      <c r="S27" s="15">
        <f ca="1">IF($M$9&gt;=0,DEGREES(ATAN2(Tab_Rch1[[#This Row],[a''1]],$M$9)),360+DEGREES(ATAN2(Tab_Rch1[[#This Row],[a''1]],$M$9)))</f>
        <v>74.676550055156724</v>
      </c>
      <c r="T27" s="15" t="e">
        <f ca="1">IF(F26&gt;=0,DEGREES(ATAN2(Tab_Rch1[[#This Row],[a''2]],F26)),360+DEGREES(ATAN2(Tab_Rch1[[#This Row],[a''2]],F26)))</f>
        <v>#DIV/0!</v>
      </c>
      <c r="U2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7" s="14">
        <f>ABS(Tab_Rch1[[#This Row],[L]]-0)</f>
        <v>47.284518608102587</v>
      </c>
      <c r="Y27" s="15">
        <f ca="1">ABS(Tab_Rch1[[#This Row],[C''2]]-Tab_Rch1[[#This Row],[C''1]])</f>
        <v>46.835015717841962</v>
      </c>
      <c r="Z27" s="15" t="e">
        <f ca="1">2*SQRT(Tab_Rch1[[#This Row],[C''1]]*Tab_Rch1[[#This Row],[C''2]])*SIN(RADIANS(Tab_Rch1[[#This Row],[Dh'']]/2))</f>
        <v>#DIV/0!</v>
      </c>
      <c r="AA27" s="15">
        <f>1+((0.015*((Tab_Rch1[[#This Row],[L'']]-50)^2))/SQRT(20+((Tab_Rch1[[#This Row],[L'']]-50)^2)))</f>
        <v>1.3897951806698294</v>
      </c>
      <c r="AB27" s="15">
        <f ca="1">1+(0.045*Tab_Rch1[[#This Row],[CC'']])</f>
        <v>2.053787853651444</v>
      </c>
      <c r="AC27" s="15" t="e">
        <f ca="1">1+(0.015*Tab_Rch1[[#This Row],[CC'']]*Tab_Rch1[[#This Row],[T]])</f>
        <v>#DIV/0!</v>
      </c>
      <c r="AD27" s="15" t="e">
        <f ca="1">30*EXP(-(((Tab_Rch1[[#This Row],[H'']]-275)/25)^2))</f>
        <v>#DIV/0!</v>
      </c>
      <c r="AE27" s="15">
        <f ca="1">2*SQRT((Tab_Rch1[[#This Row],[CC'']]^7)/(((Tab_Rch1[[#This Row],[CC'']]^7)+(25^7))))</f>
        <v>1.2450242409503147</v>
      </c>
      <c r="AF27" s="15" t="e">
        <f ca="1">-Tab_Rch1[[#This Row],[RC]]*SIN(RADIANS(2*Tab_Rch1[[#This Row],[Dθ]]))</f>
        <v>#DIV/0!</v>
      </c>
      <c r="AG27" s="15">
        <v>1</v>
      </c>
      <c r="AH27" s="15">
        <v>1</v>
      </c>
      <c r="AI27" s="15">
        <v>1</v>
      </c>
      <c r="AJ2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28" spans="1:36" x14ac:dyDescent="0.25">
      <c r="A28" s="11">
        <v>13</v>
      </c>
      <c r="B28" s="12"/>
      <c r="C28" s="12"/>
      <c r="D28" s="12"/>
      <c r="E28" s="12"/>
      <c r="F28" s="12"/>
      <c r="G28" s="8">
        <f>SQRT((E28*E28)+(F28*F28))</f>
        <v>0</v>
      </c>
      <c r="H28" s="8" t="e">
        <f>IF(AND(E28&lt;0,F28&gt;0),180+DEGREES(ATAN(F28/E28)),IF(AND(E28&lt;0,F28&lt;0),-180+DEGREES(ATAN(F28/E28)),IF(AND(E28=0,F28&lt;0),-90,IF(AND(E28=0,F28&gt;0),90,IF(AND(E28&lt;0,F28=0),180,IF(AND(E28&gt;0,F28=0),0,DEGREES(ATAN(F28/E28))))))))</f>
        <v>#DIV/0!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8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10" t="s">
        <v>36</v>
      </c>
    </row>
    <row r="29" spans="1:36" x14ac:dyDescent="0.25">
      <c r="A29" s="13" t="str">
        <f ca="1">"Δ =&gt; "&amp;$H$9</f>
        <v>Δ =&gt; 7407</v>
      </c>
      <c r="B29" s="14" t="str">
        <f>IF(B28="","",IF(AND(0.7&lt;B28,B28&lt;1.9),"Ok","Attention"))</f>
        <v/>
      </c>
      <c r="C29" s="14">
        <f ca="1">C28-$J$9</f>
        <v>-0.87</v>
      </c>
      <c r="D29" s="14">
        <f>D28-$K$9</f>
        <v>-47.284518608102587</v>
      </c>
      <c r="E29" s="14">
        <f ca="1">E28-$L$9</f>
        <v>-10.35</v>
      </c>
      <c r="F29" s="14">
        <f ca="1">F28-$M$9</f>
        <v>-45.17</v>
      </c>
      <c r="G29" s="14">
        <f ca="1">G28-$N$9</f>
        <v>-46.340602067733222</v>
      </c>
      <c r="H29" s="14" t="e">
        <f ca="1">H28-$O$9</f>
        <v>#DIV/0!</v>
      </c>
      <c r="I29" s="15">
        <f t="shared" si="0"/>
        <v>23.642259304051294</v>
      </c>
      <c r="J29" s="15">
        <f t="shared" ca="1" si="1"/>
        <v>46.340602067733222</v>
      </c>
      <c r="K29" s="15">
        <f t="shared" si="2"/>
        <v>0</v>
      </c>
      <c r="L29" s="15">
        <f ca="1">(Tab_Rch1[[#This Row],[C1]]+Tab_Rch1[[#This Row],[C2]])/2</f>
        <v>23.170301033866611</v>
      </c>
      <c r="M29" s="15">
        <f ca="1">0.5*(1-SQRT((Tab_Rch1[[#This Row],[CC]]^7)/((Tab_Rch1[[#This Row],[CC]]^7)+(25^7))))</f>
        <v>0.19584411591831385</v>
      </c>
      <c r="N29" s="15">
        <f ca="1">$L$9*(1+Tab_Rch1[[#This Row],[G]])</f>
        <v>12.376986599754547</v>
      </c>
      <c r="O29" s="15">
        <f ca="1">E28*(1+Tab_Rch1[[#This Row],[G]])</f>
        <v>0</v>
      </c>
      <c r="P29" s="15">
        <f ca="1">SQRT((Tab_Rch1[[#This Row],[a''1]]^2)+($M$9^2))</f>
        <v>46.835015717841962</v>
      </c>
      <c r="Q29" s="15">
        <f ca="1">SQRT((Tab_Rch1[[#This Row],[a''2]]^2)+(F28^2))</f>
        <v>0</v>
      </c>
      <c r="R29" s="15">
        <f ca="1">(Tab_Rch1[[#This Row],[C''1]]+Tab_Rch1[[#This Row],[C''2]])/2</f>
        <v>23.417507858920981</v>
      </c>
      <c r="S29" s="15">
        <f ca="1">IF($M$9&gt;=0,DEGREES(ATAN2(Tab_Rch1[[#This Row],[a''1]],$M$9)),360+DEGREES(ATAN2(Tab_Rch1[[#This Row],[a''1]],$M$9)))</f>
        <v>74.676550055156724</v>
      </c>
      <c r="T29" s="15" t="e">
        <f ca="1">IF(F28&gt;=0,DEGREES(ATAN2(Tab_Rch1[[#This Row],[a''2]],F28)),360+DEGREES(ATAN2(Tab_Rch1[[#This Row],[a''2]],F28)))</f>
        <v>#DIV/0!</v>
      </c>
      <c r="U2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2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2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29" s="14">
        <f>ABS(Tab_Rch1[[#This Row],[L]]-0)</f>
        <v>47.284518608102587</v>
      </c>
      <c r="Y29" s="15">
        <f ca="1">ABS(Tab_Rch1[[#This Row],[C''2]]-Tab_Rch1[[#This Row],[C''1]])</f>
        <v>46.835015717841962</v>
      </c>
      <c r="Z29" s="15" t="e">
        <f ca="1">2*SQRT(Tab_Rch1[[#This Row],[C''1]]*Tab_Rch1[[#This Row],[C''2]])*SIN(RADIANS(Tab_Rch1[[#This Row],[Dh'']]/2))</f>
        <v>#DIV/0!</v>
      </c>
      <c r="AA29" s="15">
        <f>1+((0.015*((Tab_Rch1[[#This Row],[L'']]-50)^2))/SQRT(20+((Tab_Rch1[[#This Row],[L'']]-50)^2)))</f>
        <v>1.3897951806698294</v>
      </c>
      <c r="AB29" s="15">
        <f ca="1">1+(0.045*Tab_Rch1[[#This Row],[CC'']])</f>
        <v>2.053787853651444</v>
      </c>
      <c r="AC29" s="15" t="e">
        <f ca="1">1+(0.015*Tab_Rch1[[#This Row],[CC'']]*Tab_Rch1[[#This Row],[T]])</f>
        <v>#DIV/0!</v>
      </c>
      <c r="AD29" s="15" t="e">
        <f ca="1">30*EXP(-(((Tab_Rch1[[#This Row],[H'']]-275)/25)^2))</f>
        <v>#DIV/0!</v>
      </c>
      <c r="AE29" s="15">
        <f ca="1">2*SQRT((Tab_Rch1[[#This Row],[CC'']]^7)/(((Tab_Rch1[[#This Row],[CC'']]^7)+(25^7))))</f>
        <v>1.2450242409503147</v>
      </c>
      <c r="AF29" s="15" t="e">
        <f ca="1">-Tab_Rch1[[#This Row],[RC]]*SIN(RADIANS(2*Tab_Rch1[[#This Row],[Dθ]]))</f>
        <v>#DIV/0!</v>
      </c>
      <c r="AG29" s="15">
        <v>1</v>
      </c>
      <c r="AH29" s="15">
        <v>1</v>
      </c>
      <c r="AI29" s="15">
        <v>1</v>
      </c>
      <c r="AJ29" s="5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0" spans="1:36" x14ac:dyDescent="0.25">
      <c r="A30" s="11">
        <v>14</v>
      </c>
      <c r="B30" s="12"/>
      <c r="C30" s="12"/>
      <c r="D30" s="12"/>
      <c r="E30" s="12"/>
      <c r="F30" s="12"/>
      <c r="G30" s="8">
        <f>SQRT((E30*E30)+(F30*F30))</f>
        <v>0</v>
      </c>
      <c r="H30" s="8" t="e">
        <f>IF(AND(E30&lt;0,F30&gt;0),180+DEGREES(ATAN(F30/E30)),IF(AND(E30&lt;0,F30&lt;0),-180+DEGREES(ATAN(F30/E30)),IF(AND(E30=0,F30&lt;0),-90,IF(AND(E30=0,F30&gt;0),90,IF(AND(E30&lt;0,F30=0),180,IF(AND(E30&gt;0,F30=0),0,DEGREES(ATAN(F30/E30))))))))</f>
        <v>#DIV/0!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8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10" t="s">
        <v>36</v>
      </c>
    </row>
    <row r="31" spans="1:36" x14ac:dyDescent="0.25">
      <c r="A31" s="13" t="str">
        <f ca="1">"Δ =&gt; "&amp;$H$9</f>
        <v>Δ =&gt; 7407</v>
      </c>
      <c r="B31" s="14" t="str">
        <f>IF(B30="","",IF(AND(0.7&lt;B30,B30&lt;1.9),"Ok","Attention"))</f>
        <v/>
      </c>
      <c r="C31" s="14">
        <f ca="1">C30-$J$9</f>
        <v>-0.87</v>
      </c>
      <c r="D31" s="14">
        <f>D30-$K$9</f>
        <v>-47.284518608102587</v>
      </c>
      <c r="E31" s="14">
        <f ca="1">E30-$L$9</f>
        <v>-10.35</v>
      </c>
      <c r="F31" s="14">
        <f ca="1">F30-$M$9</f>
        <v>-45.17</v>
      </c>
      <c r="G31" s="14">
        <f ca="1">G30-$N$9</f>
        <v>-46.340602067733222</v>
      </c>
      <c r="H31" s="14" t="e">
        <f ca="1">H30-$O$9</f>
        <v>#DIV/0!</v>
      </c>
      <c r="I31" s="15">
        <f t="shared" si="0"/>
        <v>23.642259304051294</v>
      </c>
      <c r="J31" s="15">
        <f t="shared" ca="1" si="1"/>
        <v>46.340602067733222</v>
      </c>
      <c r="K31" s="15">
        <f t="shared" si="2"/>
        <v>0</v>
      </c>
      <c r="L31" s="15">
        <f ca="1">(Tab_Rch1[[#This Row],[C1]]+Tab_Rch1[[#This Row],[C2]])/2</f>
        <v>23.170301033866611</v>
      </c>
      <c r="M31" s="15">
        <f ca="1">0.5*(1-SQRT((Tab_Rch1[[#This Row],[CC]]^7)/((Tab_Rch1[[#This Row],[CC]]^7)+(25^7))))</f>
        <v>0.19584411591831385</v>
      </c>
      <c r="N31" s="15">
        <f ca="1">$L$9*(1+Tab_Rch1[[#This Row],[G]])</f>
        <v>12.376986599754547</v>
      </c>
      <c r="O31" s="15">
        <f ca="1">E30*(1+Tab_Rch1[[#This Row],[G]])</f>
        <v>0</v>
      </c>
      <c r="P31" s="15">
        <f ca="1">SQRT((Tab_Rch1[[#This Row],[a''1]]^2)+($M$9^2))</f>
        <v>46.835015717841962</v>
      </c>
      <c r="Q31" s="15">
        <f ca="1">SQRT((Tab_Rch1[[#This Row],[a''2]]^2)+(F30^2))</f>
        <v>0</v>
      </c>
      <c r="R31" s="15">
        <f ca="1">(Tab_Rch1[[#This Row],[C''1]]+Tab_Rch1[[#This Row],[C''2]])/2</f>
        <v>23.417507858920981</v>
      </c>
      <c r="S31" s="15">
        <f ca="1">IF($M$9&gt;=0,DEGREES(ATAN2(Tab_Rch1[[#This Row],[a''1]],$M$9)),360+DEGREES(ATAN2(Tab_Rch1[[#This Row],[a''1]],$M$9)))</f>
        <v>74.676550055156724</v>
      </c>
      <c r="T31" s="15" t="e">
        <f ca="1">IF(F30&gt;=0,DEGREES(ATAN2(Tab_Rch1[[#This Row],[a''2]],F30)),360+DEGREES(ATAN2(Tab_Rch1[[#This Row],[a''2]],F30)))</f>
        <v>#DIV/0!</v>
      </c>
      <c r="U3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1" s="14">
        <f>ABS(Tab_Rch1[[#This Row],[L]]-0)</f>
        <v>47.284518608102587</v>
      </c>
      <c r="Y31" s="15">
        <f ca="1">ABS(Tab_Rch1[[#This Row],[C''2]]-Tab_Rch1[[#This Row],[C''1]])</f>
        <v>46.835015717841962</v>
      </c>
      <c r="Z31" s="15" t="e">
        <f ca="1">2*SQRT(Tab_Rch1[[#This Row],[C''1]]*Tab_Rch1[[#This Row],[C''2]])*SIN(RADIANS(Tab_Rch1[[#This Row],[Dh'']]/2))</f>
        <v>#DIV/0!</v>
      </c>
      <c r="AA31" s="15">
        <f>1+((0.015*((Tab_Rch1[[#This Row],[L'']]-50)^2))/SQRT(20+((Tab_Rch1[[#This Row],[L'']]-50)^2)))</f>
        <v>1.3897951806698294</v>
      </c>
      <c r="AB31" s="15">
        <f ca="1">1+(0.045*Tab_Rch1[[#This Row],[CC'']])</f>
        <v>2.053787853651444</v>
      </c>
      <c r="AC31" s="15" t="e">
        <f ca="1">1+(0.015*Tab_Rch1[[#This Row],[CC'']]*Tab_Rch1[[#This Row],[T]])</f>
        <v>#DIV/0!</v>
      </c>
      <c r="AD31" s="15" t="e">
        <f ca="1">30*EXP(-(((Tab_Rch1[[#This Row],[H'']]-275)/25)^2))</f>
        <v>#DIV/0!</v>
      </c>
      <c r="AE31" s="15">
        <f ca="1">2*SQRT((Tab_Rch1[[#This Row],[CC'']]^7)/(((Tab_Rch1[[#This Row],[CC'']]^7)+(25^7))))</f>
        <v>1.2450242409503147</v>
      </c>
      <c r="AF31" s="15" t="e">
        <f ca="1">-Tab_Rch1[[#This Row],[RC]]*SIN(RADIANS(2*Tab_Rch1[[#This Row],[Dθ]]))</f>
        <v>#DIV/0!</v>
      </c>
      <c r="AG31" s="15">
        <v>1</v>
      </c>
      <c r="AH31" s="15">
        <v>1</v>
      </c>
      <c r="AI31" s="15">
        <v>1</v>
      </c>
      <c r="AJ3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2" spans="1:36" x14ac:dyDescent="0.25">
      <c r="A32" s="11">
        <v>15</v>
      </c>
      <c r="B32" s="12"/>
      <c r="C32" s="12"/>
      <c r="D32" s="12"/>
      <c r="E32" s="12"/>
      <c r="F32" s="12"/>
      <c r="G32" s="8">
        <f>SQRT((E32*E32)+(F32*F32))</f>
        <v>0</v>
      </c>
      <c r="H32" s="8" t="e">
        <f>IF(AND(E32&lt;0,F32&gt;0),180+DEGREES(ATAN(F32/E32)),IF(AND(E32&lt;0,F32&lt;0),-180+DEGREES(ATAN(F32/E32)),IF(AND(E32=0,F32&lt;0),-90,IF(AND(E32=0,F32&gt;0),90,IF(AND(E32&lt;0,F32=0),180,IF(AND(E32&gt;0,F32=0),0,DEGREES(ATAN(F32/E32))))))))</f>
        <v>#DIV/0!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8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10" t="s">
        <v>36</v>
      </c>
    </row>
    <row r="33" spans="1:36" x14ac:dyDescent="0.25">
      <c r="A33" s="13" t="str">
        <f ca="1">"Δ =&gt; "&amp;$H$9</f>
        <v>Δ =&gt; 7407</v>
      </c>
      <c r="B33" s="14" t="str">
        <f>IF(B32="","",IF(AND(0.7&lt;B32,B32&lt;1.9),"Ok","Attention"))</f>
        <v/>
      </c>
      <c r="C33" s="14">
        <f ca="1">C32-$J$9</f>
        <v>-0.87</v>
      </c>
      <c r="D33" s="14">
        <f>D32-$K$9</f>
        <v>-47.284518608102587</v>
      </c>
      <c r="E33" s="14">
        <f ca="1">E32-$L$9</f>
        <v>-10.35</v>
      </c>
      <c r="F33" s="14">
        <f ca="1">F32-$M$9</f>
        <v>-45.17</v>
      </c>
      <c r="G33" s="14">
        <f ca="1">G32-$N$9</f>
        <v>-46.340602067733222</v>
      </c>
      <c r="H33" s="14" t="e">
        <f ca="1">H32-$O$9</f>
        <v>#DIV/0!</v>
      </c>
      <c r="I33" s="15">
        <f t="shared" si="0"/>
        <v>23.642259304051294</v>
      </c>
      <c r="J33" s="15">
        <f t="shared" ca="1" si="1"/>
        <v>46.340602067733222</v>
      </c>
      <c r="K33" s="15">
        <f t="shared" si="2"/>
        <v>0</v>
      </c>
      <c r="L33" s="15">
        <f ca="1">(Tab_Rch1[[#This Row],[C1]]+Tab_Rch1[[#This Row],[C2]])/2</f>
        <v>23.170301033866611</v>
      </c>
      <c r="M33" s="15">
        <f ca="1">0.5*(1-SQRT((Tab_Rch1[[#This Row],[CC]]^7)/((Tab_Rch1[[#This Row],[CC]]^7)+(25^7))))</f>
        <v>0.19584411591831385</v>
      </c>
      <c r="N33" s="15">
        <f ca="1">$L$9*(1+Tab_Rch1[[#This Row],[G]])</f>
        <v>12.376986599754547</v>
      </c>
      <c r="O33" s="15">
        <f ca="1">E32*(1+Tab_Rch1[[#This Row],[G]])</f>
        <v>0</v>
      </c>
      <c r="P33" s="15">
        <f ca="1">SQRT((Tab_Rch1[[#This Row],[a''1]]^2)+($M$9^2))</f>
        <v>46.835015717841962</v>
      </c>
      <c r="Q33" s="15">
        <f ca="1">SQRT((Tab_Rch1[[#This Row],[a''2]]^2)+(F32^2))</f>
        <v>0</v>
      </c>
      <c r="R33" s="15">
        <f ca="1">(Tab_Rch1[[#This Row],[C''1]]+Tab_Rch1[[#This Row],[C''2]])/2</f>
        <v>23.417507858920981</v>
      </c>
      <c r="S33" s="15">
        <f ca="1">IF($M$9&gt;=0,DEGREES(ATAN2(Tab_Rch1[[#This Row],[a''1]],$M$9)),360+DEGREES(ATAN2(Tab_Rch1[[#This Row],[a''1]],$M$9)))</f>
        <v>74.676550055156724</v>
      </c>
      <c r="T33" s="15" t="e">
        <f ca="1">IF(F32&gt;=0,DEGREES(ATAN2(Tab_Rch1[[#This Row],[a''2]],F32)),360+DEGREES(ATAN2(Tab_Rch1[[#This Row],[a''2]],F32)))</f>
        <v>#DIV/0!</v>
      </c>
      <c r="U3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3" s="14">
        <f>ABS(Tab_Rch1[[#This Row],[L]]-0)</f>
        <v>47.284518608102587</v>
      </c>
      <c r="Y33" s="15">
        <f ca="1">ABS(Tab_Rch1[[#This Row],[C''2]]-Tab_Rch1[[#This Row],[C''1]])</f>
        <v>46.835015717841962</v>
      </c>
      <c r="Z33" s="15" t="e">
        <f ca="1">2*SQRT(Tab_Rch1[[#This Row],[C''1]]*Tab_Rch1[[#This Row],[C''2]])*SIN(RADIANS(Tab_Rch1[[#This Row],[Dh'']]/2))</f>
        <v>#DIV/0!</v>
      </c>
      <c r="AA33" s="15">
        <f>1+((0.015*((Tab_Rch1[[#This Row],[L'']]-50)^2))/SQRT(20+((Tab_Rch1[[#This Row],[L'']]-50)^2)))</f>
        <v>1.3897951806698294</v>
      </c>
      <c r="AB33" s="15">
        <f ca="1">1+(0.045*Tab_Rch1[[#This Row],[CC'']])</f>
        <v>2.053787853651444</v>
      </c>
      <c r="AC33" s="15" t="e">
        <f ca="1">1+(0.015*Tab_Rch1[[#This Row],[CC'']]*Tab_Rch1[[#This Row],[T]])</f>
        <v>#DIV/0!</v>
      </c>
      <c r="AD33" s="15" t="e">
        <f ca="1">30*EXP(-(((Tab_Rch1[[#This Row],[H'']]-275)/25)^2))</f>
        <v>#DIV/0!</v>
      </c>
      <c r="AE33" s="15">
        <f ca="1">2*SQRT((Tab_Rch1[[#This Row],[CC'']]^7)/(((Tab_Rch1[[#This Row],[CC'']]^7)+(25^7))))</f>
        <v>1.2450242409503147</v>
      </c>
      <c r="AF33" s="15" t="e">
        <f ca="1">-Tab_Rch1[[#This Row],[RC]]*SIN(RADIANS(2*Tab_Rch1[[#This Row],[Dθ]]))</f>
        <v>#DIV/0!</v>
      </c>
      <c r="AG33" s="15">
        <v>1</v>
      </c>
      <c r="AH33" s="15">
        <v>1</v>
      </c>
      <c r="AI33" s="15">
        <v>1</v>
      </c>
      <c r="AJ3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4" spans="1:36" x14ac:dyDescent="0.25">
      <c r="A34" s="11">
        <v>16</v>
      </c>
      <c r="B34" s="12"/>
      <c r="C34" s="12"/>
      <c r="D34" s="12"/>
      <c r="E34" s="12"/>
      <c r="F34" s="12"/>
      <c r="G34" s="8">
        <f>SQRT((E34*E34)+(F34*F34))</f>
        <v>0</v>
      </c>
      <c r="H34" s="8" t="e">
        <f>IF(AND(E34&lt;0,F34&gt;0),180+DEGREES(ATAN(F34/E34)),IF(AND(E34&lt;0,F34&lt;0),-180+DEGREES(ATAN(F34/E34)),IF(AND(E34=0,F34&lt;0),-90,IF(AND(E34=0,F34&gt;0),90,IF(AND(E34&lt;0,F34=0),180,IF(AND(E34&gt;0,F34=0),0,DEGREES(ATAN(F34/E34))))))))</f>
        <v>#DIV/0!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8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10" t="s">
        <v>36</v>
      </c>
    </row>
    <row r="35" spans="1:36" x14ac:dyDescent="0.25">
      <c r="A35" s="13" t="str">
        <f ca="1">"Δ =&gt; "&amp;$H$9</f>
        <v>Δ =&gt; 7407</v>
      </c>
      <c r="B35" s="14" t="str">
        <f>IF(B34="","",IF(AND(0.7&lt;B34,B34&lt;1.9),"Ok","Attention"))</f>
        <v/>
      </c>
      <c r="C35" s="14">
        <f ca="1">C34-$J$9</f>
        <v>-0.87</v>
      </c>
      <c r="D35" s="14">
        <f>D34-$K$9</f>
        <v>-47.284518608102587</v>
      </c>
      <c r="E35" s="14">
        <f ca="1">E34-$L$9</f>
        <v>-10.35</v>
      </c>
      <c r="F35" s="14">
        <f ca="1">F34-$M$9</f>
        <v>-45.17</v>
      </c>
      <c r="G35" s="14">
        <f ca="1">G34-$N$9</f>
        <v>-46.340602067733222</v>
      </c>
      <c r="H35" s="14" t="e">
        <f ca="1">H34-$O$9</f>
        <v>#DIV/0!</v>
      </c>
      <c r="I35" s="15">
        <f t="shared" si="0"/>
        <v>23.642259304051294</v>
      </c>
      <c r="J35" s="15">
        <f t="shared" ca="1" si="1"/>
        <v>46.340602067733222</v>
      </c>
      <c r="K35" s="15">
        <f t="shared" si="2"/>
        <v>0</v>
      </c>
      <c r="L35" s="15">
        <f ca="1">(Tab_Rch1[[#This Row],[C1]]+Tab_Rch1[[#This Row],[C2]])/2</f>
        <v>23.170301033866611</v>
      </c>
      <c r="M35" s="15">
        <f ca="1">0.5*(1-SQRT((Tab_Rch1[[#This Row],[CC]]^7)/((Tab_Rch1[[#This Row],[CC]]^7)+(25^7))))</f>
        <v>0.19584411591831385</v>
      </c>
      <c r="N35" s="15">
        <f ca="1">$L$9*(1+Tab_Rch1[[#This Row],[G]])</f>
        <v>12.376986599754547</v>
      </c>
      <c r="O35" s="15">
        <f ca="1">E34*(1+Tab_Rch1[[#This Row],[G]])</f>
        <v>0</v>
      </c>
      <c r="P35" s="15">
        <f ca="1">SQRT((Tab_Rch1[[#This Row],[a''1]]^2)+($M$9^2))</f>
        <v>46.835015717841962</v>
      </c>
      <c r="Q35" s="15">
        <f ca="1">SQRT((Tab_Rch1[[#This Row],[a''2]]^2)+(F34^2))</f>
        <v>0</v>
      </c>
      <c r="R35" s="15">
        <f ca="1">(Tab_Rch1[[#This Row],[C''1]]+Tab_Rch1[[#This Row],[C''2]])/2</f>
        <v>23.417507858920981</v>
      </c>
      <c r="S35" s="15">
        <f ca="1">IF($M$9&gt;=0,DEGREES(ATAN2(Tab_Rch1[[#This Row],[a''1]],$M$9)),360+DEGREES(ATAN2(Tab_Rch1[[#This Row],[a''1]],$M$9)))</f>
        <v>74.676550055156724</v>
      </c>
      <c r="T35" s="15" t="e">
        <f ca="1">IF(F34&gt;=0,DEGREES(ATAN2(Tab_Rch1[[#This Row],[a''2]],F34)),360+DEGREES(ATAN2(Tab_Rch1[[#This Row],[a''2]],F34)))</f>
        <v>#DIV/0!</v>
      </c>
      <c r="U35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5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5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5" s="14">
        <f>ABS(Tab_Rch1[[#This Row],[L]]-0)</f>
        <v>47.284518608102587</v>
      </c>
      <c r="Y35" s="15">
        <f ca="1">ABS(Tab_Rch1[[#This Row],[C''2]]-Tab_Rch1[[#This Row],[C''1]])</f>
        <v>46.835015717841962</v>
      </c>
      <c r="Z35" s="15" t="e">
        <f ca="1">2*SQRT(Tab_Rch1[[#This Row],[C''1]]*Tab_Rch1[[#This Row],[C''2]])*SIN(RADIANS(Tab_Rch1[[#This Row],[Dh'']]/2))</f>
        <v>#DIV/0!</v>
      </c>
      <c r="AA35" s="15">
        <f>1+((0.015*((Tab_Rch1[[#This Row],[L'']]-50)^2))/SQRT(20+((Tab_Rch1[[#This Row],[L'']]-50)^2)))</f>
        <v>1.3897951806698294</v>
      </c>
      <c r="AB35" s="15">
        <f ca="1">1+(0.045*Tab_Rch1[[#This Row],[CC'']])</f>
        <v>2.053787853651444</v>
      </c>
      <c r="AC35" s="15" t="e">
        <f ca="1">1+(0.015*Tab_Rch1[[#This Row],[CC'']]*Tab_Rch1[[#This Row],[T]])</f>
        <v>#DIV/0!</v>
      </c>
      <c r="AD35" s="15" t="e">
        <f ca="1">30*EXP(-(((Tab_Rch1[[#This Row],[H'']]-275)/25)^2))</f>
        <v>#DIV/0!</v>
      </c>
      <c r="AE35" s="15">
        <f ca="1">2*SQRT((Tab_Rch1[[#This Row],[CC'']]^7)/(((Tab_Rch1[[#This Row],[CC'']]^7)+(25^7))))</f>
        <v>1.2450242409503147</v>
      </c>
      <c r="AF35" s="15" t="e">
        <f ca="1">-Tab_Rch1[[#This Row],[RC]]*SIN(RADIANS(2*Tab_Rch1[[#This Row],[Dθ]]))</f>
        <v>#DIV/0!</v>
      </c>
      <c r="AG35" s="15">
        <v>1</v>
      </c>
      <c r="AH35" s="15">
        <v>1</v>
      </c>
      <c r="AI35" s="15">
        <v>1</v>
      </c>
      <c r="AJ35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6" spans="1:36" x14ac:dyDescent="0.25">
      <c r="A36" s="11">
        <v>17</v>
      </c>
      <c r="B36" s="12"/>
      <c r="C36" s="12"/>
      <c r="D36" s="12"/>
      <c r="E36" s="12"/>
      <c r="F36" s="12"/>
      <c r="G36" s="8">
        <f>SQRT((E36*E36)+(F36*F36))</f>
        <v>0</v>
      </c>
      <c r="H36" s="8" t="e">
        <f>IF(AND(E36&lt;0,F36&gt;0),180+DEGREES(ATAN(F36/E36)),IF(AND(E36&lt;0,F36&lt;0),-180+DEGREES(ATAN(F36/E36)),IF(AND(E36=0,F36&lt;0),-90,IF(AND(E36=0,F36&gt;0),90,IF(AND(E36&lt;0,F36=0),180,IF(AND(E36&gt;0,F36=0),0,DEGREES(ATAN(F36/E36))))))))</f>
        <v>#DIV/0!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8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10" t="s">
        <v>36</v>
      </c>
    </row>
    <row r="37" spans="1:36" x14ac:dyDescent="0.25">
      <c r="A37" s="13" t="str">
        <f ca="1">"Δ =&gt; "&amp;$H$9</f>
        <v>Δ =&gt; 7407</v>
      </c>
      <c r="B37" s="14" t="str">
        <f>IF(B36="","",IF(AND(0.7&lt;B36,B36&lt;1.9),"Ok","Attention"))</f>
        <v/>
      </c>
      <c r="C37" s="14">
        <f ca="1">C36-$J$9</f>
        <v>-0.87</v>
      </c>
      <c r="D37" s="14">
        <f>D36-$K$9</f>
        <v>-47.284518608102587</v>
      </c>
      <c r="E37" s="14">
        <f ca="1">E36-$L$9</f>
        <v>-10.35</v>
      </c>
      <c r="F37" s="14">
        <f ca="1">F36-$M$9</f>
        <v>-45.17</v>
      </c>
      <c r="G37" s="14">
        <f ca="1">G36-$N$9</f>
        <v>-46.340602067733222</v>
      </c>
      <c r="H37" s="14" t="e">
        <f ca="1">H36-$O$9</f>
        <v>#DIV/0!</v>
      </c>
      <c r="I37" s="15">
        <f t="shared" si="0"/>
        <v>23.642259304051294</v>
      </c>
      <c r="J37" s="15">
        <f t="shared" ca="1" si="1"/>
        <v>46.340602067733222</v>
      </c>
      <c r="K37" s="15">
        <f t="shared" si="2"/>
        <v>0</v>
      </c>
      <c r="L37" s="15">
        <f ca="1">(Tab_Rch1[[#This Row],[C1]]+Tab_Rch1[[#This Row],[C2]])/2</f>
        <v>23.170301033866611</v>
      </c>
      <c r="M37" s="15">
        <f ca="1">0.5*(1-SQRT((Tab_Rch1[[#This Row],[CC]]^7)/((Tab_Rch1[[#This Row],[CC]]^7)+(25^7))))</f>
        <v>0.19584411591831385</v>
      </c>
      <c r="N37" s="15">
        <f ca="1">$L$9*(1+Tab_Rch1[[#This Row],[G]])</f>
        <v>12.376986599754547</v>
      </c>
      <c r="O37" s="15">
        <f ca="1">E36*(1+Tab_Rch1[[#This Row],[G]])</f>
        <v>0</v>
      </c>
      <c r="P37" s="15">
        <f ca="1">SQRT((Tab_Rch1[[#This Row],[a''1]]^2)+($M$9^2))</f>
        <v>46.835015717841962</v>
      </c>
      <c r="Q37" s="15">
        <f ca="1">SQRT((Tab_Rch1[[#This Row],[a''2]]^2)+(F36^2))</f>
        <v>0</v>
      </c>
      <c r="R37" s="15">
        <f ca="1">(Tab_Rch1[[#This Row],[C''1]]+Tab_Rch1[[#This Row],[C''2]])/2</f>
        <v>23.417507858920981</v>
      </c>
      <c r="S37" s="15">
        <f ca="1">IF($M$9&gt;=0,DEGREES(ATAN2(Tab_Rch1[[#This Row],[a''1]],$M$9)),360+DEGREES(ATAN2(Tab_Rch1[[#This Row],[a''1]],$M$9)))</f>
        <v>74.676550055156724</v>
      </c>
      <c r="T37" s="15" t="e">
        <f ca="1">IF(F36&gt;=0,DEGREES(ATAN2(Tab_Rch1[[#This Row],[a''2]],F36)),360+DEGREES(ATAN2(Tab_Rch1[[#This Row],[a''2]],F36)))</f>
        <v>#DIV/0!</v>
      </c>
      <c r="U37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7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7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7" s="14">
        <f>ABS(Tab_Rch1[[#This Row],[L]]-0)</f>
        <v>47.284518608102587</v>
      </c>
      <c r="Y37" s="15">
        <f ca="1">ABS(Tab_Rch1[[#This Row],[C''2]]-Tab_Rch1[[#This Row],[C''1]])</f>
        <v>46.835015717841962</v>
      </c>
      <c r="Z37" s="15" t="e">
        <f ca="1">2*SQRT(Tab_Rch1[[#This Row],[C''1]]*Tab_Rch1[[#This Row],[C''2]])*SIN(RADIANS(Tab_Rch1[[#This Row],[Dh'']]/2))</f>
        <v>#DIV/0!</v>
      </c>
      <c r="AA37" s="15">
        <f>1+((0.015*((Tab_Rch1[[#This Row],[L'']]-50)^2))/SQRT(20+((Tab_Rch1[[#This Row],[L'']]-50)^2)))</f>
        <v>1.3897951806698294</v>
      </c>
      <c r="AB37" s="15">
        <f ca="1">1+(0.045*Tab_Rch1[[#This Row],[CC'']])</f>
        <v>2.053787853651444</v>
      </c>
      <c r="AC37" s="15" t="e">
        <f ca="1">1+(0.015*Tab_Rch1[[#This Row],[CC'']]*Tab_Rch1[[#This Row],[T]])</f>
        <v>#DIV/0!</v>
      </c>
      <c r="AD37" s="15" t="e">
        <f ca="1">30*EXP(-(((Tab_Rch1[[#This Row],[H'']]-275)/25)^2))</f>
        <v>#DIV/0!</v>
      </c>
      <c r="AE37" s="15">
        <f ca="1">2*SQRT((Tab_Rch1[[#This Row],[CC'']]^7)/(((Tab_Rch1[[#This Row],[CC'']]^7)+(25^7))))</f>
        <v>1.2450242409503147</v>
      </c>
      <c r="AF37" s="15" t="e">
        <f ca="1">-Tab_Rch1[[#This Row],[RC]]*SIN(RADIANS(2*Tab_Rch1[[#This Row],[Dθ]]))</f>
        <v>#DIV/0!</v>
      </c>
      <c r="AG37" s="15">
        <v>1</v>
      </c>
      <c r="AH37" s="15">
        <v>1</v>
      </c>
      <c r="AI37" s="15">
        <v>1</v>
      </c>
      <c r="AJ37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38" spans="1:36" x14ac:dyDescent="0.25">
      <c r="A38" s="11">
        <v>18</v>
      </c>
      <c r="B38" s="12"/>
      <c r="C38" s="12"/>
      <c r="D38" s="12"/>
      <c r="E38" s="12"/>
      <c r="F38" s="12"/>
      <c r="G38" s="8">
        <f>SQRT((E38*E38)+(F38*F38))</f>
        <v>0</v>
      </c>
      <c r="H38" s="8" t="e">
        <f>IF(AND(E38&lt;0,F38&gt;0),180+DEGREES(ATAN(F38/E38)),IF(AND(E38&lt;0,F38&lt;0),-180+DEGREES(ATAN(F38/E38)),IF(AND(E38=0,F38&lt;0),-90,IF(AND(E38=0,F38&gt;0),90,IF(AND(E38&lt;0,F38=0),180,IF(AND(E38&gt;0,F38=0),0,DEGREES(ATAN(F38/E38))))))))</f>
        <v>#DIV/0!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8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10" t="s">
        <v>36</v>
      </c>
    </row>
    <row r="39" spans="1:36" x14ac:dyDescent="0.25">
      <c r="A39" s="13" t="str">
        <f ca="1">"Δ =&gt; "&amp;$H$9</f>
        <v>Δ =&gt; 7407</v>
      </c>
      <c r="B39" s="14" t="str">
        <f>IF(B38="","",IF(AND(0.7&lt;B38,B38&lt;1.9),"Ok","Attention"))</f>
        <v/>
      </c>
      <c r="C39" s="14">
        <f ca="1">C38-$J$9</f>
        <v>-0.87</v>
      </c>
      <c r="D39" s="14">
        <f>D38-$K$9</f>
        <v>-47.284518608102587</v>
      </c>
      <c r="E39" s="14">
        <f ca="1">E38-$L$9</f>
        <v>-10.35</v>
      </c>
      <c r="F39" s="14">
        <f ca="1">F38-$M$9</f>
        <v>-45.17</v>
      </c>
      <c r="G39" s="14">
        <f ca="1">G38-$N$9</f>
        <v>-46.340602067733222</v>
      </c>
      <c r="H39" s="14" t="e">
        <f ca="1">H38-$O$9</f>
        <v>#DIV/0!</v>
      </c>
      <c r="I39" s="15">
        <f t="shared" si="0"/>
        <v>23.642259304051294</v>
      </c>
      <c r="J39" s="15">
        <f t="shared" ca="1" si="1"/>
        <v>46.340602067733222</v>
      </c>
      <c r="K39" s="15">
        <f t="shared" si="2"/>
        <v>0</v>
      </c>
      <c r="L39" s="15">
        <f ca="1">(Tab_Rch1[[#This Row],[C1]]+Tab_Rch1[[#This Row],[C2]])/2</f>
        <v>23.170301033866611</v>
      </c>
      <c r="M39" s="15">
        <f ca="1">0.5*(1-SQRT((Tab_Rch1[[#This Row],[CC]]^7)/((Tab_Rch1[[#This Row],[CC]]^7)+(25^7))))</f>
        <v>0.19584411591831385</v>
      </c>
      <c r="N39" s="15">
        <f ca="1">$L$9*(1+Tab_Rch1[[#This Row],[G]])</f>
        <v>12.376986599754547</v>
      </c>
      <c r="O39" s="15">
        <f ca="1">E38*(1+Tab_Rch1[[#This Row],[G]])</f>
        <v>0</v>
      </c>
      <c r="P39" s="15">
        <f ca="1">SQRT((Tab_Rch1[[#This Row],[a''1]]^2)+($M$9^2))</f>
        <v>46.835015717841962</v>
      </c>
      <c r="Q39" s="15">
        <f ca="1">SQRT((Tab_Rch1[[#This Row],[a''2]]^2)+(F38^2))</f>
        <v>0</v>
      </c>
      <c r="R39" s="15">
        <f ca="1">(Tab_Rch1[[#This Row],[C''1]]+Tab_Rch1[[#This Row],[C''2]])/2</f>
        <v>23.417507858920981</v>
      </c>
      <c r="S39" s="15">
        <f ca="1">IF($M$9&gt;=0,DEGREES(ATAN2(Tab_Rch1[[#This Row],[a''1]],$M$9)),360+DEGREES(ATAN2(Tab_Rch1[[#This Row],[a''1]],$M$9)))</f>
        <v>74.676550055156724</v>
      </c>
      <c r="T39" s="15" t="e">
        <f ca="1">IF(F38&gt;=0,DEGREES(ATAN2(Tab_Rch1[[#This Row],[a''2]],F38)),360+DEGREES(ATAN2(Tab_Rch1[[#This Row],[a''2]],F38)))</f>
        <v>#DIV/0!</v>
      </c>
      <c r="U39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39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39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39" s="14">
        <f>ABS(Tab_Rch1[[#This Row],[L]]-0)</f>
        <v>47.284518608102587</v>
      </c>
      <c r="Y39" s="15">
        <f ca="1">ABS(Tab_Rch1[[#This Row],[C''2]]-Tab_Rch1[[#This Row],[C''1]])</f>
        <v>46.835015717841962</v>
      </c>
      <c r="Z39" s="15" t="e">
        <f ca="1">2*SQRT(Tab_Rch1[[#This Row],[C''1]]*Tab_Rch1[[#This Row],[C''2]])*SIN(RADIANS(Tab_Rch1[[#This Row],[Dh'']]/2))</f>
        <v>#DIV/0!</v>
      </c>
      <c r="AA39" s="15">
        <f>1+((0.015*((Tab_Rch1[[#This Row],[L'']]-50)^2))/SQRT(20+((Tab_Rch1[[#This Row],[L'']]-50)^2)))</f>
        <v>1.3897951806698294</v>
      </c>
      <c r="AB39" s="15">
        <f ca="1">1+(0.045*Tab_Rch1[[#This Row],[CC'']])</f>
        <v>2.053787853651444</v>
      </c>
      <c r="AC39" s="15" t="e">
        <f ca="1">1+(0.015*Tab_Rch1[[#This Row],[CC'']]*Tab_Rch1[[#This Row],[T]])</f>
        <v>#DIV/0!</v>
      </c>
      <c r="AD39" s="15" t="e">
        <f ca="1">30*EXP(-(((Tab_Rch1[[#This Row],[H'']]-275)/25)^2))</f>
        <v>#DIV/0!</v>
      </c>
      <c r="AE39" s="15">
        <f ca="1">2*SQRT((Tab_Rch1[[#This Row],[CC'']]^7)/(((Tab_Rch1[[#This Row],[CC'']]^7)+(25^7))))</f>
        <v>1.2450242409503147</v>
      </c>
      <c r="AF39" s="15" t="e">
        <f ca="1">-Tab_Rch1[[#This Row],[RC]]*SIN(RADIANS(2*Tab_Rch1[[#This Row],[Dθ]]))</f>
        <v>#DIV/0!</v>
      </c>
      <c r="AG39" s="15">
        <v>1</v>
      </c>
      <c r="AH39" s="15">
        <v>1</v>
      </c>
      <c r="AI39" s="15">
        <v>1</v>
      </c>
      <c r="AJ39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40" spans="1:36" x14ac:dyDescent="0.25">
      <c r="A40" s="11">
        <v>19</v>
      </c>
      <c r="B40" s="12"/>
      <c r="C40" s="12"/>
      <c r="D40" s="12"/>
      <c r="E40" s="12"/>
      <c r="F40" s="12"/>
      <c r="G40" s="8">
        <f>SQRT((E40*E40)+(F40*F40))</f>
        <v>0</v>
      </c>
      <c r="H40" s="8" t="e">
        <f>IF(AND(E40&lt;0,F40&gt;0),180+DEGREES(ATAN(F40/E40)),IF(AND(E40&lt;0,F40&lt;0),-180+DEGREES(ATAN(F40/E40)),IF(AND(E40=0,F40&lt;0),-90,IF(AND(E40=0,F40&gt;0),90,IF(AND(E40&lt;0,F40=0),180,IF(AND(E40&gt;0,F40=0),0,DEGREES(ATAN(F40/E40))))))))</f>
        <v>#DIV/0!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8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10" t="s">
        <v>36</v>
      </c>
    </row>
    <row r="41" spans="1:36" x14ac:dyDescent="0.25">
      <c r="A41" s="13" t="str">
        <f ca="1">"Δ =&gt; "&amp;$H$9</f>
        <v>Δ =&gt; 7407</v>
      </c>
      <c r="B41" s="14" t="str">
        <f>IF(B40="","",IF(AND(0.7&lt;B40,B40&lt;1.9),"Ok","Attention"))</f>
        <v/>
      </c>
      <c r="C41" s="14">
        <f ca="1">C40-$J$9</f>
        <v>-0.87</v>
      </c>
      <c r="D41" s="14">
        <f>D40-$K$9</f>
        <v>-47.284518608102587</v>
      </c>
      <c r="E41" s="14">
        <f ca="1">E40-$L$9</f>
        <v>-10.35</v>
      </c>
      <c r="F41" s="14">
        <f ca="1">F40-$M$9</f>
        <v>-45.17</v>
      </c>
      <c r="G41" s="14">
        <f ca="1">G40-$N$9</f>
        <v>-46.340602067733222</v>
      </c>
      <c r="H41" s="14" t="e">
        <f ca="1">H40-$O$9</f>
        <v>#DIV/0!</v>
      </c>
      <c r="I41" s="15">
        <f t="shared" si="0"/>
        <v>23.642259304051294</v>
      </c>
      <c r="J41" s="15">
        <f t="shared" ca="1" si="1"/>
        <v>46.340602067733222</v>
      </c>
      <c r="K41" s="15">
        <f t="shared" si="2"/>
        <v>0</v>
      </c>
      <c r="L41" s="15">
        <f ca="1">(Tab_Rch1[[#This Row],[C1]]+Tab_Rch1[[#This Row],[C2]])/2</f>
        <v>23.170301033866611</v>
      </c>
      <c r="M41" s="15">
        <f ca="1">0.5*(1-SQRT((Tab_Rch1[[#This Row],[CC]]^7)/((Tab_Rch1[[#This Row],[CC]]^7)+(25^7))))</f>
        <v>0.19584411591831385</v>
      </c>
      <c r="N41" s="15">
        <f ca="1">$L$9*(1+Tab_Rch1[[#This Row],[G]])</f>
        <v>12.376986599754547</v>
      </c>
      <c r="O41" s="15">
        <f ca="1">E40*(1+Tab_Rch1[[#This Row],[G]])</f>
        <v>0</v>
      </c>
      <c r="P41" s="15">
        <f ca="1">SQRT((Tab_Rch1[[#This Row],[a''1]]^2)+($M$9^2))</f>
        <v>46.835015717841962</v>
      </c>
      <c r="Q41" s="15">
        <f ca="1">SQRT((Tab_Rch1[[#This Row],[a''2]]^2)+(F40^2))</f>
        <v>0</v>
      </c>
      <c r="R41" s="15">
        <f ca="1">(Tab_Rch1[[#This Row],[C''1]]+Tab_Rch1[[#This Row],[C''2]])/2</f>
        <v>23.417507858920981</v>
      </c>
      <c r="S41" s="15">
        <f ca="1">IF($M$9&gt;=0,DEGREES(ATAN2(Tab_Rch1[[#This Row],[a''1]],$M$9)),360+DEGREES(ATAN2(Tab_Rch1[[#This Row],[a''1]],$M$9)))</f>
        <v>74.676550055156724</v>
      </c>
      <c r="T41" s="15" t="e">
        <f ca="1">IF(F40&gt;=0,DEGREES(ATAN2(Tab_Rch1[[#This Row],[a''2]],F40)),360+DEGREES(ATAN2(Tab_Rch1[[#This Row],[a''2]],F40)))</f>
        <v>#DIV/0!</v>
      </c>
      <c r="U41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41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41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41" s="14">
        <f>ABS(Tab_Rch1[[#This Row],[L]]-0)</f>
        <v>47.284518608102587</v>
      </c>
      <c r="Y41" s="15">
        <f ca="1">ABS(Tab_Rch1[[#This Row],[C''2]]-Tab_Rch1[[#This Row],[C''1]])</f>
        <v>46.835015717841962</v>
      </c>
      <c r="Z41" s="15" t="e">
        <f ca="1">2*SQRT(Tab_Rch1[[#This Row],[C''1]]*Tab_Rch1[[#This Row],[C''2]])*SIN(RADIANS(Tab_Rch1[[#This Row],[Dh'']]/2))</f>
        <v>#DIV/0!</v>
      </c>
      <c r="AA41" s="15">
        <f>1+((0.015*((Tab_Rch1[[#This Row],[L'']]-50)^2))/SQRT(20+((Tab_Rch1[[#This Row],[L'']]-50)^2)))</f>
        <v>1.3897951806698294</v>
      </c>
      <c r="AB41" s="15">
        <f ca="1">1+(0.045*Tab_Rch1[[#This Row],[CC'']])</f>
        <v>2.053787853651444</v>
      </c>
      <c r="AC41" s="15" t="e">
        <f ca="1">1+(0.015*Tab_Rch1[[#This Row],[CC'']]*Tab_Rch1[[#This Row],[T]])</f>
        <v>#DIV/0!</v>
      </c>
      <c r="AD41" s="15" t="e">
        <f ca="1">30*EXP(-(((Tab_Rch1[[#This Row],[H'']]-275)/25)^2))</f>
        <v>#DIV/0!</v>
      </c>
      <c r="AE41" s="15">
        <f ca="1">2*SQRT((Tab_Rch1[[#This Row],[CC'']]^7)/(((Tab_Rch1[[#This Row],[CC'']]^7)+(25^7))))</f>
        <v>1.2450242409503147</v>
      </c>
      <c r="AF41" s="15" t="e">
        <f ca="1">-Tab_Rch1[[#This Row],[RC]]*SIN(RADIANS(2*Tab_Rch1[[#This Row],[Dθ]]))</f>
        <v>#DIV/0!</v>
      </c>
      <c r="AG41" s="15">
        <v>1</v>
      </c>
      <c r="AH41" s="15">
        <v>1</v>
      </c>
      <c r="AI41" s="15">
        <v>1</v>
      </c>
      <c r="AJ41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  <row r="42" spans="1:36" x14ac:dyDescent="0.25">
      <c r="A42" s="11">
        <v>20</v>
      </c>
      <c r="B42" s="12"/>
      <c r="C42" s="12"/>
      <c r="D42" s="12"/>
      <c r="E42" s="12"/>
      <c r="F42" s="12"/>
      <c r="G42" s="8">
        <f>SQRT((E42*E42)+(F42*F42))</f>
        <v>0</v>
      </c>
      <c r="H42" s="8" t="e">
        <f>IF(AND(E42&lt;0,F42&gt;0),180+DEGREES(ATAN(F42/E42)),IF(AND(E42&lt;0,F42&lt;0),-180+DEGREES(ATAN(F42/E42)),IF(AND(E42=0,F42&lt;0),-90,IF(AND(E42=0,F42&gt;0),90,IF(AND(E42&lt;0,F42=0),180,IF(AND(E42&gt;0,F42=0),0,DEGREES(ATAN(F42/E42))))))))</f>
        <v>#DIV/0!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8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10" t="s">
        <v>36</v>
      </c>
    </row>
    <row r="43" spans="1:36" x14ac:dyDescent="0.25">
      <c r="A43" s="13" t="str">
        <f ca="1">"Δ =&gt; "&amp;$H$9</f>
        <v>Δ =&gt; 7407</v>
      </c>
      <c r="B43" s="14" t="str">
        <f>IF(B42="","",IF(AND(0.7&lt;B42,B42&lt;1.9),"Ok","Attention"))</f>
        <v/>
      </c>
      <c r="C43" s="14">
        <f ca="1">C42-$J$9</f>
        <v>-0.87</v>
      </c>
      <c r="D43" s="14">
        <f>D42-$K$9</f>
        <v>-47.284518608102587</v>
      </c>
      <c r="E43" s="14">
        <f ca="1">E42-$L$9</f>
        <v>-10.35</v>
      </c>
      <c r="F43" s="14">
        <f ca="1">F42-$M$9</f>
        <v>-45.17</v>
      </c>
      <c r="G43" s="14">
        <f ca="1">G42-$N$9</f>
        <v>-46.340602067733222</v>
      </c>
      <c r="H43" s="14" t="e">
        <f ca="1">H42-$O$9</f>
        <v>#DIV/0!</v>
      </c>
      <c r="I43" s="15">
        <f t="shared" si="0"/>
        <v>23.642259304051294</v>
      </c>
      <c r="J43" s="15">
        <f t="shared" ca="1" si="1"/>
        <v>46.340602067733222</v>
      </c>
      <c r="K43" s="15">
        <f t="shared" si="2"/>
        <v>0</v>
      </c>
      <c r="L43" s="15">
        <f ca="1">(Tab_Rch1[[#This Row],[C1]]+Tab_Rch1[[#This Row],[C2]])/2</f>
        <v>23.170301033866611</v>
      </c>
      <c r="M43" s="15">
        <f ca="1">0.5*(1-SQRT((Tab_Rch1[[#This Row],[CC]]^7)/((Tab_Rch1[[#This Row],[CC]]^7)+(25^7))))</f>
        <v>0.19584411591831385</v>
      </c>
      <c r="N43" s="15">
        <f ca="1">$L$9*(1+Tab_Rch1[[#This Row],[G]])</f>
        <v>12.376986599754547</v>
      </c>
      <c r="O43" s="15">
        <f ca="1">E42*(1+Tab_Rch1[[#This Row],[G]])</f>
        <v>0</v>
      </c>
      <c r="P43" s="15">
        <f ca="1">SQRT((Tab_Rch1[[#This Row],[a''1]]^2)+($M$9^2))</f>
        <v>46.835015717841962</v>
      </c>
      <c r="Q43" s="15">
        <f ca="1">SQRT((Tab_Rch1[[#This Row],[a''2]]^2)+(F42^2))</f>
        <v>0</v>
      </c>
      <c r="R43" s="15">
        <f ca="1">(Tab_Rch1[[#This Row],[C''1]]+Tab_Rch1[[#This Row],[C''2]])/2</f>
        <v>23.417507858920981</v>
      </c>
      <c r="S43" s="15">
        <f ca="1">IF($M$9&gt;=0,DEGREES(ATAN2(Tab_Rch1[[#This Row],[a''1]],$M$9)),360+DEGREES(ATAN2(Tab_Rch1[[#This Row],[a''1]],$M$9)))</f>
        <v>74.676550055156724</v>
      </c>
      <c r="T43" s="15" t="e">
        <f ca="1">IF(F42&gt;=0,DEGREES(ATAN2(Tab_Rch1[[#This Row],[a''2]],F42)),360+DEGREES(ATAN2(Tab_Rch1[[#This Row],[a''2]],F42)))</f>
        <v>#DIV/0!</v>
      </c>
      <c r="U43" s="15" t="e">
        <f ca="1">IF(ABS(Tab_Rch1[[#This Row],[h''2]]-Tab_Rch1[[#This Row],[h''1]])&lt;=180,(Tab_Rch1[[#This Row],[h''1]]+Tab_Rch1[[#This Row],[h''2]])/2,(Tab_Rch1[[#This Row],[h''1]]+Tab_Rch1[[#This Row],[h''2]]-360)/2)</f>
        <v>#DIV/0!</v>
      </c>
      <c r="V43" s="15" t="e">
        <f ca="1">1-0.17*COS(RADIANS(Tab_Rch1[[#This Row],[H'']]-30))+0.24*COS(RADIANS(2*Tab_Rch1[[#This Row],[H'']]))+0.32*COS(RADIANS(3*Tab_Rch1[[#This Row],[H'']]+6))-0.2*COS(RADIANS(4*Tab_Rch1[[#This Row],[H'']]-63))</f>
        <v>#DIV/0!</v>
      </c>
      <c r="W43" s="15" t="e">
        <f ca="1">IF(ABS(Tab_Rch1[[#This Row],[h''2]]-Tab_Rch1[[#This Row],[h''1]])&lt;=180,Tab_Rch1[[#This Row],[h''2]]-Tab_Rch1[[#This Row],[h''1]],IF(AND(ABS(Tab_Rch1[[#This Row],[h''2]]-Tab_Rch1[[#This Row],[h''1]])&gt;180,Tab_Rch1[[#This Row],[h''2]]&lt;=Tab_Rch1[[#This Row],[h''1]]),Tab_Rch1[[#This Row],[h''2]]-Tab_Rch1[[#This Row],[h''1]]+360,Tab_Rch1[[#This Row],[h''2]]-Tab_Rch1[[#This Row],[h''1]]-360))</f>
        <v>#DIV/0!</v>
      </c>
      <c r="X43" s="14">
        <f>ABS(Tab_Rch1[[#This Row],[L]]-0)</f>
        <v>47.284518608102587</v>
      </c>
      <c r="Y43" s="15">
        <f ca="1">ABS(Tab_Rch1[[#This Row],[C''2]]-Tab_Rch1[[#This Row],[C''1]])</f>
        <v>46.835015717841962</v>
      </c>
      <c r="Z43" s="15" t="e">
        <f ca="1">2*SQRT(Tab_Rch1[[#This Row],[C''1]]*Tab_Rch1[[#This Row],[C''2]])*SIN(RADIANS(Tab_Rch1[[#This Row],[Dh'']]/2))</f>
        <v>#DIV/0!</v>
      </c>
      <c r="AA43" s="15">
        <f>1+((0.015*((Tab_Rch1[[#This Row],[L'']]-50)^2))/SQRT(20+((Tab_Rch1[[#This Row],[L'']]-50)^2)))</f>
        <v>1.3897951806698294</v>
      </c>
      <c r="AB43" s="15">
        <f ca="1">1+(0.045*Tab_Rch1[[#This Row],[CC'']])</f>
        <v>2.053787853651444</v>
      </c>
      <c r="AC43" s="15" t="e">
        <f ca="1">1+(0.015*Tab_Rch1[[#This Row],[CC'']]*Tab_Rch1[[#This Row],[T]])</f>
        <v>#DIV/0!</v>
      </c>
      <c r="AD43" s="15" t="e">
        <f ca="1">30*EXP(-(((Tab_Rch1[[#This Row],[H'']]-275)/25)^2))</f>
        <v>#DIV/0!</v>
      </c>
      <c r="AE43" s="15">
        <f ca="1">2*SQRT((Tab_Rch1[[#This Row],[CC'']]^7)/(((Tab_Rch1[[#This Row],[CC'']]^7)+(25^7))))</f>
        <v>1.2450242409503147</v>
      </c>
      <c r="AF43" s="15" t="e">
        <f ca="1">-Tab_Rch1[[#This Row],[RC]]*SIN(RADIANS(2*Tab_Rch1[[#This Row],[Dθ]]))</f>
        <v>#DIV/0!</v>
      </c>
      <c r="AG43" s="15">
        <v>1</v>
      </c>
      <c r="AH43" s="15">
        <v>1</v>
      </c>
      <c r="AI43" s="15">
        <v>1</v>
      </c>
      <c r="AJ43" s="14" t="e">
        <f ca="1">SQRT(((Tab_Rch1[[#This Row],[DL'']]/(Tab_Rch1[[#This Row],[SL]]*Tab_Rch1[[#This Row],[KL]]))^2)+((Tab_Rch1[[#This Row],[DC'']]/(Tab_Rch1[[#This Row],[SC]]*Tab_Rch1[[#This Row],[KC]]))^2)+((Tab_Rch1[[#This Row],[DH''2]]/(Tab_Rch1[[#This Row],[SH]]*Tab_Rch1[[#This Row],[KH]]))^2)+(Tab_Rch1[[#This Row],[RT]]*((Tab_Rch1[[#This Row],[DC'']]*Tab_Rch1[[#This Row],[DH''2]])/(Tab_Rch1[[#This Row],[SC]]*Tab_Rch1[[#This Row],[KC]]*Tab_Rch1[[#This Row],[SH]]*Tab_Rch1[[#This Row],[KH]])))^2)</f>
        <v>#DIV/0!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Teinte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2015-06-05T18:19:34Z</dcterms:created>
  <dcterms:modified xsi:type="dcterms:W3CDTF">2023-07-25T07:30:15Z</dcterms:modified>
</cp:coreProperties>
</file>