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_akiwacu\Desktop\Marc\"/>
    </mc:Choice>
  </mc:AlternateContent>
  <bookViews>
    <workbookView xWindow="0" yWindow="0" windowWidth="9705" windowHeight="45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eff_PRX05">[1]Param!$E$2</definedName>
    <definedName name="CritC01">'[1]Critères PERS'!$B$4:$C$12</definedName>
    <definedName name="CritC04">'[1]Critères PERS'!$H$4:$I$29</definedName>
    <definedName name="CritC05">'[1]Critères PERS'!$K$4:$L$29</definedName>
    <definedName name="CritC07">'[1]Critères PERS'!$N$4:$O$29</definedName>
    <definedName name="CritC08">'[1]Critères PERS'!$Q$4:$R$6</definedName>
    <definedName name="CritC09">'[1]Critères PERS'!$T$4:$U$6</definedName>
    <definedName name="CritC10">'[1]Critères PERS'!$W$4:$X$6</definedName>
    <definedName name="CritC11">'[1]Critères PERS'!$Z$4:$AA$8</definedName>
    <definedName name="CritC16_12m">'[1]Critères PERS'!$AJ$4</definedName>
    <definedName name="CritC16_24m">'[1]Critères PERS'!$AJ$5</definedName>
    <definedName name="CritC16_36m">'[1]Critères PERS'!$AJ$6</definedName>
    <definedName name="CritC16_48m">'[1]Critères PERS'!$AJ$7</definedName>
    <definedName name="CritC16_60m">'[1]Critères PERS'!$AJ$8</definedName>
    <definedName name="CritC16_72m">'[1]Critères PERS'!$AJ$9</definedName>
    <definedName name="CritC16_84m">'[1]Critères PERS'!$AJ$10</definedName>
    <definedName name="CritC16_96m">'[1]Critères PERS'!$AJ$11</definedName>
    <definedName name="CritC16_sup96m">'[1]Critères PERS'!$AJ$12</definedName>
    <definedName name="CritC18">'[1]Critères PERS'!$AC$4:$AD$5</definedName>
    <definedName name="CritC21">'[1]Critères PERS'!$AL$4:$AM$8</definedName>
    <definedName name="REMISE_CA">[1]Param!$E$4</definedName>
    <definedName name="REMISE_CA115">[1]Param!$F$4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O3" i="1" l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E3" i="1"/>
  <c r="E2" i="1" s="1"/>
  <c r="D3" i="1"/>
  <c r="C3" i="1"/>
  <c r="A3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D2" i="1"/>
  <c r="C2" i="1"/>
  <c r="A2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E1" i="1"/>
  <c r="D1" i="1"/>
  <c r="C1" i="1"/>
  <c r="A1" i="1"/>
</calcChain>
</file>

<file path=xl/sharedStrings.xml><?xml version="1.0" encoding="utf-8"?>
<sst xmlns="http://schemas.openxmlformats.org/spreadsheetml/2006/main" count="476" uniqueCount="135">
  <si>
    <t>juin 2021</t>
  </si>
  <si>
    <t>DEV</t>
  </si>
  <si>
    <t>hors PEDSIN</t>
  </si>
  <si>
    <t>Maître</t>
  </si>
  <si>
    <t>OSI O2</t>
  </si>
  <si>
    <t>NON</t>
  </si>
  <si>
    <t/>
  </si>
  <si>
    <t>74013</t>
  </si>
  <si>
    <t>R/5</t>
  </si>
  <si>
    <t>4h</t>
  </si>
  <si>
    <t>S1</t>
  </si>
  <si>
    <t>S3</t>
  </si>
  <si>
    <t>NbS1</t>
  </si>
  <si>
    <t>C15_ISIM1</t>
  </si>
  <si>
    <t>N/A</t>
  </si>
  <si>
    <t>PROD</t>
  </si>
  <si>
    <t>OSI RIS</t>
  </si>
  <si>
    <t>38</t>
  </si>
  <si>
    <t>N/5</t>
  </si>
  <si>
    <t>8h</t>
  </si>
  <si>
    <t>S2</t>
  </si>
  <si>
    <t>NbS2</t>
  </si>
  <si>
    <t>75</t>
  </si>
  <si>
    <t>gdfg</t>
  </si>
  <si>
    <t>dgdf</t>
  </si>
  <si>
    <t>dfgd</t>
  </si>
  <si>
    <t>bvf</t>
  </si>
  <si>
    <t>vfs</t>
  </si>
  <si>
    <t>xfsef</t>
  </si>
  <si>
    <t>xvfxffv</t>
  </si>
  <si>
    <t>fsf</t>
  </si>
  <si>
    <t>sfsf</t>
  </si>
  <si>
    <t>626916</t>
  </si>
  <si>
    <t>NbS5</t>
  </si>
  <si>
    <t>FILIALES</t>
  </si>
  <si>
    <t>PREPROD</t>
  </si>
  <si>
    <t>626926</t>
  </si>
  <si>
    <t>NbS3</t>
  </si>
  <si>
    <t>INTEG</t>
  </si>
  <si>
    <t>626936</t>
  </si>
  <si>
    <t>626946</t>
  </si>
  <si>
    <t>xvd</t>
  </si>
  <si>
    <t>xvxv</t>
  </si>
  <si>
    <t>xvfxv</t>
  </si>
  <si>
    <t>xvxfv</t>
  </si>
  <si>
    <t>dfsf</t>
  </si>
  <si>
    <t>wcfdws</t>
  </si>
  <si>
    <t>xfxf</t>
  </si>
  <si>
    <t>sv</t>
  </si>
  <si>
    <t>sgr</t>
  </si>
  <si>
    <t>drg</t>
  </si>
  <si>
    <t>fsff</t>
  </si>
  <si>
    <t>fqfsf</t>
  </si>
  <si>
    <t>sfsefs</t>
  </si>
  <si>
    <t>sfefrfe</t>
  </si>
  <si>
    <t>ssss</t>
  </si>
  <si>
    <t>rrrr</t>
  </si>
  <si>
    <t>rrrrrr</t>
  </si>
  <si>
    <t>xcxc</t>
  </si>
  <si>
    <t>gdf</t>
  </si>
  <si>
    <t>dfgfd</t>
  </si>
  <si>
    <t>fd</t>
  </si>
  <si>
    <t>fdvf</t>
  </si>
  <si>
    <t>fg</t>
  </si>
  <si>
    <t>gf</t>
  </si>
  <si>
    <t>fb vb</t>
  </si>
  <si>
    <t>df</t>
  </si>
  <si>
    <t>dxvb</t>
  </si>
  <si>
    <t>fdg</t>
  </si>
  <si>
    <t>fdbv</t>
  </si>
  <si>
    <t>f</t>
  </si>
  <si>
    <t>dfdf</t>
  </si>
  <si>
    <t>fdfd</t>
  </si>
  <si>
    <t>gfd</t>
  </si>
  <si>
    <t>xvxc</t>
  </si>
  <si>
    <t>vfdvfd</t>
  </si>
  <si>
    <t>vfd</t>
  </si>
  <si>
    <t>fggfg</t>
  </si>
  <si>
    <t>vbfb</t>
  </si>
  <si>
    <t>fgf</t>
  </si>
  <si>
    <t>fbf</t>
  </si>
  <si>
    <t>s</t>
  </si>
  <si>
    <t>xbv</t>
  </si>
  <si>
    <t>gvfd</t>
  </si>
  <si>
    <t>dgfd</t>
  </si>
  <si>
    <t>fdgf</t>
  </si>
  <si>
    <t>fdf</t>
  </si>
  <si>
    <t>fdgfd</t>
  </si>
  <si>
    <t>gfddd</t>
  </si>
  <si>
    <t>ff</t>
  </si>
  <si>
    <t>dfg</t>
  </si>
  <si>
    <t>vxcv</t>
  </si>
  <si>
    <t>dfvdf</t>
  </si>
  <si>
    <t>fdddg</t>
  </si>
  <si>
    <t>vbfv</t>
  </si>
  <si>
    <t>fgfg</t>
  </si>
  <si>
    <t>fvdf</t>
  </si>
  <si>
    <t>dsfd</t>
  </si>
  <si>
    <t>bvbx</t>
  </si>
  <si>
    <t>dg</t>
  </si>
  <si>
    <t>gdfgf</t>
  </si>
  <si>
    <t>dffd</t>
  </si>
  <si>
    <t>dgf</t>
  </si>
  <si>
    <t>ffd</t>
  </si>
  <si>
    <t>dfd</t>
  </si>
  <si>
    <t>g</t>
  </si>
  <si>
    <t>xcvwx</t>
  </si>
  <si>
    <t>dfgdfg</t>
  </si>
  <si>
    <t>fvfd</t>
  </si>
  <si>
    <t>fddfg</t>
  </si>
  <si>
    <t>fgfdgfd</t>
  </si>
  <si>
    <t>ffff</t>
  </si>
  <si>
    <t>bvb</t>
  </si>
  <si>
    <t>vbx</t>
  </si>
  <si>
    <t>bxb</t>
  </si>
  <si>
    <t>fdbdf</t>
  </si>
  <si>
    <t>dfgfdg</t>
  </si>
  <si>
    <t>fgfgfg</t>
  </si>
  <si>
    <t>vb</t>
  </si>
  <si>
    <t>x</t>
  </si>
  <si>
    <t>xcbb</t>
  </si>
  <si>
    <t>gfg</t>
  </si>
  <si>
    <t>fgfdg</t>
  </si>
  <si>
    <t>fdd</t>
  </si>
  <si>
    <t>ddfg</t>
  </si>
  <si>
    <t>fggfd</t>
  </si>
  <si>
    <t>ffdgdf</t>
  </si>
  <si>
    <t>xb</t>
  </si>
  <si>
    <t>v</t>
  </si>
  <si>
    <t>bbfgg</t>
  </si>
  <si>
    <t>sf</t>
  </si>
  <si>
    <t>ss</t>
  </si>
  <si>
    <t>xv</t>
  </si>
  <si>
    <t>fb</t>
  </si>
  <si>
    <t>fgddg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</si>
</sst>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dd\-mm\-yyyy\ h:mm"/>
    <numFmt numFmtId="165" formatCode="[$-40C]mmm\-yy;@"/>
    <numFmt numFmtId="166" formatCode="#,##0.00\ &quot;€&quot;"/>
    <numFmt numFmtId="167" formatCode="_-* #,##0.000\ _€_-;\-* #,##0.0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164" fontId="3" fillId="2" borderId="1" xfId="3" applyNumberFormat="1" applyFont="1" applyFill="1" applyBorder="1"/>
    <xf numFmtId="17" fontId="4" fillId="3" borderId="2" xfId="0" applyNumberFormat="1" applyFont="1" applyFill="1" applyBorder="1"/>
    <xf numFmtId="14" fontId="3" fillId="2" borderId="3" xfId="3" applyNumberFormat="1" applyFont="1" applyFill="1" applyBorder="1" applyAlignment="1">
      <alignment horizontal="center"/>
    </xf>
    <xf numFmtId="165" fontId="3" fillId="2" borderId="3" xfId="3" applyNumberFormat="1" applyFont="1" applyFill="1" applyBorder="1" applyAlignment="1">
      <alignment horizontal="center"/>
    </xf>
    <xf numFmtId="166" fontId="5" fillId="4" borderId="1" xfId="2" applyNumberFormat="1" applyFont="1" applyFill="1" applyBorder="1" applyAlignment="1">
      <alignment horizontal="center"/>
    </xf>
    <xf numFmtId="0" fontId="3" fillId="5" borderId="4" xfId="3" applyFont="1" applyFill="1" applyBorder="1"/>
    <xf numFmtId="0" fontId="3" fillId="5" borderId="5" xfId="3" applyFont="1" applyFill="1" applyBorder="1"/>
    <xf numFmtId="0" fontId="3" fillId="5" borderId="5" xfId="3" applyNumberFormat="1" applyFont="1" applyFill="1" applyBorder="1"/>
    <xf numFmtId="0" fontId="3" fillId="5" borderId="5" xfId="3" applyNumberFormat="1" applyFont="1" applyFill="1" applyBorder="1" applyAlignment="1">
      <alignment horizontal="left"/>
    </xf>
    <xf numFmtId="0" fontId="3" fillId="5" borderId="6" xfId="3" applyNumberFormat="1" applyFont="1" applyFill="1" applyBorder="1"/>
    <xf numFmtId="0" fontId="3" fillId="6" borderId="4" xfId="3" applyNumberFormat="1" applyFont="1" applyFill="1" applyBorder="1"/>
    <xf numFmtId="0" fontId="3" fillId="6" borderId="5" xfId="3" applyNumberFormat="1" applyFont="1" applyFill="1" applyBorder="1"/>
    <xf numFmtId="0" fontId="3" fillId="6" borderId="6" xfId="3" applyNumberFormat="1" applyFont="1" applyFill="1" applyBorder="1"/>
    <xf numFmtId="167" fontId="6" fillId="6" borderId="2" xfId="3" applyNumberFormat="1" applyFont="1" applyFill="1" applyBorder="1"/>
    <xf numFmtId="44" fontId="6" fillId="6" borderId="3" xfId="2" applyFont="1" applyFill="1" applyBorder="1"/>
    <xf numFmtId="167" fontId="3" fillId="4" borderId="3" xfId="1" applyNumberFormat="1" applyFont="1" applyFill="1" applyBorder="1"/>
    <xf numFmtId="44" fontId="3" fillId="0" borderId="2" xfId="2" applyFont="1" applyFill="1" applyBorder="1"/>
    <xf numFmtId="44" fontId="4" fillId="6" borderId="3" xfId="3" applyNumberFormat="1" applyFont="1" applyFill="1" applyBorder="1"/>
    <xf numFmtId="44" fontId="3" fillId="0" borderId="1" xfId="3" applyNumberFormat="1" applyFont="1" applyFill="1" applyBorder="1"/>
    <xf numFmtId="0" fontId="4" fillId="0" borderId="0" xfId="0" applyFont="1"/>
    <xf numFmtId="0" fontId="2" fillId="0" borderId="7" xfId="3" applyBorder="1"/>
    <xf numFmtId="0" fontId="2" fillId="0" borderId="0" xfId="3"/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2"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11</xdr:row>
          <xdr:rowOff>47625</xdr:rowOff>
        </xdr:from>
        <xdr:to>
          <xdr:col>3</xdr:col>
          <xdr:colOff>523875</xdr:colOff>
          <xdr:row>12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_akiwacu/Desktop/Marc%20test%203/PERS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PERS TCD"/>
      <sheetName val="PERS"/>
      <sheetName val="Résumé Ecarts"/>
      <sheetName val="EACs"/>
      <sheetName val="EAC à supprimer"/>
      <sheetName val="GFIT TCD"/>
      <sheetName val="GFIT"/>
      <sheetName val="C03 Maître"/>
      <sheetName val="C08 IQ Dédiés"/>
      <sheetName val="C11 Nb Serv"/>
      <sheetName val="Critères PERS"/>
      <sheetName val="Param"/>
      <sheetName val="EAC_DATA"/>
      <sheetName val="PERS 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>
        <row r="4">
          <cell r="B4" t="str">
            <v>BACKUP</v>
          </cell>
          <cell r="C4">
            <v>1.43</v>
          </cell>
          <cell r="F4">
            <v>1</v>
          </cell>
          <cell r="H4" t="str">
            <v>S0</v>
          </cell>
          <cell r="I4">
            <v>0.7</v>
          </cell>
          <cell r="K4" t="str">
            <v>S0</v>
          </cell>
          <cell r="L4">
            <v>0.7</v>
          </cell>
          <cell r="N4">
            <v>1</v>
          </cell>
          <cell r="O4">
            <v>2</v>
          </cell>
          <cell r="Q4" t="str">
            <v>S1</v>
          </cell>
          <cell r="R4">
            <v>2</v>
          </cell>
          <cell r="T4" t="str">
            <v>S1</v>
          </cell>
          <cell r="U4">
            <v>2</v>
          </cell>
          <cell r="W4" t="str">
            <v>S1</v>
          </cell>
          <cell r="X4">
            <v>1.53</v>
          </cell>
          <cell r="Z4" t="str">
            <v>NbS1</v>
          </cell>
          <cell r="AA4">
            <v>1</v>
          </cell>
          <cell r="AC4" t="str">
            <v>o</v>
          </cell>
          <cell r="AD4">
            <v>1.522</v>
          </cell>
          <cell r="AJ4">
            <v>1.0249999999999999</v>
          </cell>
          <cell r="AL4" t="str">
            <v>Edd0</v>
          </cell>
          <cell r="AM4">
            <v>1</v>
          </cell>
        </row>
        <row r="5">
          <cell r="B5" t="str">
            <v>DEV</v>
          </cell>
          <cell r="C5">
            <v>1</v>
          </cell>
          <cell r="F5">
            <v>0.9</v>
          </cell>
          <cell r="H5" t="str">
            <v>R5</v>
          </cell>
          <cell r="I5">
            <v>0.90800000000000003</v>
          </cell>
          <cell r="K5" t="str">
            <v>R5</v>
          </cell>
          <cell r="L5">
            <v>0.88500000000000001</v>
          </cell>
          <cell r="N5">
            <v>2</v>
          </cell>
          <cell r="O5">
            <v>1.8</v>
          </cell>
          <cell r="Q5" t="str">
            <v>S2</v>
          </cell>
          <cell r="R5">
            <v>1</v>
          </cell>
          <cell r="T5" t="str">
            <v>S2</v>
          </cell>
          <cell r="U5">
            <v>1</v>
          </cell>
          <cell r="W5" t="str">
            <v>S2</v>
          </cell>
          <cell r="X5">
            <v>1.1439999999999999</v>
          </cell>
          <cell r="Z5" t="str">
            <v>NbS2</v>
          </cell>
          <cell r="AA5">
            <v>1.016</v>
          </cell>
          <cell r="AC5" t="str">
            <v>n</v>
          </cell>
          <cell r="AD5">
            <v>1</v>
          </cell>
          <cell r="AJ5">
            <v>1.008</v>
          </cell>
          <cell r="AL5" t="str">
            <v>Edd1</v>
          </cell>
          <cell r="AM5">
            <v>1.1559999999999999</v>
          </cell>
        </row>
        <row r="6">
          <cell r="B6" t="str">
            <v>FORM</v>
          </cell>
          <cell r="C6">
            <v>1.43</v>
          </cell>
          <cell r="H6" t="str">
            <v>R6</v>
          </cell>
          <cell r="I6">
            <v>0.96699999999999997</v>
          </cell>
          <cell r="K6" t="str">
            <v>R6</v>
          </cell>
          <cell r="L6">
            <v>0.94</v>
          </cell>
          <cell r="N6">
            <v>4</v>
          </cell>
          <cell r="O6">
            <v>0.6</v>
          </cell>
          <cell r="Q6" t="str">
            <v>S3</v>
          </cell>
          <cell r="R6">
            <v>0.8</v>
          </cell>
          <cell r="T6" t="str">
            <v>S3</v>
          </cell>
          <cell r="U6">
            <v>0.7</v>
          </cell>
          <cell r="W6" t="str">
            <v>S3</v>
          </cell>
          <cell r="X6">
            <v>0.71499999999999997</v>
          </cell>
          <cell r="Z6" t="str">
            <v>NbS3</v>
          </cell>
          <cell r="AA6">
            <v>1.2509999999999999</v>
          </cell>
          <cell r="AJ6">
            <v>0.95299999999999996</v>
          </cell>
          <cell r="AL6" t="str">
            <v>Edd2</v>
          </cell>
          <cell r="AM6">
            <v>1.3129999999999999</v>
          </cell>
        </row>
        <row r="7">
          <cell r="B7" t="str">
            <v>INTEG</v>
          </cell>
          <cell r="C7">
            <v>1.143</v>
          </cell>
          <cell r="H7" t="str">
            <v>R7</v>
          </cell>
          <cell r="I7">
            <v>1.123</v>
          </cell>
          <cell r="K7" t="str">
            <v>R7</v>
          </cell>
          <cell r="L7">
            <v>1.0880000000000001</v>
          </cell>
          <cell r="N7">
            <v>8</v>
          </cell>
          <cell r="O7">
            <v>0.3</v>
          </cell>
          <cell r="Z7" t="str">
            <v>NbS4</v>
          </cell>
          <cell r="AA7">
            <v>1.9079999999999999</v>
          </cell>
          <cell r="AJ7">
            <v>0.90700000000000003</v>
          </cell>
          <cell r="AL7" t="str">
            <v>Edd3</v>
          </cell>
          <cell r="AM7">
            <v>1.4059999999999999</v>
          </cell>
        </row>
        <row r="8">
          <cell r="B8" t="str">
            <v>PREPROD</v>
          </cell>
          <cell r="C8">
            <v>1.43</v>
          </cell>
          <cell r="H8" t="str">
            <v>N5</v>
          </cell>
          <cell r="I8">
            <v>0.98699999999999999</v>
          </cell>
          <cell r="K8" t="str">
            <v>N5</v>
          </cell>
          <cell r="L8">
            <v>0.97699999999999998</v>
          </cell>
          <cell r="Z8" t="str">
            <v>NbS5</v>
          </cell>
          <cell r="AA8">
            <v>2</v>
          </cell>
          <cell r="AJ8">
            <v>0.84699999999999998</v>
          </cell>
          <cell r="AL8" t="str">
            <v>Edd4</v>
          </cell>
          <cell r="AM8">
            <v>1.5</v>
          </cell>
        </row>
        <row r="9">
          <cell r="B9" t="str">
            <v>PROD</v>
          </cell>
          <cell r="C9">
            <v>1.7170000000000001</v>
          </cell>
          <cell r="H9" t="str">
            <v>N6</v>
          </cell>
          <cell r="I9">
            <v>1.073</v>
          </cell>
          <cell r="K9" t="str">
            <v>N6</v>
          </cell>
          <cell r="L9">
            <v>1.0609999999999999</v>
          </cell>
          <cell r="AJ9">
            <v>0.82</v>
          </cell>
        </row>
        <row r="10">
          <cell r="B10" t="str">
            <v>QUALIF</v>
          </cell>
          <cell r="C10">
            <v>1.43</v>
          </cell>
          <cell r="H10" t="str">
            <v>N7</v>
          </cell>
          <cell r="I10">
            <v>1.3029999999999999</v>
          </cell>
          <cell r="K10" t="str">
            <v>N7</v>
          </cell>
          <cell r="L10">
            <v>1.2829999999999999</v>
          </cell>
          <cell r="AJ10">
            <v>0.79500000000000004</v>
          </cell>
        </row>
        <row r="11">
          <cell r="B11" t="str">
            <v>RECETTE</v>
          </cell>
          <cell r="C11">
            <v>1.43</v>
          </cell>
          <cell r="H11" t="str">
            <v>E5</v>
          </cell>
          <cell r="I11">
            <v>1.056</v>
          </cell>
          <cell r="K11" t="str">
            <v>E5</v>
          </cell>
          <cell r="L11">
            <v>1.0640000000000001</v>
          </cell>
          <cell r="AJ11">
            <v>0.78100000000000003</v>
          </cell>
        </row>
        <row r="12">
          <cell r="B12" t="str">
            <v>PRE_PROD</v>
          </cell>
          <cell r="C12">
            <v>1.43</v>
          </cell>
          <cell r="H12" t="str">
            <v>E6</v>
          </cell>
          <cell r="I12">
            <v>1.1619999999999999</v>
          </cell>
          <cell r="K12" t="str">
            <v>E6</v>
          </cell>
          <cell r="L12">
            <v>1.1679999999999999</v>
          </cell>
          <cell r="AJ12">
            <v>0.78100000000000003</v>
          </cell>
        </row>
        <row r="13">
          <cell r="H13" t="str">
            <v>E7</v>
          </cell>
          <cell r="I13">
            <v>1.4430000000000001</v>
          </cell>
          <cell r="K13" t="str">
            <v>E7</v>
          </cell>
          <cell r="L13">
            <v>1.446</v>
          </cell>
        </row>
        <row r="14">
          <cell r="H14" t="str">
            <v>P5</v>
          </cell>
          <cell r="I14">
            <v>1.2629999999999999</v>
          </cell>
          <cell r="K14" t="str">
            <v>P5</v>
          </cell>
          <cell r="L14">
            <v>1.3240000000000001</v>
          </cell>
        </row>
        <row r="15">
          <cell r="H15" t="str">
            <v>P6</v>
          </cell>
          <cell r="I15">
            <v>1.425</v>
          </cell>
          <cell r="K15" t="str">
            <v>P6</v>
          </cell>
          <cell r="L15">
            <v>1.4910000000000001</v>
          </cell>
        </row>
        <row r="16">
          <cell r="H16" t="str">
            <v>P7</v>
          </cell>
          <cell r="I16">
            <v>1.8560000000000001</v>
          </cell>
          <cell r="K16" t="str">
            <v>P7</v>
          </cell>
          <cell r="L16">
            <v>1.9350000000000001</v>
          </cell>
        </row>
        <row r="17">
          <cell r="H17" t="str">
            <v>S/0</v>
          </cell>
          <cell r="I17">
            <v>0.7</v>
          </cell>
          <cell r="K17" t="str">
            <v>S/0</v>
          </cell>
          <cell r="L17">
            <v>0.7</v>
          </cell>
          <cell r="N17" t="str">
            <v>1h</v>
          </cell>
          <cell r="O17">
            <v>2</v>
          </cell>
        </row>
        <row r="18">
          <cell r="H18" t="str">
            <v>R/5</v>
          </cell>
          <cell r="I18">
            <v>0.90800000000000003</v>
          </cell>
          <cell r="K18" t="str">
            <v>R/5</v>
          </cell>
          <cell r="L18">
            <v>0.88500000000000001</v>
          </cell>
          <cell r="N18" t="str">
            <v>2h</v>
          </cell>
          <cell r="O18">
            <v>1.8</v>
          </cell>
        </row>
        <row r="19">
          <cell r="H19" t="str">
            <v>R/6</v>
          </cell>
          <cell r="I19">
            <v>0.96699999999999997</v>
          </cell>
          <cell r="K19" t="str">
            <v>R/6</v>
          </cell>
          <cell r="L19">
            <v>0.94</v>
          </cell>
          <cell r="N19" t="str">
            <v>4h</v>
          </cell>
          <cell r="O19">
            <v>0.6</v>
          </cell>
        </row>
        <row r="20">
          <cell r="H20" t="str">
            <v>R/7</v>
          </cell>
          <cell r="I20">
            <v>1.123</v>
          </cell>
          <cell r="K20" t="str">
            <v>R/7</v>
          </cell>
          <cell r="L20">
            <v>1.0880000000000001</v>
          </cell>
          <cell r="N20" t="str">
            <v>8h</v>
          </cell>
          <cell r="O20">
            <v>0.3</v>
          </cell>
        </row>
        <row r="21">
          <cell r="H21" t="str">
            <v>N/5</v>
          </cell>
          <cell r="I21">
            <v>0.98699999999999999</v>
          </cell>
          <cell r="K21" t="str">
            <v>N/5</v>
          </cell>
          <cell r="L21">
            <v>0.97699999999999998</v>
          </cell>
        </row>
        <row r="22">
          <cell r="H22" t="str">
            <v>N/6</v>
          </cell>
          <cell r="I22">
            <v>1.073</v>
          </cell>
          <cell r="K22" t="str">
            <v>N/6</v>
          </cell>
          <cell r="L22">
            <v>1.0609999999999999</v>
          </cell>
        </row>
        <row r="23">
          <cell r="H23" t="str">
            <v>N/7</v>
          </cell>
          <cell r="I23">
            <v>1.3029999999999999</v>
          </cell>
          <cell r="K23" t="str">
            <v>N/7</v>
          </cell>
          <cell r="L23">
            <v>1.2829999999999999</v>
          </cell>
        </row>
        <row r="24">
          <cell r="H24" t="str">
            <v>E/5</v>
          </cell>
          <cell r="I24">
            <v>1.056</v>
          </cell>
          <cell r="K24" t="str">
            <v>E/5</v>
          </cell>
          <cell r="L24">
            <v>1.0640000000000001</v>
          </cell>
        </row>
        <row r="25">
          <cell r="H25" t="str">
            <v>E/6</v>
          </cell>
          <cell r="I25">
            <v>1.1619999999999999</v>
          </cell>
          <cell r="K25" t="str">
            <v>E/6</v>
          </cell>
          <cell r="L25">
            <v>1.1679999999999999</v>
          </cell>
        </row>
        <row r="26">
          <cell r="H26" t="str">
            <v>E/7</v>
          </cell>
          <cell r="I26">
            <v>1.4430000000000001</v>
          </cell>
          <cell r="K26" t="str">
            <v>E/7</v>
          </cell>
          <cell r="L26">
            <v>1.446</v>
          </cell>
        </row>
        <row r="27">
          <cell r="H27" t="str">
            <v>P/5</v>
          </cell>
          <cell r="I27">
            <v>1.2629999999999999</v>
          </cell>
          <cell r="K27" t="str">
            <v>P/5</v>
          </cell>
          <cell r="L27">
            <v>1.3240000000000001</v>
          </cell>
        </row>
        <row r="28">
          <cell r="H28" t="str">
            <v>P/6</v>
          </cell>
          <cell r="I28">
            <v>1.425</v>
          </cell>
          <cell r="K28" t="str">
            <v>P/6</v>
          </cell>
          <cell r="L28">
            <v>1.4910000000000001</v>
          </cell>
        </row>
        <row r="29">
          <cell r="H29" t="str">
            <v>P/7</v>
          </cell>
          <cell r="I29">
            <v>1.8560000000000001</v>
          </cell>
          <cell r="K29" t="str">
            <v>P/7</v>
          </cell>
          <cell r="L29">
            <v>1.9350000000000001</v>
          </cell>
        </row>
      </sheetData>
      <sheetData sheetId="12">
        <row r="2">
          <cell r="E2">
            <v>134.71</v>
          </cell>
        </row>
        <row r="4">
          <cell r="E4">
            <v>0.99150000000000005</v>
          </cell>
          <cell r="F4">
            <v>0.98850000000000005</v>
          </cell>
        </row>
      </sheetData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O9"/>
  <sheetViews>
    <sheetView tabSelected="1" workbookViewId="0">
      <selection activeCell="E8" sqref="E8"/>
    </sheetView>
  </sheetViews>
  <sheetFormatPr baseColWidth="10" defaultRowHeight="15" x14ac:dyDescent="0.25"/>
  <sheetData>
    <row r="1" spans="1:67" s="20" customFormat="1" ht="11.25" x14ac:dyDescent="0.2">
      <c r="A1" s="1" t="e">
        <f>YEAR([1]!Tab_GFIT[[#This Row],[Perim]])&amp;TEXT(MONTH([1]!Tab_GFIT[[#This Row],[Perim]]),"00")&amp;[1]!Tab_GFIT[[#This Row],[Nom environnement]]&amp;[1]!Tab_GFIT[[#This Row],[Nom service]]&amp;[1]!Tab_GFIT[[#This Row],[Nom instance]]</f>
        <v>#REF!</v>
      </c>
      <c r="B1" s="2" t="s">
        <v>0</v>
      </c>
      <c r="C1" s="3" t="e">
        <f>IF([1]!Tab_GFIT[[#This Row],[PEDSIN / hors PEDSIN]]="PEDSIN","PEDSIN",VLOOKUP([1]!Tab_GFIT[[#This Row],[Plateau OSI]],[1]!OSI_OTP[#All],2,FALSE))</f>
        <v>#REF!</v>
      </c>
      <c r="D1" s="4" t="e">
        <f>VLOOKUP([1]!Tab_GFIT[[#This Row],[EAC_Mois]],[1]!Tab_PERS[[EAC_Mois]:[Mois Entrée en phase opérationnelle]],102,FALSE)</f>
        <v>#REF!</v>
      </c>
      <c r="E1" s="5" t="e">
        <f>[1]!Tab_GFIT[[#This Row],[Valorisation (€)]]*IF([1]!Tab_GFIT[[#This Row],[Perim]]&lt;[1]Param!$F$3,REMISE_CA,REMISE_CA115)</f>
        <v>#REF!</v>
      </c>
      <c r="F1" s="6" t="s">
        <v>1</v>
      </c>
      <c r="G1" s="7" t="s">
        <v>26</v>
      </c>
      <c r="H1" s="7" t="s">
        <v>2</v>
      </c>
      <c r="I1" s="7" t="s">
        <v>3</v>
      </c>
      <c r="J1" s="7" t="s">
        <v>23</v>
      </c>
      <c r="K1" s="7" t="s">
        <v>4</v>
      </c>
      <c r="L1" s="7">
        <v>1.3480000000000001</v>
      </c>
      <c r="M1" s="7">
        <v>2454.645</v>
      </c>
      <c r="N1" s="7" t="s">
        <v>5</v>
      </c>
      <c r="O1" s="8" t="s">
        <v>6</v>
      </c>
      <c r="P1" s="8" t="s">
        <v>7</v>
      </c>
      <c r="Q1" s="8" t="s">
        <v>8</v>
      </c>
      <c r="R1" s="8" t="s">
        <v>8</v>
      </c>
      <c r="S1" s="8" t="s">
        <v>9</v>
      </c>
      <c r="T1" s="8" t="s">
        <v>10</v>
      </c>
      <c r="U1" s="8" t="s">
        <v>11</v>
      </c>
      <c r="V1" s="8" t="s">
        <v>11</v>
      </c>
      <c r="W1" s="8" t="s">
        <v>12</v>
      </c>
      <c r="X1" s="8" t="s">
        <v>13</v>
      </c>
      <c r="Y1" s="8">
        <v>44</v>
      </c>
      <c r="Z1" s="8" t="s">
        <v>5</v>
      </c>
      <c r="AA1" s="8" t="s">
        <v>5</v>
      </c>
      <c r="AB1" s="8" t="s">
        <v>14</v>
      </c>
      <c r="AC1" s="8">
        <v>2</v>
      </c>
      <c r="AD1" s="8" t="s">
        <v>29</v>
      </c>
      <c r="AE1" s="9" t="s">
        <v>3</v>
      </c>
      <c r="AF1" s="10" t="s">
        <v>1</v>
      </c>
      <c r="AG1" s="11" t="e">
        <f>VLOOKUP([1]!Tab_GFIT[[#This Row],[Nom environnement]],CritC01,2,FALSE)</f>
        <v>#REF!</v>
      </c>
      <c r="AH1" s="12" t="e">
        <f>IF(OR(LEFT([1]!Tab_GFIT[[#This Row],[Nom instance]],6)='[1]Critères PERS'!$E$4,LEFT([1]!Tab_GFIT[[#This Row],[Nom instance]],6)='[1]Critères PERS'!$E$6,RIGHT([1]!Tab_GFIT[[#This Row],[Nom instance]],6)='[1]Critères PERS'!$E$4,RIGHT([1]!Tab_GFIT[[#This Row],[Nom instance]],6)='[1]Critères PERS'!$E$6),'[1]Critères PERS'!$F$4,'[1]Critères PERS'!$F$5)</f>
        <v>#REF!</v>
      </c>
      <c r="AI1" s="12" t="str">
        <f>IFERROR(VLOOKUP([1]!Tab_GFIT[[#This Row],[c04]],CritC04,2,FALSE),"")</f>
        <v/>
      </c>
      <c r="AJ1" s="12" t="str">
        <f>IFERROR(VLOOKUP([1]!Tab_GFIT[[#This Row],[c05]],CritC05,2,FALSE),"")</f>
        <v/>
      </c>
      <c r="AK1" s="12" t="e">
        <f>IF(ISNA(VLOOKUP([1]!Tab_GFIT[[#This Row],[c07]],CritC07,2,FALSE)),1,VLOOKUP([1]!Tab_GFIT[[#This Row],[c07]],CritC07,2,FALSE))</f>
        <v>#REF!</v>
      </c>
      <c r="AL1" s="12" t="str">
        <f>IFERROR(VLOOKUP([1]!Tab_GFIT[[#This Row],[c08]],CritC08,2,FALSE),"")</f>
        <v/>
      </c>
      <c r="AM1" s="12" t="str">
        <f>IFERROR(VLOOKUP([1]!Tab_GFIT[[#This Row],[c09]],CritC09,2,FALSE),"")</f>
        <v/>
      </c>
      <c r="AN1" s="12" t="str">
        <f>IFERROR(VLOOKUP([1]!Tab_GFIT[[#This Row],[c10]],CritC10,2,FALSE),"")</f>
        <v/>
      </c>
      <c r="AO1" s="12" t="e">
        <f>IF(ISNA(VLOOKUP([1]!Tab_GFIT[[#This Row],[c11]],CritC11,2,FALSE)),2,VLOOKUP([1]!Tab_GFIT[[#This Row],[c11]],CritC11,2,FALSE))</f>
        <v>#REF!</v>
      </c>
      <c r="AP1" s="12" t="e">
        <f>IF(OR([1]!Tab_GFIT[[#This Row],[c15]]="C15_ISIM1",AND([1]!Tab_GFIT[[#This Row],[c15]]="C15_Projet",[1]Param!$C$52=TRUE)),IF(ISERROR(VLOOKUP([1]!Tab_GFIT[[#This Row],[Nom environnement]]&amp;[1]!Tab_GFIT[[#This Row],[Nom service]]&amp;[1]!Tab_GFIT[[#This Row],[Nom instance]],[1]Param!$E$40:$E$49,1,FALSE)),1.54,IF(VLOOKUP([1]!Tab_GFIT[[#This Row],[Nom environnement]]&amp;[1]!Tab_GFIT[[#This Row],[Nom service]]&amp;[1]!Tab_GFIT[[#This Row],[Nom instance]],[1]Param!$E$40:$F$49,2,FALSE)&gt;[1]!Tab_GFIT[[#This Row],[Perim]],2,1.54)),0)</f>
        <v>#REF!</v>
      </c>
      <c r="AQ1" s="12" t="e">
        <f>IF(OR([1]!Tab_GFIT[[#This Row],[c16]]&lt;13,AND([1]!Tab_GFIT[[#This Row],[c15]]="C15_Projet",[1]Param!$C$53=TRUE)),CritC16_12m,IF([1]!Tab_GFIT[[#This Row],[c16]]&lt;25,CritC16_24m,IF([1]!Tab_GFIT[[#This Row],[c16]]&lt;37,CritC16_36m,IF([1]!Tab_GFIT[[#This Row],[c16]]&lt;49,CritC16_48m,IF([1]!Tab_GFIT[[#This Row],[c16]]&lt;61,CritC16_60m,IF([1]!Tab_GFIT[[#This Row],[c16]]&lt;73,CritC16_72m,IF([1]!Tab_GFIT[[#This Row],[c16]]&lt;85,CritC16_84m,IF([1]!Tab_GFIT[[#This Row],[c16]]&lt;97,CritC16_96m,CritC16_sup96m))))))))</f>
        <v>#REF!</v>
      </c>
      <c r="AR1" s="12" t="e">
        <f>IF(ISNA(VLOOKUP([1]!Tab_GFIT[[#This Row],[c18]],CritC18,2,FALSE)),1,VLOOKUP([1]!Tab_GFIT[[#This Row],[c18]],CritC18,2,FALSE))</f>
        <v>#REF!</v>
      </c>
      <c r="AS1" s="12" t="e">
        <f>IF([1]!Tab_GFIT[[#This Row],[c19]]="NON",1,0)</f>
        <v>#REF!</v>
      </c>
      <c r="AT1" s="12" t="e">
        <f>IF(ISNA(VLOOKUP([1]!Tab_GFIT[[#This Row],[c21]],CritC21,2,FALSE)),1,VLOOKUP([1]!Tab_GFIT[[#This Row],[c21]],CritC21,2,FALSE))</f>
        <v>#REF!</v>
      </c>
      <c r="AU1" s="13" t="e">
        <f>[1]!Tab_GFIT[[#This Row],[c25]]</f>
        <v>#REF!</v>
      </c>
      <c r="AV1" s="14" t="str">
        <f>IFERROR([1]!Tab_GFIT[[#This Row],[coef_c01]]*[1]!Tab_GFIT[[#This Row],[coef_c03]]*[1]!Tab_GFIT[[#This Row],[coef_c04]]*[1]!Tab_GFIT[[#This Row],[coef_c05]]*[1]!Tab_GFIT[[#This Row],[coef_c07]]*[1]!Tab_GFIT[[#This Row],[coef_c08]]*[1]!Tab_GFIT[[#This Row],[coef_c09]]*[1]!Tab_GFIT[[#This Row],[coef_c10]]*[1]!Tab_GFIT[[#This Row],[coef_c11]]*[1]!Tab_GFIT[[#This Row],[coef_c15]]*[1]!Tab_GFIT[[#This Row],[coef_c16]]*[1]!Tab_GFIT[[#This Row],[coef_c18]]*[1]!Tab_GFIT[[#This Row],[coef_c19]]*[1]!Tab_GFIT[[#This Row],[coef_c21]]*[1]!Tab_GFIT[[#This Row],[coef_c25]],"")</f>
        <v/>
      </c>
      <c r="AW1" s="15" t="str">
        <f>IFERROR([1]!Tab_GFIT[[#This Row],[Poids Calc]]*Coeff_PRX05,"")</f>
        <v/>
      </c>
      <c r="AX1" s="16">
        <f>IFERROR(ROUND([1]!Tab_GFIT[[#This Row],[Poids Calc]]-[1]!Tab_GFIT[[#This Row],[UO final]],3),0)</f>
        <v>0</v>
      </c>
      <c r="AY1" s="17">
        <f>IFERROR(ROUND([1]!Tab_GFIT[[#This Row],[Valorisation Calc]]-[1]!Tab_GFIT[[#This Row],[Valorisation (€)]],3),0)</f>
        <v>0</v>
      </c>
      <c r="AZ1" s="11" t="e">
        <f>VLOOKUP([1]!Tab_GFIT[[#This Row],[EAC_Mois]],[1]!Tab_PERS[EAC_Mois],1,FALSE)</f>
        <v>#REF!</v>
      </c>
      <c r="BA1" s="12" t="e">
        <f>VLOOKUP([1]!Tab_GFIT[[#This Row],[EAC_Mois]],[1]!Tab_PERS[[EAC_Mois]:[C25]],52,FALSE)</f>
        <v>#REF!</v>
      </c>
      <c r="BB1" s="12" t="e">
        <f>VLOOKUP([1]!Tab_GFIT[[#This Row],[EAC_Mois]],[1]!Tab_PERS[[EAC_Mois]:[C25]],53,FALSE)</f>
        <v>#REF!</v>
      </c>
      <c r="BC1" s="12" t="e">
        <f>VLOOKUP([1]!Tab_GFIT[[#This Row],[EAC_Mois]],[1]!Tab_PERS[[EAC_Mois]:[C25]],55,FALSE)</f>
        <v>#REF!</v>
      </c>
      <c r="BD1" s="12" t="e">
        <f>VLOOKUP([1]!Tab_GFIT[[#This Row],[EAC_Mois]],[1]!Tab_PERS[[EAC_Mois]:[C25]],56,FALSE)</f>
        <v>#REF!</v>
      </c>
      <c r="BE1" s="12" t="e">
        <f>VLOOKUP([1]!Tab_GFIT[[#This Row],[EAC_Mois]],[1]!Tab_PERS[[EAC_Mois]:[C25]],57,FALSE)</f>
        <v>#REF!</v>
      </c>
      <c r="BF1" s="12" t="e">
        <f>VLOOKUP([1]!Tab_GFIT[[#This Row],[EAC_Mois]],[1]!Tab_PERS[[EAC_Mois]:[C25]],58,FALSE)</f>
        <v>#REF!</v>
      </c>
      <c r="BG1" s="12" t="e">
        <f>VLOOKUP([1]!Tab_GFIT[[#This Row],[EAC_Mois]],[1]!Tab_PERS[[EAC_Mois]:[C25]],59,FALSE)</f>
        <v>#REF!</v>
      </c>
      <c r="BH1" s="12" t="e">
        <f>VLOOKUP([1]!Tab_GFIT[[#This Row],[EAC_Mois]],[1]!Tab_PERS[[EAC_Mois]:[C25]],63,FALSE)</f>
        <v>#REF!</v>
      </c>
      <c r="BI1" s="12" t="e">
        <f>VLOOKUP([1]!Tab_GFIT[[#This Row],[EAC_Mois]],[1]!Tab_PERS[[EAC_Mois]:[C25]],64,FALSE)</f>
        <v>#REF!</v>
      </c>
      <c r="BJ1" s="12" t="e">
        <f>VLOOKUP([1]!Tab_GFIT[[#This Row],[EAC_Mois]],[1]!Tab_PERS[[EAC_Mois]:[C25]],66,FALSE)</f>
        <v>#REF!</v>
      </c>
      <c r="BK1" s="12" t="e">
        <f>VLOOKUP([1]!Tab_GFIT[[#This Row],[EAC_Mois]],[1]!Tab_PERS[[EAC_Mois]:[C25]],67,FALSE)</f>
        <v>#REF!</v>
      </c>
      <c r="BL1" s="12" t="e">
        <f>VLOOKUP([1]!Tab_GFIT[[#This Row],[EAC_Mois]],[1]!Tab_PERS[[EAC_Mois]:[C25]],69,FALSE)</f>
        <v>#REF!</v>
      </c>
      <c r="BM1" s="13" t="e">
        <f>VLOOKUP([1]!Tab_GFIT[[#This Row],[EAC_Mois]],[1]!Tab_PERS[[EAC_Mois]:[C25]],73,FALSE)</f>
        <v>#REF!</v>
      </c>
      <c r="BN1" s="18" t="e">
        <f>ROUND(VLOOKUP([1]!Tab_GFIT[[#This Row],[Vérification Export PERS]],[1]!Tab_PERS[[EAC_Mois]:[Prix d''UO
des EAC]],90,FALSE),3)</f>
        <v>#REF!</v>
      </c>
      <c r="BO1" s="19" t="str">
        <f>IFERROR(ROUND([1]!Tab_GFIT[[#This Row],[Valorisation PERS]]-[1]!Tab_GFIT[[#This Row],[Valorisation Calc]],2),"")</f>
        <v/>
      </c>
    </row>
    <row r="2" spans="1:67" s="20" customFormat="1" ht="11.25" x14ac:dyDescent="0.2">
      <c r="A2" s="1" t="e">
        <f>YEAR([1]!Tab_GFIT[[#This Row],[Perim]])&amp;TEXT(MONTH([1]!Tab_GFIT[[#This Row],[Perim]]),"00")&amp;[1]!Tab_GFIT[[#This Row],[Nom environnement]]&amp;[1]!Tab_GFIT[[#This Row],[Nom service]]&amp;[1]!Tab_GFIT[[#This Row],[Nom instance]]</f>
        <v>#REF!</v>
      </c>
      <c r="B2" s="2" t="s">
        <v>0</v>
      </c>
      <c r="C2" s="3" t="e">
        <f>IF([1]!Tab_GFIT[[#This Row],[PEDSIN / hors PEDSIN]]="PEDSIN","PEDSIN",VLOOKUP([1]!Tab_GFIT[[#This Row],[Plateau OSI]],[1]!OSI_OTP[#All],2,FALSE))</f>
        <v>#REF!</v>
      </c>
      <c r="D2" s="4" t="e">
        <f>VLOOKUP([1]!Tab_GFIT[[#This Row],[EAC_Mois]],[1]!Tab_PERS[[EAC_Mois]:[Mois Entrée en phase opérationnelle]],102,FALSE)</f>
        <v>#REF!</v>
      </c>
      <c r="E2" s="5" t="e">
        <f>E3</f>
        <v>#REF!</v>
      </c>
      <c r="F2" s="6" t="s">
        <v>15</v>
      </c>
      <c r="G2" s="7" t="s">
        <v>27</v>
      </c>
      <c r="H2" s="7" t="s">
        <v>2</v>
      </c>
      <c r="I2" s="7" t="s">
        <v>3</v>
      </c>
      <c r="J2" s="7" t="s">
        <v>24</v>
      </c>
      <c r="K2" s="7" t="s">
        <v>16</v>
      </c>
      <c r="L2" s="7">
        <v>6.4509999999999996</v>
      </c>
      <c r="M2" s="7">
        <v>1545.4862000000001</v>
      </c>
      <c r="N2" s="7" t="s">
        <v>5</v>
      </c>
      <c r="O2" s="8" t="s">
        <v>6</v>
      </c>
      <c r="P2" s="8" t="s">
        <v>17</v>
      </c>
      <c r="Q2" s="8" t="s">
        <v>18</v>
      </c>
      <c r="R2" s="8" t="s">
        <v>18</v>
      </c>
      <c r="S2" s="8" t="s">
        <v>19</v>
      </c>
      <c r="T2" s="8" t="s">
        <v>10</v>
      </c>
      <c r="U2" s="8" t="s">
        <v>10</v>
      </c>
      <c r="V2" s="8" t="s">
        <v>20</v>
      </c>
      <c r="W2" s="8" t="s">
        <v>21</v>
      </c>
      <c r="X2" s="8" t="s">
        <v>13</v>
      </c>
      <c r="Y2" s="8">
        <v>44</v>
      </c>
      <c r="Z2" s="8" t="s">
        <v>5</v>
      </c>
      <c r="AA2" s="8" t="s">
        <v>5</v>
      </c>
      <c r="AB2" s="8" t="s">
        <v>14</v>
      </c>
      <c r="AC2" s="8">
        <v>2</v>
      </c>
      <c r="AD2" s="8" t="s">
        <v>30</v>
      </c>
      <c r="AE2" s="9" t="s">
        <v>3</v>
      </c>
      <c r="AF2" s="10" t="s">
        <v>15</v>
      </c>
      <c r="AG2" s="11" t="e">
        <f>VLOOKUP([1]!Tab_GFIT[[#This Row],[Nom environnement]],CritC01,2,FALSE)</f>
        <v>#REF!</v>
      </c>
      <c r="AH2" s="12" t="e">
        <f>IF(OR(LEFT([1]!Tab_GFIT[[#This Row],[Nom instance]],6)='[1]Critères PERS'!$E$4,LEFT([1]!Tab_GFIT[[#This Row],[Nom instance]],6)='[1]Critères PERS'!$E$6,RIGHT([1]!Tab_GFIT[[#This Row],[Nom instance]],6)='[1]Critères PERS'!$E$4,RIGHT([1]!Tab_GFIT[[#This Row],[Nom instance]],6)='[1]Critères PERS'!$E$6),'[1]Critères PERS'!$F$4,'[1]Critères PERS'!$F$5)</f>
        <v>#REF!</v>
      </c>
      <c r="AI2" s="12" t="str">
        <f>IFERROR(VLOOKUP([1]!Tab_GFIT[[#This Row],[c04]],CritC04,2,FALSE),"")</f>
        <v/>
      </c>
      <c r="AJ2" s="12" t="str">
        <f>IFERROR(VLOOKUP([1]!Tab_GFIT[[#This Row],[c05]],CritC05,2,FALSE),"")</f>
        <v/>
      </c>
      <c r="AK2" s="12" t="e">
        <f>IF(ISNA(VLOOKUP([1]!Tab_GFIT[[#This Row],[c07]],CritC07,2,FALSE)),1,VLOOKUP([1]!Tab_GFIT[[#This Row],[c07]],CritC07,2,FALSE))</f>
        <v>#REF!</v>
      </c>
      <c r="AL2" s="12" t="str">
        <f>IFERROR(VLOOKUP([1]!Tab_GFIT[[#This Row],[c08]],CritC08,2,FALSE),"")</f>
        <v/>
      </c>
      <c r="AM2" s="12" t="str">
        <f>IFERROR(VLOOKUP([1]!Tab_GFIT[[#This Row],[c09]],CritC09,2,FALSE),"")</f>
        <v/>
      </c>
      <c r="AN2" s="12" t="str">
        <f>IFERROR(VLOOKUP([1]!Tab_GFIT[[#This Row],[c10]],CritC10,2,FALSE),"")</f>
        <v/>
      </c>
      <c r="AO2" s="12" t="e">
        <f>IF(ISNA(VLOOKUP([1]!Tab_GFIT[[#This Row],[c11]],CritC11,2,FALSE)),2,VLOOKUP([1]!Tab_GFIT[[#This Row],[c11]],CritC11,2,FALSE))</f>
        <v>#REF!</v>
      </c>
      <c r="AP2" s="12" t="e">
        <f>IF(OR([1]!Tab_GFIT[[#This Row],[c15]]="C15_ISIM1",AND([1]!Tab_GFIT[[#This Row],[c15]]="C15_Projet",[1]Param!$C$52=TRUE)),IF(ISERROR(VLOOKUP([1]!Tab_GFIT[[#This Row],[Nom environnement]]&amp;[1]!Tab_GFIT[[#This Row],[Nom service]]&amp;[1]!Tab_GFIT[[#This Row],[Nom instance]],[1]Param!$E$40:$E$49,1,FALSE)),1.54,IF(VLOOKUP([1]!Tab_GFIT[[#This Row],[Nom environnement]]&amp;[1]!Tab_GFIT[[#This Row],[Nom service]]&amp;[1]!Tab_GFIT[[#This Row],[Nom instance]],[1]Param!$E$40:$F$49,2,FALSE)&gt;[1]!Tab_GFIT[[#This Row],[Perim]],2,1.54)),0)</f>
        <v>#REF!</v>
      </c>
      <c r="AQ2" s="12" t="e">
        <f>IF(OR([1]!Tab_GFIT[[#This Row],[c16]]&lt;13,AND([1]!Tab_GFIT[[#This Row],[c15]]="C15_Projet",[1]Param!$C$53=TRUE)),CritC16_12m,IF([1]!Tab_GFIT[[#This Row],[c16]]&lt;25,CritC16_24m,IF([1]!Tab_GFIT[[#This Row],[c16]]&lt;37,CritC16_36m,IF([1]!Tab_GFIT[[#This Row],[c16]]&lt;49,CritC16_48m,IF([1]!Tab_GFIT[[#This Row],[c16]]&lt;61,CritC16_60m,IF([1]!Tab_GFIT[[#This Row],[c16]]&lt;73,CritC16_72m,IF([1]!Tab_GFIT[[#This Row],[c16]]&lt;85,CritC16_84m,IF([1]!Tab_GFIT[[#This Row],[c16]]&lt;97,CritC16_96m,CritC16_sup96m))))))))</f>
        <v>#REF!</v>
      </c>
      <c r="AR2" s="12" t="e">
        <f>IF(ISNA(VLOOKUP([1]!Tab_GFIT[[#This Row],[c18]],CritC18,2,FALSE)),1,VLOOKUP([1]!Tab_GFIT[[#This Row],[c18]],CritC18,2,FALSE))</f>
        <v>#REF!</v>
      </c>
      <c r="AS2" s="12" t="e">
        <f>IF([1]!Tab_GFIT[[#This Row],[c19]]="NON",1,0)</f>
        <v>#REF!</v>
      </c>
      <c r="AT2" s="12" t="e">
        <f>IF(ISNA(VLOOKUP([1]!Tab_GFIT[[#This Row],[c21]],CritC21,2,FALSE)),1,VLOOKUP([1]!Tab_GFIT[[#This Row],[c21]],CritC21,2,FALSE))</f>
        <v>#REF!</v>
      </c>
      <c r="AU2" s="13" t="e">
        <f>[1]!Tab_GFIT[[#This Row],[c25]]</f>
        <v>#REF!</v>
      </c>
      <c r="AV2" s="14" t="str">
        <f>IFERROR([1]!Tab_GFIT[[#This Row],[coef_c01]]*[1]!Tab_GFIT[[#This Row],[coef_c03]]*[1]!Tab_GFIT[[#This Row],[coef_c04]]*[1]!Tab_GFIT[[#This Row],[coef_c05]]*[1]!Tab_GFIT[[#This Row],[coef_c07]]*[1]!Tab_GFIT[[#This Row],[coef_c08]]*[1]!Tab_GFIT[[#This Row],[coef_c09]]*[1]!Tab_GFIT[[#This Row],[coef_c10]]*[1]!Tab_GFIT[[#This Row],[coef_c11]]*[1]!Tab_GFIT[[#This Row],[coef_c15]]*[1]!Tab_GFIT[[#This Row],[coef_c16]]*[1]!Tab_GFIT[[#This Row],[coef_c18]]*[1]!Tab_GFIT[[#This Row],[coef_c19]]*[1]!Tab_GFIT[[#This Row],[coef_c21]]*[1]!Tab_GFIT[[#This Row],[coef_c25]],"")</f>
        <v/>
      </c>
      <c r="AW2" s="15" t="str">
        <f>IFERROR([1]!Tab_GFIT[[#This Row],[Poids Calc]]*Coeff_PRX05,"")</f>
        <v/>
      </c>
      <c r="AX2" s="16">
        <f>IFERROR(ROUND([1]!Tab_GFIT[[#This Row],[Poids Calc]]-[1]!Tab_GFIT[[#This Row],[UO final]],3),0)</f>
        <v>0</v>
      </c>
      <c r="AY2" s="17">
        <f>IFERROR(ROUND([1]!Tab_GFIT[[#This Row],[Valorisation Calc]]-[1]!Tab_GFIT[[#This Row],[Valorisation (€)]],3),0)</f>
        <v>0</v>
      </c>
      <c r="AZ2" s="11" t="e">
        <f>VLOOKUP([1]!Tab_GFIT[[#This Row],[EAC_Mois]],[1]!Tab_PERS[EAC_Mois],1,FALSE)</f>
        <v>#REF!</v>
      </c>
      <c r="BA2" s="12" t="e">
        <f>VLOOKUP([1]!Tab_GFIT[[#This Row],[EAC_Mois]],[1]!Tab_PERS[[EAC_Mois]:[C25]],52,FALSE)</f>
        <v>#REF!</v>
      </c>
      <c r="BB2" s="12" t="e">
        <f>VLOOKUP([1]!Tab_GFIT[[#This Row],[EAC_Mois]],[1]!Tab_PERS[[EAC_Mois]:[C25]],53,FALSE)</f>
        <v>#REF!</v>
      </c>
      <c r="BC2" s="12" t="e">
        <f>VLOOKUP([1]!Tab_GFIT[[#This Row],[EAC_Mois]],[1]!Tab_PERS[[EAC_Mois]:[C25]],55,FALSE)</f>
        <v>#REF!</v>
      </c>
      <c r="BD2" s="12" t="e">
        <f>VLOOKUP([1]!Tab_GFIT[[#This Row],[EAC_Mois]],[1]!Tab_PERS[[EAC_Mois]:[C25]],56,FALSE)</f>
        <v>#REF!</v>
      </c>
      <c r="BE2" s="12" t="e">
        <f>VLOOKUP([1]!Tab_GFIT[[#This Row],[EAC_Mois]],[1]!Tab_PERS[[EAC_Mois]:[C25]],57,FALSE)</f>
        <v>#REF!</v>
      </c>
      <c r="BF2" s="12" t="e">
        <f>VLOOKUP([1]!Tab_GFIT[[#This Row],[EAC_Mois]],[1]!Tab_PERS[[EAC_Mois]:[C25]],58,FALSE)</f>
        <v>#REF!</v>
      </c>
      <c r="BG2" s="12" t="e">
        <f>VLOOKUP([1]!Tab_GFIT[[#This Row],[EAC_Mois]],[1]!Tab_PERS[[EAC_Mois]:[C25]],59,FALSE)</f>
        <v>#REF!</v>
      </c>
      <c r="BH2" s="12" t="e">
        <f>VLOOKUP([1]!Tab_GFIT[[#This Row],[EAC_Mois]],[1]!Tab_PERS[[EAC_Mois]:[C25]],63,FALSE)</f>
        <v>#REF!</v>
      </c>
      <c r="BI2" s="12" t="e">
        <f>VLOOKUP([1]!Tab_GFIT[[#This Row],[EAC_Mois]],[1]!Tab_PERS[[EAC_Mois]:[C25]],64,FALSE)</f>
        <v>#REF!</v>
      </c>
      <c r="BJ2" s="12" t="e">
        <f>VLOOKUP([1]!Tab_GFIT[[#This Row],[EAC_Mois]],[1]!Tab_PERS[[EAC_Mois]:[C25]],66,FALSE)</f>
        <v>#REF!</v>
      </c>
      <c r="BK2" s="12" t="e">
        <f>VLOOKUP([1]!Tab_GFIT[[#This Row],[EAC_Mois]],[1]!Tab_PERS[[EAC_Mois]:[C25]],67,FALSE)</f>
        <v>#REF!</v>
      </c>
      <c r="BL2" s="12" t="e">
        <f>VLOOKUP([1]!Tab_GFIT[[#This Row],[EAC_Mois]],[1]!Tab_PERS[[EAC_Mois]:[C25]],69,FALSE)</f>
        <v>#REF!</v>
      </c>
      <c r="BM2" s="13" t="e">
        <f>VLOOKUP([1]!Tab_GFIT[[#This Row],[EAC_Mois]],[1]!Tab_PERS[[EAC_Mois]:[C25]],73,FALSE)</f>
        <v>#REF!</v>
      </c>
      <c r="BN2" s="18" t="e">
        <f>ROUND(VLOOKUP([1]!Tab_GFIT[[#This Row],[Vérification Export PERS]],[1]!Tab_PERS[[EAC_Mois]:[Prix d''UO
des EAC]],90,FALSE),3)</f>
        <v>#REF!</v>
      </c>
      <c r="BO2" s="19" t="str">
        <f>IFERROR(ROUND([1]!Tab_GFIT[[#This Row],[Valorisation PERS]]-[1]!Tab_GFIT[[#This Row],[Valorisation Calc]],2),"")</f>
        <v/>
      </c>
    </row>
    <row r="3" spans="1:67" s="20" customFormat="1" ht="11.25" x14ac:dyDescent="0.2">
      <c r="A3" s="1" t="e">
        <f>YEAR([1]!Tab_GFIT[[#This Row],[Perim]])&amp;TEXT(MONTH([1]!Tab_GFIT[[#This Row],[Perim]]),"00")&amp;[1]!Tab_GFIT[[#This Row],[Nom environnement]]&amp;[1]!Tab_GFIT[[#This Row],[Nom service]]&amp;[1]!Tab_GFIT[[#This Row],[Nom instance]]</f>
        <v>#REF!</v>
      </c>
      <c r="B3" s="2" t="s">
        <v>0</v>
      </c>
      <c r="C3" s="3" t="e">
        <f>IF([1]!Tab_GFIT[[#This Row],[PEDSIN / hors PEDSIN]]="PEDSIN","PEDSIN",VLOOKUP([1]!Tab_GFIT[[#This Row],[Plateau OSI]],[1]!OSI_OTP[#All],2,FALSE))</f>
        <v>#REF!</v>
      </c>
      <c r="D3" s="4" t="e">
        <f>VLOOKUP([1]!Tab_GFIT[[#This Row],[EAC_Mois]],[1]!Tab_PERS[[EAC_Mois]:[Mois Entrée en phase opérationnelle]],102,FALSE)</f>
        <v>#REF!</v>
      </c>
      <c r="E3" s="5" t="e">
        <f>[1]!Tab_GFIT[[#This Row],[Valorisation (€)]]*IF([1]!Tab_GFIT[[#This Row],[Perim]]&lt;[1]Param!$F$3,REMISE_CA,REMISE_CA115)</f>
        <v>#REF!</v>
      </c>
      <c r="F3" s="6" t="s">
        <v>15</v>
      </c>
      <c r="G3" s="7" t="s">
        <v>28</v>
      </c>
      <c r="H3" s="7" t="s">
        <v>2</v>
      </c>
      <c r="I3" s="7" t="s">
        <v>3</v>
      </c>
      <c r="J3" s="7" t="s">
        <v>25</v>
      </c>
      <c r="K3" s="7" t="s">
        <v>4</v>
      </c>
      <c r="L3" s="7">
        <v>12.699</v>
      </c>
      <c r="M3" s="7">
        <v>2345.54</v>
      </c>
      <c r="N3" s="7" t="s">
        <v>5</v>
      </c>
      <c r="O3" s="8" t="s">
        <v>6</v>
      </c>
      <c r="P3" s="8" t="s">
        <v>22</v>
      </c>
      <c r="Q3" s="8" t="s">
        <v>18</v>
      </c>
      <c r="R3" s="8" t="s">
        <v>18</v>
      </c>
      <c r="S3" s="8" t="s">
        <v>9</v>
      </c>
      <c r="T3" s="8" t="s">
        <v>10</v>
      </c>
      <c r="U3" s="8" t="s">
        <v>10</v>
      </c>
      <c r="V3" s="8" t="s">
        <v>20</v>
      </c>
      <c r="W3" s="8" t="s">
        <v>12</v>
      </c>
      <c r="X3" s="8" t="s">
        <v>13</v>
      </c>
      <c r="Y3" s="8">
        <v>44</v>
      </c>
      <c r="Z3" s="8" t="s">
        <v>5</v>
      </c>
      <c r="AA3" s="8" t="s">
        <v>5</v>
      </c>
      <c r="AB3" s="8" t="s">
        <v>14</v>
      </c>
      <c r="AC3" s="8">
        <v>2</v>
      </c>
      <c r="AD3" s="8" t="s">
        <v>31</v>
      </c>
      <c r="AE3" s="9" t="s">
        <v>3</v>
      </c>
      <c r="AF3" s="10" t="s">
        <v>15</v>
      </c>
      <c r="AG3" s="11" t="e">
        <f>VLOOKUP([1]!Tab_GFIT[[#This Row],[Nom environnement]],CritC01,2,FALSE)</f>
        <v>#REF!</v>
      </c>
      <c r="AH3" s="12" t="e">
        <f>IF(OR(LEFT([1]!Tab_GFIT[[#This Row],[Nom instance]],6)='[1]Critères PERS'!$E$4,LEFT([1]!Tab_GFIT[[#This Row],[Nom instance]],6)='[1]Critères PERS'!$E$6,RIGHT([1]!Tab_GFIT[[#This Row],[Nom instance]],6)='[1]Critères PERS'!$E$4,RIGHT([1]!Tab_GFIT[[#This Row],[Nom instance]],6)='[1]Critères PERS'!$E$6),'[1]Critères PERS'!$F$4,'[1]Critères PERS'!$F$5)</f>
        <v>#REF!</v>
      </c>
      <c r="AI3" s="12" t="str">
        <f>IFERROR(VLOOKUP([1]!Tab_GFIT[[#This Row],[c04]],CritC04,2,FALSE),"")</f>
        <v/>
      </c>
      <c r="AJ3" s="12" t="str">
        <f>IFERROR(VLOOKUP([1]!Tab_GFIT[[#This Row],[c05]],CritC05,2,FALSE),"")</f>
        <v/>
      </c>
      <c r="AK3" s="12" t="e">
        <f>IF(ISNA(VLOOKUP([1]!Tab_GFIT[[#This Row],[c07]],CritC07,2,FALSE)),1,VLOOKUP([1]!Tab_GFIT[[#This Row],[c07]],CritC07,2,FALSE))</f>
        <v>#REF!</v>
      </c>
      <c r="AL3" s="12" t="str">
        <f>IFERROR(VLOOKUP([1]!Tab_GFIT[[#This Row],[c08]],CritC08,2,FALSE),"")</f>
        <v/>
      </c>
      <c r="AM3" s="12" t="str">
        <f>IFERROR(VLOOKUP([1]!Tab_GFIT[[#This Row],[c09]],CritC09,2,FALSE),"")</f>
        <v/>
      </c>
      <c r="AN3" s="12" t="str">
        <f>IFERROR(VLOOKUP([1]!Tab_GFIT[[#This Row],[c10]],CritC10,2,FALSE),"")</f>
        <v/>
      </c>
      <c r="AO3" s="12" t="e">
        <f>IF(ISNA(VLOOKUP([1]!Tab_GFIT[[#This Row],[c11]],CritC11,2,FALSE)),2,VLOOKUP([1]!Tab_GFIT[[#This Row],[c11]],CritC11,2,FALSE))</f>
        <v>#REF!</v>
      </c>
      <c r="AP3" s="12" t="e">
        <f>IF(OR([1]!Tab_GFIT[[#This Row],[c15]]="C15_ISIM1",AND([1]!Tab_GFIT[[#This Row],[c15]]="C15_Projet",[1]Param!$C$52=TRUE)),IF(ISERROR(VLOOKUP([1]!Tab_GFIT[[#This Row],[Nom environnement]]&amp;[1]!Tab_GFIT[[#This Row],[Nom service]]&amp;[1]!Tab_GFIT[[#This Row],[Nom instance]],[1]Param!$E$40:$E$49,1,FALSE)),1.54,IF(VLOOKUP([1]!Tab_GFIT[[#This Row],[Nom environnement]]&amp;[1]!Tab_GFIT[[#This Row],[Nom service]]&amp;[1]!Tab_GFIT[[#This Row],[Nom instance]],[1]Param!$E$40:$F$49,2,FALSE)&gt;[1]!Tab_GFIT[[#This Row],[Perim]],2,1.54)),0)</f>
        <v>#REF!</v>
      </c>
      <c r="AQ3" s="12" t="e">
        <f>IF(OR([1]!Tab_GFIT[[#This Row],[c16]]&lt;13,AND([1]!Tab_GFIT[[#This Row],[c15]]="C15_Projet",[1]Param!$C$53=TRUE)),CritC16_12m,IF([1]!Tab_GFIT[[#This Row],[c16]]&lt;25,CritC16_24m,IF([1]!Tab_GFIT[[#This Row],[c16]]&lt;37,CritC16_36m,IF([1]!Tab_GFIT[[#This Row],[c16]]&lt;49,CritC16_48m,IF([1]!Tab_GFIT[[#This Row],[c16]]&lt;61,CritC16_60m,IF([1]!Tab_GFIT[[#This Row],[c16]]&lt;73,CritC16_72m,IF([1]!Tab_GFIT[[#This Row],[c16]]&lt;85,CritC16_84m,IF([1]!Tab_GFIT[[#This Row],[c16]]&lt;97,CritC16_96m,CritC16_sup96m))))))))</f>
        <v>#REF!</v>
      </c>
      <c r="AR3" s="12" t="e">
        <f>IF(ISNA(VLOOKUP([1]!Tab_GFIT[[#This Row],[c18]],CritC18,2,FALSE)),1,VLOOKUP([1]!Tab_GFIT[[#This Row],[c18]],CritC18,2,FALSE))</f>
        <v>#REF!</v>
      </c>
      <c r="AS3" s="12" t="e">
        <f>IF([1]!Tab_GFIT[[#This Row],[c19]]="NON",1,0)</f>
        <v>#REF!</v>
      </c>
      <c r="AT3" s="12" t="e">
        <f>IF(ISNA(VLOOKUP([1]!Tab_GFIT[[#This Row],[c21]],CritC21,2,FALSE)),1,VLOOKUP([1]!Tab_GFIT[[#This Row],[c21]],CritC21,2,FALSE))</f>
        <v>#REF!</v>
      </c>
      <c r="AU3" s="13" t="e">
        <f>[1]!Tab_GFIT[[#This Row],[c25]]</f>
        <v>#REF!</v>
      </c>
      <c r="AV3" s="14" t="str">
        <f>IFERROR([1]!Tab_GFIT[[#This Row],[coef_c01]]*[1]!Tab_GFIT[[#This Row],[coef_c03]]*[1]!Tab_GFIT[[#This Row],[coef_c04]]*[1]!Tab_GFIT[[#This Row],[coef_c05]]*[1]!Tab_GFIT[[#This Row],[coef_c07]]*[1]!Tab_GFIT[[#This Row],[coef_c08]]*[1]!Tab_GFIT[[#This Row],[coef_c09]]*[1]!Tab_GFIT[[#This Row],[coef_c10]]*[1]!Tab_GFIT[[#This Row],[coef_c11]]*[1]!Tab_GFIT[[#This Row],[coef_c15]]*[1]!Tab_GFIT[[#This Row],[coef_c16]]*[1]!Tab_GFIT[[#This Row],[coef_c18]]*[1]!Tab_GFIT[[#This Row],[coef_c19]]*[1]!Tab_GFIT[[#This Row],[coef_c21]]*[1]!Tab_GFIT[[#This Row],[coef_c25]],"")</f>
        <v/>
      </c>
      <c r="AW3" s="15" t="str">
        <f>IFERROR([1]!Tab_GFIT[[#This Row],[Poids Calc]]*Coeff_PRX05,"")</f>
        <v/>
      </c>
      <c r="AX3" s="16">
        <f>IFERROR(ROUND([1]!Tab_GFIT[[#This Row],[Poids Calc]]-[1]!Tab_GFIT[[#This Row],[UO final]],3),0)</f>
        <v>0</v>
      </c>
      <c r="AY3" s="17">
        <f>IFERROR(ROUND([1]!Tab_GFIT[[#This Row],[Valorisation Calc]]-[1]!Tab_GFIT[[#This Row],[Valorisation (€)]],3),0)</f>
        <v>0</v>
      </c>
      <c r="AZ3" s="11" t="e">
        <f>VLOOKUP([1]!Tab_GFIT[[#This Row],[EAC_Mois]],[1]!Tab_PERS[EAC_Mois],1,FALSE)</f>
        <v>#REF!</v>
      </c>
      <c r="BA3" s="12" t="e">
        <f>VLOOKUP([1]!Tab_GFIT[[#This Row],[EAC_Mois]],[1]!Tab_PERS[[EAC_Mois]:[C25]],52,FALSE)</f>
        <v>#REF!</v>
      </c>
      <c r="BB3" s="12" t="e">
        <f>VLOOKUP([1]!Tab_GFIT[[#This Row],[EAC_Mois]],[1]!Tab_PERS[[EAC_Mois]:[C25]],53,FALSE)</f>
        <v>#REF!</v>
      </c>
      <c r="BC3" s="12" t="e">
        <f>VLOOKUP([1]!Tab_GFIT[[#This Row],[EAC_Mois]],[1]!Tab_PERS[[EAC_Mois]:[C25]],55,FALSE)</f>
        <v>#REF!</v>
      </c>
      <c r="BD3" s="12" t="e">
        <f>VLOOKUP([1]!Tab_GFIT[[#This Row],[EAC_Mois]],[1]!Tab_PERS[[EAC_Mois]:[C25]],56,FALSE)</f>
        <v>#REF!</v>
      </c>
      <c r="BE3" s="12" t="e">
        <f>VLOOKUP([1]!Tab_GFIT[[#This Row],[EAC_Mois]],[1]!Tab_PERS[[EAC_Mois]:[C25]],57,FALSE)</f>
        <v>#REF!</v>
      </c>
      <c r="BF3" s="12" t="e">
        <f>VLOOKUP([1]!Tab_GFIT[[#This Row],[EAC_Mois]],[1]!Tab_PERS[[EAC_Mois]:[C25]],58,FALSE)</f>
        <v>#REF!</v>
      </c>
      <c r="BG3" s="12" t="e">
        <f>VLOOKUP([1]!Tab_GFIT[[#This Row],[EAC_Mois]],[1]!Tab_PERS[[EAC_Mois]:[C25]],59,FALSE)</f>
        <v>#REF!</v>
      </c>
      <c r="BH3" s="12" t="e">
        <f>VLOOKUP([1]!Tab_GFIT[[#This Row],[EAC_Mois]],[1]!Tab_PERS[[EAC_Mois]:[C25]],63,FALSE)</f>
        <v>#REF!</v>
      </c>
      <c r="BI3" s="12" t="e">
        <f>VLOOKUP([1]!Tab_GFIT[[#This Row],[EAC_Mois]],[1]!Tab_PERS[[EAC_Mois]:[C25]],64,FALSE)</f>
        <v>#REF!</v>
      </c>
      <c r="BJ3" s="12" t="e">
        <f>VLOOKUP([1]!Tab_GFIT[[#This Row],[EAC_Mois]],[1]!Tab_PERS[[EAC_Mois]:[C25]],66,FALSE)</f>
        <v>#REF!</v>
      </c>
      <c r="BK3" s="12" t="e">
        <f>VLOOKUP([1]!Tab_GFIT[[#This Row],[EAC_Mois]],[1]!Tab_PERS[[EAC_Mois]:[C25]],67,FALSE)</f>
        <v>#REF!</v>
      </c>
      <c r="BL3" s="12" t="e">
        <f>VLOOKUP([1]!Tab_GFIT[[#This Row],[EAC_Mois]],[1]!Tab_PERS[[EAC_Mois]:[C25]],69,FALSE)</f>
        <v>#REF!</v>
      </c>
      <c r="BM3" s="13" t="e">
        <f>VLOOKUP([1]!Tab_GFIT[[#This Row],[EAC_Mois]],[1]!Tab_PERS[[EAC_Mois]:[C25]],73,FALSE)</f>
        <v>#REF!</v>
      </c>
      <c r="BN3" s="18" t="e">
        <f>ROUND(VLOOKUP([1]!Tab_GFIT[[#This Row],[Vérification Export PERS]],[1]!Tab_PERS[[EAC_Mois]:[Prix d''UO
des EAC]],90,FALSE),3)</f>
        <v>#REF!</v>
      </c>
      <c r="BO3" s="19" t="str">
        <f>IFERROR(ROUND([1]!Tab_GFIT[[#This Row],[Valorisation PERS]]-[1]!Tab_GFIT[[#This Row],[Valorisation Calc]],2),"")</f>
        <v/>
      </c>
    </row>
    <row r="4" spans="1:67" x14ac:dyDescent="0.25">
      <c r="F4" t="s">
        <v>58</v>
      </c>
      <c r="G4" t="s">
        <v>59</v>
      </c>
      <c r="H4" t="s">
        <v>60</v>
      </c>
      <c r="I4" t="s">
        <v>61</v>
      </c>
      <c r="J4" t="s">
        <v>62</v>
      </c>
      <c r="K4" t="s">
        <v>63</v>
      </c>
      <c r="L4" t="s">
        <v>64</v>
      </c>
      <c r="M4" t="s">
        <v>64</v>
      </c>
      <c r="N4" t="s">
        <v>65</v>
      </c>
      <c r="O4" t="s">
        <v>5</v>
      </c>
      <c r="P4" t="s">
        <v>66</v>
      </c>
      <c r="Q4" t="s">
        <v>67</v>
      </c>
      <c r="R4" t="s">
        <v>68</v>
      </c>
      <c r="S4" t="s">
        <v>69</v>
      </c>
      <c r="T4" t="s">
        <v>70</v>
      </c>
      <c r="U4" t="s">
        <v>71</v>
      </c>
      <c r="V4" t="s">
        <v>59</v>
      </c>
      <c r="W4" t="s">
        <v>68</v>
      </c>
      <c r="X4" t="s">
        <v>70</v>
      </c>
      <c r="Y4" t="s">
        <v>61</v>
      </c>
      <c r="Z4" t="s">
        <v>72</v>
      </c>
      <c r="AA4" t="s">
        <v>73</v>
      </c>
      <c r="AB4" t="s">
        <v>5</v>
      </c>
      <c r="AC4" t="s">
        <v>71</v>
      </c>
      <c r="AD4">
        <v>2</v>
      </c>
      <c r="AE4" t="s">
        <v>66</v>
      </c>
      <c r="AF4" t="s">
        <v>73</v>
      </c>
      <c r="AG4" t="s">
        <v>23</v>
      </c>
    </row>
    <row r="5" spans="1:67" x14ac:dyDescent="0.25">
      <c r="F5" t="s">
        <v>74</v>
      </c>
      <c r="G5" t="s">
        <v>66</v>
      </c>
      <c r="H5" t="s">
        <v>75</v>
      </c>
      <c r="I5" t="s">
        <v>61</v>
      </c>
      <c r="J5" t="s">
        <v>76</v>
      </c>
      <c r="K5" t="s">
        <v>77</v>
      </c>
      <c r="L5" t="s">
        <v>78</v>
      </c>
      <c r="M5" t="s">
        <v>79</v>
      </c>
      <c r="N5" t="s">
        <v>80</v>
      </c>
      <c r="O5" t="s">
        <v>81</v>
      </c>
      <c r="P5" t="s">
        <v>6</v>
      </c>
      <c r="Q5" t="s">
        <v>82</v>
      </c>
      <c r="R5" t="s">
        <v>68</v>
      </c>
      <c r="S5" t="s">
        <v>83</v>
      </c>
      <c r="T5" t="s">
        <v>84</v>
      </c>
      <c r="U5" t="s">
        <v>66</v>
      </c>
      <c r="V5" t="s">
        <v>73</v>
      </c>
      <c r="W5" t="s">
        <v>61</v>
      </c>
      <c r="X5" t="s">
        <v>85</v>
      </c>
      <c r="Y5" t="s">
        <v>61</v>
      </c>
      <c r="Z5" t="s">
        <v>86</v>
      </c>
      <c r="AA5" t="s">
        <v>87</v>
      </c>
      <c r="AB5" t="s">
        <v>5</v>
      </c>
      <c r="AC5" t="s">
        <v>88</v>
      </c>
      <c r="AD5">
        <v>2</v>
      </c>
      <c r="AE5" t="s">
        <v>89</v>
      </c>
      <c r="AF5" t="s">
        <v>60</v>
      </c>
      <c r="AG5" t="s">
        <v>90</v>
      </c>
    </row>
    <row r="6" spans="1:67" x14ac:dyDescent="0.25">
      <c r="F6" t="s">
        <v>91</v>
      </c>
      <c r="G6" t="s">
        <v>60</v>
      </c>
      <c r="H6" t="s">
        <v>92</v>
      </c>
      <c r="I6" t="s">
        <v>93</v>
      </c>
      <c r="J6" t="s">
        <v>86</v>
      </c>
      <c r="K6" t="s">
        <v>77</v>
      </c>
      <c r="L6" t="s">
        <v>94</v>
      </c>
      <c r="M6" t="s">
        <v>95</v>
      </c>
      <c r="N6" t="s">
        <v>96</v>
      </c>
      <c r="O6" t="s">
        <v>97</v>
      </c>
      <c r="P6" t="s">
        <v>6</v>
      </c>
      <c r="Q6" t="s">
        <v>98</v>
      </c>
      <c r="R6" t="s">
        <v>63</v>
      </c>
      <c r="S6" t="s">
        <v>99</v>
      </c>
      <c r="T6" t="s">
        <v>100</v>
      </c>
      <c r="U6" t="s">
        <v>101</v>
      </c>
      <c r="V6" t="s">
        <v>60</v>
      </c>
      <c r="W6" t="s">
        <v>68</v>
      </c>
      <c r="X6" t="s">
        <v>85</v>
      </c>
      <c r="Y6" t="s">
        <v>73</v>
      </c>
      <c r="Z6">
        <v>44</v>
      </c>
      <c r="AA6" t="s">
        <v>102</v>
      </c>
      <c r="AB6" t="s">
        <v>5</v>
      </c>
      <c r="AC6" t="s">
        <v>103</v>
      </c>
      <c r="AD6">
        <v>2</v>
      </c>
      <c r="AE6" t="s">
        <v>104</v>
      </c>
      <c r="AF6" t="s">
        <v>73</v>
      </c>
      <c r="AG6" t="s">
        <v>105</v>
      </c>
    </row>
    <row r="7" spans="1:67" x14ac:dyDescent="0.25">
      <c r="F7" t="s">
        <v>106</v>
      </c>
      <c r="G7" t="s">
        <v>107</v>
      </c>
      <c r="H7" t="s">
        <v>108</v>
      </c>
      <c r="I7" t="s">
        <v>109</v>
      </c>
      <c r="J7" t="s">
        <v>110</v>
      </c>
      <c r="K7" t="s">
        <v>111</v>
      </c>
      <c r="L7" t="s">
        <v>112</v>
      </c>
      <c r="M7" t="s">
        <v>95</v>
      </c>
      <c r="N7" t="s">
        <v>113</v>
      </c>
      <c r="O7" t="s">
        <v>5</v>
      </c>
      <c r="P7" t="s">
        <v>6</v>
      </c>
      <c r="Q7" t="s">
        <v>114</v>
      </c>
      <c r="R7" t="s">
        <v>63</v>
      </c>
      <c r="S7" t="s">
        <v>115</v>
      </c>
      <c r="T7" t="s">
        <v>60</v>
      </c>
      <c r="U7" t="s">
        <v>90</v>
      </c>
      <c r="V7" t="s">
        <v>90</v>
      </c>
      <c r="W7" t="s">
        <v>60</v>
      </c>
      <c r="X7" t="s">
        <v>85</v>
      </c>
      <c r="Y7" t="s">
        <v>101</v>
      </c>
      <c r="Z7">
        <v>44</v>
      </c>
      <c r="AA7" t="s">
        <v>66</v>
      </c>
      <c r="AB7" t="s">
        <v>5</v>
      </c>
      <c r="AC7" t="s">
        <v>103</v>
      </c>
      <c r="AD7">
        <v>2</v>
      </c>
      <c r="AE7" t="s">
        <v>104</v>
      </c>
      <c r="AF7" t="s">
        <v>73</v>
      </c>
      <c r="AG7" t="s">
        <v>61</v>
      </c>
    </row>
    <row r="8" spans="1:67" x14ac:dyDescent="0.25">
      <c r="F8" t="s">
        <v>92</v>
      </c>
      <c r="G8" t="s">
        <v>71</v>
      </c>
      <c r="H8" t="s">
        <v>75</v>
      </c>
      <c r="I8" t="s">
        <v>116</v>
      </c>
      <c r="J8" t="s">
        <v>68</v>
      </c>
      <c r="K8" t="s">
        <v>117</v>
      </c>
      <c r="L8" t="s">
        <v>118</v>
      </c>
      <c r="M8" t="s">
        <v>79</v>
      </c>
      <c r="N8" t="s">
        <v>113</v>
      </c>
      <c r="O8" t="s">
        <v>119</v>
      </c>
      <c r="P8" t="s">
        <v>6</v>
      </c>
      <c r="Q8" t="s">
        <v>120</v>
      </c>
      <c r="R8" t="s">
        <v>121</v>
      </c>
      <c r="S8" t="s">
        <v>99</v>
      </c>
      <c r="T8" t="s">
        <v>122</v>
      </c>
      <c r="U8" t="s">
        <v>123</v>
      </c>
      <c r="V8" t="s">
        <v>124</v>
      </c>
      <c r="W8" t="s">
        <v>125</v>
      </c>
      <c r="X8" t="s">
        <v>126</v>
      </c>
      <c r="Y8" t="s">
        <v>61</v>
      </c>
      <c r="Z8">
        <v>42</v>
      </c>
      <c r="AA8" t="s">
        <v>66</v>
      </c>
      <c r="AB8" t="s">
        <v>5</v>
      </c>
      <c r="AC8" t="s">
        <v>72</v>
      </c>
      <c r="AD8">
        <v>2</v>
      </c>
      <c r="AE8" t="s">
        <v>86</v>
      </c>
      <c r="AF8" t="s">
        <v>60</v>
      </c>
      <c r="AG8" t="s">
        <v>63</v>
      </c>
    </row>
    <row r="9" spans="1:67" x14ac:dyDescent="0.25">
      <c r="F9" t="s">
        <v>127</v>
      </c>
      <c r="G9" t="s">
        <v>72</v>
      </c>
      <c r="H9" t="s">
        <v>72</v>
      </c>
      <c r="I9" t="s">
        <v>116</v>
      </c>
      <c r="J9" t="s">
        <v>87</v>
      </c>
      <c r="K9" t="s">
        <v>79</v>
      </c>
      <c r="L9" t="s">
        <v>128</v>
      </c>
      <c r="M9" t="s">
        <v>129</v>
      </c>
      <c r="N9" t="s">
        <v>130</v>
      </c>
      <c r="O9" t="s">
        <v>131</v>
      </c>
      <c r="P9" t="s">
        <v>6</v>
      </c>
      <c r="Q9" t="s">
        <v>132</v>
      </c>
      <c r="R9" t="s">
        <v>102</v>
      </c>
      <c r="S9" t="s">
        <v>133</v>
      </c>
      <c r="T9" t="s">
        <v>123</v>
      </c>
      <c r="U9" t="s">
        <v>123</v>
      </c>
      <c r="V9" t="s">
        <v>61</v>
      </c>
      <c r="W9" t="s">
        <v>85</v>
      </c>
      <c r="X9" t="s">
        <v>134</v>
      </c>
      <c r="Y9" t="s">
        <v>68</v>
      </c>
      <c r="Z9">
        <v>41</v>
      </c>
      <c r="AA9" t="s">
        <v>87</v>
      </c>
      <c r="AB9" t="s">
        <v>5</v>
      </c>
      <c r="AC9" t="s">
        <v>72</v>
      </c>
      <c r="AD9">
        <v>2</v>
      </c>
      <c r="AE9" t="s">
        <v>86</v>
      </c>
      <c r="AF9" t="s">
        <v>123</v>
      </c>
      <c r="AG9" t="s">
        <v>90</v>
      </c>
    </row>
  </sheetData>
  <conditionalFormatting sqref="BO1:BO3">
    <cfRule type="cellIs" dxfId="1" priority="2" operator="notBetween">
      <formula>-0.1</formula>
      <formula>0.1</formula>
    </cfRule>
  </conditionalFormatting>
  <conditionalFormatting sqref="BO1:BO3 AY1:AY3">
    <cfRule type="cellIs" dxfId="0" priority="1" operator="between">
      <formula>-0.1</formula>
      <formula>0.1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mport">
                <anchor moveWithCells="1" sizeWithCells="1">
                  <from>
                    <xdr:col>1</xdr:col>
                    <xdr:colOff>533400</xdr:colOff>
                    <xdr:row>11</xdr:row>
                    <xdr:rowOff>47625</xdr:rowOff>
                  </from>
                  <to>
                    <xdr:col>3</xdr:col>
                    <xdr:colOff>523875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"/>
  <sheetViews>
    <sheetView workbookViewId="0">
      <selection activeCell="C17" sqref="C17"/>
    </sheetView>
  </sheetViews>
  <sheetFormatPr baseColWidth="10" defaultRowHeight="15" x14ac:dyDescent="0.25"/>
  <sheetData>
    <row r="1" spans="1:26" x14ac:dyDescent="0.25">
      <c r="A1" s="21" t="s">
        <v>15</v>
      </c>
      <c r="B1" s="21" t="s">
        <v>55</v>
      </c>
      <c r="C1" s="21" t="s">
        <v>3</v>
      </c>
      <c r="D1" s="21" t="s">
        <v>51</v>
      </c>
      <c r="E1" s="21" t="s">
        <v>57</v>
      </c>
      <c r="F1" s="21">
        <v>50.183</v>
      </c>
      <c r="G1" s="21">
        <v>6760.152</v>
      </c>
      <c r="H1" s="21" t="s">
        <v>5</v>
      </c>
      <c r="I1" s="21" t="s">
        <v>6</v>
      </c>
      <c r="J1" s="21" t="s">
        <v>32</v>
      </c>
      <c r="K1" s="21" t="s">
        <v>47</v>
      </c>
      <c r="L1" s="21" t="s">
        <v>18</v>
      </c>
      <c r="M1" s="21" t="s">
        <v>9</v>
      </c>
      <c r="N1" s="21" t="s">
        <v>10</v>
      </c>
      <c r="O1" s="21" t="s">
        <v>10</v>
      </c>
      <c r="P1" s="21" t="s">
        <v>20</v>
      </c>
      <c r="Q1" s="21" t="s">
        <v>33</v>
      </c>
      <c r="R1" s="21" t="s">
        <v>44</v>
      </c>
      <c r="S1" s="21">
        <v>29</v>
      </c>
      <c r="T1" s="21" t="s">
        <v>5</v>
      </c>
      <c r="U1" s="21" t="s">
        <v>5</v>
      </c>
      <c r="V1" s="21" t="s">
        <v>14</v>
      </c>
      <c r="W1" s="21">
        <v>2</v>
      </c>
      <c r="X1" s="21" t="s">
        <v>34</v>
      </c>
      <c r="Y1" s="21" t="s">
        <v>3</v>
      </c>
      <c r="Z1" s="21" t="s">
        <v>41</v>
      </c>
    </row>
    <row r="2" spans="1:26" x14ac:dyDescent="0.25">
      <c r="A2" s="21" t="s">
        <v>35</v>
      </c>
      <c r="B2" s="21" t="s">
        <v>55</v>
      </c>
      <c r="C2" s="21" t="s">
        <v>3</v>
      </c>
      <c r="D2" s="21" t="s">
        <v>52</v>
      </c>
      <c r="E2" s="21" t="s">
        <v>56</v>
      </c>
      <c r="F2" s="21">
        <v>5.7930000000000001</v>
      </c>
      <c r="G2" s="21">
        <v>780.375</v>
      </c>
      <c r="H2" s="21" t="s">
        <v>5</v>
      </c>
      <c r="I2" s="21" t="s">
        <v>6</v>
      </c>
      <c r="J2" s="21" t="s">
        <v>36</v>
      </c>
      <c r="K2" s="21" t="s">
        <v>48</v>
      </c>
      <c r="L2" s="21" t="s">
        <v>8</v>
      </c>
      <c r="M2" s="21" t="s">
        <v>19</v>
      </c>
      <c r="N2" s="21" t="s">
        <v>10</v>
      </c>
      <c r="O2" s="21" t="s">
        <v>10</v>
      </c>
      <c r="P2" s="21" t="s">
        <v>20</v>
      </c>
      <c r="Q2" s="21" t="s">
        <v>43</v>
      </c>
      <c r="R2" s="21" t="s">
        <v>45</v>
      </c>
      <c r="S2" s="21">
        <v>29</v>
      </c>
      <c r="T2" s="21" t="s">
        <v>5</v>
      </c>
      <c r="U2" s="21" t="s">
        <v>5</v>
      </c>
      <c r="V2" s="21" t="s">
        <v>14</v>
      </c>
      <c r="W2" s="21">
        <v>2</v>
      </c>
      <c r="X2" s="21" t="s">
        <v>34</v>
      </c>
      <c r="Y2" s="21" t="s">
        <v>3</v>
      </c>
      <c r="Z2" s="21" t="s">
        <v>42</v>
      </c>
    </row>
    <row r="3" spans="1:26" x14ac:dyDescent="0.25">
      <c r="A3" s="21" t="s">
        <v>38</v>
      </c>
      <c r="B3" s="21" t="s">
        <v>55</v>
      </c>
      <c r="C3" s="21" t="s">
        <v>3</v>
      </c>
      <c r="D3" s="21" t="s">
        <v>53</v>
      </c>
      <c r="E3" s="21" t="s">
        <v>56</v>
      </c>
      <c r="F3" s="21">
        <v>1.0129999999999999</v>
      </c>
      <c r="G3" s="21">
        <v>136.46100000000001</v>
      </c>
      <c r="H3" s="21" t="s">
        <v>5</v>
      </c>
      <c r="I3" s="21" t="s">
        <v>6</v>
      </c>
      <c r="J3" s="21" t="s">
        <v>39</v>
      </c>
      <c r="K3" s="21" t="s">
        <v>49</v>
      </c>
      <c r="L3" s="21" t="s">
        <v>8</v>
      </c>
      <c r="M3" s="21" t="s">
        <v>19</v>
      </c>
      <c r="N3" s="21" t="s">
        <v>10</v>
      </c>
      <c r="O3" s="21" t="s">
        <v>11</v>
      </c>
      <c r="P3" s="21" t="s">
        <v>11</v>
      </c>
      <c r="Q3" s="21" t="s">
        <v>37</v>
      </c>
      <c r="R3" s="21" t="s">
        <v>46</v>
      </c>
      <c r="S3" s="21">
        <v>29</v>
      </c>
      <c r="T3" s="21" t="s">
        <v>5</v>
      </c>
      <c r="U3" s="21" t="s">
        <v>5</v>
      </c>
      <c r="V3" s="21" t="s">
        <v>14</v>
      </c>
      <c r="W3" s="21">
        <v>2</v>
      </c>
      <c r="X3" s="21" t="s">
        <v>34</v>
      </c>
      <c r="Y3" s="21" t="s">
        <v>3</v>
      </c>
      <c r="Z3" s="21" t="s">
        <v>42</v>
      </c>
    </row>
    <row r="4" spans="1:26" x14ac:dyDescent="0.25">
      <c r="A4" s="21" t="s">
        <v>15</v>
      </c>
      <c r="B4" s="21" t="s">
        <v>55</v>
      </c>
      <c r="C4" s="21" t="s">
        <v>3</v>
      </c>
      <c r="D4" s="21" t="s">
        <v>54</v>
      </c>
      <c r="E4" s="21" t="s">
        <v>56</v>
      </c>
      <c r="F4" s="21">
        <v>16.692</v>
      </c>
      <c r="G4" s="21">
        <v>2248.5790000000002</v>
      </c>
      <c r="H4" s="21" t="s">
        <v>5</v>
      </c>
      <c r="I4" s="21" t="s">
        <v>6</v>
      </c>
      <c r="J4" s="21" t="s">
        <v>40</v>
      </c>
      <c r="K4" s="21" t="s">
        <v>50</v>
      </c>
      <c r="L4" s="21" t="s">
        <v>18</v>
      </c>
      <c r="M4" s="21" t="s">
        <v>9</v>
      </c>
      <c r="N4" s="21" t="s">
        <v>10</v>
      </c>
      <c r="O4" s="21" t="s">
        <v>10</v>
      </c>
      <c r="P4" s="21" t="s">
        <v>20</v>
      </c>
      <c r="Q4" s="21" t="s">
        <v>37</v>
      </c>
      <c r="R4" s="21" t="s">
        <v>13</v>
      </c>
      <c r="S4" s="21">
        <v>29</v>
      </c>
      <c r="T4" s="21" t="s">
        <v>5</v>
      </c>
      <c r="U4" s="21" t="s">
        <v>5</v>
      </c>
      <c r="V4" s="21" t="s">
        <v>14</v>
      </c>
      <c r="W4" s="21">
        <v>2</v>
      </c>
      <c r="X4" s="21" t="s">
        <v>34</v>
      </c>
      <c r="Y4" s="21" t="s">
        <v>3</v>
      </c>
      <c r="Z4" s="2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6"/>
  <sheetViews>
    <sheetView workbookViewId="0">
      <selection sqref="A1:AB6"/>
    </sheetView>
  </sheetViews>
  <sheetFormatPr baseColWidth="10" defaultRowHeight="15" x14ac:dyDescent="0.25"/>
  <sheetData>
    <row r="1" spans="1:28" x14ac:dyDescent="0.25">
      <c r="A1" s="21" t="s">
        <v>58</v>
      </c>
      <c r="B1" s="21" t="s">
        <v>59</v>
      </c>
      <c r="C1" s="21" t="s">
        <v>60</v>
      </c>
      <c r="D1" s="21" t="s">
        <v>61</v>
      </c>
      <c r="E1" s="21" t="s">
        <v>62</v>
      </c>
      <c r="F1" s="21" t="s">
        <v>63</v>
      </c>
      <c r="G1" s="21" t="s">
        <v>64</v>
      </c>
      <c r="H1" s="21" t="s">
        <v>64</v>
      </c>
      <c r="I1" s="21" t="s">
        <v>65</v>
      </c>
      <c r="J1" s="21" t="s">
        <v>5</v>
      </c>
      <c r="K1" s="21" t="s">
        <v>66</v>
      </c>
      <c r="L1" s="21" t="s">
        <v>67</v>
      </c>
      <c r="M1" s="21" t="s">
        <v>68</v>
      </c>
      <c r="N1" s="22" t="s">
        <v>69</v>
      </c>
      <c r="O1" s="22" t="s">
        <v>70</v>
      </c>
      <c r="P1" s="22" t="s">
        <v>71</v>
      </c>
      <c r="Q1" s="22" t="s">
        <v>59</v>
      </c>
      <c r="R1" s="22" t="s">
        <v>68</v>
      </c>
      <c r="S1" s="22" t="s">
        <v>70</v>
      </c>
      <c r="T1" s="22" t="s">
        <v>61</v>
      </c>
      <c r="U1" s="22" t="s">
        <v>72</v>
      </c>
      <c r="V1" s="22" t="s">
        <v>73</v>
      </c>
      <c r="W1" s="22" t="s">
        <v>5</v>
      </c>
      <c r="X1" s="22" t="s">
        <v>71</v>
      </c>
      <c r="Y1" s="22">
        <v>2</v>
      </c>
      <c r="Z1" s="22" t="s">
        <v>66</v>
      </c>
      <c r="AA1" s="22" t="s">
        <v>73</v>
      </c>
      <c r="AB1" s="22" t="s">
        <v>23</v>
      </c>
    </row>
    <row r="2" spans="1:28" x14ac:dyDescent="0.25">
      <c r="A2" s="21" t="s">
        <v>74</v>
      </c>
      <c r="B2" s="21" t="s">
        <v>66</v>
      </c>
      <c r="C2" s="21" t="s">
        <v>75</v>
      </c>
      <c r="D2" s="21" t="s">
        <v>61</v>
      </c>
      <c r="E2" s="21" t="s">
        <v>76</v>
      </c>
      <c r="F2" s="21" t="s">
        <v>77</v>
      </c>
      <c r="G2" s="21" t="s">
        <v>78</v>
      </c>
      <c r="H2" s="21" t="s">
        <v>79</v>
      </c>
      <c r="I2" s="21" t="s">
        <v>80</v>
      </c>
      <c r="J2" s="21" t="s">
        <v>81</v>
      </c>
      <c r="K2" s="21" t="s">
        <v>6</v>
      </c>
      <c r="L2" s="21" t="s">
        <v>82</v>
      </c>
      <c r="M2" s="21" t="s">
        <v>68</v>
      </c>
      <c r="N2" s="22" t="s">
        <v>83</v>
      </c>
      <c r="O2" s="22" t="s">
        <v>84</v>
      </c>
      <c r="P2" s="22" t="s">
        <v>66</v>
      </c>
      <c r="Q2" s="22" t="s">
        <v>73</v>
      </c>
      <c r="R2" s="22" t="s">
        <v>61</v>
      </c>
      <c r="S2" s="22" t="s">
        <v>85</v>
      </c>
      <c r="T2" s="22" t="s">
        <v>61</v>
      </c>
      <c r="U2" s="22" t="s">
        <v>86</v>
      </c>
      <c r="V2" s="22" t="s">
        <v>87</v>
      </c>
      <c r="W2" s="22" t="s">
        <v>5</v>
      </c>
      <c r="X2" s="22" t="s">
        <v>88</v>
      </c>
      <c r="Y2" s="22">
        <v>2</v>
      </c>
      <c r="Z2" s="22" t="s">
        <v>89</v>
      </c>
      <c r="AA2" s="22" t="s">
        <v>60</v>
      </c>
      <c r="AB2" s="22" t="s">
        <v>90</v>
      </c>
    </row>
    <row r="3" spans="1:28" x14ac:dyDescent="0.25">
      <c r="A3" s="21" t="s">
        <v>91</v>
      </c>
      <c r="B3" s="21" t="s">
        <v>60</v>
      </c>
      <c r="C3" s="21" t="s">
        <v>92</v>
      </c>
      <c r="D3" s="21" t="s">
        <v>93</v>
      </c>
      <c r="E3" s="21" t="s">
        <v>86</v>
      </c>
      <c r="F3" s="21" t="s">
        <v>77</v>
      </c>
      <c r="G3" s="21" t="s">
        <v>94</v>
      </c>
      <c r="H3" s="21" t="s">
        <v>95</v>
      </c>
      <c r="I3" s="21" t="s">
        <v>96</v>
      </c>
      <c r="J3" s="21" t="s">
        <v>97</v>
      </c>
      <c r="K3" s="21" t="s">
        <v>6</v>
      </c>
      <c r="L3" s="21" t="s">
        <v>98</v>
      </c>
      <c r="M3" s="21" t="s">
        <v>63</v>
      </c>
      <c r="N3" s="22" t="s">
        <v>99</v>
      </c>
      <c r="O3" s="22" t="s">
        <v>100</v>
      </c>
      <c r="P3" s="22" t="s">
        <v>101</v>
      </c>
      <c r="Q3" s="22" t="s">
        <v>60</v>
      </c>
      <c r="R3" s="22" t="s">
        <v>68</v>
      </c>
      <c r="S3" s="22" t="s">
        <v>85</v>
      </c>
      <c r="T3" s="22" t="s">
        <v>73</v>
      </c>
      <c r="U3" s="22">
        <v>44</v>
      </c>
      <c r="V3" s="22" t="s">
        <v>102</v>
      </c>
      <c r="W3" s="22" t="s">
        <v>5</v>
      </c>
      <c r="X3" s="22" t="s">
        <v>103</v>
      </c>
      <c r="Y3" s="22">
        <v>2</v>
      </c>
      <c r="Z3" s="22" t="s">
        <v>104</v>
      </c>
      <c r="AA3" s="22" t="s">
        <v>73</v>
      </c>
      <c r="AB3" s="22" t="s">
        <v>105</v>
      </c>
    </row>
    <row r="4" spans="1:28" x14ac:dyDescent="0.25">
      <c r="A4" s="21" t="s">
        <v>106</v>
      </c>
      <c r="B4" s="21" t="s">
        <v>107</v>
      </c>
      <c r="C4" s="21" t="s">
        <v>108</v>
      </c>
      <c r="D4" s="21" t="s">
        <v>109</v>
      </c>
      <c r="E4" s="21" t="s">
        <v>110</v>
      </c>
      <c r="F4" s="21" t="s">
        <v>111</v>
      </c>
      <c r="G4" s="21" t="s">
        <v>112</v>
      </c>
      <c r="H4" s="21" t="s">
        <v>95</v>
      </c>
      <c r="I4" s="21" t="s">
        <v>113</v>
      </c>
      <c r="J4" s="21" t="s">
        <v>5</v>
      </c>
      <c r="K4" s="21" t="s">
        <v>6</v>
      </c>
      <c r="L4" s="21" t="s">
        <v>114</v>
      </c>
      <c r="M4" s="21" t="s">
        <v>63</v>
      </c>
      <c r="N4" s="22" t="s">
        <v>115</v>
      </c>
      <c r="O4" s="22" t="s">
        <v>60</v>
      </c>
      <c r="P4" s="22" t="s">
        <v>90</v>
      </c>
      <c r="Q4" s="22" t="s">
        <v>90</v>
      </c>
      <c r="R4" s="22" t="s">
        <v>60</v>
      </c>
      <c r="S4" s="22" t="s">
        <v>85</v>
      </c>
      <c r="T4" s="22" t="s">
        <v>101</v>
      </c>
      <c r="U4" s="22">
        <v>44</v>
      </c>
      <c r="V4" s="22" t="s">
        <v>66</v>
      </c>
      <c r="W4" s="22" t="s">
        <v>5</v>
      </c>
      <c r="X4" s="22" t="s">
        <v>103</v>
      </c>
      <c r="Y4" s="22">
        <v>2</v>
      </c>
      <c r="Z4" s="22" t="s">
        <v>104</v>
      </c>
      <c r="AA4" s="22" t="s">
        <v>73</v>
      </c>
      <c r="AB4" s="22" t="s">
        <v>61</v>
      </c>
    </row>
    <row r="5" spans="1:28" x14ac:dyDescent="0.25">
      <c r="A5" s="21" t="s">
        <v>92</v>
      </c>
      <c r="B5" s="21" t="s">
        <v>71</v>
      </c>
      <c r="C5" s="21" t="s">
        <v>75</v>
      </c>
      <c r="D5" s="21" t="s">
        <v>116</v>
      </c>
      <c r="E5" s="21" t="s">
        <v>68</v>
      </c>
      <c r="F5" s="21" t="s">
        <v>117</v>
      </c>
      <c r="G5" s="21" t="s">
        <v>118</v>
      </c>
      <c r="H5" s="21" t="s">
        <v>79</v>
      </c>
      <c r="I5" s="21" t="s">
        <v>113</v>
      </c>
      <c r="J5" s="21" t="s">
        <v>119</v>
      </c>
      <c r="K5" s="21" t="s">
        <v>6</v>
      </c>
      <c r="L5" s="21" t="s">
        <v>120</v>
      </c>
      <c r="M5" s="21" t="s">
        <v>121</v>
      </c>
      <c r="N5" s="22" t="s">
        <v>99</v>
      </c>
      <c r="O5" s="22" t="s">
        <v>122</v>
      </c>
      <c r="P5" s="22" t="s">
        <v>123</v>
      </c>
      <c r="Q5" s="22" t="s">
        <v>124</v>
      </c>
      <c r="R5" s="22" t="s">
        <v>125</v>
      </c>
      <c r="S5" s="22" t="s">
        <v>126</v>
      </c>
      <c r="T5" s="22" t="s">
        <v>61</v>
      </c>
      <c r="U5" s="22">
        <v>42</v>
      </c>
      <c r="V5" s="22" t="s">
        <v>66</v>
      </c>
      <c r="W5" s="22" t="s">
        <v>5</v>
      </c>
      <c r="X5" s="22" t="s">
        <v>72</v>
      </c>
      <c r="Y5" s="22">
        <v>2</v>
      </c>
      <c r="Z5" s="22" t="s">
        <v>86</v>
      </c>
      <c r="AA5" s="22" t="s">
        <v>60</v>
      </c>
      <c r="AB5" s="22" t="s">
        <v>63</v>
      </c>
    </row>
    <row r="6" spans="1:28" x14ac:dyDescent="0.25">
      <c r="A6" s="21" t="s">
        <v>127</v>
      </c>
      <c r="B6" s="21" t="s">
        <v>72</v>
      </c>
      <c r="C6" s="21" t="s">
        <v>72</v>
      </c>
      <c r="D6" s="21" t="s">
        <v>116</v>
      </c>
      <c r="E6" s="21" t="s">
        <v>87</v>
      </c>
      <c r="F6" s="21" t="s">
        <v>79</v>
      </c>
      <c r="G6" s="21" t="s">
        <v>128</v>
      </c>
      <c r="H6" s="21" t="s">
        <v>129</v>
      </c>
      <c r="I6" s="21" t="s">
        <v>130</v>
      </c>
      <c r="J6" s="21" t="s">
        <v>131</v>
      </c>
      <c r="K6" s="21" t="s">
        <v>6</v>
      </c>
      <c r="L6" s="21" t="s">
        <v>132</v>
      </c>
      <c r="M6" s="21" t="s">
        <v>102</v>
      </c>
      <c r="N6" s="22" t="s">
        <v>133</v>
      </c>
      <c r="O6" s="22" t="s">
        <v>123</v>
      </c>
      <c r="P6" s="22" t="s">
        <v>123</v>
      </c>
      <c r="Q6" s="22" t="s">
        <v>61</v>
      </c>
      <c r="R6" s="22" t="s">
        <v>85</v>
      </c>
      <c r="S6" s="22" t="s">
        <v>134</v>
      </c>
      <c r="T6" s="22" t="s">
        <v>68</v>
      </c>
      <c r="U6" s="22">
        <v>41</v>
      </c>
      <c r="V6" s="22" t="s">
        <v>87</v>
      </c>
      <c r="W6" s="22" t="s">
        <v>5</v>
      </c>
      <c r="X6" s="22" t="s">
        <v>72</v>
      </c>
      <c r="Y6" s="22">
        <v>2</v>
      </c>
      <c r="Z6" s="22" t="s">
        <v>86</v>
      </c>
      <c r="AA6" s="22" t="s">
        <v>123</v>
      </c>
      <c r="AB6" s="2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Colombe AKIWACU</dc:creator>
  <cp:lastModifiedBy>Colombe AKIWACU</cp:lastModifiedBy>
  <dcterms:created xsi:type="dcterms:W3CDTF">2021-07-09T10:35:04Z</dcterms:created>
  <dcterms:modified xsi:type="dcterms:W3CDTF">2021-07-19T16:03:35Z</dcterms:modified>
</cp:coreProperties>
</file>