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6.xml" ContentType="application/vnd.openxmlformats-officedocument.drawing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ab260eb7f41a2ad/Bureau/"/>
    </mc:Choice>
  </mc:AlternateContent>
  <xr:revisionPtr revIDLastSave="3" documentId="8_{BAF1C165-F27B-45F8-83FA-B25E8EED4DA8}" xr6:coauthVersionLast="47" xr6:coauthVersionMax="47" xr10:uidLastSave="{B81FBF1B-8189-4BF3-8F27-2B15FBCBF489}"/>
  <bookViews>
    <workbookView xWindow="-120" yWindow="-120" windowWidth="29040" windowHeight="15720" tabRatio="948" activeTab="2" xr2:uid="{00000000-000D-0000-FFFF-FFFF00000000}"/>
  </bookViews>
  <sheets>
    <sheet name="Menu" sheetId="29" r:id="rId1"/>
    <sheet name="Membres 2027" sheetId="33" r:id="rId2"/>
    <sheet name="Janvier 2027" sheetId="5" r:id="rId3"/>
    <sheet name="Février 2027" sheetId="6" r:id="rId4"/>
    <sheet name="Mars 2027" sheetId="7" r:id="rId5"/>
    <sheet name="Avril 2027" sheetId="8" r:id="rId6"/>
    <sheet name="Mai 2027" sheetId="9" r:id="rId7"/>
    <sheet name="Juin 2027" sheetId="10" r:id="rId8"/>
    <sheet name="Juillet 2027" sheetId="11" r:id="rId9"/>
    <sheet name="Août 2027" sheetId="12" r:id="rId10"/>
    <sheet name="Septembre 2027" sheetId="13" r:id="rId11"/>
    <sheet name="Octobre 2027" sheetId="14" r:id="rId12"/>
    <sheet name="Novembre 2027" sheetId="15" r:id="rId13"/>
    <sheet name="Décembre 2027" sheetId="4" r:id="rId14"/>
    <sheet name="Recherche" sheetId="31" r:id="rId15"/>
    <sheet name="Bilan Financier 2026" sheetId="19" state="hidden" r:id="rId16"/>
    <sheet name="Data" sheetId="1" r:id="rId17"/>
  </sheets>
  <functionGroups builtInGroupCount="19"/>
  <definedNames>
    <definedName name="_xlnm._FilterDatabase" localSheetId="1" hidden="1">'Membres 2027'!$A$3:$X$57</definedName>
    <definedName name="_xleta.FIND" hidden="1" xlm="1">#NAME?</definedName>
    <definedName name="_xleta.IF" hidden="1" xlm="1">#NAME?</definedName>
    <definedName name="_xleta.NOT" hidden="1" xlm="1">#NAME?</definedName>
    <definedName name="_xleta.SUM" hidden="1" xlm="1">#NAME?</definedName>
    <definedName name="_xleta.T" hidden="1" xlm="1">#NAME?</definedName>
    <definedName name="_xlpm.Mois" hidden="1" xlm="1">#NAME?</definedName>
    <definedName name="_xlpm.n" hidden="1" xlm="1">#NAME?</definedName>
    <definedName name="_xlpm.p" hidden="1" xlm="1">#NAME?</definedName>
    <definedName name="_xlpm.q" hidden="1" xlm="1">#NAME?</definedName>
    <definedName name="_xlpm.s" hidden="1" xlm="1">#NAME?</definedName>
    <definedName name="_xlpm.w" hidden="1" xlm="1">#NAME?</definedName>
    <definedName name="_xlpm.x" hidden="1" xlm="1">#NAME?</definedName>
    <definedName name="_xlpm.y" hidden="1" xlm="1">#NAME?</definedName>
    <definedName name="compte">#REF!</definedName>
    <definedName name="comptes">#REF!</definedName>
    <definedName name="d.comptes" localSheetId="9">t_Comptes[LIBELLES]</definedName>
    <definedName name="d.comptes" localSheetId="5">t_Comptes[LIBELLES]</definedName>
    <definedName name="d.comptes" localSheetId="15">t_Comptes[LIBELLES]</definedName>
    <definedName name="d.comptes" localSheetId="13">t_Comptes[LIBELLES]</definedName>
    <definedName name="d.comptes" localSheetId="3">t_Comptes[LIBELLES]</definedName>
    <definedName name="d.comptes" localSheetId="2">t_Comptes[LIBELLES]</definedName>
    <definedName name="d.comptes" localSheetId="8">t_Comptes[LIBELLES]</definedName>
    <definedName name="d.comptes" localSheetId="7">t_Comptes[LIBELLES]</definedName>
    <definedName name="d.comptes" localSheetId="6">t_Comptes[LIBELLES]</definedName>
    <definedName name="d.comptes" localSheetId="4">t_Comptes[LIBELLES]</definedName>
    <definedName name="d.comptes" localSheetId="12">t_Comptes[LIBELLES]</definedName>
    <definedName name="d.comptes" localSheetId="11">t_Comptes[LIBELLES]</definedName>
    <definedName name="d.comptes" localSheetId="10">t_Comptes[LIBELLES]</definedName>
    <definedName name="d.comptes">t_Comptes[LIBELLES]</definedName>
    <definedName name="date">#REF!</definedName>
    <definedName name="DateSauve">Menu!$D$1</definedName>
    <definedName name="Entete">Recherche!$W$6:$AE$6</definedName>
    <definedName name="Feuille">tbl_Mois[Feuille]</definedName>
    <definedName name="toto">#REF!</definedName>
    <definedName name="X">'Novembre 2027'!$A$9:$I$10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5" l="1"/>
  <c r="I7" i="5"/>
  <c r="H7" i="5"/>
  <c r="G7" i="5"/>
  <c r="B22" i="5"/>
  <c r="B21" i="5"/>
  <c r="B20" i="5"/>
  <c r="B19" i="5"/>
  <c r="B18" i="5"/>
  <c r="B17" i="5"/>
  <c r="B16" i="5"/>
  <c r="B15" i="5"/>
  <c r="B14" i="5"/>
  <c r="B13" i="5"/>
  <c r="B12" i="5"/>
  <c r="B11" i="5"/>
  <c r="X46" i="33"/>
  <c r="X47" i="33"/>
  <c r="X48" i="33"/>
  <c r="X49" i="33"/>
  <c r="X50" i="33"/>
  <c r="X51" i="33"/>
  <c r="X52" i="33"/>
  <c r="P53" i="33"/>
  <c r="X33" i="33"/>
  <c r="X34" i="33"/>
  <c r="P7" i="31"/>
  <c r="Q7" i="31" s="1"/>
  <c r="X27" i="33"/>
  <c r="X28" i="33"/>
  <c r="X29" i="33"/>
  <c r="S7" i="31" a="1"/>
  <c r="U7" i="31" a="1"/>
  <c r="H8" i="5" l="1"/>
  <c r="F8" i="5"/>
  <c r="P8" i="31"/>
  <c r="Q8" i="31" s="1"/>
  <c r="U7" i="31"/>
  <c r="S7" i="31"/>
  <c r="X26" i="33"/>
  <c r="X30" i="33"/>
  <c r="T7" i="31" a="1"/>
  <c r="R7" i="31" a="1"/>
  <c r="S8" i="31" a="1"/>
  <c r="U8" i="31" a="1"/>
  <c r="T7" i="31" l="1"/>
  <c r="R7" i="31"/>
  <c r="P9" i="31"/>
  <c r="Q9" i="31" s="1"/>
  <c r="S8" i="31"/>
  <c r="U8" i="31"/>
  <c r="P10" i="31"/>
  <c r="X9" i="33"/>
  <c r="R56" i="33"/>
  <c r="X36" i="33"/>
  <c r="R49" i="33"/>
  <c r="R36" i="33"/>
  <c r="R50" i="33"/>
  <c r="R51" i="33"/>
  <c r="R52" i="33"/>
  <c r="R8" i="33"/>
  <c r="R9" i="33"/>
  <c r="R14" i="33"/>
  <c r="R15" i="33"/>
  <c r="R18" i="33"/>
  <c r="R31" i="33"/>
  <c r="R42" i="33"/>
  <c r="R43" i="33"/>
  <c r="C2" i="4"/>
  <c r="C2" i="15"/>
  <c r="C2" i="14"/>
  <c r="C2" i="13"/>
  <c r="C2" i="12"/>
  <c r="C2" i="11"/>
  <c r="C2" i="10"/>
  <c r="C2" i="9"/>
  <c r="C2" i="8"/>
  <c r="C2" i="7"/>
  <c r="C2" i="6"/>
  <c r="C2" i="5"/>
  <c r="B10" i="5"/>
  <c r="X11" i="33"/>
  <c r="X4" i="33"/>
  <c r="X5" i="33"/>
  <c r="X6" i="33"/>
  <c r="X7" i="33"/>
  <c r="X8" i="33"/>
  <c r="X10" i="33"/>
  <c r="X12" i="33"/>
  <c r="X13" i="33"/>
  <c r="X14" i="33"/>
  <c r="X15" i="33"/>
  <c r="X16" i="33"/>
  <c r="X17" i="33"/>
  <c r="X18" i="33"/>
  <c r="X19" i="33"/>
  <c r="X20" i="33"/>
  <c r="X21" i="33"/>
  <c r="X22" i="33"/>
  <c r="X23" i="33"/>
  <c r="X24" i="33"/>
  <c r="X25" i="33"/>
  <c r="X31" i="33"/>
  <c r="X32" i="33"/>
  <c r="X35" i="33"/>
  <c r="X37" i="33"/>
  <c r="X38" i="33"/>
  <c r="X39" i="33"/>
  <c r="X40" i="33"/>
  <c r="X41" i="33"/>
  <c r="X42" i="33"/>
  <c r="X43" i="33"/>
  <c r="X44" i="33"/>
  <c r="X45" i="33"/>
  <c r="U9" i="31" a="1"/>
  <c r="S9" i="31" a="1"/>
  <c r="S9" i="31" l="1"/>
  <c r="U9" i="31"/>
  <c r="Q10" i="31"/>
  <c r="P11" i="31"/>
  <c r="X53" i="33" a="1"/>
  <c r="X53" i="33" s="1"/>
  <c r="L2" i="31"/>
  <c r="U10" i="31" a="1"/>
  <c r="S10" i="31" a="1"/>
  <c r="U10" i="31" l="1"/>
  <c r="S10" i="31"/>
  <c r="Q11" i="31"/>
  <c r="P12" i="31"/>
  <c r="U11" i="31" a="1"/>
  <c r="S11" i="31" a="1"/>
  <c r="U11" i="31" l="1"/>
  <c r="S11" i="31"/>
  <c r="Q12" i="31"/>
  <c r="P13" i="31"/>
  <c r="B10" i="14"/>
  <c r="B10" i="13"/>
  <c r="B10" i="12"/>
  <c r="B10" i="11"/>
  <c r="B10" i="10"/>
  <c r="B10" i="9"/>
  <c r="B10" i="8"/>
  <c r="B10" i="7"/>
  <c r="B10" i="6"/>
  <c r="B10" i="4"/>
  <c r="I7" i="9"/>
  <c r="M1" i="33"/>
  <c r="W3" i="33"/>
  <c r="T4" i="33"/>
  <c r="T6" i="33"/>
  <c r="T7" i="33"/>
  <c r="T8" i="33"/>
  <c r="T10" i="33"/>
  <c r="T12" i="33"/>
  <c r="T13" i="33"/>
  <c r="T14" i="33"/>
  <c r="T16" i="33"/>
  <c r="T17" i="33"/>
  <c r="T18" i="33"/>
  <c r="T19" i="33"/>
  <c r="T21" i="33"/>
  <c r="T22" i="33"/>
  <c r="T23" i="33"/>
  <c r="T24" i="33"/>
  <c r="T26" i="33"/>
  <c r="T27" i="33"/>
  <c r="T29" i="33"/>
  <c r="T30" i="33"/>
  <c r="T32" i="33"/>
  <c r="T35" i="33"/>
  <c r="T37" i="33"/>
  <c r="T38" i="33"/>
  <c r="T39" i="33"/>
  <c r="T40" i="33"/>
  <c r="T41" i="33"/>
  <c r="T42" i="33"/>
  <c r="T43" i="33"/>
  <c r="T44" i="33"/>
  <c r="T45" i="33"/>
  <c r="T51" i="33"/>
  <c r="T52" i="33"/>
  <c r="R54" i="33"/>
  <c r="R55" i="33"/>
  <c r="I53" i="33" a="1"/>
  <c r="U12" i="31" a="1"/>
  <c r="S12" i="31" a="1"/>
  <c r="S12" i="31" l="1"/>
  <c r="U12" i="31"/>
  <c r="Q13" i="31"/>
  <c r="P14" i="31"/>
  <c r="R34" i="33"/>
  <c r="I53" i="33"/>
  <c r="R45" i="33"/>
  <c r="R44" i="33"/>
  <c r="R10" i="33"/>
  <c r="R7" i="33"/>
  <c r="R11" i="33"/>
  <c r="R13" i="33"/>
  <c r="R21" i="33"/>
  <c r="R29" i="33"/>
  <c r="R24" i="33"/>
  <c r="R20" i="33"/>
  <c r="R16" i="33"/>
  <c r="R6" i="33"/>
  <c r="R41" i="33"/>
  <c r="R30" i="33"/>
  <c r="R39" i="33"/>
  <c r="R35" i="33"/>
  <c r="R27" i="33"/>
  <c r="R23" i="33"/>
  <c r="R19" i="33"/>
  <c r="R37" i="33"/>
  <c r="R25" i="33"/>
  <c r="R17" i="33"/>
  <c r="R38" i="33"/>
  <c r="R32" i="33"/>
  <c r="R26" i="33"/>
  <c r="R22" i="33"/>
  <c r="R4" i="33"/>
  <c r="R57" i="33"/>
  <c r="U13" i="31" a="1"/>
  <c r="S13" i="31" a="1"/>
  <c r="S13" i="31" l="1"/>
  <c r="U13" i="31"/>
  <c r="Q14" i="31"/>
  <c r="P15" i="31"/>
  <c r="R40" i="33"/>
  <c r="N53" i="33" a="1"/>
  <c r="N53" i="33" s="1"/>
  <c r="R5" i="33"/>
  <c r="R28" i="33"/>
  <c r="R33" i="33"/>
  <c r="S54" i="33" s="1"/>
  <c r="R12" i="33"/>
  <c r="S14" i="31" a="1"/>
  <c r="U14" i="31" a="1"/>
  <c r="S14" i="31" l="1"/>
  <c r="U14" i="31"/>
  <c r="Q15" i="31"/>
  <c r="P16" i="31"/>
  <c r="S56" i="33"/>
  <c r="S55" i="33"/>
  <c r="R53" i="33"/>
  <c r="I7" i="15"/>
  <c r="H7" i="15"/>
  <c r="G7" i="15"/>
  <c r="F7" i="15"/>
  <c r="I7" i="14"/>
  <c r="H7" i="14"/>
  <c r="G7" i="14"/>
  <c r="I7" i="13"/>
  <c r="H7" i="13"/>
  <c r="G7" i="13"/>
  <c r="F7" i="13"/>
  <c r="I7" i="12"/>
  <c r="H7" i="12"/>
  <c r="G7" i="12"/>
  <c r="F7" i="12"/>
  <c r="I7" i="11"/>
  <c r="H7" i="11"/>
  <c r="G7" i="11"/>
  <c r="F7" i="11"/>
  <c r="I7" i="10"/>
  <c r="H7" i="10"/>
  <c r="G7" i="10"/>
  <c r="F7" i="10"/>
  <c r="H7" i="9"/>
  <c r="G7" i="9"/>
  <c r="F7" i="9"/>
  <c r="I7" i="8"/>
  <c r="H7" i="8"/>
  <c r="G7" i="8"/>
  <c r="F7" i="8"/>
  <c r="I7" i="7"/>
  <c r="H7" i="7"/>
  <c r="G7" i="7"/>
  <c r="F7" i="7"/>
  <c r="I7" i="6"/>
  <c r="H7" i="6"/>
  <c r="G7" i="6"/>
  <c r="F7" i="6"/>
  <c r="I7" i="4"/>
  <c r="H7" i="4"/>
  <c r="G7" i="4"/>
  <c r="F7" i="4"/>
  <c r="U15" i="31" a="1"/>
  <c r="S15" i="31" a="1"/>
  <c r="S15" i="31" l="1"/>
  <c r="U15" i="31"/>
  <c r="Q16" i="31"/>
  <c r="P17" i="31"/>
  <c r="S57" i="33"/>
  <c r="S16" i="31" a="1"/>
  <c r="U16" i="31" a="1"/>
  <c r="U16" i="31" l="1"/>
  <c r="S16" i="31"/>
  <c r="Q17" i="31"/>
  <c r="P18" i="31"/>
  <c r="S17" i="31" a="1"/>
  <c r="U17" i="31" a="1"/>
  <c r="U17" i="31" l="1"/>
  <c r="S17" i="31"/>
  <c r="Q18" i="31"/>
  <c r="G4" i="19"/>
  <c r="H4" i="19"/>
  <c r="U18" i="31" a="1"/>
  <c r="S18" i="31" a="1"/>
  <c r="U18" i="31" l="1"/>
  <c r="S18" i="31"/>
  <c r="C1" i="19"/>
  <c r="C52" i="19" l="1"/>
  <c r="C46" i="19" l="1"/>
  <c r="C55" i="19" l="1"/>
  <c r="D20" i="19" a="1"/>
  <c r="D20" i="19" l="1"/>
  <c r="G42" i="19" a="1"/>
  <c r="D19" i="19" a="1"/>
  <c r="G29" i="19" a="1"/>
  <c r="H40" i="19" a="1"/>
  <c r="G30" i="19" a="1"/>
  <c r="H42" i="19" a="1"/>
  <c r="G32" i="19" a="1"/>
  <c r="E15" i="19" a="1"/>
  <c r="G38" i="19" a="1"/>
  <c r="H27" i="19" a="1"/>
  <c r="G35" i="19" a="1"/>
  <c r="D17" i="19" a="1"/>
  <c r="E20" i="19" a="1"/>
  <c r="G34" i="19" a="1"/>
  <c r="H25" i="19" a="1"/>
  <c r="D23" i="19" a="1"/>
  <c r="G40" i="19" a="1"/>
  <c r="E13" i="19" a="1"/>
  <c r="D14" i="19" a="1"/>
  <c r="E22" i="19" a="1"/>
  <c r="D13" i="19" a="1"/>
  <c r="G36" i="19" a="1"/>
  <c r="H35" i="19" a="1"/>
  <c r="D22" i="19" a="1"/>
  <c r="G28" i="19" a="1"/>
  <c r="E16" i="19" a="1"/>
  <c r="G25" i="19" a="1"/>
  <c r="H41" i="19" a="1"/>
  <c r="D18" i="19" a="1"/>
  <c r="H30" i="19" a="1"/>
  <c r="G26" i="19" a="1"/>
  <c r="E19" i="19" a="1"/>
  <c r="D15" i="19" a="1"/>
  <c r="G31" i="19" a="1"/>
  <c r="H39" i="19" a="1"/>
  <c r="D21" i="19" a="1"/>
  <c r="H34" i="19" a="1"/>
  <c r="H28" i="19" a="1"/>
  <c r="G27" i="19" a="1"/>
  <c r="H31" i="19" a="1"/>
  <c r="E18" i="19" a="1"/>
  <c r="D16" i="19" a="1"/>
  <c r="E21" i="19" a="1"/>
  <c r="E17" i="19" a="1"/>
  <c r="H26" i="19" a="1"/>
  <c r="G37" i="19" a="1"/>
  <c r="H37" i="19" a="1"/>
  <c r="H32" i="19" a="1"/>
  <c r="G41" i="19" a="1"/>
  <c r="E14" i="19" a="1"/>
  <c r="H38" i="19" a="1"/>
  <c r="G33" i="19" a="1"/>
  <c r="G39" i="19" a="1"/>
  <c r="H29" i="19" a="1"/>
  <c r="H36" i="19" a="1"/>
  <c r="E23" i="19" a="1"/>
  <c r="H33" i="19" a="1"/>
  <c r="D22" i="19" l="1"/>
  <c r="D21" i="19"/>
  <c r="G28" i="19"/>
  <c r="H28" i="19"/>
  <c r="E13" i="19"/>
  <c r="D13" i="19"/>
  <c r="G37" i="19"/>
  <c r="G42" i="19"/>
  <c r="H42" i="19"/>
  <c r="H37" i="19"/>
  <c r="E21" i="19"/>
  <c r="H35" i="19"/>
  <c r="G41" i="19"/>
  <c r="H41" i="19"/>
  <c r="G40" i="19"/>
  <c r="H40" i="19"/>
  <c r="H25" i="19"/>
  <c r="H27" i="19"/>
  <c r="H29" i="19"/>
  <c r="H31" i="19"/>
  <c r="H33" i="19"/>
  <c r="H36" i="19"/>
  <c r="H38" i="19"/>
  <c r="H26" i="19"/>
  <c r="H30" i="19"/>
  <c r="H32" i="19"/>
  <c r="H34" i="19"/>
  <c r="H39" i="19"/>
  <c r="G25" i="19"/>
  <c r="G27" i="19"/>
  <c r="G29" i="19"/>
  <c r="G31" i="19"/>
  <c r="G33" i="19"/>
  <c r="G36" i="19"/>
  <c r="G38" i="19"/>
  <c r="G26" i="19"/>
  <c r="G30" i="19"/>
  <c r="G32" i="19"/>
  <c r="G34" i="19"/>
  <c r="G35" i="19"/>
  <c r="G39" i="19"/>
  <c r="E14" i="19"/>
  <c r="E15" i="19"/>
  <c r="E16" i="19"/>
  <c r="E18" i="19"/>
  <c r="E20" i="19"/>
  <c r="E22" i="19"/>
  <c r="E23" i="19"/>
  <c r="E17" i="19"/>
  <c r="E19" i="19"/>
  <c r="D14" i="19"/>
  <c r="D15" i="19"/>
  <c r="D16" i="19"/>
  <c r="D18" i="19"/>
  <c r="D23" i="19"/>
  <c r="D17" i="19"/>
  <c r="D19" i="19"/>
  <c r="H2" i="19" l="1"/>
  <c r="H3" i="19"/>
  <c r="G3" i="19"/>
  <c r="G2" i="19"/>
  <c r="D43" i="19"/>
  <c r="G43" i="19"/>
  <c r="D46" i="19"/>
  <c r="H46" i="19" l="1"/>
  <c r="H5" i="19"/>
  <c r="G5" i="19"/>
  <c r="H45" i="19"/>
  <c r="H6" i="6" l="1"/>
  <c r="H8" i="6" s="1"/>
  <c r="D55" i="19"/>
  <c r="F6" i="6" l="1"/>
  <c r="F8" i="6" s="1"/>
  <c r="T8" i="31" a="1"/>
  <c r="R8" i="31" a="1"/>
  <c r="T8" i="31" l="1"/>
  <c r="R8" i="31"/>
  <c r="H6" i="7"/>
  <c r="H8" i="7" s="1"/>
  <c r="F6" i="7"/>
  <c r="F8" i="7" s="1"/>
  <c r="R9" i="31" a="1"/>
  <c r="T9" i="31" a="1"/>
  <c r="T9" i="31" l="1"/>
  <c r="R9" i="31"/>
  <c r="H6" i="8"/>
  <c r="H8" i="8" s="1"/>
  <c r="F6" i="8"/>
  <c r="F8" i="8" s="1"/>
  <c r="T10" i="31" a="1"/>
  <c r="R10" i="31" a="1"/>
  <c r="T10" i="31" l="1"/>
  <c r="R10" i="31"/>
  <c r="H6" i="9"/>
  <c r="H8" i="9" s="1"/>
  <c r="F6" i="9"/>
  <c r="F8" i="9" s="1"/>
  <c r="T11" i="31" a="1"/>
  <c r="R11" i="31" a="1"/>
  <c r="T11" i="31" l="1"/>
  <c r="R11" i="31"/>
  <c r="H6" i="10"/>
  <c r="H8" i="10" s="1"/>
  <c r="F6" i="10"/>
  <c r="F8" i="10" s="1"/>
  <c r="R12" i="31" a="1"/>
  <c r="T12" i="31" a="1"/>
  <c r="T12" i="31" l="1"/>
  <c r="R12" i="31"/>
  <c r="H6" i="11"/>
  <c r="H8" i="11" s="1"/>
  <c r="F6" i="11"/>
  <c r="F8" i="11" s="1"/>
  <c r="T13" i="31" a="1"/>
  <c r="R13" i="31" a="1"/>
  <c r="T13" i="31" l="1"/>
  <c r="R13" i="31"/>
  <c r="H6" i="12"/>
  <c r="H8" i="12" s="1"/>
  <c r="F6" i="12"/>
  <c r="F8" i="12" s="1"/>
  <c r="R14" i="31" a="1"/>
  <c r="T14" i="31" a="1"/>
  <c r="T14" i="31" l="1"/>
  <c r="R14" i="31"/>
  <c r="H6" i="13"/>
  <c r="H8" i="13" s="1"/>
  <c r="F6" i="13"/>
  <c r="F8" i="13" s="1"/>
  <c r="T15" i="31" a="1"/>
  <c r="R15" i="31" a="1"/>
  <c r="T15" i="31" l="1"/>
  <c r="R15" i="31"/>
  <c r="H6" i="14"/>
  <c r="H8" i="14" s="1"/>
  <c r="F6" i="14"/>
  <c r="F8" i="14" s="1"/>
  <c r="T16" i="31" a="1"/>
  <c r="R16" i="31" a="1"/>
  <c r="T16" i="31" l="1"/>
  <c r="R16" i="31"/>
  <c r="H6" i="15"/>
  <c r="F6" i="15"/>
  <c r="F8" i="15" s="1"/>
  <c r="H8" i="15" l="1"/>
  <c r="T17" i="31" a="1"/>
  <c r="R17" i="31" a="1"/>
  <c r="T17" i="31" l="1"/>
  <c r="R17" i="31"/>
  <c r="F6" i="4"/>
  <c r="F8" i="4" s="1"/>
  <c r="H6" i="4"/>
  <c r="H8" i="4" s="1"/>
  <c r="R18" i="31" a="1"/>
  <c r="T18" i="31" a="1"/>
  <c r="T18" i="31" l="1"/>
  <c r="R18" i="3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<sst xmlns="http://schemas.openxmlformats.org/spreadsheetml/2006/main" count="521" uniqueCount="173">
  <si>
    <t>CODES</t>
  </si>
  <si>
    <t>Fournitures administratives</t>
  </si>
  <si>
    <t>Entretien matériels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</si>
  <si>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</si>
  <si>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</si>
  <si>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</si>
  <si>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</si>
  <si>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</si>
  <si>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</si>
  <si>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</si>
  <si>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</si>
  <si>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</si>
  <si>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TOTAUX</t>
  </si>
  <si>
    <t>Chèque</t>
  </si>
  <si>
    <t>Espèces</t>
  </si>
  <si>
    <t>Aéro</t>
  </si>
  <si>
    <t>N° matricule</t>
  </si>
  <si>
    <t>Adresse</t>
  </si>
  <si>
    <t>Ville</t>
  </si>
  <si>
    <t>Code
 Postal</t>
  </si>
  <si>
    <t>Email</t>
  </si>
  <si>
    <t>Licence   FFAM</t>
  </si>
  <si>
    <t>Téléphone 
fixe</t>
  </si>
  <si>
    <t>Téléphone 
portable</t>
  </si>
  <si>
    <t>Date de naissance</t>
  </si>
  <si>
    <t>Discipline</t>
  </si>
  <si>
    <t>Date de paiement</t>
  </si>
  <si>
    <t/>
  </si>
  <si>
    <t>Totaux</t>
  </si>
  <si>
    <t>Cadeaux-récompenses</t>
  </si>
  <si>
    <t>Age</t>
  </si>
  <si>
    <t>AMCB</t>
  </si>
  <si>
    <t>DESIGNATION</t>
  </si>
  <si>
    <t>RECETTES</t>
  </si>
  <si>
    <t>DEPENSES</t>
  </si>
  <si>
    <t>Subvention Conseil Régional</t>
  </si>
  <si>
    <t>Subvention Conseil Général</t>
  </si>
  <si>
    <t>Désignations</t>
  </si>
  <si>
    <t>Majeur
mineur</t>
  </si>
  <si>
    <t>Solde Caisse</t>
  </si>
  <si>
    <t>Mode de paiement</t>
  </si>
  <si>
    <t>01</t>
  </si>
  <si>
    <t>Virement</t>
  </si>
  <si>
    <t>Hébergement Internet</t>
  </si>
  <si>
    <t xml:space="preserve">Cadeaux, remerciements et récompenses </t>
  </si>
  <si>
    <t>Location terrain</t>
  </si>
  <si>
    <t>Assurance Club</t>
  </si>
  <si>
    <t>Hébergement site Internet du Club</t>
  </si>
  <si>
    <t>Chèques</t>
  </si>
  <si>
    <t>Virements</t>
  </si>
  <si>
    <r>
      <t>Produits exceptionnels</t>
    </r>
    <r>
      <rPr>
        <sz val="11"/>
        <rFont val="Arial"/>
        <family val="2"/>
      </rPr>
      <t/>
    </r>
  </si>
  <si>
    <t xml:space="preserve">Fournitures administratives </t>
  </si>
  <si>
    <t xml:space="preserve">Location matériels </t>
  </si>
  <si>
    <t xml:space="preserve">Frais bancaires </t>
  </si>
  <si>
    <t>Club</t>
  </si>
  <si>
    <t>Sexe</t>
  </si>
  <si>
    <t>Ventes matériels Club</t>
  </si>
  <si>
    <t>Solde Compte courant N-1</t>
  </si>
  <si>
    <t>Solde Caisse N-1</t>
  </si>
  <si>
    <t>BILAN CONSOLIDE AU</t>
  </si>
  <si>
    <t xml:space="preserve">Report de l'année N-1 </t>
  </si>
  <si>
    <t xml:space="preserve">Relations publiques </t>
  </si>
  <si>
    <t>Location matériels</t>
  </si>
  <si>
    <t>Montant</t>
  </si>
  <si>
    <t>Solde banque</t>
  </si>
  <si>
    <t>Vente matériels Club</t>
  </si>
  <si>
    <t>Achat matières premières</t>
  </si>
  <si>
    <t>Vente produits club</t>
  </si>
  <si>
    <t>Cotisations Club</t>
  </si>
  <si>
    <t>Dons, mécénat</t>
  </si>
  <si>
    <t>Achats matières premières</t>
  </si>
  <si>
    <t>Achats matériels club</t>
  </si>
  <si>
    <t>Frais restauration - déplacement</t>
  </si>
  <si>
    <t xml:space="preserve">BANQUE </t>
  </si>
  <si>
    <t>Frais spécifiques pour évènements</t>
  </si>
  <si>
    <t>Dons aux associations</t>
  </si>
  <si>
    <t>Mécénats - Dons</t>
  </si>
  <si>
    <t>N° Exploitant UAS</t>
  </si>
  <si>
    <t>Moyenne d'age</t>
  </si>
  <si>
    <t>Quote-part location terrain TtB</t>
  </si>
  <si>
    <t>Pointage</t>
  </si>
  <si>
    <t>Subvention CC de l'entre deux mers</t>
  </si>
  <si>
    <t>ok</t>
  </si>
  <si>
    <t>Frais d'entretien terrain</t>
  </si>
  <si>
    <t>Recettes manifestation</t>
  </si>
  <si>
    <t>Achats par virements bancaires</t>
  </si>
  <si>
    <t>Achats par virement bancaire</t>
  </si>
  <si>
    <t xml:space="preserve"> Fichier sauvegardé le:</t>
  </si>
  <si>
    <t>Achat matériels Club</t>
  </si>
  <si>
    <t xml:space="preserve">Achats produits club </t>
  </si>
  <si>
    <t>Achats produits club</t>
  </si>
  <si>
    <t>Ventes produits club</t>
  </si>
  <si>
    <t>P</t>
  </si>
  <si>
    <t>DÉSIGNATIONS</t>
  </si>
  <si>
    <t>LIBELLÉS</t>
  </si>
  <si>
    <t>T R É S O R E R I E</t>
  </si>
  <si>
    <t>Compte 2024/2025 au</t>
  </si>
  <si>
    <t>COMPTE D'EXPLOITATION 2024 / 2025</t>
  </si>
  <si>
    <t>Prélèvement automatique</t>
  </si>
  <si>
    <r>
      <t xml:space="preserve">Subvention </t>
    </r>
    <r>
      <rPr>
        <b/>
        <sz val="11"/>
        <color theme="1"/>
        <rFont val="Arial"/>
        <family val="2"/>
      </rPr>
      <t xml:space="preserve">Mairie </t>
    </r>
  </si>
  <si>
    <r>
      <t xml:space="preserve">Subvention </t>
    </r>
    <r>
      <rPr>
        <b/>
        <sz val="11"/>
        <color theme="1"/>
        <rFont val="Arial"/>
        <family val="2"/>
      </rPr>
      <t xml:space="preserve">CC </t>
    </r>
  </si>
  <si>
    <t>date</t>
  </si>
  <si>
    <t>Feuille</t>
  </si>
  <si>
    <t>Banque +</t>
  </si>
  <si>
    <t>Banque -</t>
  </si>
  <si>
    <t>Caisse +</t>
  </si>
  <si>
    <t>Caisse -</t>
  </si>
  <si>
    <t>F8</t>
  </si>
  <si>
    <t>G8</t>
  </si>
  <si>
    <t>H8</t>
  </si>
  <si>
    <t>I8</t>
  </si>
  <si>
    <t>Décembre 2024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</si>
  <si>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</si>
  <si>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</si>
  <si>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</si>
  <si>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</si>
  <si>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</si>
  <si>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</si>
  <si>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</si>
  <si>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</si>
  <si>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</si>
  <si>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</si>
  <si>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mmmm aaaa</t>
  </si>
  <si>
    <t>Prénom</t>
  </si>
  <si>
    <t>26/09/1964</t>
  </si>
  <si>
    <t>Frais restauration-brocante-meetings-Exposition</t>
  </si>
  <si>
    <t>Réservation repas évènements club</t>
  </si>
  <si>
    <t>recettes manifestations</t>
  </si>
  <si>
    <t>Subvention Mairie de Blasimon</t>
  </si>
  <si>
    <t>NP</t>
  </si>
  <si>
    <t>16/05/1962</t>
  </si>
  <si>
    <t>Mise en valeur</t>
  </si>
  <si>
    <t>Cotisations membres</t>
  </si>
  <si>
    <t>Nom &amp;</t>
  </si>
  <si>
    <t>Solde debut mois Janvier 2027</t>
  </si>
  <si>
    <t>Dépenses et recettes du mois de Janvier 2027</t>
  </si>
  <si>
    <t>solde Fin mois Janvier 2027</t>
  </si>
  <si>
    <t>Solde debut mois de Février 2027</t>
  </si>
  <si>
    <t>Dépenses et recettes du mois de Février 2027</t>
  </si>
  <si>
    <t>solde Fin mois de Février 2027</t>
  </si>
  <si>
    <t>Solde debut mois de Mars 2027</t>
  </si>
  <si>
    <t>Dépenses et recettes du mois de Mars 2027</t>
  </si>
  <si>
    <t>solde Fin mois de Mars 2027</t>
  </si>
  <si>
    <t>Solde début mois d'Avril 2027</t>
  </si>
  <si>
    <t>Dépenses et recettes du mois d'Avril 2027</t>
  </si>
  <si>
    <t>solde Fin mois d'Avril 2027</t>
  </si>
  <si>
    <t>Solde debut mois de Mai 2027</t>
  </si>
  <si>
    <t>Somme mois de Mai 2027</t>
  </si>
  <si>
    <t>solde Fin mois de Mai 2027</t>
  </si>
  <si>
    <t>Solde debut mois de Juin 2027</t>
  </si>
  <si>
    <t>Somme mois de Juin 2027</t>
  </si>
  <si>
    <t>solde Fin mois de Juin 2027</t>
  </si>
  <si>
    <t>Solde debut mois de Juillet 2027</t>
  </si>
  <si>
    <t>Somme mois de Juillet 2027</t>
  </si>
  <si>
    <t>solde Fin mois de Juillet 2027</t>
  </si>
  <si>
    <t>Solde debut mois d'Août 2027</t>
  </si>
  <si>
    <t>Somme mois d'Août 2027</t>
  </si>
  <si>
    <t>solde Fin mois d'Août 2027</t>
  </si>
  <si>
    <t>Solde debut mois de Septembre 2027</t>
  </si>
  <si>
    <t>Somme mois de Septembre 2027</t>
  </si>
  <si>
    <t>solde Fin mois de Septembre 2027</t>
  </si>
  <si>
    <t>Solde debut mois d'Octobre 2027</t>
  </si>
  <si>
    <t>Somme mois d'Octobre 2027</t>
  </si>
  <si>
    <t>solde Fin mois d'Octobre 2027</t>
  </si>
  <si>
    <t>Solde debut mois de Novembre 2027</t>
  </si>
  <si>
    <t>Somme mois de Novembre 2027</t>
  </si>
  <si>
    <t>solde Fin mois de Novembre 2027</t>
  </si>
  <si>
    <t>Solde debut mois de Décembre 2027</t>
  </si>
  <si>
    <t>Dépenses et recettes du mois de Décembre 2027</t>
  </si>
  <si>
    <t>solde Fin mois de Décembre 2027</t>
  </si>
  <si>
    <t>N°
d'inscription</t>
  </si>
  <si>
    <t>=MAX(0;F6+F7-G7)</t>
  </si>
  <si>
    <t>27/02/2026 10:08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</si>
</sst>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2">
    <numFmt numFmtId="7" formatCode="#,##0.00\ &quot;€&quot;;\-#,##0.00\ &quot;€&quot;"/>
    <numFmt numFmtId="164" formatCode="&quot;€&quot;#,##0.00_);[Red]\(&quot;€&quot;#,##0.00\)"/>
    <numFmt numFmtId="165" formatCode="&quot;€&quot;#,##0.00_);\(&quot;€&quot;#,##0.00\)"/>
    <numFmt numFmtId="166" formatCode="dd/mm/yy;@"/>
    <numFmt numFmtId="167" formatCode="dd/mm/yyyy;@"/>
    <numFmt numFmtId="168" formatCode="#,##0.00\ &quot;fr.&quot;"/>
    <numFmt numFmtId="169" formatCode="0000"/>
    <numFmt numFmtId="170" formatCode="0#&quot; &quot;##&quot; &quot;##&quot; &quot;##&quot; &quot;##"/>
    <numFmt numFmtId="171" formatCode="#,##0.00\ &quot;€&quot;"/>
    <numFmt numFmtId="173" formatCode="\-0.00&quot;€&quot;"/>
    <numFmt numFmtId="174" formatCode="d/mm/yyyy;@"/>
    <numFmt numFmtId="175" formatCode="\-0.00&quot;€&quot;;\-0;;@"/>
    <numFmt numFmtId="176" formatCode="0.00&quot;€&quot;;\-0;;@"/>
    <numFmt numFmtId="177" formatCode="00"/>
    <numFmt numFmtId="178" formatCode="0000000"/>
    <numFmt numFmtId="179" formatCode="#,##0\ &quot;€&quot;"/>
    <numFmt numFmtId="180" formatCode="00000"/>
    <numFmt numFmtId="182" formatCode="0.00&quot;€&quot;"/>
    <numFmt numFmtId="183" formatCode="\+0.00\€;;;@"/>
    <numFmt numFmtId="184" formatCode="\-0.00\€;;;@"/>
    <numFmt numFmtId="185" formatCode="mm/dd/yyyy\ hh:mm"/>
    <numFmt numFmtId="186" formatCode="mmmm\ yyyy"/>
  </numFmts>
  <fonts count="6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b/>
      <i/>
      <sz val="4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8"/>
      <name val="Arial"/>
      <family val="2"/>
    </font>
    <font>
      <b/>
      <sz val="12"/>
      <name val="Arial"/>
      <family val="2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b/>
      <sz val="2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i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i/>
      <sz val="12"/>
      <name val="Arial"/>
      <family val="2"/>
    </font>
    <font>
      <sz val="12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sz val="26"/>
      <color theme="3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4"/>
      <color theme="1"/>
      <name val="Calibri"/>
      <family val="2"/>
      <scheme val="minor"/>
    </font>
    <font>
      <b/>
      <sz val="18"/>
      <color rgb="FFFF0000"/>
      <name val="Wingdings 2"/>
      <family val="1"/>
      <charset val="2"/>
    </font>
    <font>
      <b/>
      <sz val="11"/>
      <color rgb="FFFF0000"/>
      <name val="Wingdings 2"/>
      <family val="1"/>
      <charset val="2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Wingdings 2"/>
      <family val="1"/>
      <charset val="2"/>
    </font>
    <font>
      <b/>
      <sz val="4"/>
      <color theme="0" tint="-0.14999847407452621"/>
      <name val="Calibri"/>
      <family val="2"/>
      <scheme val="minor"/>
    </font>
    <font>
      <b/>
      <sz val="12"/>
      <color rgb="FFFF0000"/>
      <name val="Arial"/>
      <family val="2"/>
    </font>
    <font>
      <sz val="10"/>
      <color rgb="FF333333"/>
      <name val="Calibri"/>
      <family val="2"/>
      <scheme val="minor"/>
    </font>
    <font>
      <b/>
      <sz val="12"/>
      <color rgb="FFFF0000"/>
      <name val="Wingdings 2"/>
      <family val="1"/>
      <charset val="2"/>
    </font>
    <font>
      <sz val="8"/>
      <name val="Calibri"/>
      <family val="2"/>
      <scheme val="minor"/>
    </font>
    <font>
      <b/>
      <sz val="11"/>
      <color rgb="FFFF0000"/>
      <name val="Arial"/>
      <family val="2"/>
    </font>
    <font>
      <sz val="24"/>
      <color theme="1"/>
      <name val="Calibri"/>
      <family val="2"/>
      <scheme val="minor"/>
    </font>
    <font>
      <sz val="11"/>
      <color theme="1"/>
      <name val="Arial Unicode MS"/>
      <family val="2"/>
    </font>
    <font>
      <u/>
      <sz val="10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CE6F1"/>
        <bgColor indexed="64"/>
      </patternFill>
    </fill>
  </fills>
  <borders count="9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 tint="0.39994506668294322"/>
      </left>
      <right/>
      <top/>
      <bottom/>
      <diagonal/>
    </border>
    <border>
      <left style="medium">
        <color indexed="64"/>
      </left>
      <right style="thin">
        <color theme="4"/>
      </right>
      <top style="medium">
        <color rgb="FF000000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theme="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theme="4"/>
      </right>
      <top/>
      <bottom style="medium">
        <color indexed="64"/>
      </bottom>
      <diagonal/>
    </border>
    <border>
      <left style="thin">
        <color theme="4"/>
      </left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/>
      <top/>
      <bottom style="thin">
        <color theme="3" tint="0.59999389629810485"/>
      </bottom>
      <diagonal/>
    </border>
    <border>
      <left style="thin">
        <color theme="4" tint="0.39997558519241921"/>
      </left>
      <right/>
      <top/>
      <bottom style="thin">
        <color theme="3" tint="0.59999389629810485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06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169" fontId="6" fillId="0" borderId="12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13" fillId="0" borderId="0" xfId="0" applyFont="1"/>
    <xf numFmtId="0" fontId="13" fillId="0" borderId="0" xfId="0" applyFont="1" applyAlignment="1" applyProtection="1">
      <alignment horizontal="center" vertical="center"/>
      <protection hidden="1"/>
    </xf>
    <xf numFmtId="0" fontId="13" fillId="0" borderId="0" xfId="0" applyFont="1" applyAlignment="1">
      <alignment horizontal="center"/>
    </xf>
    <xf numFmtId="0" fontId="6" fillId="0" borderId="12" xfId="0" applyFont="1" applyBorder="1" applyAlignment="1">
      <alignment horizontal="center" vertical="center"/>
    </xf>
    <xf numFmtId="166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13" fillId="0" borderId="0" xfId="0" applyNumberFormat="1" applyFont="1"/>
    <xf numFmtId="0" fontId="13" fillId="0" borderId="0" xfId="0" applyFont="1" applyProtection="1">
      <protection hidden="1"/>
    </xf>
    <xf numFmtId="166" fontId="13" fillId="0" borderId="0" xfId="0" applyNumberFormat="1" applyFont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1" fillId="3" borderId="12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7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14" fontId="8" fillId="4" borderId="12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8" fillId="0" borderId="12" xfId="0" applyNumberFormat="1" applyFont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11" fillId="0" borderId="21" xfId="0" applyFont="1" applyBorder="1" applyAlignment="1" applyProtection="1">
      <alignment vertical="center"/>
      <protection hidden="1"/>
    </xf>
    <xf numFmtId="0" fontId="11" fillId="0" borderId="22" xfId="0" applyFont="1" applyBorder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vertical="center"/>
      <protection hidden="1"/>
    </xf>
    <xf numFmtId="0" fontId="0" fillId="0" borderId="45" xfId="0" applyBorder="1" applyAlignment="1" applyProtection="1">
      <alignment horizontal="center" vertical="center"/>
      <protection hidden="1"/>
    </xf>
    <xf numFmtId="0" fontId="11" fillId="0" borderId="25" xfId="0" applyFont="1" applyBorder="1" applyAlignment="1" applyProtection="1">
      <alignment horizontal="center" vertical="center"/>
      <protection hidden="1"/>
    </xf>
    <xf numFmtId="0" fontId="11" fillId="0" borderId="36" xfId="0" applyFont="1" applyBorder="1" applyAlignment="1" applyProtection="1">
      <alignment horizontal="center" vertical="center"/>
      <protection hidden="1"/>
    </xf>
    <xf numFmtId="0" fontId="11" fillId="0" borderId="20" xfId="0" applyFont="1" applyBorder="1" applyAlignment="1" applyProtection="1">
      <alignment horizontal="center" vertical="center"/>
      <protection hidden="1"/>
    </xf>
    <xf numFmtId="14" fontId="8" fillId="0" borderId="12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5" xfId="0" applyBorder="1" applyAlignment="1" applyProtection="1">
      <alignment horizontal="center" vertical="center"/>
      <protection hidden="1"/>
    </xf>
    <xf numFmtId="0" fontId="6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9" fillId="0" borderId="20" xfId="0" applyFont="1" applyBorder="1" applyAlignment="1" applyProtection="1">
      <alignment horizontal="center" vertical="center"/>
      <protection hidden="1"/>
    </xf>
    <xf numFmtId="0" fontId="16" fillId="0" borderId="25" xfId="0" applyFont="1" applyBorder="1" applyAlignment="1" applyProtection="1">
      <alignment horizontal="center"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6" fillId="7" borderId="29" xfId="0" applyFont="1" applyFill="1" applyBorder="1" applyAlignment="1" applyProtection="1">
      <alignment horizontal="center" vertical="center"/>
      <protection hidden="1"/>
    </xf>
    <xf numFmtId="0" fontId="26" fillId="0" borderId="27" xfId="0" applyFont="1" applyBorder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horizontal="center" vertical="center"/>
      <protection hidden="1"/>
    </xf>
    <xf numFmtId="0" fontId="26" fillId="0" borderId="30" xfId="0" applyFont="1" applyBorder="1" applyAlignment="1" applyProtection="1">
      <alignment horizontal="center" vertical="center"/>
      <protection hidden="1"/>
    </xf>
    <xf numFmtId="1" fontId="26" fillId="0" borderId="26" xfId="0" applyNumberFormat="1" applyFont="1" applyBorder="1" applyAlignment="1" applyProtection="1">
      <alignment horizontal="center" vertical="center"/>
      <protection hidden="1"/>
    </xf>
    <xf numFmtId="171" fontId="26" fillId="0" borderId="0" xfId="0" applyNumberFormat="1" applyFont="1" applyAlignment="1" applyProtection="1">
      <alignment horizontal="center" vertical="center"/>
      <protection hidden="1"/>
    </xf>
    <xf numFmtId="171" fontId="28" fillId="0" borderId="25" xfId="0" applyNumberFormat="1" applyFont="1" applyBorder="1" applyAlignment="1" applyProtection="1">
      <alignment horizontal="center" vertical="center"/>
      <protection hidden="1"/>
    </xf>
    <xf numFmtId="0" fontId="28" fillId="0" borderId="25" xfId="0" applyFont="1" applyBorder="1" applyAlignment="1" applyProtection="1">
      <alignment horizontal="center" vertical="center"/>
      <protection hidden="1"/>
    </xf>
    <xf numFmtId="164" fontId="26" fillId="0" borderId="0" xfId="0" applyNumberFormat="1" applyFont="1" applyAlignment="1" applyProtection="1">
      <alignment horizontal="center" vertical="center"/>
      <protection hidden="1"/>
    </xf>
    <xf numFmtId="171" fontId="28" fillId="0" borderId="0" xfId="0" applyNumberFormat="1" applyFont="1" applyAlignment="1" applyProtection="1">
      <alignment horizontal="center" vertical="center"/>
      <protection hidden="1"/>
    </xf>
    <xf numFmtId="164" fontId="26" fillId="0" borderId="25" xfId="0" applyNumberFormat="1" applyFont="1" applyBorder="1" applyAlignment="1" applyProtection="1">
      <alignment horizontal="center" vertical="center"/>
      <protection hidden="1"/>
    </xf>
    <xf numFmtId="176" fontId="26" fillId="0" borderId="0" xfId="0" applyNumberFormat="1" applyFont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horizontal="left" vertical="center"/>
      <protection hidden="1"/>
    </xf>
    <xf numFmtId="2" fontId="28" fillId="0" borderId="0" xfId="0" applyNumberFormat="1" applyFont="1" applyAlignment="1" applyProtection="1">
      <alignment horizontal="left" vertical="center"/>
      <protection hidden="1"/>
    </xf>
    <xf numFmtId="175" fontId="28" fillId="0" borderId="0" xfId="0" applyNumberFormat="1" applyFont="1" applyAlignment="1" applyProtection="1">
      <alignment horizontal="left" vertical="center"/>
      <protection hidden="1"/>
    </xf>
    <xf numFmtId="179" fontId="0" fillId="0" borderId="18" xfId="0" applyNumberFormat="1" applyBorder="1" applyAlignment="1">
      <alignment horizontal="center" vertical="center"/>
    </xf>
    <xf numFmtId="179" fontId="0" fillId="0" borderId="12" xfId="0" applyNumberFormat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0" borderId="62" xfId="0" applyFont="1" applyBorder="1" applyAlignment="1">
      <alignment horizontal="center" vertical="center"/>
    </xf>
    <xf numFmtId="169" fontId="5" fillId="0" borderId="12" xfId="0" applyNumberFormat="1" applyFont="1" applyBorder="1" applyAlignment="1" applyProtection="1">
      <alignment horizontal="center" vertical="center"/>
      <protection hidden="1"/>
    </xf>
    <xf numFmtId="171" fontId="6" fillId="0" borderId="0" xfId="0" applyNumberFormat="1" applyFont="1" applyAlignment="1">
      <alignment vertical="center"/>
    </xf>
    <xf numFmtId="0" fontId="0" fillId="0" borderId="58" xfId="0" applyBorder="1" applyAlignment="1">
      <alignment horizontal="center" vertical="center"/>
    </xf>
    <xf numFmtId="0" fontId="28" fillId="0" borderId="63" xfId="0" applyFont="1" applyBorder="1" applyAlignment="1" applyProtection="1">
      <alignment vertical="center"/>
      <protection hidden="1"/>
    </xf>
    <xf numFmtId="0" fontId="33" fillId="0" borderId="8" xfId="0" applyFont="1" applyBorder="1" applyAlignment="1" applyProtection="1">
      <alignment horizontal="center" vertical="center"/>
      <protection hidden="1"/>
    </xf>
    <xf numFmtId="2" fontId="34" fillId="0" borderId="3" xfId="0" applyNumberFormat="1" applyFont="1" applyBorder="1" applyAlignment="1" applyProtection="1">
      <alignment horizontal="center" vertical="center"/>
      <protection hidden="1"/>
    </xf>
    <xf numFmtId="176" fontId="0" fillId="0" borderId="0" xfId="0" quotePrefix="1" applyNumberFormat="1" applyAlignment="1" applyProtection="1">
      <alignment horizontal="left" vertical="center"/>
      <protection hidden="1"/>
    </xf>
    <xf numFmtId="0" fontId="0" fillId="0" borderId="22" xfId="0" applyBorder="1" applyAlignment="1" applyProtection="1">
      <alignment vertical="center"/>
      <protection hidden="1"/>
    </xf>
    <xf numFmtId="14" fontId="30" fillId="0" borderId="24" xfId="0" applyNumberFormat="1" applyFont="1" applyBorder="1" applyAlignment="1" applyProtection="1">
      <alignment horizontal="right" vertical="center"/>
      <protection hidden="1"/>
    </xf>
    <xf numFmtId="2" fontId="34" fillId="0" borderId="0" xfId="0" applyNumberFormat="1" applyFont="1" applyAlignment="1" applyProtection="1">
      <alignment horizontal="center" vertical="center"/>
      <protection hidden="1"/>
    </xf>
    <xf numFmtId="175" fontId="33" fillId="0" borderId="3" xfId="0" applyNumberFormat="1" applyFont="1" applyBorder="1" applyAlignment="1" applyProtection="1">
      <alignment horizontal="center" vertical="center"/>
      <protection hidden="1"/>
    </xf>
    <xf numFmtId="175" fontId="33" fillId="0" borderId="33" xfId="0" applyNumberFormat="1" applyFont="1" applyBorder="1" applyAlignment="1" applyProtection="1">
      <alignment horizontal="center" vertical="center"/>
      <protection hidden="1"/>
    </xf>
    <xf numFmtId="1" fontId="27" fillId="0" borderId="24" xfId="0" applyNumberFormat="1" applyFont="1" applyBorder="1" applyAlignment="1" applyProtection="1">
      <alignment vertical="center"/>
      <protection hidden="1"/>
    </xf>
    <xf numFmtId="1" fontId="27" fillId="0" borderId="0" xfId="0" applyNumberFormat="1" applyFont="1" applyAlignment="1" applyProtection="1">
      <alignment vertical="center"/>
      <protection hidden="1"/>
    </xf>
    <xf numFmtId="1" fontId="27" fillId="0" borderId="25" xfId="0" applyNumberFormat="1" applyFont="1" applyBorder="1" applyAlignment="1" applyProtection="1">
      <alignment vertical="center"/>
      <protection hidden="1"/>
    </xf>
    <xf numFmtId="1" fontId="27" fillId="0" borderId="52" xfId="0" applyNumberFormat="1" applyFont="1" applyBorder="1" applyAlignment="1" applyProtection="1">
      <alignment vertical="center"/>
      <protection hidden="1"/>
    </xf>
    <xf numFmtId="1" fontId="27" fillId="0" borderId="45" xfId="0" applyNumberFormat="1" applyFont="1" applyBorder="1" applyAlignment="1" applyProtection="1">
      <alignment vertical="center"/>
      <protection hidden="1"/>
    </xf>
    <xf numFmtId="1" fontId="27" fillId="0" borderId="53" xfId="0" applyNumberFormat="1" applyFont="1" applyBorder="1" applyAlignment="1" applyProtection="1">
      <alignment vertical="center"/>
      <protection hidden="1"/>
    </xf>
    <xf numFmtId="165" fontId="0" fillId="0" borderId="0" xfId="0" applyNumberFormat="1" applyAlignment="1" applyProtection="1">
      <alignment vertical="center"/>
      <protection hidden="1"/>
    </xf>
    <xf numFmtId="171" fontId="35" fillId="0" borderId="12" xfId="1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179" fontId="6" fillId="0" borderId="0" xfId="0" applyNumberFormat="1" applyFont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8" fillId="0" borderId="26" xfId="0" applyFont="1" applyBorder="1" applyAlignment="1" applyProtection="1">
      <alignment vertical="center"/>
      <protection hidden="1"/>
    </xf>
    <xf numFmtId="0" fontId="28" fillId="0" borderId="40" xfId="0" applyFont="1" applyBorder="1" applyAlignment="1" applyProtection="1">
      <alignment vertical="center"/>
      <protection hidden="1"/>
    </xf>
    <xf numFmtId="0" fontId="28" fillId="0" borderId="26" xfId="0" applyFont="1" applyBorder="1" applyAlignment="1" applyProtection="1">
      <alignment vertical="center" wrapText="1"/>
      <protection hidden="1"/>
    </xf>
    <xf numFmtId="0" fontId="28" fillId="0" borderId="40" xfId="0" applyFont="1" applyBorder="1" applyAlignment="1" applyProtection="1">
      <alignment vertical="center" wrapText="1"/>
      <protection hidden="1"/>
    </xf>
    <xf numFmtId="0" fontId="21" fillId="0" borderId="0" xfId="0" applyFont="1" applyAlignment="1" applyProtection="1">
      <alignment vertical="center"/>
      <protection hidden="1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 applyProtection="1">
      <alignment vertical="center"/>
      <protection hidden="1"/>
    </xf>
    <xf numFmtId="14" fontId="30" fillId="0" borderId="0" xfId="0" applyNumberFormat="1" applyFont="1" applyAlignment="1" applyProtection="1">
      <alignment horizontal="left" vertical="center"/>
      <protection hidden="1"/>
    </xf>
    <xf numFmtId="0" fontId="30" fillId="0" borderId="24" xfId="0" applyFont="1" applyBorder="1" applyAlignment="1" applyProtection="1">
      <alignment horizontal="right" vertical="center"/>
      <protection hidden="1"/>
    </xf>
    <xf numFmtId="165" fontId="14" fillId="0" borderId="0" xfId="0" quotePrefix="1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171" fontId="32" fillId="0" borderId="0" xfId="1" applyNumberFormat="1" applyFont="1" applyFill="1" applyBorder="1" applyAlignment="1" applyProtection="1">
      <alignment horizontal="center" vertical="center"/>
      <protection hidden="1"/>
    </xf>
    <xf numFmtId="165" fontId="40" fillId="0" borderId="0" xfId="1" applyNumberFormat="1" applyFont="1" applyFill="1" applyBorder="1" applyAlignment="1" applyProtection="1">
      <alignment horizontal="center" vertical="center"/>
      <protection hidden="1"/>
    </xf>
    <xf numFmtId="171" fontId="30" fillId="0" borderId="34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  <protection hidden="1"/>
    </xf>
    <xf numFmtId="14" fontId="30" fillId="0" borderId="0" xfId="0" applyNumberFormat="1" applyFont="1" applyAlignment="1" applyProtection="1">
      <alignment horizontal="center" vertical="center"/>
      <protection hidden="1"/>
    </xf>
    <xf numFmtId="171" fontId="30" fillId="0" borderId="0" xfId="0" applyNumberFormat="1" applyFont="1" applyAlignment="1" applyProtection="1">
      <alignment vertical="center"/>
      <protection hidden="1"/>
    </xf>
    <xf numFmtId="0" fontId="5" fillId="8" borderId="51" xfId="0" applyFont="1" applyFill="1" applyBorder="1" applyAlignment="1">
      <alignment horizontal="center" vertical="center"/>
    </xf>
    <xf numFmtId="176" fontId="26" fillId="3" borderId="32" xfId="1" applyNumberFormat="1" applyFont="1" applyFill="1" applyBorder="1" applyAlignment="1" applyProtection="1">
      <alignment horizontal="center" vertical="center"/>
      <protection hidden="1"/>
    </xf>
    <xf numFmtId="176" fontId="26" fillId="3" borderId="60" xfId="1" applyNumberFormat="1" applyFont="1" applyFill="1" applyBorder="1" applyAlignment="1" applyProtection="1">
      <alignment horizontal="center"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6" fillId="0" borderId="24" xfId="0" applyFont="1" applyBorder="1" applyAlignment="1" applyProtection="1">
      <alignment horizontal="center" vertical="center"/>
      <protection hidden="1"/>
    </xf>
    <xf numFmtId="0" fontId="28" fillId="0" borderId="56" xfId="0" applyFont="1" applyBorder="1" applyAlignment="1" applyProtection="1">
      <alignment vertical="center"/>
      <protection hidden="1"/>
    </xf>
    <xf numFmtId="0" fontId="28" fillId="0" borderId="11" xfId="0" applyFont="1" applyBorder="1" applyAlignment="1" applyProtection="1">
      <alignment vertical="center"/>
      <protection hidden="1"/>
    </xf>
    <xf numFmtId="176" fontId="26" fillId="3" borderId="66" xfId="1" applyNumberFormat="1" applyFont="1" applyFill="1" applyBorder="1" applyAlignment="1" applyProtection="1">
      <alignment horizontal="center" vertical="center"/>
      <protection hidden="1"/>
    </xf>
    <xf numFmtId="0" fontId="28" fillId="0" borderId="26" xfId="0" applyFont="1" applyBorder="1" applyAlignment="1" applyProtection="1">
      <alignment horizontal="left" vertical="center" wrapText="1"/>
      <protection hidden="1"/>
    </xf>
    <xf numFmtId="0" fontId="28" fillId="0" borderId="26" xfId="0" applyFont="1" applyBorder="1" applyAlignment="1" applyProtection="1">
      <alignment horizontal="left" vertical="center"/>
      <protection hidden="1"/>
    </xf>
    <xf numFmtId="1" fontId="26" fillId="0" borderId="56" xfId="0" applyNumberFormat="1" applyFont="1" applyBorder="1" applyAlignment="1" applyProtection="1">
      <alignment horizontal="center" vertical="center"/>
      <protection hidden="1"/>
    </xf>
    <xf numFmtId="1" fontId="26" fillId="4" borderId="26" xfId="0" applyNumberFormat="1" applyFont="1" applyFill="1" applyBorder="1" applyAlignment="1" applyProtection="1">
      <alignment horizontal="center" vertical="center"/>
      <protection hidden="1"/>
    </xf>
    <xf numFmtId="0" fontId="28" fillId="0" borderId="67" xfId="0" applyFont="1" applyBorder="1" applyAlignment="1" applyProtection="1">
      <alignment horizontal="left" vertical="center"/>
      <protection hidden="1"/>
    </xf>
    <xf numFmtId="0" fontId="26" fillId="0" borderId="26" xfId="0" applyFont="1" applyBorder="1" applyAlignment="1" applyProtection="1">
      <alignment horizontal="center" vertical="center"/>
      <protection hidden="1"/>
    </xf>
    <xf numFmtId="0" fontId="26" fillId="0" borderId="67" xfId="0" applyFont="1" applyBorder="1" applyAlignment="1" applyProtection="1">
      <alignment horizontal="center" vertical="center"/>
      <protection hidden="1"/>
    </xf>
    <xf numFmtId="176" fontId="26" fillId="6" borderId="32" xfId="1" applyNumberFormat="1" applyFont="1" applyFill="1" applyBorder="1" applyAlignment="1" applyProtection="1">
      <alignment horizontal="center" vertical="center"/>
      <protection hidden="1"/>
    </xf>
    <xf numFmtId="176" fontId="26" fillId="6" borderId="57" xfId="1" applyNumberFormat="1" applyFont="1" applyFill="1" applyBorder="1" applyAlignment="1" applyProtection="1">
      <alignment horizontal="center" vertical="center"/>
      <protection hidden="1"/>
    </xf>
    <xf numFmtId="1" fontId="27" fillId="0" borderId="68" xfId="0" applyNumberFormat="1" applyFont="1" applyBorder="1" applyAlignment="1" applyProtection="1">
      <alignment horizontal="center" vertical="center"/>
      <protection hidden="1"/>
    </xf>
    <xf numFmtId="0" fontId="26" fillId="0" borderId="31" xfId="0" applyFont="1" applyBorder="1" applyAlignment="1" applyProtection="1">
      <alignment horizontal="center" vertical="center"/>
      <protection hidden="1"/>
    </xf>
    <xf numFmtId="0" fontId="43" fillId="8" borderId="12" xfId="0" applyFont="1" applyFill="1" applyBorder="1" applyAlignment="1">
      <alignment horizontal="center" vertical="center" wrapText="1"/>
    </xf>
    <xf numFmtId="1" fontId="27" fillId="0" borderId="31" xfId="0" applyNumberFormat="1" applyFont="1" applyBorder="1" applyAlignment="1" applyProtection="1">
      <alignment horizontal="center" vertical="center"/>
      <protection hidden="1"/>
    </xf>
    <xf numFmtId="0" fontId="30" fillId="2" borderId="24" xfId="0" applyFont="1" applyFill="1" applyBorder="1" applyAlignment="1" applyProtection="1">
      <alignment horizontal="right" vertical="center"/>
      <protection hidden="1"/>
    </xf>
    <xf numFmtId="0" fontId="30" fillId="2" borderId="0" xfId="0" applyFont="1" applyFill="1" applyAlignment="1" applyProtection="1">
      <alignment horizontal="center" vertical="center"/>
      <protection hidden="1"/>
    </xf>
    <xf numFmtId="171" fontId="32" fillId="2" borderId="0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28" fillId="2" borderId="0" xfId="0" applyFont="1" applyFill="1" applyAlignment="1" applyProtection="1">
      <alignment horizontal="center" vertical="center"/>
      <protection hidden="1"/>
    </xf>
    <xf numFmtId="0" fontId="28" fillId="2" borderId="25" xfId="0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center" vertical="center"/>
    </xf>
    <xf numFmtId="0" fontId="28" fillId="0" borderId="32" xfId="0" applyFont="1" applyBorder="1" applyAlignment="1">
      <alignment horizontal="left" vertical="center"/>
    </xf>
    <xf numFmtId="0" fontId="26" fillId="0" borderId="65" xfId="0" applyFont="1" applyBorder="1" applyAlignment="1" applyProtection="1">
      <alignment horizontal="center" vertical="center"/>
      <protection hidden="1"/>
    </xf>
    <xf numFmtId="0" fontId="28" fillId="0" borderId="50" xfId="0" applyFont="1" applyBorder="1" applyAlignment="1" applyProtection="1">
      <alignment vertical="center" wrapText="1"/>
      <protection hidden="1"/>
    </xf>
    <xf numFmtId="0" fontId="28" fillId="0" borderId="50" xfId="0" applyFont="1" applyBorder="1" applyAlignment="1" applyProtection="1">
      <alignment vertical="center"/>
      <protection hidden="1"/>
    </xf>
    <xf numFmtId="0" fontId="28" fillId="0" borderId="61" xfId="0" applyFont="1" applyBorder="1" applyAlignment="1" applyProtection="1">
      <alignment vertical="center"/>
      <protection hidden="1"/>
    </xf>
    <xf numFmtId="14" fontId="0" fillId="0" borderId="18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39" fillId="0" borderId="0" xfId="0" applyFont="1" applyAlignment="1">
      <alignment vertical="center"/>
    </xf>
    <xf numFmtId="0" fontId="28" fillId="0" borderId="45" xfId="0" applyFont="1" applyBorder="1" applyAlignment="1" applyProtection="1">
      <alignment vertical="center"/>
      <protection hidden="1"/>
    </xf>
    <xf numFmtId="1" fontId="26" fillId="0" borderId="57" xfId="0" applyNumberFormat="1" applyFont="1" applyBorder="1" applyAlignment="1" applyProtection="1">
      <alignment horizontal="center" vertical="center"/>
      <protection hidden="1"/>
    </xf>
    <xf numFmtId="0" fontId="41" fillId="0" borderId="17" xfId="0" applyFont="1" applyBorder="1" applyAlignment="1">
      <alignment horizontal="center" vertical="center"/>
    </xf>
    <xf numFmtId="171" fontId="17" fillId="0" borderId="0" xfId="0" applyNumberFormat="1" applyFont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9" fillId="0" borderId="20" xfId="0" applyFont="1" applyBorder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  <protection hidden="1"/>
    </xf>
    <xf numFmtId="165" fontId="42" fillId="0" borderId="0" xfId="0" applyNumberFormat="1" applyFont="1" applyAlignment="1" applyProtection="1">
      <alignment horizontal="left" vertical="center"/>
      <protection hidden="1"/>
    </xf>
    <xf numFmtId="171" fontId="42" fillId="0" borderId="0" xfId="0" applyNumberFormat="1" applyFont="1" applyAlignment="1" applyProtection="1">
      <alignment horizontal="left" vertical="center"/>
      <protection hidden="1"/>
    </xf>
    <xf numFmtId="171" fontId="6" fillId="0" borderId="25" xfId="0" applyNumberFormat="1" applyFont="1" applyBorder="1" applyAlignment="1" applyProtection="1">
      <alignment horizontal="center" vertical="center"/>
      <protection hidden="1"/>
    </xf>
    <xf numFmtId="176" fontId="6" fillId="0" borderId="25" xfId="0" applyNumberFormat="1" applyFont="1" applyBorder="1" applyAlignment="1" applyProtection="1">
      <alignment horizontal="center" vertical="center"/>
      <protection hidden="1"/>
    </xf>
    <xf numFmtId="176" fontId="0" fillId="0" borderId="12" xfId="0" applyNumberFormat="1" applyBorder="1" applyAlignment="1">
      <alignment horizontal="center" vertical="center"/>
    </xf>
    <xf numFmtId="176" fontId="0" fillId="0" borderId="69" xfId="0" applyNumberFormat="1" applyBorder="1" applyAlignment="1">
      <alignment horizontal="center" vertical="center"/>
    </xf>
    <xf numFmtId="176" fontId="0" fillId="0" borderId="15" xfId="0" applyNumberFormat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0" borderId="12" xfId="0" applyBorder="1" applyAlignment="1">
      <alignment horizontal="center"/>
    </xf>
    <xf numFmtId="176" fontId="42" fillId="0" borderId="18" xfId="0" applyNumberFormat="1" applyFont="1" applyBorder="1" applyAlignment="1">
      <alignment horizontal="center" vertical="center"/>
    </xf>
    <xf numFmtId="176" fontId="42" fillId="0" borderId="12" xfId="0" applyNumberFormat="1" applyFont="1" applyBorder="1" applyAlignment="1">
      <alignment horizontal="center" vertical="center"/>
    </xf>
    <xf numFmtId="0" fontId="28" fillId="0" borderId="52" xfId="0" applyFont="1" applyBorder="1" applyAlignment="1">
      <alignment horizontal="left" vertical="center"/>
    </xf>
    <xf numFmtId="0" fontId="13" fillId="0" borderId="26" xfId="0" applyFont="1" applyBorder="1" applyAlignment="1" applyProtection="1">
      <alignment horizontal="left" vertical="center"/>
      <protection hidden="1"/>
    </xf>
    <xf numFmtId="171" fontId="2" fillId="0" borderId="0" xfId="0" applyNumberFormat="1" applyFont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0" fontId="13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vertical="center"/>
      <protection hidden="1"/>
    </xf>
    <xf numFmtId="171" fontId="0" fillId="0" borderId="0" xfId="0" applyNumberFormat="1" applyAlignment="1" applyProtection="1">
      <alignment vertical="center"/>
      <protection hidden="1"/>
    </xf>
    <xf numFmtId="0" fontId="28" fillId="0" borderId="26" xfId="0" applyFont="1" applyBorder="1" applyAlignment="1">
      <alignment horizontal="left" vertical="center"/>
    </xf>
    <xf numFmtId="173" fontId="42" fillId="0" borderId="0" xfId="0" applyNumberFormat="1" applyFont="1" applyAlignment="1" applyProtection="1">
      <alignment horizontal="left" vertical="center"/>
      <protection hidden="1"/>
    </xf>
    <xf numFmtId="182" fontId="42" fillId="0" borderId="0" xfId="0" applyNumberFormat="1" applyFont="1" applyAlignment="1" applyProtection="1">
      <alignment horizontal="left" vertical="center"/>
      <protection hidden="1"/>
    </xf>
    <xf numFmtId="0" fontId="47" fillId="0" borderId="18" xfId="0" applyFont="1" applyBorder="1" applyAlignment="1">
      <alignment horizontal="center" vertical="center"/>
    </xf>
    <xf numFmtId="0" fontId="47" fillId="0" borderId="12" xfId="0" applyFont="1" applyBorder="1" applyAlignment="1">
      <alignment horizontal="center" vertical="center"/>
    </xf>
    <xf numFmtId="0" fontId="42" fillId="4" borderId="10" xfId="0" applyFont="1" applyFill="1" applyBorder="1" applyAlignment="1">
      <alignment horizontal="center" vertical="center"/>
    </xf>
    <xf numFmtId="171" fontId="35" fillId="0" borderId="12" xfId="0" applyNumberFormat="1" applyFont="1" applyBorder="1" applyAlignment="1" applyProtection="1">
      <alignment horizontal="center" vertical="center"/>
      <protection hidden="1"/>
    </xf>
    <xf numFmtId="0" fontId="0" fillId="0" borderId="71" xfId="0" applyBorder="1" applyAlignment="1">
      <alignment horizontal="center" vertical="center"/>
    </xf>
    <xf numFmtId="0" fontId="48" fillId="0" borderId="0" xfId="0" applyFont="1" applyAlignment="1">
      <alignment horizontal="center"/>
    </xf>
    <xf numFmtId="0" fontId="2" fillId="0" borderId="72" xfId="0" applyFont="1" applyBorder="1" applyAlignment="1">
      <alignment horizontal="center" vertical="center"/>
    </xf>
    <xf numFmtId="0" fontId="37" fillId="0" borderId="73" xfId="0" applyFont="1" applyBorder="1" applyAlignment="1">
      <alignment horizontal="center" vertical="center"/>
    </xf>
    <xf numFmtId="0" fontId="37" fillId="0" borderId="74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49" fillId="0" borderId="0" xfId="0" applyFont="1" applyAlignment="1">
      <alignment horizontal="center"/>
    </xf>
    <xf numFmtId="174" fontId="2" fillId="0" borderId="75" xfId="0" applyNumberFormat="1" applyFont="1" applyBorder="1" applyAlignment="1">
      <alignment horizontal="center" vertical="center"/>
    </xf>
    <xf numFmtId="166" fontId="2" fillId="0" borderId="75" xfId="0" applyNumberFormat="1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0" fontId="1" fillId="0" borderId="75" xfId="0" applyFont="1" applyBorder="1" applyAlignment="1">
      <alignment horizontal="center" vertical="center"/>
    </xf>
    <xf numFmtId="166" fontId="2" fillId="0" borderId="39" xfId="0" applyNumberFormat="1" applyFont="1" applyBorder="1" applyAlignment="1">
      <alignment horizontal="center" vertical="center"/>
    </xf>
    <xf numFmtId="166" fontId="13" fillId="2" borderId="5" xfId="0" applyNumberFormat="1" applyFont="1" applyFill="1" applyBorder="1" applyAlignment="1" applyProtection="1">
      <alignment horizontal="center" vertical="center"/>
      <protection hidden="1"/>
    </xf>
    <xf numFmtId="0" fontId="13" fillId="2" borderId="47" xfId="0" applyFont="1" applyFill="1" applyBorder="1" applyAlignment="1" applyProtection="1">
      <alignment horizontal="center" vertical="center"/>
      <protection hidden="1"/>
    </xf>
    <xf numFmtId="0" fontId="2" fillId="2" borderId="47" xfId="0" applyFont="1" applyFill="1" applyBorder="1" applyAlignment="1" applyProtection="1">
      <alignment vertical="center"/>
      <protection hidden="1"/>
    </xf>
    <xf numFmtId="174" fontId="2" fillId="0" borderId="39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2" fillId="0" borderId="76" xfId="0" applyFont="1" applyBorder="1" applyAlignment="1">
      <alignment horizontal="center" vertical="center"/>
    </xf>
    <xf numFmtId="0" fontId="37" fillId="0" borderId="77" xfId="0" applyFont="1" applyBorder="1" applyAlignment="1">
      <alignment horizontal="center" vertical="center"/>
    </xf>
    <xf numFmtId="0" fontId="37" fillId="0" borderId="78" xfId="0" applyFont="1" applyBorder="1" applyAlignment="1">
      <alignment horizontal="center" vertical="center"/>
    </xf>
    <xf numFmtId="166" fontId="13" fillId="2" borderId="7" xfId="0" applyNumberFormat="1" applyFont="1" applyFill="1" applyBorder="1" applyAlignment="1" applyProtection="1">
      <alignment horizontal="center" vertical="center"/>
      <protection locked="0" hidden="1"/>
    </xf>
    <xf numFmtId="0" fontId="13" fillId="2" borderId="47" xfId="0" applyFont="1" applyFill="1" applyBorder="1" applyAlignment="1" applyProtection="1">
      <alignment horizontal="center" vertical="center"/>
      <protection locked="0" hidden="1"/>
    </xf>
    <xf numFmtId="166" fontId="13" fillId="2" borderId="47" xfId="0" applyNumberFormat="1" applyFont="1" applyFill="1" applyBorder="1" applyAlignment="1" applyProtection="1">
      <alignment horizontal="center" vertical="center"/>
      <protection locked="0" hidden="1"/>
    </xf>
    <xf numFmtId="174" fontId="2" fillId="0" borderId="48" xfId="0" applyNumberFormat="1" applyFont="1" applyBorder="1" applyAlignment="1">
      <alignment horizontal="center" vertical="center"/>
    </xf>
    <xf numFmtId="167" fontId="13" fillId="0" borderId="43" xfId="0" applyNumberFormat="1" applyFont="1" applyBorder="1" applyAlignment="1" applyProtection="1">
      <alignment horizontal="center" vertical="center"/>
      <protection hidden="1"/>
    </xf>
    <xf numFmtId="0" fontId="13" fillId="0" borderId="46" xfId="0" applyFont="1" applyBorder="1" applyAlignment="1" applyProtection="1">
      <alignment horizontal="center" vertical="center"/>
      <protection hidden="1"/>
    </xf>
    <xf numFmtId="1" fontId="13" fillId="0" borderId="46" xfId="0" applyNumberFormat="1" applyFont="1" applyBorder="1" applyAlignment="1" applyProtection="1">
      <alignment horizontal="center" vertical="center"/>
      <protection hidden="1"/>
    </xf>
    <xf numFmtId="1" fontId="13" fillId="0" borderId="2" xfId="0" applyNumberFormat="1" applyFont="1" applyBorder="1" applyAlignment="1" applyProtection="1">
      <alignment horizontal="center" vertical="center"/>
      <protection hidden="1"/>
    </xf>
    <xf numFmtId="171" fontId="13" fillId="0" borderId="2" xfId="0" applyNumberFormat="1" applyFont="1" applyBorder="1" applyAlignment="1" applyProtection="1">
      <alignment horizontal="center" vertical="center"/>
      <protection locked="0" hidden="1"/>
    </xf>
    <xf numFmtId="173" fontId="13" fillId="0" borderId="43" xfId="0" applyNumberFormat="1" applyFont="1" applyBorder="1" applyAlignment="1" applyProtection="1">
      <alignment horizontal="center" vertical="center"/>
      <protection locked="0" hidden="1"/>
    </xf>
    <xf numFmtId="175" fontId="13" fillId="0" borderId="43" xfId="0" applyNumberFormat="1" applyFont="1" applyBorder="1" applyAlignment="1" applyProtection="1">
      <alignment horizontal="center" vertical="center"/>
      <protection locked="0" hidden="1"/>
    </xf>
    <xf numFmtId="167" fontId="13" fillId="0" borderId="83" xfId="0" applyNumberFormat="1" applyFont="1" applyBorder="1" applyAlignment="1" applyProtection="1">
      <alignment horizontal="center" vertical="center"/>
      <protection hidden="1"/>
    </xf>
    <xf numFmtId="1" fontId="25" fillId="0" borderId="46" xfId="0" applyNumberFormat="1" applyFont="1" applyBorder="1" applyAlignment="1" applyProtection="1">
      <alignment horizontal="center" vertical="center"/>
      <protection hidden="1"/>
    </xf>
    <xf numFmtId="1" fontId="46" fillId="0" borderId="46" xfId="0" applyNumberFormat="1" applyFont="1" applyBorder="1" applyAlignment="1" applyProtection="1">
      <alignment horizontal="center" vertical="center"/>
      <protection locked="0"/>
    </xf>
    <xf numFmtId="1" fontId="13" fillId="0" borderId="46" xfId="0" applyNumberFormat="1" applyFont="1" applyBorder="1" applyAlignment="1">
      <alignment horizontal="center" vertical="center"/>
    </xf>
    <xf numFmtId="167" fontId="13" fillId="0" borderId="84" xfId="0" applyNumberFormat="1" applyFont="1" applyBorder="1" applyAlignment="1" applyProtection="1">
      <alignment horizontal="center" vertical="center"/>
      <protection locked="0" hidden="1"/>
    </xf>
    <xf numFmtId="0" fontId="13" fillId="0" borderId="85" xfId="0" applyFont="1" applyBorder="1" applyAlignment="1" applyProtection="1">
      <alignment horizontal="center" vertical="center"/>
      <protection hidden="1"/>
    </xf>
    <xf numFmtId="1" fontId="13" fillId="0" borderId="85" xfId="0" applyNumberFormat="1" applyFont="1" applyBorder="1" applyAlignment="1" applyProtection="1">
      <alignment horizontal="center" vertical="center"/>
      <protection locked="0"/>
    </xf>
    <xf numFmtId="1" fontId="46" fillId="0" borderId="85" xfId="0" applyNumberFormat="1" applyFont="1" applyBorder="1" applyAlignment="1" applyProtection="1">
      <alignment horizontal="center" vertical="center"/>
      <protection locked="0"/>
    </xf>
    <xf numFmtId="171" fontId="13" fillId="0" borderId="86" xfId="0" applyNumberFormat="1" applyFont="1" applyBorder="1" applyAlignment="1" applyProtection="1">
      <alignment horizontal="center" vertical="center"/>
      <protection locked="0" hidden="1"/>
    </xf>
    <xf numFmtId="173" fontId="13" fillId="0" borderId="87" xfId="0" applyNumberFormat="1" applyFont="1" applyBorder="1" applyAlignment="1" applyProtection="1">
      <alignment horizontal="center" vertical="center"/>
      <protection locked="0" hidden="1"/>
    </xf>
    <xf numFmtId="175" fontId="13" fillId="0" borderId="87" xfId="0" applyNumberFormat="1" applyFont="1" applyBorder="1" applyAlignment="1" applyProtection="1">
      <alignment horizontal="center" vertical="center"/>
      <protection locked="0" hidden="1"/>
    </xf>
    <xf numFmtId="0" fontId="13" fillId="0" borderId="88" xfId="0" applyFont="1" applyBorder="1" applyAlignment="1" applyProtection="1">
      <alignment horizontal="center" vertical="center"/>
      <protection hidden="1"/>
    </xf>
    <xf numFmtId="171" fontId="13" fillId="0" borderId="89" xfId="0" applyNumberFormat="1" applyFont="1" applyBorder="1" applyAlignment="1" applyProtection="1">
      <alignment horizontal="center" vertical="center"/>
      <protection locked="0" hidden="1"/>
    </xf>
    <xf numFmtId="173" fontId="13" fillId="0" borderId="90" xfId="0" applyNumberFormat="1" applyFont="1" applyBorder="1" applyAlignment="1" applyProtection="1">
      <alignment horizontal="center" vertical="center"/>
      <protection locked="0" hidden="1"/>
    </xf>
    <xf numFmtId="175" fontId="13" fillId="0" borderId="90" xfId="0" applyNumberFormat="1" applyFont="1" applyBorder="1" applyAlignment="1" applyProtection="1">
      <alignment horizontal="center" vertical="center"/>
      <protection locked="0" hidden="1"/>
    </xf>
    <xf numFmtId="167" fontId="13" fillId="0" borderId="87" xfId="0" applyNumberFormat="1" applyFont="1" applyBorder="1" applyAlignment="1" applyProtection="1">
      <alignment horizontal="center" vertical="center"/>
      <protection locked="0" hidden="1"/>
    </xf>
    <xf numFmtId="0" fontId="50" fillId="0" borderId="0" xfId="0" applyFont="1" applyAlignment="1" applyProtection="1">
      <alignment horizontal="center" vertical="center"/>
      <protection hidden="1"/>
    </xf>
    <xf numFmtId="166" fontId="13" fillId="2" borderId="91" xfId="0" applyNumberFormat="1" applyFont="1" applyFill="1" applyBorder="1" applyAlignment="1" applyProtection="1">
      <alignment horizontal="center" vertical="center"/>
      <protection hidden="1"/>
    </xf>
    <xf numFmtId="0" fontId="13" fillId="2" borderId="38" xfId="0" applyFont="1" applyFill="1" applyBorder="1" applyAlignment="1" applyProtection="1">
      <alignment horizontal="center" vertical="center"/>
      <protection hidden="1"/>
    </xf>
    <xf numFmtId="0" fontId="2" fillId="2" borderId="38" xfId="0" applyFont="1" applyFill="1" applyBorder="1" applyAlignment="1" applyProtection="1">
      <alignment vertical="center"/>
      <protection hidden="1"/>
    </xf>
    <xf numFmtId="0" fontId="51" fillId="2" borderId="38" xfId="0" applyFont="1" applyFill="1" applyBorder="1" applyAlignment="1" applyProtection="1">
      <alignment vertical="center"/>
      <protection hidden="1"/>
    </xf>
    <xf numFmtId="0" fontId="2" fillId="2" borderId="81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2" fillId="2" borderId="38" xfId="0" applyFont="1" applyFill="1" applyBorder="1" applyAlignment="1" applyProtection="1">
      <alignment horizontal="center" vertical="center"/>
      <protection hidden="1"/>
    </xf>
    <xf numFmtId="166" fontId="13" fillId="2" borderId="55" xfId="0" applyNumberFormat="1" applyFont="1" applyFill="1" applyBorder="1" applyAlignment="1" applyProtection="1">
      <alignment horizontal="center" vertical="center"/>
      <protection hidden="1"/>
    </xf>
    <xf numFmtId="0" fontId="2" fillId="2" borderId="47" xfId="0" applyFont="1" applyFill="1" applyBorder="1" applyAlignment="1" applyProtection="1">
      <alignment horizontal="center" vertical="center"/>
      <protection hidden="1"/>
    </xf>
    <xf numFmtId="166" fontId="13" fillId="2" borderId="55" xfId="0" applyNumberFormat="1" applyFont="1" applyFill="1" applyBorder="1" applyAlignment="1" applyProtection="1">
      <alignment horizontal="center" vertical="center"/>
      <protection locked="0" hidden="1"/>
    </xf>
    <xf numFmtId="0" fontId="13" fillId="2" borderId="38" xfId="0" applyFont="1" applyFill="1" applyBorder="1" applyAlignment="1" applyProtection="1">
      <alignment horizontal="center" vertical="center"/>
      <protection locked="0" hidden="1"/>
    </xf>
    <xf numFmtId="166" fontId="13" fillId="2" borderId="38" xfId="0" applyNumberFormat="1" applyFont="1" applyFill="1" applyBorder="1" applyAlignment="1" applyProtection="1">
      <alignment horizontal="center" vertical="center"/>
      <protection locked="0" hidden="1"/>
    </xf>
    <xf numFmtId="183" fontId="2" fillId="0" borderId="79" xfId="0" applyNumberFormat="1" applyFont="1" applyBorder="1" applyAlignment="1" applyProtection="1">
      <alignment horizontal="center" vertical="center"/>
      <protection hidden="1"/>
    </xf>
    <xf numFmtId="184" fontId="37" fillId="0" borderId="79" xfId="0" applyNumberFormat="1" applyFont="1" applyBorder="1" applyAlignment="1" applyProtection="1">
      <alignment horizontal="center" vertical="center"/>
      <protection hidden="1"/>
    </xf>
    <xf numFmtId="184" fontId="37" fillId="0" borderId="10" xfId="0" applyNumberFormat="1" applyFont="1" applyBorder="1" applyAlignment="1" applyProtection="1">
      <alignment horizontal="center" vertical="center"/>
      <protection hidden="1"/>
    </xf>
    <xf numFmtId="183" fontId="2" fillId="0" borderId="79" xfId="0" applyNumberFormat="1" applyFont="1" applyBorder="1" applyAlignment="1">
      <alignment horizontal="center" vertical="center"/>
    </xf>
    <xf numFmtId="184" fontId="37" fillId="0" borderId="79" xfId="0" applyNumberFormat="1" applyFont="1" applyBorder="1" applyAlignment="1">
      <alignment horizontal="center" vertical="center"/>
    </xf>
    <xf numFmtId="184" fontId="37" fillId="0" borderId="10" xfId="0" applyNumberFormat="1" applyFont="1" applyBorder="1" applyAlignment="1">
      <alignment horizontal="center" vertical="center"/>
    </xf>
    <xf numFmtId="0" fontId="42" fillId="0" borderId="0" xfId="0" applyFont="1" applyAlignment="1" applyProtection="1">
      <alignment horizontal="left" vertical="center"/>
      <protection hidden="1"/>
    </xf>
    <xf numFmtId="1" fontId="13" fillId="0" borderId="88" xfId="0" applyNumberFormat="1" applyFont="1" applyBorder="1" applyAlignment="1" applyProtection="1">
      <alignment horizontal="center" vertical="center"/>
      <protection locked="0"/>
    </xf>
    <xf numFmtId="1" fontId="46" fillId="0" borderId="88" xfId="0" applyNumberFormat="1" applyFont="1" applyBorder="1" applyAlignment="1" applyProtection="1">
      <alignment horizontal="center" vertical="center"/>
      <protection locked="0"/>
    </xf>
    <xf numFmtId="167" fontId="13" fillId="0" borderId="90" xfId="0" applyNumberFormat="1" applyFont="1" applyBorder="1" applyAlignment="1" applyProtection="1">
      <alignment horizontal="center" vertical="center"/>
      <protection locked="0" hidden="1"/>
    </xf>
    <xf numFmtId="0" fontId="54" fillId="0" borderId="0" xfId="0" applyFont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37" fillId="0" borderId="92" xfId="0" applyFont="1" applyBorder="1" applyAlignment="1">
      <alignment horizontal="center" vertical="center"/>
    </xf>
    <xf numFmtId="0" fontId="37" fillId="0" borderId="93" xfId="0" applyFont="1" applyBorder="1" applyAlignment="1">
      <alignment horizontal="center" vertical="center"/>
    </xf>
    <xf numFmtId="0" fontId="15" fillId="0" borderId="0" xfId="0" applyFont="1" applyAlignment="1" applyProtection="1">
      <alignment horizontal="center" vertical="center" wrapText="1"/>
      <protection hidden="1"/>
    </xf>
    <xf numFmtId="169" fontId="6" fillId="0" borderId="11" xfId="0" applyNumberFormat="1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186" fontId="51" fillId="2" borderId="38" xfId="0" applyNumberFormat="1" applyFont="1" applyFill="1" applyBorder="1" applyAlignment="1" applyProtection="1">
      <alignment vertical="center"/>
      <protection hidden="1"/>
    </xf>
    <xf numFmtId="175" fontId="56" fillId="6" borderId="26" xfId="0" applyNumberFormat="1" applyFont="1" applyFill="1" applyBorder="1" applyAlignment="1" applyProtection="1">
      <alignment horizontal="center" vertical="center"/>
      <protection hidden="1"/>
    </xf>
    <xf numFmtId="175" fontId="56" fillId="3" borderId="32" xfId="0" applyNumberFormat="1" applyFont="1" applyFill="1" applyBorder="1" applyAlignment="1" applyProtection="1">
      <alignment horizontal="center" vertical="center"/>
      <protection hidden="1"/>
    </xf>
    <xf numFmtId="175" fontId="56" fillId="6" borderId="3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/>
    <xf numFmtId="1" fontId="13" fillId="10" borderId="62" xfId="0" applyNumberFormat="1" applyFont="1" applyFill="1" applyBorder="1" applyAlignment="1" applyProtection="1">
      <alignment horizontal="center" vertical="center"/>
      <protection locked="0"/>
    </xf>
    <xf numFmtId="0" fontId="42" fillId="4" borderId="0" xfId="0" applyFont="1" applyFill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7" fillId="0" borderId="0" xfId="0" applyFont="1"/>
    <xf numFmtId="164" fontId="13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64" fontId="13" fillId="2" borderId="38" xfId="0" applyNumberFormat="1" applyFont="1" applyFill="1" applyBorder="1" applyAlignment="1" applyProtection="1">
      <alignment horizontal="center" vertical="center"/>
      <protection locked="0" hidden="1"/>
    </xf>
    <xf numFmtId="164" fontId="13" fillId="2" borderId="47" xfId="0" applyNumberFormat="1" applyFont="1" applyFill="1" applyBorder="1" applyAlignment="1" applyProtection="1">
      <alignment horizontal="center" vertical="center"/>
      <protection locked="0" hidden="1"/>
    </xf>
    <xf numFmtId="164" fontId="2" fillId="0" borderId="39" xfId="0" applyNumberFormat="1" applyFont="1" applyBorder="1" applyAlignment="1">
      <alignment horizontal="center" vertical="center"/>
    </xf>
    <xf numFmtId="164" fontId="13" fillId="0" borderId="46" xfId="0" applyNumberFormat="1" applyFont="1" applyBorder="1" applyAlignment="1" applyProtection="1">
      <alignment horizontal="center" vertical="center"/>
      <protection hidden="1"/>
    </xf>
    <xf numFmtId="164" fontId="13" fillId="0" borderId="0" xfId="0" applyNumberFormat="1" applyFont="1"/>
    <xf numFmtId="0" fontId="0" fillId="0" borderId="94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184" fontId="0" fillId="0" borderId="10" xfId="0" applyNumberFormat="1" applyBorder="1" applyAlignment="1">
      <alignment horizontal="center" vertical="center"/>
    </xf>
    <xf numFmtId="183" fontId="0" fillId="0" borderId="79" xfId="0" applyNumberFormat="1" applyBorder="1" applyAlignment="1">
      <alignment horizontal="center" vertical="center"/>
    </xf>
    <xf numFmtId="184" fontId="0" fillId="0" borderId="79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/>
    </xf>
    <xf numFmtId="14" fontId="0" fillId="0" borderId="0" xfId="0" applyNumberFormat="1" applyAlignment="1">
      <alignment vertical="center"/>
    </xf>
    <xf numFmtId="0" fontId="58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62" xfId="0" applyFont="1" applyBorder="1" applyAlignment="1">
      <alignment vertical="center"/>
    </xf>
    <xf numFmtId="175" fontId="22" fillId="0" borderId="13" xfId="0" applyNumberFormat="1" applyFont="1" applyBorder="1" applyAlignment="1">
      <alignment horizontal="center" vertical="center"/>
    </xf>
    <xf numFmtId="175" fontId="22" fillId="0" borderId="12" xfId="0" applyNumberFormat="1" applyFont="1" applyBorder="1" applyAlignment="1">
      <alignment horizontal="center" vertical="center"/>
    </xf>
    <xf numFmtId="176" fontId="0" fillId="0" borderId="54" xfId="0" applyNumberFormat="1" applyBorder="1" applyAlignment="1">
      <alignment horizontal="center" vertical="center"/>
    </xf>
    <xf numFmtId="175" fontId="22" fillId="0" borderId="19" xfId="0" applyNumberFormat="1" applyFont="1" applyBorder="1" applyAlignment="1">
      <alignment horizontal="center" vertical="center"/>
    </xf>
    <xf numFmtId="0" fontId="59" fillId="0" borderId="12" xfId="1" applyFont="1" applyFill="1" applyBorder="1" applyAlignment="1" applyProtection="1">
      <alignment horizontal="center" vertical="center"/>
      <protection locked="0"/>
    </xf>
    <xf numFmtId="0" fontId="59" fillId="0" borderId="12" xfId="1" applyFont="1" applyFill="1" applyBorder="1" applyAlignment="1" applyProtection="1">
      <alignment horizontal="center"/>
    </xf>
    <xf numFmtId="175" fontId="61" fillId="0" borderId="4" xfId="0" applyNumberFormat="1" applyFont="1" applyBorder="1" applyAlignment="1">
      <alignment horizontal="center" vertical="center"/>
    </xf>
    <xf numFmtId="175" fontId="61" fillId="0" borderId="13" xfId="0" applyNumberFormat="1" applyFont="1" applyBorder="1" applyAlignment="1">
      <alignment horizontal="center" vertical="center"/>
    </xf>
    <xf numFmtId="175" fontId="61" fillId="0" borderId="18" xfId="0" applyNumberFormat="1" applyFont="1" applyBorder="1" applyAlignment="1">
      <alignment horizontal="center" vertical="center"/>
    </xf>
    <xf numFmtId="175" fontId="61" fillId="0" borderId="12" xfId="0" applyNumberFormat="1" applyFont="1" applyBorder="1" applyAlignment="1">
      <alignment horizontal="center" vertical="center"/>
    </xf>
    <xf numFmtId="14" fontId="0" fillId="0" borderId="0" xfId="0" applyNumberFormat="1"/>
    <xf numFmtId="0" fontId="4" fillId="5" borderId="12" xfId="0" applyFont="1" applyFill="1" applyBorder="1" applyAlignment="1" applyProtection="1">
      <alignment horizontal="center" vertical="center" wrapText="1"/>
      <protection hidden="1"/>
    </xf>
    <xf numFmtId="0" fontId="4" fillId="5" borderId="40" xfId="0" applyFont="1" applyFill="1" applyBorder="1" applyAlignment="1" applyProtection="1">
      <alignment horizontal="right" vertical="center" wrapText="1"/>
      <protection hidden="1"/>
    </xf>
    <xf numFmtId="0" fontId="4" fillId="5" borderId="16" xfId="0" applyFont="1" applyFill="1" applyBorder="1" applyAlignment="1" applyProtection="1">
      <alignment horizontal="left" vertical="center" wrapText="1"/>
      <protection hidden="1"/>
    </xf>
    <xf numFmtId="0" fontId="5" fillId="5" borderId="12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 applyProtection="1">
      <alignment horizontal="center" vertical="center" wrapText="1"/>
      <protection hidden="1"/>
    </xf>
    <xf numFmtId="168" fontId="4" fillId="5" borderId="12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>
      <alignment vertical="center" wrapText="1"/>
    </xf>
    <xf numFmtId="0" fontId="62" fillId="8" borderId="12" xfId="0" applyFont="1" applyFill="1" applyBorder="1" applyAlignment="1">
      <alignment vertical="center"/>
    </xf>
    <xf numFmtId="0" fontId="13" fillId="0" borderId="0" xfId="0" quotePrefix="1" applyFont="1" applyAlignment="1" applyProtection="1">
      <alignment horizontal="center" vertical="center"/>
      <protection hidden="1"/>
    </xf>
    <xf numFmtId="0" fontId="59" fillId="0" borderId="12" xfId="1" applyFont="1" applyFill="1" applyBorder="1" applyAlignment="1" applyProtection="1">
      <alignment horizontal="center" vertical="center"/>
    </xf>
    <xf numFmtId="0" fontId="60" fillId="0" borderId="12" xfId="1" applyFont="1" applyFill="1" applyBorder="1" applyAlignment="1" applyProtection="1">
      <alignment horizontal="center" vertical="center"/>
      <protection locked="0"/>
    </xf>
    <xf numFmtId="0" fontId="59" fillId="0" borderId="12" xfId="1" applyFont="1" applyFill="1" applyBorder="1" applyAlignment="1" applyProtection="1">
      <alignment horizontal="center" vertical="center" wrapText="1"/>
      <protection locked="0"/>
    </xf>
    <xf numFmtId="0" fontId="59" fillId="0" borderId="18" xfId="1" applyFont="1" applyFill="1" applyBorder="1" applyAlignment="1" applyProtection="1">
      <alignment horizontal="center" vertical="center" wrapText="1"/>
      <protection locked="0"/>
    </xf>
    <xf numFmtId="0" fontId="60" fillId="0" borderId="18" xfId="1" applyFont="1" applyFill="1" applyBorder="1" applyAlignment="1" applyProtection="1">
      <alignment horizontal="center" vertical="center" wrapText="1"/>
      <protection locked="0"/>
    </xf>
    <xf numFmtId="177" fontId="6" fillId="11" borderId="12" xfId="0" applyNumberFormat="1" applyFont="1" applyFill="1" applyBorder="1" applyAlignment="1" applyProtection="1">
      <alignment horizontal="center" vertical="center"/>
      <protection hidden="1"/>
    </xf>
    <xf numFmtId="169" fontId="6" fillId="11" borderId="40" xfId="0" applyNumberFormat="1" applyFont="1" applyFill="1" applyBorder="1" applyAlignment="1">
      <alignment horizontal="center" vertical="center"/>
    </xf>
    <xf numFmtId="169" fontId="6" fillId="11" borderId="16" xfId="0" applyNumberFormat="1" applyFont="1" applyFill="1" applyBorder="1" applyAlignment="1">
      <alignment horizontal="center" vertical="center"/>
    </xf>
    <xf numFmtId="1" fontId="6" fillId="11" borderId="12" xfId="0" applyNumberFormat="1" applyFont="1" applyFill="1" applyBorder="1" applyAlignment="1" applyProtection="1">
      <alignment horizontal="center" vertical="center" wrapText="1"/>
      <protection locked="0"/>
    </xf>
    <xf numFmtId="1" fontId="6" fillId="11" borderId="12" xfId="0" applyNumberFormat="1" applyFont="1" applyFill="1" applyBorder="1" applyAlignment="1" applyProtection="1">
      <alignment horizontal="center" vertical="center"/>
      <protection locked="0"/>
    </xf>
    <xf numFmtId="180" fontId="6" fillId="11" borderId="12" xfId="0" applyNumberFormat="1" applyFont="1" applyFill="1" applyBorder="1" applyAlignment="1" applyProtection="1">
      <alignment horizontal="center" vertical="center"/>
      <protection locked="0"/>
    </xf>
    <xf numFmtId="0" fontId="59" fillId="11" borderId="12" xfId="1" applyFont="1" applyFill="1" applyBorder="1" applyAlignment="1" applyProtection="1">
      <alignment horizontal="center" vertical="center"/>
      <protection locked="0"/>
    </xf>
    <xf numFmtId="178" fontId="6" fillId="11" borderId="12" xfId="0" quotePrefix="1" applyNumberFormat="1" applyFont="1" applyFill="1" applyBorder="1" applyAlignment="1" applyProtection="1">
      <alignment horizontal="center" vertical="center"/>
      <protection locked="0"/>
    </xf>
    <xf numFmtId="0" fontId="6" fillId="11" borderId="12" xfId="0" applyFont="1" applyFill="1" applyBorder="1" applyAlignment="1">
      <alignment horizontal="center" vertical="center"/>
    </xf>
    <xf numFmtId="170" fontId="6" fillId="11" borderId="12" xfId="1" applyNumberFormat="1" applyFont="1" applyFill="1" applyBorder="1" applyAlignment="1" applyProtection="1">
      <alignment horizontal="center" vertical="center"/>
      <protection locked="0"/>
    </xf>
    <xf numFmtId="170" fontId="6" fillId="11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11" borderId="12" xfId="0" applyNumberFormat="1" applyFont="1" applyFill="1" applyBorder="1" applyAlignment="1">
      <alignment horizontal="center" vertical="center"/>
    </xf>
    <xf numFmtId="0" fontId="6" fillId="11" borderId="13" xfId="0" applyFont="1" applyFill="1" applyBorder="1" applyAlignment="1" applyProtection="1">
      <alignment horizontal="center" vertical="center"/>
      <protection hidden="1"/>
    </xf>
    <xf numFmtId="167" fontId="6" fillId="11" borderId="14" xfId="0" applyNumberFormat="1" applyFont="1" applyFill="1" applyBorder="1" applyAlignment="1" applyProtection="1">
      <alignment horizontal="center" vertical="center"/>
      <protection locked="0"/>
    </xf>
    <xf numFmtId="14" fontId="6" fillId="11" borderId="15" xfId="0" applyNumberFormat="1" applyFont="1" applyFill="1" applyBorder="1" applyAlignment="1" applyProtection="1">
      <alignment horizontal="center" vertical="center"/>
      <protection locked="0"/>
    </xf>
    <xf numFmtId="171" fontId="6" fillId="11" borderId="12" xfId="0" applyNumberFormat="1" applyFont="1" applyFill="1" applyBorder="1" applyAlignment="1" applyProtection="1">
      <alignment horizontal="center" vertical="center"/>
      <protection locked="0"/>
    </xf>
    <xf numFmtId="0" fontId="6" fillId="11" borderId="12" xfId="0" applyFont="1" applyFill="1" applyBorder="1" applyAlignment="1" applyProtection="1">
      <alignment horizontal="center" vertical="center"/>
      <protection locked="0"/>
    </xf>
    <xf numFmtId="178" fontId="6" fillId="11" borderId="12" xfId="0" applyNumberFormat="1" applyFont="1" applyFill="1" applyBorder="1" applyAlignment="1" applyProtection="1">
      <alignment horizontal="center" vertical="center"/>
      <protection locked="0"/>
    </xf>
    <xf numFmtId="170" fontId="6" fillId="11" borderId="12" xfId="0" applyNumberFormat="1" applyFont="1" applyFill="1" applyBorder="1" applyAlignment="1" applyProtection="1">
      <alignment horizontal="center" vertical="center"/>
      <protection locked="0"/>
    </xf>
    <xf numFmtId="1" fontId="6" fillId="11" borderId="12" xfId="0" applyNumberFormat="1" applyFont="1" applyFill="1" applyBorder="1" applyAlignment="1" applyProtection="1">
      <alignment horizontal="center" vertical="center"/>
      <protection hidden="1"/>
    </xf>
    <xf numFmtId="180" fontId="6" fillId="11" borderId="13" xfId="0" applyNumberFormat="1" applyFont="1" applyFill="1" applyBorder="1" applyAlignment="1" applyProtection="1">
      <alignment horizontal="center" vertical="center"/>
      <protection locked="0"/>
    </xf>
    <xf numFmtId="170" fontId="6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6" fillId="11" borderId="14" xfId="0" applyNumberFormat="1" applyFont="1" applyFill="1" applyBorder="1" applyAlignment="1" applyProtection="1">
      <alignment horizontal="center" vertical="center" wrapText="1"/>
      <protection locked="0"/>
    </xf>
    <xf numFmtId="0" fontId="59" fillId="11" borderId="12" xfId="1" applyFont="1" applyFill="1" applyBorder="1" applyAlignment="1" applyProtection="1">
      <alignment horizontal="center" vertical="center"/>
    </xf>
    <xf numFmtId="180" fontId="6" fillId="11" borderId="12" xfId="0" applyNumberFormat="1" applyFont="1" applyFill="1" applyBorder="1" applyAlignment="1">
      <alignment horizontal="center" vertical="center"/>
    </xf>
    <xf numFmtId="0" fontId="59" fillId="11" borderId="12" xfId="1" applyFont="1" applyFill="1" applyBorder="1" applyAlignment="1" applyProtection="1">
      <alignment horizontal="center" vertical="center" wrapText="1"/>
      <protection locked="0"/>
    </xf>
    <xf numFmtId="0" fontId="60" fillId="11" borderId="12" xfId="1" applyFont="1" applyFill="1" applyBorder="1" applyAlignment="1" applyProtection="1">
      <alignment horizontal="center" vertical="center" wrapText="1"/>
      <protection locked="0"/>
    </xf>
    <xf numFmtId="14" fontId="6" fillId="11" borderId="54" xfId="0" applyNumberFormat="1" applyFont="1" applyFill="1" applyBorder="1" applyAlignment="1" applyProtection="1">
      <alignment horizontal="center" vertical="center"/>
      <protection locked="0"/>
    </xf>
    <xf numFmtId="0" fontId="6" fillId="11" borderId="19" xfId="0" applyFont="1" applyFill="1" applyBorder="1" applyAlignment="1" applyProtection="1">
      <alignment horizontal="center" vertical="center"/>
      <protection locked="0"/>
    </xf>
    <xf numFmtId="0" fontId="59" fillId="11" borderId="18" xfId="1" applyFont="1" applyFill="1" applyBorder="1" applyAlignment="1" applyProtection="1">
      <alignment horizontal="center" vertical="center" wrapText="1"/>
      <protection locked="0"/>
    </xf>
    <xf numFmtId="0" fontId="6" fillId="11" borderId="12" xfId="0" applyFont="1" applyFill="1" applyBorder="1" applyAlignment="1" applyProtection="1">
      <alignment horizontal="center" vertical="center" wrapText="1"/>
      <protection locked="0"/>
    </xf>
    <xf numFmtId="170" fontId="6" fillId="11" borderId="12" xfId="0" applyNumberFormat="1" applyFont="1" applyFill="1" applyBorder="1" applyAlignment="1" applyProtection="1">
      <alignment horizontal="center" vertical="center" wrapText="1"/>
      <protection locked="0"/>
    </xf>
    <xf numFmtId="170" fontId="6" fillId="11" borderId="13" xfId="0" applyNumberFormat="1" applyFont="1" applyFill="1" applyBorder="1" applyAlignment="1" applyProtection="1">
      <alignment horizontal="center" vertical="center"/>
      <protection locked="0"/>
    </xf>
    <xf numFmtId="0" fontId="6" fillId="11" borderId="40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178" fontId="6" fillId="11" borderId="12" xfId="0" applyNumberFormat="1" applyFont="1" applyFill="1" applyBorder="1" applyAlignment="1">
      <alignment horizontal="center" vertical="center"/>
    </xf>
    <xf numFmtId="170" fontId="6" fillId="11" borderId="12" xfId="0" applyNumberFormat="1" applyFont="1" applyFill="1" applyBorder="1" applyAlignment="1">
      <alignment horizontal="center" vertical="center"/>
    </xf>
    <xf numFmtId="170" fontId="6" fillId="11" borderId="13" xfId="0" applyNumberFormat="1" applyFont="1" applyFill="1" applyBorder="1" applyAlignment="1">
      <alignment horizontal="center" vertical="center"/>
    </xf>
    <xf numFmtId="0" fontId="60" fillId="11" borderId="12" xfId="1" applyFont="1" applyFill="1" applyBorder="1" applyAlignment="1" applyProtection="1">
      <alignment horizontal="center" vertical="center"/>
      <protection locked="0"/>
    </xf>
    <xf numFmtId="0" fontId="59" fillId="11" borderId="0" xfId="1" applyFont="1" applyFill="1" applyBorder="1" applyAlignment="1" applyProtection="1">
      <alignment horizontal="center" vertical="center"/>
    </xf>
    <xf numFmtId="170" fontId="6" fillId="11" borderId="1" xfId="0" applyNumberFormat="1" applyFont="1" applyFill="1" applyBorder="1" applyAlignment="1">
      <alignment horizontal="center" vertical="center"/>
    </xf>
    <xf numFmtId="0" fontId="59" fillId="11" borderId="0" xfId="1" applyFont="1" applyFill="1" applyBorder="1" applyAlignment="1" applyProtection="1">
      <alignment horizontal="center" vertical="center"/>
      <protection locked="0"/>
    </xf>
    <xf numFmtId="0" fontId="53" fillId="11" borderId="40" xfId="0" applyFont="1" applyFill="1" applyBorder="1" applyAlignment="1">
      <alignment horizontal="center" vertical="center"/>
    </xf>
    <xf numFmtId="0" fontId="53" fillId="11" borderId="16" xfId="0" applyFont="1" applyFill="1" applyBorder="1" applyAlignment="1">
      <alignment horizontal="center" vertical="center"/>
    </xf>
    <xf numFmtId="0" fontId="59" fillId="11" borderId="12" xfId="1" applyFont="1" applyFill="1" applyBorder="1" applyAlignment="1" applyProtection="1">
      <alignment horizontal="center"/>
    </xf>
    <xf numFmtId="170" fontId="53" fillId="11" borderId="1" xfId="0" applyNumberFormat="1" applyFont="1" applyFill="1" applyBorder="1" applyAlignment="1">
      <alignment horizontal="center"/>
    </xf>
    <xf numFmtId="1" fontId="63" fillId="0" borderId="46" xfId="0" applyNumberFormat="1" applyFont="1" applyBorder="1" applyAlignment="1" applyProtection="1">
      <alignment horizontal="center" vertical="center"/>
      <protection hidden="1"/>
    </xf>
    <xf numFmtId="1" fontId="13" fillId="0" borderId="47" xfId="0" applyNumberFormat="1" applyFont="1" applyBorder="1" applyAlignment="1" applyProtection="1">
      <alignment horizontal="center" vertical="center"/>
      <protection locked="0"/>
    </xf>
    <xf numFmtId="1" fontId="46" fillId="0" borderId="47" xfId="0" applyNumberFormat="1" applyFont="1" applyBorder="1" applyAlignment="1" applyProtection="1">
      <alignment horizontal="center" vertical="center"/>
      <protection locked="0"/>
    </xf>
    <xf numFmtId="171" fontId="13" fillId="0" borderId="6" xfId="0" applyNumberFormat="1" applyFont="1" applyBorder="1" applyAlignment="1" applyProtection="1">
      <alignment horizontal="center" vertical="center"/>
      <protection locked="0" hidden="1"/>
    </xf>
    <xf numFmtId="173" fontId="13" fillId="0" borderId="7" xfId="0" applyNumberFormat="1" applyFont="1" applyBorder="1" applyAlignment="1" applyProtection="1">
      <alignment horizontal="center" vertical="center"/>
      <protection locked="0" hidden="1"/>
    </xf>
    <xf numFmtId="175" fontId="13" fillId="0" borderId="7" xfId="0" applyNumberFormat="1" applyFont="1" applyBorder="1" applyAlignment="1" applyProtection="1">
      <alignment horizontal="center" vertical="center"/>
      <protection locked="0" hidden="1"/>
    </xf>
    <xf numFmtId="167" fontId="13" fillId="0" borderId="90" xfId="0" applyNumberFormat="1" applyFont="1" applyBorder="1" applyAlignment="1" applyProtection="1">
      <alignment horizontal="center" vertical="center"/>
      <protection hidden="1"/>
    </xf>
    <xf numFmtId="1" fontId="13" fillId="0" borderId="88" xfId="0" applyNumberFormat="1" applyFont="1" applyBorder="1" applyAlignment="1">
      <alignment horizontal="center" vertical="center"/>
    </xf>
    <xf numFmtId="1" fontId="13" fillId="0" borderId="47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166" fontId="2" fillId="0" borderId="38" xfId="0" applyNumberFormat="1" applyFont="1" applyBorder="1" applyAlignment="1">
      <alignment horizontal="center" vertical="center"/>
    </xf>
    <xf numFmtId="166" fontId="2" fillId="0" borderId="39" xfId="0" applyNumberFormat="1" applyFont="1" applyBorder="1" applyAlignment="1">
      <alignment horizontal="center" vertical="center"/>
    </xf>
    <xf numFmtId="0" fontId="2" fillId="0" borderId="38" xfId="0" applyFont="1" applyBorder="1" applyAlignment="1" applyProtection="1">
      <alignment horizontal="center" vertical="center"/>
      <protection hidden="1"/>
    </xf>
    <xf numFmtId="0" fontId="2" fillId="0" borderId="39" xfId="0" applyFont="1" applyBorder="1" applyAlignment="1" applyProtection="1">
      <alignment horizontal="center" vertical="center"/>
      <protection hidden="1"/>
    </xf>
    <xf numFmtId="0" fontId="1" fillId="0" borderId="38" xfId="0" applyFont="1" applyBorder="1" applyAlignment="1" applyProtection="1">
      <alignment horizontal="center" vertical="center"/>
      <protection hidden="1"/>
    </xf>
    <xf numFmtId="0" fontId="1" fillId="0" borderId="39" xfId="0" applyFont="1" applyBorder="1" applyAlignment="1" applyProtection="1">
      <alignment horizontal="center" vertical="center"/>
      <protection hidden="1"/>
    </xf>
    <xf numFmtId="182" fontId="0" fillId="0" borderId="8" xfId="0" applyNumberFormat="1" applyBorder="1" applyAlignment="1">
      <alignment horizontal="center" vertical="center"/>
    </xf>
    <xf numFmtId="182" fontId="0" fillId="0" borderId="28" xfId="0" applyNumberFormat="1" applyBorder="1" applyAlignment="1">
      <alignment horizontal="center" vertical="center"/>
    </xf>
    <xf numFmtId="173" fontId="22" fillId="0" borderId="96" xfId="0" applyNumberFormat="1" applyFont="1" applyBorder="1" applyAlignment="1">
      <alignment horizontal="center" vertical="center"/>
    </xf>
    <xf numFmtId="173" fontId="22" fillId="0" borderId="9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18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71" fontId="5" fillId="8" borderId="9" xfId="0" applyNumberFormat="1" applyFont="1" applyFill="1" applyBorder="1" applyAlignment="1">
      <alignment horizontal="center" vertical="center"/>
    </xf>
    <xf numFmtId="171" fontId="5" fillId="8" borderId="80" xfId="0" applyNumberFormat="1" applyFont="1" applyFill="1" applyBorder="1" applyAlignment="1">
      <alignment horizontal="center" vertical="center"/>
    </xf>
    <xf numFmtId="0" fontId="38" fillId="0" borderId="0" xfId="0" applyFont="1" applyAlignment="1">
      <alignment horizontal="center" vertical="top"/>
    </xf>
    <xf numFmtId="0" fontId="38" fillId="0" borderId="11" xfId="0" applyFont="1" applyBorder="1" applyAlignment="1">
      <alignment horizontal="center" vertical="top"/>
    </xf>
    <xf numFmtId="0" fontId="5" fillId="8" borderId="13" xfId="0" applyFont="1" applyFill="1" applyBorder="1" applyAlignment="1">
      <alignment horizontal="center" vertical="center"/>
    </xf>
    <xf numFmtId="0" fontId="5" fillId="8" borderId="40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6" fillId="8" borderId="40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0" fontId="45" fillId="0" borderId="0" xfId="0" applyFont="1" applyAlignment="1">
      <alignment horizontal="center" vertical="center"/>
    </xf>
    <xf numFmtId="166" fontId="14" fillId="0" borderId="38" xfId="0" applyNumberFormat="1" applyFont="1" applyBorder="1" applyAlignment="1" applyProtection="1">
      <alignment horizontal="center" vertical="center" wrapText="1"/>
      <protection hidden="1"/>
    </xf>
    <xf numFmtId="166" fontId="14" fillId="0" borderId="39" xfId="0" applyNumberFormat="1" applyFont="1" applyBorder="1" applyAlignment="1" applyProtection="1">
      <alignment horizontal="center" vertical="center"/>
      <protection hidden="1"/>
    </xf>
    <xf numFmtId="166" fontId="14" fillId="0" borderId="38" xfId="0" applyNumberFormat="1" applyFont="1" applyBorder="1" applyAlignment="1" applyProtection="1">
      <alignment horizontal="center" vertical="center"/>
      <protection hidden="1"/>
    </xf>
    <xf numFmtId="0" fontId="14" fillId="0" borderId="38" xfId="0" applyFont="1" applyBorder="1" applyAlignment="1" applyProtection="1">
      <alignment horizontal="center" vertical="center"/>
      <protection hidden="1"/>
    </xf>
    <xf numFmtId="0" fontId="14" fillId="0" borderId="39" xfId="0" applyFont="1" applyBorder="1" applyAlignment="1" applyProtection="1">
      <alignment horizontal="center" vertical="center"/>
      <protection hidden="1"/>
    </xf>
    <xf numFmtId="183" fontId="20" fillId="0" borderId="81" xfId="0" applyNumberFormat="1" applyFont="1" applyBorder="1" applyAlignment="1">
      <alignment horizontal="center" vertical="center"/>
    </xf>
    <xf numFmtId="183" fontId="20" fillId="0" borderId="82" xfId="0" applyNumberFormat="1" applyFont="1" applyBorder="1" applyAlignment="1">
      <alignment horizontal="center" vertical="center"/>
    </xf>
    <xf numFmtId="183" fontId="2" fillId="0" borderId="81" xfId="0" applyNumberFormat="1" applyFont="1" applyBorder="1" applyAlignment="1">
      <alignment horizontal="center" vertical="center"/>
    </xf>
    <xf numFmtId="183" fontId="2" fillId="0" borderId="82" xfId="0" applyNumberFormat="1" applyFont="1" applyBorder="1" applyAlignment="1">
      <alignment horizontal="center" vertical="center"/>
    </xf>
    <xf numFmtId="183" fontId="20" fillId="0" borderId="79" xfId="0" applyNumberFormat="1" applyFont="1" applyBorder="1" applyAlignment="1">
      <alignment horizontal="center" vertical="center"/>
    </xf>
    <xf numFmtId="183" fontId="20" fillId="0" borderId="80" xfId="0" applyNumberFormat="1" applyFont="1" applyBorder="1" applyAlignment="1">
      <alignment horizontal="center" vertical="center"/>
    </xf>
    <xf numFmtId="183" fontId="2" fillId="0" borderId="79" xfId="0" applyNumberFormat="1" applyFont="1" applyBorder="1" applyAlignment="1">
      <alignment horizontal="center" vertical="center"/>
    </xf>
    <xf numFmtId="183" fontId="2" fillId="0" borderId="80" xfId="0" applyNumberFormat="1" applyFont="1" applyBorder="1" applyAlignment="1">
      <alignment horizontal="center" vertical="center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28" xfId="0" applyFont="1" applyBorder="1" applyAlignment="1" applyProtection="1">
      <alignment horizontal="center" vertical="center"/>
      <protection hidden="1"/>
    </xf>
    <xf numFmtId="0" fontId="2" fillId="0" borderId="37" xfId="0" applyFont="1" applyBorder="1" applyAlignment="1" applyProtection="1">
      <alignment horizontal="center" vertical="center"/>
      <protection hidden="1"/>
    </xf>
    <xf numFmtId="0" fontId="14" fillId="0" borderId="44" xfId="0" applyFont="1" applyBorder="1" applyAlignment="1" applyProtection="1">
      <alignment horizontal="center" vertical="center"/>
      <protection hidden="1"/>
    </xf>
    <xf numFmtId="0" fontId="14" fillId="0" borderId="45" xfId="0" applyFont="1" applyBorder="1" applyAlignment="1" applyProtection="1">
      <alignment horizontal="center" vertical="center"/>
      <protection hidden="1"/>
    </xf>
    <xf numFmtId="0" fontId="14" fillId="0" borderId="37" xfId="0" applyFont="1" applyBorder="1" applyAlignment="1" applyProtection="1">
      <alignment horizontal="center" vertical="center"/>
      <protection hidden="1"/>
    </xf>
    <xf numFmtId="0" fontId="45" fillId="0" borderId="0" xfId="0" applyFont="1" applyAlignment="1" applyProtection="1">
      <alignment horizontal="center"/>
      <protection hidden="1"/>
    </xf>
    <xf numFmtId="164" fontId="14" fillId="0" borderId="38" xfId="0" applyNumberFormat="1" applyFont="1" applyBorder="1" applyAlignment="1" applyProtection="1">
      <alignment horizontal="center" vertical="center"/>
      <protection hidden="1"/>
    </xf>
    <xf numFmtId="164" fontId="14" fillId="0" borderId="39" xfId="0" applyNumberFormat="1" applyFont="1" applyBorder="1" applyAlignment="1" applyProtection="1">
      <alignment horizontal="center" vertical="center"/>
      <protection hidden="1"/>
    </xf>
    <xf numFmtId="0" fontId="45" fillId="0" borderId="0" xfId="0" applyFont="1" applyAlignment="1" applyProtection="1">
      <alignment horizontal="center" vertical="center"/>
      <protection hidden="1"/>
    </xf>
    <xf numFmtId="183" fontId="20" fillId="0" borderId="79" xfId="0" applyNumberFormat="1" applyFont="1" applyBorder="1" applyAlignment="1" applyProtection="1">
      <alignment horizontal="center" vertical="center"/>
      <protection hidden="1"/>
    </xf>
    <xf numFmtId="183" fontId="20" fillId="0" borderId="80" xfId="0" applyNumberFormat="1" applyFont="1" applyBorder="1" applyAlignment="1" applyProtection="1">
      <alignment horizontal="center" vertical="center"/>
      <protection hidden="1"/>
    </xf>
    <xf numFmtId="183" fontId="2" fillId="0" borderId="79" xfId="0" applyNumberFormat="1" applyFont="1" applyBorder="1" applyAlignment="1" applyProtection="1">
      <alignment horizontal="center" vertical="center"/>
      <protection hidden="1"/>
    </xf>
    <xf numFmtId="183" fontId="2" fillId="0" borderId="80" xfId="0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0" fontId="9" fillId="0" borderId="20" xfId="0" applyFont="1" applyBorder="1" applyAlignment="1" applyProtection="1">
      <alignment horizontal="right" vertical="center"/>
      <protection hidden="1"/>
    </xf>
    <xf numFmtId="173" fontId="52" fillId="9" borderId="8" xfId="0" applyNumberFormat="1" applyFont="1" applyFill="1" applyBorder="1" applyAlignment="1" applyProtection="1">
      <alignment horizontal="center" vertical="center"/>
      <protection hidden="1"/>
    </xf>
    <xf numFmtId="173" fontId="52" fillId="9" borderId="29" xfId="0" applyNumberFormat="1" applyFont="1" applyFill="1" applyBorder="1" applyAlignment="1" applyProtection="1">
      <alignment horizontal="center" vertical="center"/>
      <protection hidden="1"/>
    </xf>
    <xf numFmtId="171" fontId="17" fillId="9" borderId="8" xfId="1" applyNumberFormat="1" applyFont="1" applyFill="1" applyBorder="1" applyAlignment="1" applyProtection="1">
      <alignment horizontal="center" vertical="center"/>
      <protection hidden="1"/>
    </xf>
    <xf numFmtId="171" fontId="17" fillId="9" borderId="37" xfId="1" applyNumberFormat="1" applyFont="1" applyFill="1" applyBorder="1" applyAlignment="1" applyProtection="1">
      <alignment horizontal="center" vertical="center"/>
      <protection hidden="1"/>
    </xf>
    <xf numFmtId="0" fontId="26" fillId="0" borderId="28" xfId="0" applyFont="1" applyBorder="1" applyAlignment="1" applyProtection="1">
      <alignment horizontal="center" vertical="center"/>
      <protection hidden="1"/>
    </xf>
    <xf numFmtId="0" fontId="26" fillId="0" borderId="29" xfId="0" applyFont="1" applyBorder="1" applyAlignment="1" applyProtection="1">
      <alignment horizontal="center" vertical="center"/>
      <protection hidden="1"/>
    </xf>
    <xf numFmtId="0" fontId="26" fillId="0" borderId="9" xfId="0" applyFont="1" applyBorder="1" applyAlignment="1" applyProtection="1">
      <alignment horizontal="center" vertical="center"/>
      <protection hidden="1"/>
    </xf>
    <xf numFmtId="0" fontId="16" fillId="0" borderId="24" xfId="0" applyFont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26" fillId="7" borderId="30" xfId="0" applyFont="1" applyFill="1" applyBorder="1" applyAlignment="1" applyProtection="1">
      <alignment horizontal="center" vertical="center"/>
      <protection hidden="1"/>
    </xf>
    <xf numFmtId="0" fontId="26" fillId="7" borderId="28" xfId="0" applyFont="1" applyFill="1" applyBorder="1" applyAlignment="1" applyProtection="1">
      <alignment horizontal="center" vertical="center"/>
      <protection hidden="1"/>
    </xf>
    <xf numFmtId="0" fontId="26" fillId="9" borderId="59" xfId="0" applyFont="1" applyFill="1" applyBorder="1" applyAlignment="1" applyProtection="1">
      <alignment horizontal="center" vertical="center"/>
      <protection hidden="1"/>
    </xf>
    <xf numFmtId="0" fontId="26" fillId="9" borderId="70" xfId="0" applyFont="1" applyFill="1" applyBorder="1" applyAlignment="1" applyProtection="1">
      <alignment horizontal="center" vertical="center"/>
      <protection hidden="1"/>
    </xf>
    <xf numFmtId="0" fontId="28" fillId="9" borderId="56" xfId="0" applyFont="1" applyFill="1" applyBorder="1" applyAlignment="1" applyProtection="1">
      <alignment horizontal="center" vertical="center"/>
      <protection hidden="1"/>
    </xf>
    <xf numFmtId="0" fontId="28" fillId="9" borderId="11" xfId="0" applyFont="1" applyFill="1" applyBorder="1" applyAlignment="1" applyProtection="1">
      <alignment horizontal="center" vertical="center"/>
      <protection hidden="1"/>
    </xf>
    <xf numFmtId="14" fontId="30" fillId="0" borderId="0" xfId="0" applyNumberFormat="1" applyFont="1" applyAlignment="1" applyProtection="1">
      <alignment horizontal="center" vertical="center"/>
      <protection hidden="1"/>
    </xf>
    <xf numFmtId="14" fontId="30" fillId="0" borderId="20" xfId="0" applyNumberFormat="1" applyFont="1" applyBorder="1" applyAlignment="1" applyProtection="1">
      <alignment horizontal="center" vertical="center"/>
      <protection hidden="1"/>
    </xf>
    <xf numFmtId="0" fontId="30" fillId="0" borderId="24" xfId="0" applyFont="1" applyBorder="1" applyAlignment="1" applyProtection="1">
      <alignment horizontal="right" vertical="center"/>
      <protection hidden="1"/>
    </xf>
    <xf numFmtId="0" fontId="30" fillId="0" borderId="35" xfId="0" applyFont="1" applyBorder="1" applyAlignment="1" applyProtection="1">
      <alignment horizontal="right" vertical="center"/>
      <protection hidden="1"/>
    </xf>
    <xf numFmtId="171" fontId="31" fillId="0" borderId="21" xfId="0" applyNumberFormat="1" applyFont="1" applyBorder="1" applyAlignment="1" applyProtection="1">
      <alignment horizontal="center" vertical="center"/>
      <protection hidden="1"/>
    </xf>
    <xf numFmtId="171" fontId="31" fillId="0" borderId="23" xfId="0" applyNumberFormat="1" applyFont="1" applyBorder="1" applyAlignment="1" applyProtection="1">
      <alignment horizontal="center" vertical="center"/>
      <protection hidden="1"/>
    </xf>
    <xf numFmtId="171" fontId="31" fillId="0" borderId="35" xfId="0" applyNumberFormat="1" applyFont="1" applyBorder="1" applyAlignment="1" applyProtection="1">
      <alignment horizontal="center" vertical="center"/>
      <protection hidden="1"/>
    </xf>
    <xf numFmtId="171" fontId="31" fillId="0" borderId="36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right" vertical="center"/>
      <protection hidden="1"/>
    </xf>
    <xf numFmtId="171" fontId="14" fillId="0" borderId="41" xfId="0" quotePrefix="1" applyNumberFormat="1" applyFont="1" applyBorder="1" applyAlignment="1" applyProtection="1">
      <alignment horizontal="center" vertical="center"/>
      <protection hidden="1"/>
    </xf>
    <xf numFmtId="171" fontId="14" fillId="0" borderId="42" xfId="0" quotePrefix="1" applyNumberFormat="1" applyFont="1" applyBorder="1" applyAlignment="1" applyProtection="1">
      <alignment horizontal="center" vertical="center"/>
      <protection hidden="1"/>
    </xf>
    <xf numFmtId="1" fontId="6" fillId="0" borderId="12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180" fontId="6" fillId="0" borderId="12" xfId="0" applyNumberFormat="1" applyFont="1" applyFill="1" applyBorder="1" applyAlignment="1">
      <alignment horizontal="center" vertical="center"/>
    </xf>
    <xf numFmtId="178" fontId="6" fillId="0" borderId="12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170" fontId="6" fillId="0" borderId="12" xfId="0" applyNumberFormat="1" applyFont="1" applyFill="1" applyBorder="1" applyAlignment="1">
      <alignment horizontal="center" vertical="center"/>
    </xf>
    <xf numFmtId="14" fontId="8" fillId="0" borderId="12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 applyProtection="1">
      <alignment horizontal="center" vertical="center"/>
      <protection hidden="1"/>
    </xf>
    <xf numFmtId="167" fontId="6" fillId="0" borderId="14" xfId="0" applyNumberFormat="1" applyFont="1" applyFill="1" applyBorder="1" applyAlignment="1" applyProtection="1">
      <alignment horizontal="center" vertical="center"/>
      <protection locked="0"/>
    </xf>
    <xf numFmtId="14" fontId="6" fillId="0" borderId="15" xfId="0" applyNumberFormat="1" applyFont="1" applyFill="1" applyBorder="1" applyAlignment="1" applyProtection="1">
      <alignment horizontal="center" vertical="center"/>
      <protection locked="0"/>
    </xf>
    <xf numFmtId="171" fontId="6" fillId="0" borderId="12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177" fontId="6" fillId="0" borderId="12" xfId="0" applyNumberFormat="1" applyFont="1" applyFill="1" applyBorder="1" applyAlignment="1" applyProtection="1">
      <alignment horizontal="center" vertical="center"/>
      <protection hidden="1"/>
    </xf>
    <xf numFmtId="169" fontId="6" fillId="0" borderId="40" xfId="0" applyNumberFormat="1" applyFont="1" applyFill="1" applyBorder="1" applyAlignment="1">
      <alignment horizontal="center" vertical="center"/>
    </xf>
    <xf numFmtId="169" fontId="6" fillId="0" borderId="16" xfId="0" applyNumberFormat="1" applyFont="1" applyFill="1" applyBorder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center" vertical="center" wrapText="1"/>
      <protection locked="0"/>
    </xf>
    <xf numFmtId="1" fontId="6" fillId="0" borderId="12" xfId="0" applyNumberFormat="1" applyFont="1" applyFill="1" applyBorder="1" applyAlignment="1" applyProtection="1">
      <alignment horizontal="center" vertical="center"/>
      <protection locked="0"/>
    </xf>
    <xf numFmtId="180" fontId="6" fillId="0" borderId="12" xfId="0" applyNumberFormat="1" applyFont="1" applyFill="1" applyBorder="1" applyAlignment="1" applyProtection="1">
      <alignment horizontal="center" vertical="center"/>
      <protection locked="0"/>
    </xf>
    <xf numFmtId="178" fontId="6" fillId="0" borderId="12" xfId="0" quotePrefix="1" applyNumberFormat="1" applyFont="1" applyFill="1" applyBorder="1" applyAlignment="1" applyProtection="1">
      <alignment horizontal="center" vertical="center"/>
      <protection locked="0"/>
    </xf>
    <xf numFmtId="170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170" fontId="6" fillId="0" borderId="12" xfId="0" applyNumberFormat="1" applyFont="1" applyFill="1" applyBorder="1" applyAlignment="1" applyProtection="1">
      <alignment horizontal="center" vertical="center"/>
      <protection locked="0"/>
    </xf>
    <xf numFmtId="170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54" xfId="0" applyNumberFormat="1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78" fontId="6" fillId="0" borderId="12" xfId="0" applyNumberFormat="1" applyFont="1" applyFill="1" applyBorder="1" applyAlignment="1" applyProtection="1">
      <alignment horizontal="center" vertical="center"/>
      <protection locked="0"/>
    </xf>
    <xf numFmtId="1" fontId="6" fillId="0" borderId="12" xfId="0" applyNumberFormat="1" applyFont="1" applyFill="1" applyBorder="1" applyAlignment="1" applyProtection="1">
      <alignment horizontal="center" vertical="center"/>
      <protection hidden="1"/>
    </xf>
    <xf numFmtId="0" fontId="53" fillId="0" borderId="13" xfId="0" applyFont="1" applyFill="1" applyBorder="1" applyAlignment="1">
      <alignment horizontal="center" vertical="center"/>
    </xf>
    <xf numFmtId="0" fontId="53" fillId="0" borderId="16" xfId="0" applyFont="1" applyFill="1" applyBorder="1" applyAlignment="1">
      <alignment horizontal="center" vertical="center"/>
    </xf>
    <xf numFmtId="170" fontId="53" fillId="0" borderId="12" xfId="0" applyNumberFormat="1" applyFont="1" applyFill="1" applyBorder="1" applyAlignment="1">
      <alignment horizontal="center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 wrapText="1"/>
      <protection locked="0"/>
    </xf>
    <xf numFmtId="170" fontId="6" fillId="0" borderId="12" xfId="0" applyNumberFormat="1" applyFont="1" applyFill="1" applyBorder="1" applyAlignment="1" applyProtection="1">
      <alignment horizontal="center" vertical="center" wrapText="1"/>
      <protection locked="0"/>
    </xf>
    <xf numFmtId="170" fontId="6" fillId="0" borderId="13" xfId="0" applyNumberFormat="1" applyFont="1" applyFill="1" applyBorder="1" applyAlignment="1" applyProtection="1">
      <alignment horizontal="center" vertical="center"/>
      <protection locked="0"/>
    </xf>
    <xf numFmtId="169" fontId="6" fillId="0" borderId="13" xfId="0" applyNumberFormat="1" applyFont="1" applyFill="1" applyBorder="1" applyAlignment="1">
      <alignment horizontal="center" vertical="center"/>
    </xf>
    <xf numFmtId="14" fontId="8" fillId="0" borderId="15" xfId="0" applyNumberFormat="1" applyFont="1" applyFill="1" applyBorder="1" applyAlignment="1" applyProtection="1">
      <alignment horizontal="center" vertical="center"/>
      <protection locked="0"/>
    </xf>
    <xf numFmtId="17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53" fillId="0" borderId="40" xfId="0" applyFont="1" applyFill="1" applyBorder="1" applyAlignment="1">
      <alignment horizontal="center" vertical="center"/>
    </xf>
    <xf numFmtId="170" fontId="53" fillId="0" borderId="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diagonalUp="0" diagonalDown="0"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1"/>
    </dxf>
    <dxf>
      <border outline="0">
        <left style="medium">
          <color indexed="64"/>
        </left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&quot;€&quot;#,##0.00_);[Red]\(&quot;€&quot;#,##0.00\)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5" formatCode="\-0.00&quot;€&quot;;\-0;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3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1" formatCode="#,##0.00\ &quot;€&quot;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dd/mm/yy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1"/>
    </dxf>
    <dxf>
      <border outline="0">
        <top style="medium">
          <color rgb="FF000000"/>
        </top>
      </border>
    </dxf>
    <dxf>
      <border outline="0">
        <bottom style="medium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strike val="0"/>
        <color theme="0"/>
      </font>
    </dxf>
    <dxf>
      <fill>
        <patternFill patternType="solid"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bottom" textRotation="0" wrapText="0" indent="0" justifyLastLine="0" shrinkToFit="0" readingOrder="0"/>
    </dxf>
    <dxf>
      <numFmt numFmtId="187" formatCode="d/mm/yyyy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colors>
    <mruColors>
      <color rgb="FF00CC66"/>
      <color rgb="FF080808"/>
      <color rgb="FFFFFF99"/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eetMetadata" Target="metadata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uillet 2027'!A1"/><Relationship Id="rId13" Type="http://schemas.openxmlformats.org/officeDocument/2006/relationships/hyperlink" Target="#'Membres 2027'!A1"/><Relationship Id="rId18" Type="http://schemas.openxmlformats.org/officeDocument/2006/relationships/hyperlink" Target="#Graphique!A1"/><Relationship Id="rId3" Type="http://schemas.openxmlformats.org/officeDocument/2006/relationships/hyperlink" Target="#'F&#233;vrier 2027'!A1"/><Relationship Id="rId7" Type="http://schemas.openxmlformats.org/officeDocument/2006/relationships/hyperlink" Target="#'Juin 2027'!A1"/><Relationship Id="rId12" Type="http://schemas.openxmlformats.org/officeDocument/2006/relationships/hyperlink" Target="#'Novembre 2027'!A1"/><Relationship Id="rId17" Type="http://schemas.openxmlformats.org/officeDocument/2006/relationships/hyperlink" Target="#'Bilan 2027'!A1"/><Relationship Id="rId2" Type="http://schemas.openxmlformats.org/officeDocument/2006/relationships/hyperlink" Target="#'Janvier 2027'!A1"/><Relationship Id="rId16" Type="http://schemas.openxmlformats.org/officeDocument/2006/relationships/image" Target="../media/image1.png"/><Relationship Id="rId1" Type="http://schemas.openxmlformats.org/officeDocument/2006/relationships/hyperlink" Target="#'D&#233;cembre 2027'!A1"/><Relationship Id="rId6" Type="http://schemas.openxmlformats.org/officeDocument/2006/relationships/hyperlink" Target="#'Mai 2027'!A1"/><Relationship Id="rId11" Type="http://schemas.openxmlformats.org/officeDocument/2006/relationships/hyperlink" Target="#'Octobre 2027'!A1"/><Relationship Id="rId5" Type="http://schemas.openxmlformats.org/officeDocument/2006/relationships/hyperlink" Target="#'Avril 2027'!A1"/><Relationship Id="rId15" Type="http://schemas.openxmlformats.org/officeDocument/2006/relationships/hyperlink" Target="#Mail!A1"/><Relationship Id="rId10" Type="http://schemas.openxmlformats.org/officeDocument/2006/relationships/hyperlink" Target="#'Septembre 2027'!A1"/><Relationship Id="rId4" Type="http://schemas.openxmlformats.org/officeDocument/2006/relationships/hyperlink" Target="#'Mars 2027'!A1"/><Relationship Id="rId9" Type="http://schemas.openxmlformats.org/officeDocument/2006/relationships/hyperlink" Target="#'Ao&#251;t 2027'!A1"/><Relationship Id="rId14" Type="http://schemas.openxmlformats.org/officeDocument/2006/relationships/hyperlink" Target="#Caiss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5</xdr:row>
      <xdr:rowOff>142875</xdr:rowOff>
    </xdr:from>
    <xdr:to>
      <xdr:col>2</xdr:col>
      <xdr:colOff>314325</xdr:colOff>
      <xdr:row>7</xdr:row>
      <xdr:rowOff>171450</xdr:rowOff>
    </xdr:to>
    <xdr:sp macro="" textlink="">
      <xdr:nvSpPr>
        <xdr:cNvPr id="39937" name="CommandButton1" hidden="1">
          <a:extLst>
            <a:ext uri="{63B3BB69-23CF-44E3-9099-C40C66FF867C}">
              <a14:compatExt xmlns:a14="http://schemas.microsoft.com/office/drawing/2010/main" spid="_x0000_s39937"/>
            </a:ext>
            <a:ext uri="{FF2B5EF4-FFF2-40B4-BE49-F238E27FC236}">
              <a16:creationId xmlns:a16="http://schemas.microsoft.com/office/drawing/2014/main" id="{00000000-0008-0000-0000-00000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542925</xdr:colOff>
      <xdr:row>5</xdr:row>
      <xdr:rowOff>152400</xdr:rowOff>
    </xdr:from>
    <xdr:to>
      <xdr:col>6</xdr:col>
      <xdr:colOff>95250</xdr:colOff>
      <xdr:row>7</xdr:row>
      <xdr:rowOff>180975</xdr:rowOff>
    </xdr:to>
    <xdr:sp macro="" textlink="">
      <xdr:nvSpPr>
        <xdr:cNvPr id="39939" name="CommandButton3" hidden="1">
          <a:extLst>
            <a:ext uri="{63B3BB69-23CF-44E3-9099-C40C66FF867C}">
              <a14:compatExt xmlns:a14="http://schemas.microsoft.com/office/drawing/2010/main" spid="_x0000_s39939"/>
            </a:ext>
            <a:ext uri="{FF2B5EF4-FFF2-40B4-BE49-F238E27FC236}">
              <a16:creationId xmlns:a16="http://schemas.microsoft.com/office/drawing/2014/main" id="{00000000-0008-0000-0000-000003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8</xdr:row>
      <xdr:rowOff>152400</xdr:rowOff>
    </xdr:from>
    <xdr:to>
      <xdr:col>2</xdr:col>
      <xdr:colOff>314325</xdr:colOff>
      <xdr:row>10</xdr:row>
      <xdr:rowOff>180975</xdr:rowOff>
    </xdr:to>
    <xdr:sp macro="" textlink="">
      <xdr:nvSpPr>
        <xdr:cNvPr id="39940" name="CommandButton4" hidden="1">
          <a:extLst>
            <a:ext uri="{63B3BB69-23CF-44E3-9099-C40C66FF867C}">
              <a14:compatExt xmlns:a14="http://schemas.microsoft.com/office/drawing/2010/main" spid="_x0000_s39940"/>
            </a:ext>
            <a:ext uri="{FF2B5EF4-FFF2-40B4-BE49-F238E27FC236}">
              <a16:creationId xmlns:a16="http://schemas.microsoft.com/office/drawing/2014/main" id="{00000000-0008-0000-0000-00000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8</xdr:row>
      <xdr:rowOff>161925</xdr:rowOff>
    </xdr:from>
    <xdr:to>
      <xdr:col>4</xdr:col>
      <xdr:colOff>104775</xdr:colOff>
      <xdr:row>11</xdr:row>
      <xdr:rowOff>0</xdr:rowOff>
    </xdr:to>
    <xdr:sp macro="" textlink="">
      <xdr:nvSpPr>
        <xdr:cNvPr id="39941" name="CommandButton5" hidden="1">
          <a:extLst>
            <a:ext uri="{63B3BB69-23CF-44E3-9099-C40C66FF867C}">
              <a14:compatExt xmlns:a14="http://schemas.microsoft.com/office/drawing/2010/main" spid="_x0000_s39941"/>
            </a:ext>
            <a:ext uri="{FF2B5EF4-FFF2-40B4-BE49-F238E27FC236}">
              <a16:creationId xmlns:a16="http://schemas.microsoft.com/office/drawing/2014/main" id="{00000000-0008-0000-0000-000005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8</xdr:row>
      <xdr:rowOff>161925</xdr:rowOff>
    </xdr:from>
    <xdr:to>
      <xdr:col>6</xdr:col>
      <xdr:colOff>104775</xdr:colOff>
      <xdr:row>11</xdr:row>
      <xdr:rowOff>0</xdr:rowOff>
    </xdr:to>
    <xdr:sp macro="" textlink="">
      <xdr:nvSpPr>
        <xdr:cNvPr id="39942" name="CommandButton6" hidden="1">
          <a:extLst>
            <a:ext uri="{63B3BB69-23CF-44E3-9099-C40C66FF867C}">
              <a14:compatExt xmlns:a14="http://schemas.microsoft.com/office/drawing/2010/main" spid="_x0000_s39942"/>
            </a:ext>
            <a:ext uri="{FF2B5EF4-FFF2-40B4-BE49-F238E27FC236}">
              <a16:creationId xmlns:a16="http://schemas.microsoft.com/office/drawing/2014/main" id="{00000000-0008-0000-0000-000006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11</xdr:row>
      <xdr:rowOff>152400</xdr:rowOff>
    </xdr:from>
    <xdr:to>
      <xdr:col>2</xdr:col>
      <xdr:colOff>314325</xdr:colOff>
      <xdr:row>13</xdr:row>
      <xdr:rowOff>180975</xdr:rowOff>
    </xdr:to>
    <xdr:sp macro="" textlink="">
      <xdr:nvSpPr>
        <xdr:cNvPr id="39943" name="CommandButton7" hidden="1">
          <a:extLst>
            <a:ext uri="{63B3BB69-23CF-44E3-9099-C40C66FF867C}">
              <a14:compatExt xmlns:a14="http://schemas.microsoft.com/office/drawing/2010/main" spid="_x0000_s39943"/>
            </a:ext>
            <a:ext uri="{FF2B5EF4-FFF2-40B4-BE49-F238E27FC236}">
              <a16:creationId xmlns:a16="http://schemas.microsoft.com/office/drawing/2014/main" id="{00000000-0008-0000-0000-000007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11</xdr:row>
      <xdr:rowOff>161925</xdr:rowOff>
    </xdr:from>
    <xdr:to>
      <xdr:col>4</xdr:col>
      <xdr:colOff>114300</xdr:colOff>
      <xdr:row>14</xdr:row>
      <xdr:rowOff>0</xdr:rowOff>
    </xdr:to>
    <xdr:sp macro="" textlink="">
      <xdr:nvSpPr>
        <xdr:cNvPr id="39944" name="CommandButton8" hidden="1">
          <a:extLst>
            <a:ext uri="{63B3BB69-23CF-44E3-9099-C40C66FF867C}">
              <a14:compatExt xmlns:a14="http://schemas.microsoft.com/office/drawing/2010/main" spid="_x0000_s39944"/>
            </a:ext>
            <a:ext uri="{FF2B5EF4-FFF2-40B4-BE49-F238E27FC236}">
              <a16:creationId xmlns:a16="http://schemas.microsoft.com/office/drawing/2014/main" id="{00000000-0008-0000-0000-000008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11</xdr:row>
      <xdr:rowOff>161925</xdr:rowOff>
    </xdr:from>
    <xdr:to>
      <xdr:col>6</xdr:col>
      <xdr:colOff>114300</xdr:colOff>
      <xdr:row>14</xdr:row>
      <xdr:rowOff>0</xdr:rowOff>
    </xdr:to>
    <xdr:sp macro="" textlink="">
      <xdr:nvSpPr>
        <xdr:cNvPr id="39945" name="CommandButton9" hidden="1">
          <a:extLst>
            <a:ext uri="{63B3BB69-23CF-44E3-9099-C40C66FF867C}">
              <a14:compatExt xmlns:a14="http://schemas.microsoft.com/office/drawing/2010/main" spid="_x0000_s39945"/>
            </a:ext>
            <a:ext uri="{FF2B5EF4-FFF2-40B4-BE49-F238E27FC236}">
              <a16:creationId xmlns:a16="http://schemas.microsoft.com/office/drawing/2014/main" id="{00000000-0008-0000-0000-000009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561975</xdr:colOff>
      <xdr:row>14</xdr:row>
      <xdr:rowOff>161925</xdr:rowOff>
    </xdr:from>
    <xdr:to>
      <xdr:col>2</xdr:col>
      <xdr:colOff>314325</xdr:colOff>
      <xdr:row>17</xdr:row>
      <xdr:rowOff>0</xdr:rowOff>
    </xdr:to>
    <xdr:sp macro="" textlink="">
      <xdr:nvSpPr>
        <xdr:cNvPr id="39946" name="CommandButton10" hidden="1">
          <a:extLst>
            <a:ext uri="{63B3BB69-23CF-44E3-9099-C40C66FF867C}">
              <a14:compatExt xmlns:a14="http://schemas.microsoft.com/office/drawing/2010/main" spid="_x0000_s39946"/>
            </a:ext>
            <a:ext uri="{FF2B5EF4-FFF2-40B4-BE49-F238E27FC236}">
              <a16:creationId xmlns:a16="http://schemas.microsoft.com/office/drawing/2014/main" id="{00000000-0008-0000-0000-00000A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571500</xdr:colOff>
      <xdr:row>14</xdr:row>
      <xdr:rowOff>171450</xdr:rowOff>
    </xdr:from>
    <xdr:to>
      <xdr:col>4</xdr:col>
      <xdr:colOff>123825</xdr:colOff>
      <xdr:row>17</xdr:row>
      <xdr:rowOff>9525</xdr:rowOff>
    </xdr:to>
    <xdr:sp macro="" textlink="">
      <xdr:nvSpPr>
        <xdr:cNvPr id="39947" name="CommandButton11" hidden="1">
          <a:extLst>
            <a:ext uri="{63B3BB69-23CF-44E3-9099-C40C66FF867C}">
              <a14:compatExt xmlns:a14="http://schemas.microsoft.com/office/drawing/2010/main" spid="_x0000_s39947"/>
            </a:ext>
            <a:ext uri="{FF2B5EF4-FFF2-40B4-BE49-F238E27FC236}">
              <a16:creationId xmlns:a16="http://schemas.microsoft.com/office/drawing/2014/main" id="{00000000-0008-0000-0000-00000B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571500</xdr:colOff>
      <xdr:row>14</xdr:row>
      <xdr:rowOff>171450</xdr:rowOff>
    </xdr:from>
    <xdr:to>
      <xdr:col>6</xdr:col>
      <xdr:colOff>123825</xdr:colOff>
      <xdr:row>17</xdr:row>
      <xdr:rowOff>9525</xdr:rowOff>
    </xdr:to>
    <xdr:sp macro="" textlink="">
      <xdr:nvSpPr>
        <xdr:cNvPr id="39948" name="CommandButton12" hidden="1">
          <a:extLst>
            <a:ext uri="{63B3BB69-23CF-44E3-9099-C40C66FF867C}">
              <a14:compatExt xmlns:a14="http://schemas.microsoft.com/office/drawing/2010/main" spid="_x0000_s39948"/>
            </a:ext>
            <a:ext uri="{FF2B5EF4-FFF2-40B4-BE49-F238E27FC236}">
              <a16:creationId xmlns:a16="http://schemas.microsoft.com/office/drawing/2014/main" id="{00000000-0008-0000-0000-00000C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542925</xdr:colOff>
      <xdr:row>17</xdr:row>
      <xdr:rowOff>161925</xdr:rowOff>
    </xdr:from>
    <xdr:to>
      <xdr:col>2</xdr:col>
      <xdr:colOff>314325</xdr:colOff>
      <xdr:row>20</xdr:row>
      <xdr:rowOff>0</xdr:rowOff>
    </xdr:to>
    <xdr:sp macro="" textlink="">
      <xdr:nvSpPr>
        <xdr:cNvPr id="39949" name="CommandButton13" hidden="1">
          <a:extLst>
            <a:ext uri="{63B3BB69-23CF-44E3-9099-C40C66FF867C}">
              <a14:compatExt xmlns:a14="http://schemas.microsoft.com/office/drawing/2010/main" spid="_x0000_s39949"/>
            </a:ext>
            <a:ext uri="{FF2B5EF4-FFF2-40B4-BE49-F238E27FC236}">
              <a16:creationId xmlns:a16="http://schemas.microsoft.com/office/drawing/2014/main" id="{00000000-0008-0000-0000-00000D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552450</xdr:colOff>
      <xdr:row>17</xdr:row>
      <xdr:rowOff>171450</xdr:rowOff>
    </xdr:from>
    <xdr:to>
      <xdr:col>4</xdr:col>
      <xdr:colOff>104775</xdr:colOff>
      <xdr:row>20</xdr:row>
      <xdr:rowOff>9525</xdr:rowOff>
    </xdr:to>
    <xdr:sp macro="" textlink="">
      <xdr:nvSpPr>
        <xdr:cNvPr id="39950" name="CommandButton14" hidden="1">
          <a:extLst>
            <a:ext uri="{63B3BB69-23CF-44E3-9099-C40C66FF867C}">
              <a14:compatExt xmlns:a14="http://schemas.microsoft.com/office/drawing/2010/main" spid="_x0000_s39950"/>
            </a:ext>
            <a:ext uri="{FF2B5EF4-FFF2-40B4-BE49-F238E27FC236}">
              <a16:creationId xmlns:a16="http://schemas.microsoft.com/office/drawing/2014/main" id="{00000000-0008-0000-0000-00000E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552450</xdr:colOff>
      <xdr:row>17</xdr:row>
      <xdr:rowOff>171450</xdr:rowOff>
    </xdr:from>
    <xdr:to>
      <xdr:col>6</xdr:col>
      <xdr:colOff>104775</xdr:colOff>
      <xdr:row>20</xdr:row>
      <xdr:rowOff>9525</xdr:rowOff>
    </xdr:to>
    <xdr:sp macro="" textlink="">
      <xdr:nvSpPr>
        <xdr:cNvPr id="39951" name="CommandButton15" hidden="1">
          <a:extLst>
            <a:ext uri="{63B3BB69-23CF-44E3-9099-C40C66FF867C}">
              <a14:compatExt xmlns:a14="http://schemas.microsoft.com/office/drawing/2010/main" spid="_x0000_s39951"/>
            </a:ext>
            <a:ext uri="{FF2B5EF4-FFF2-40B4-BE49-F238E27FC236}">
              <a16:creationId xmlns:a16="http://schemas.microsoft.com/office/drawing/2014/main" id="{00000000-0008-0000-0000-00000F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552450</xdr:colOff>
      <xdr:row>20</xdr:row>
      <xdr:rowOff>171450</xdr:rowOff>
    </xdr:from>
    <xdr:to>
      <xdr:col>2</xdr:col>
      <xdr:colOff>314325</xdr:colOff>
      <xdr:row>23</xdr:row>
      <xdr:rowOff>9525</xdr:rowOff>
    </xdr:to>
    <xdr:sp macro="" textlink="">
      <xdr:nvSpPr>
        <xdr:cNvPr id="39952" name="CommandButton16" hidden="1">
          <a:extLst>
            <a:ext uri="{63B3BB69-23CF-44E3-9099-C40C66FF867C}">
              <a14:compatExt xmlns:a14="http://schemas.microsoft.com/office/drawing/2010/main" spid="_x0000_s39952"/>
            </a:ext>
            <a:ext uri="{FF2B5EF4-FFF2-40B4-BE49-F238E27FC236}">
              <a16:creationId xmlns:a16="http://schemas.microsoft.com/office/drawing/2014/main" id="{00000000-0008-0000-0000-000010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561975</xdr:colOff>
      <xdr:row>20</xdr:row>
      <xdr:rowOff>180975</xdr:rowOff>
    </xdr:from>
    <xdr:to>
      <xdr:col>4</xdr:col>
      <xdr:colOff>114300</xdr:colOff>
      <xdr:row>23</xdr:row>
      <xdr:rowOff>19050</xdr:rowOff>
    </xdr:to>
    <xdr:sp macro="" textlink="">
      <xdr:nvSpPr>
        <xdr:cNvPr id="39953" name="CommandButton17" hidden="1">
          <a:extLst>
            <a:ext uri="{63B3BB69-23CF-44E3-9099-C40C66FF867C}">
              <a14:compatExt xmlns:a14="http://schemas.microsoft.com/office/drawing/2010/main" spid="_x0000_s39953"/>
            </a:ext>
            <a:ext uri="{FF2B5EF4-FFF2-40B4-BE49-F238E27FC236}">
              <a16:creationId xmlns:a16="http://schemas.microsoft.com/office/drawing/2014/main" id="{00000000-0008-0000-0000-000011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561975</xdr:colOff>
      <xdr:row>20</xdr:row>
      <xdr:rowOff>180975</xdr:rowOff>
    </xdr:from>
    <xdr:to>
      <xdr:col>6</xdr:col>
      <xdr:colOff>114300</xdr:colOff>
      <xdr:row>23</xdr:row>
      <xdr:rowOff>19050</xdr:rowOff>
    </xdr:to>
    <xdr:sp macro="" textlink="">
      <xdr:nvSpPr>
        <xdr:cNvPr id="39954" name="CommandButton18" hidden="1">
          <a:extLst>
            <a:ext uri="{63B3BB69-23CF-44E3-9099-C40C66FF867C}">
              <a14:compatExt xmlns:a14="http://schemas.microsoft.com/office/drawing/2010/main" spid="_x0000_s39954"/>
            </a:ext>
            <a:ext uri="{FF2B5EF4-FFF2-40B4-BE49-F238E27FC236}">
              <a16:creationId xmlns:a16="http://schemas.microsoft.com/office/drawing/2014/main" id="{00000000-0008-0000-0000-000012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533400</xdr:colOff>
      <xdr:row>5</xdr:row>
      <xdr:rowOff>142875</xdr:rowOff>
    </xdr:from>
    <xdr:to>
      <xdr:col>4</xdr:col>
      <xdr:colOff>85725</xdr:colOff>
      <xdr:row>7</xdr:row>
      <xdr:rowOff>171450</xdr:rowOff>
    </xdr:to>
    <xdr:sp macro="" textlink="">
      <xdr:nvSpPr>
        <xdr:cNvPr id="39956" name="CommandButton19" hidden="1">
          <a:extLst>
            <a:ext uri="{63B3BB69-23CF-44E3-9099-C40C66FF867C}">
              <a14:compatExt xmlns:a14="http://schemas.microsoft.com/office/drawing/2010/main" spid="_x0000_s39956"/>
            </a:ext>
            <a:ext uri="{FF2B5EF4-FFF2-40B4-BE49-F238E27FC236}">
              <a16:creationId xmlns:a16="http://schemas.microsoft.com/office/drawing/2014/main" id="{00000000-0008-0000-0000-0000149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190500</xdr:colOff>
      <xdr:row>24</xdr:row>
      <xdr:rowOff>9525</xdr:rowOff>
    </xdr:from>
    <xdr:to>
      <xdr:col>5</xdr:col>
      <xdr:colOff>106500</xdr:colOff>
      <xdr:row>26</xdr:row>
      <xdr:rowOff>168525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2028825" y="4581525"/>
          <a:ext cx="1440000" cy="54000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Décembre</a:t>
          </a:r>
          <a:r>
            <a:rPr lang="fr-FR" sz="1400" b="1" i="1" u="none"/>
            <a:t> </a:t>
          </a:r>
          <a:r>
            <a:rPr lang="fr-FR" sz="1400" b="1" i="1" u="none">
              <a:solidFill>
                <a:sysClr val="windowText" lastClr="000000"/>
              </a:solidFill>
            </a:rPr>
            <a:t>2027</a:t>
          </a:r>
        </a:p>
      </xdr:txBody>
    </xdr:sp>
    <xdr:clientData fPrintsWithSheet="0"/>
  </xdr:twoCellAnchor>
  <xdr:twoCellAnchor>
    <xdr:from>
      <xdr:col>3</xdr:col>
      <xdr:colOff>200025</xdr:colOff>
      <xdr:row>8</xdr:row>
      <xdr:rowOff>47625</xdr:rowOff>
    </xdr:from>
    <xdr:to>
      <xdr:col>5</xdr:col>
      <xdr:colOff>116025</xdr:colOff>
      <xdr:row>11</xdr:row>
      <xdr:rowOff>16125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>
        <a:xfrm>
          <a:off x="2038350" y="1571625"/>
          <a:ext cx="1440000" cy="540000"/>
        </a:xfrm>
        <a:prstGeom prst="roundRect">
          <a:avLst/>
        </a:prstGeom>
        <a:solidFill>
          <a:srgbClr val="00CC66"/>
        </a:solidFill>
        <a:ln>
          <a:solidFill>
            <a:schemeClr val="tx1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Janvier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12</xdr:row>
      <xdr:rowOff>19050</xdr:rowOff>
    </xdr:from>
    <xdr:to>
      <xdr:col>2</xdr:col>
      <xdr:colOff>678000</xdr:colOff>
      <xdr:row>14</xdr:row>
      <xdr:rowOff>178050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>
        <a:xfrm>
          <a:off x="762000" y="2305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Février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190500</xdr:colOff>
      <xdr:row>12</xdr:row>
      <xdr:rowOff>9525</xdr:rowOff>
    </xdr:from>
    <xdr:to>
      <xdr:col>5</xdr:col>
      <xdr:colOff>106500</xdr:colOff>
      <xdr:row>14</xdr:row>
      <xdr:rowOff>168525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spect="1"/>
        </xdr:cNvSpPr>
      </xdr:nvSpPr>
      <xdr:spPr>
        <a:xfrm>
          <a:off x="2028825" y="2295525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Mars 2027</a:t>
          </a:r>
        </a:p>
      </xdr:txBody>
    </xdr:sp>
    <xdr:clientData fPrintsWithSheet="0"/>
  </xdr:twoCellAnchor>
  <xdr:twoCellAnchor>
    <xdr:from>
      <xdr:col>5</xdr:col>
      <xdr:colOff>361950</xdr:colOff>
      <xdr:row>12</xdr:row>
      <xdr:rowOff>9525</xdr:rowOff>
    </xdr:from>
    <xdr:to>
      <xdr:col>7</xdr:col>
      <xdr:colOff>277950</xdr:colOff>
      <xdr:row>14</xdr:row>
      <xdr:rowOff>168525</xdr:rowOff>
    </xdr:to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>
        <a:xfrm>
          <a:off x="4171950" y="2295525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Avril 2027</a:t>
          </a:r>
        </a:p>
      </xdr:txBody>
    </xdr:sp>
    <xdr:clientData fPrintsWithSheet="0"/>
  </xdr:twoCellAnchor>
  <xdr:twoCellAnchor>
    <xdr:from>
      <xdr:col>1</xdr:col>
      <xdr:colOff>9525</xdr:colOff>
      <xdr:row>16</xdr:row>
      <xdr:rowOff>19050</xdr:rowOff>
    </xdr:from>
    <xdr:to>
      <xdr:col>2</xdr:col>
      <xdr:colOff>687525</xdr:colOff>
      <xdr:row>18</xdr:row>
      <xdr:rowOff>178050</xdr:rowOff>
    </xdr:to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spect="1"/>
        </xdr:cNvSpPr>
      </xdr:nvSpPr>
      <xdr:spPr>
        <a:xfrm>
          <a:off x="323850" y="3067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Mai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200025</xdr:colOff>
      <xdr:row>16</xdr:row>
      <xdr:rowOff>19050</xdr:rowOff>
    </xdr:from>
    <xdr:to>
      <xdr:col>5</xdr:col>
      <xdr:colOff>116025</xdr:colOff>
      <xdr:row>18</xdr:row>
      <xdr:rowOff>178050</xdr:rowOff>
    </xdr:to>
    <xdr:sp macro="" textlink="">
      <xdr:nvSpPr>
        <xdr:cNvPr id="9" name="Rectangle : coin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>
        <a:xfrm>
          <a:off x="2486025" y="3067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Juin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5</xdr:col>
      <xdr:colOff>361950</xdr:colOff>
      <xdr:row>16</xdr:row>
      <xdr:rowOff>0</xdr:rowOff>
    </xdr:from>
    <xdr:to>
      <xdr:col>7</xdr:col>
      <xdr:colOff>277950</xdr:colOff>
      <xdr:row>18</xdr:row>
      <xdr:rowOff>159000</xdr:rowOff>
    </xdr:to>
    <xdr:sp macro="" textlink="">
      <xdr:nvSpPr>
        <xdr:cNvPr id="10" name="Rectangle : coins arrondis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>
        <a:xfrm>
          <a:off x="4171950" y="304800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Juillet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0</xdr:colOff>
      <xdr:row>20</xdr:row>
      <xdr:rowOff>19050</xdr:rowOff>
    </xdr:from>
    <xdr:to>
      <xdr:col>2</xdr:col>
      <xdr:colOff>678000</xdr:colOff>
      <xdr:row>22</xdr:row>
      <xdr:rowOff>178050</xdr:rowOff>
    </xdr:to>
    <xdr:sp macro="" textlink="">
      <xdr:nvSpPr>
        <xdr:cNvPr id="11" name="Rectangle : coin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>
        <a:xfrm>
          <a:off x="762000" y="3829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Août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209550</xdr:colOff>
      <xdr:row>20</xdr:row>
      <xdr:rowOff>19050</xdr:rowOff>
    </xdr:from>
    <xdr:to>
      <xdr:col>5</xdr:col>
      <xdr:colOff>125550</xdr:colOff>
      <xdr:row>22</xdr:row>
      <xdr:rowOff>178050</xdr:rowOff>
    </xdr:to>
    <xdr:sp macro="" textlink="">
      <xdr:nvSpPr>
        <xdr:cNvPr id="12" name="Rectangle : coin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2495550" y="382905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Septembre 2027</a:t>
          </a:r>
        </a:p>
      </xdr:txBody>
    </xdr:sp>
    <xdr:clientData fPrintsWithSheet="0"/>
  </xdr:twoCellAnchor>
  <xdr:twoCellAnchor>
    <xdr:from>
      <xdr:col>5</xdr:col>
      <xdr:colOff>352425</xdr:colOff>
      <xdr:row>20</xdr:row>
      <xdr:rowOff>0</xdr:rowOff>
    </xdr:from>
    <xdr:to>
      <xdr:col>7</xdr:col>
      <xdr:colOff>268425</xdr:colOff>
      <xdr:row>22</xdr:row>
      <xdr:rowOff>159000</xdr:rowOff>
    </xdr:to>
    <xdr:sp macro="" textlink="">
      <xdr:nvSpPr>
        <xdr:cNvPr id="13" name="Rectangle :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>
        <a:xfrm>
          <a:off x="4162425" y="3810000"/>
          <a:ext cx="1440000" cy="540000"/>
        </a:xfrm>
        <a:prstGeom prst="roundRect">
          <a:avLst/>
        </a:pr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Octobre 2027</a:t>
          </a:r>
        </a:p>
      </xdr:txBody>
    </xdr:sp>
    <xdr:clientData fPrintsWithSheet="0"/>
  </xdr:twoCellAnchor>
  <xdr:twoCellAnchor>
    <xdr:from>
      <xdr:col>0</xdr:col>
      <xdr:colOff>752475</xdr:colOff>
      <xdr:row>24</xdr:row>
      <xdr:rowOff>19050</xdr:rowOff>
    </xdr:from>
    <xdr:to>
      <xdr:col>2</xdr:col>
      <xdr:colOff>668475</xdr:colOff>
      <xdr:row>26</xdr:row>
      <xdr:rowOff>178050</xdr:rowOff>
    </xdr:to>
    <xdr:sp macro="" textlink="">
      <xdr:nvSpPr>
        <xdr:cNvPr id="14" name="Rectangle : coins arrondis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>
        <a:xfrm>
          <a:off x="752475" y="4591050"/>
          <a:ext cx="1440000" cy="540000"/>
        </a:xfrm>
        <a:prstGeom prst="roundRect">
          <a:avLst/>
        </a:prstGeom>
        <a:solidFill>
          <a:schemeClr val="bg1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Novembre</a:t>
          </a:r>
          <a:r>
            <a:rPr lang="fr-FR" sz="1400" b="1" i="1" u="none" baseline="0">
              <a:solidFill>
                <a:sysClr val="windowText" lastClr="000000"/>
              </a:solidFill>
            </a:rPr>
            <a:t> 2027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4</xdr:col>
      <xdr:colOff>390525</xdr:colOff>
      <xdr:row>4</xdr:row>
      <xdr:rowOff>9525</xdr:rowOff>
    </xdr:from>
    <xdr:to>
      <xdr:col>6</xdr:col>
      <xdr:colOff>306525</xdr:colOff>
      <xdr:row>6</xdr:row>
      <xdr:rowOff>168525</xdr:rowOff>
    </xdr:to>
    <xdr:sp macro="" textlink="">
      <xdr:nvSpPr>
        <xdr:cNvPr id="15" name="Rectangle : coins arrondis 1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>
        <a:xfrm>
          <a:off x="3438525" y="771525"/>
          <a:ext cx="1440000" cy="540000"/>
        </a:xfrm>
        <a:prstGeom prst="roundRect">
          <a:avLst/>
        </a:prstGeom>
        <a:solidFill>
          <a:srgbClr val="FFFF00"/>
        </a:solidFill>
        <a:ln cmpd="tri">
          <a:solidFill>
            <a:srgbClr val="080808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Membres 2027</a:t>
          </a:r>
        </a:p>
      </xdr:txBody>
    </xdr:sp>
    <xdr:clientData fPrintsWithSheet="0"/>
  </xdr:twoCellAnchor>
  <xdr:twoCellAnchor>
    <xdr:from>
      <xdr:col>5</xdr:col>
      <xdr:colOff>381000</xdr:colOff>
      <xdr:row>24</xdr:row>
      <xdr:rowOff>19050</xdr:rowOff>
    </xdr:from>
    <xdr:to>
      <xdr:col>7</xdr:col>
      <xdr:colOff>297000</xdr:colOff>
      <xdr:row>26</xdr:row>
      <xdr:rowOff>178050</xdr:rowOff>
    </xdr:to>
    <xdr:sp macro="" textlink="">
      <xdr:nvSpPr>
        <xdr:cNvPr id="17" name="Rectangle :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>
        <a:xfrm>
          <a:off x="4191000" y="4591050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Caisse</a:t>
          </a:r>
        </a:p>
      </xdr:txBody>
    </xdr:sp>
    <xdr:clientData fPrintsWithSheet="0"/>
  </xdr:twoCellAnchor>
  <xdr:twoCellAnchor>
    <xdr:from>
      <xdr:col>1</xdr:col>
      <xdr:colOff>19050</xdr:colOff>
      <xdr:row>28</xdr:row>
      <xdr:rowOff>9525</xdr:rowOff>
    </xdr:from>
    <xdr:to>
      <xdr:col>2</xdr:col>
      <xdr:colOff>697050</xdr:colOff>
      <xdr:row>30</xdr:row>
      <xdr:rowOff>168525</xdr:rowOff>
    </xdr:to>
    <xdr:sp macro="" textlink="">
      <xdr:nvSpPr>
        <xdr:cNvPr id="18" name="Rectangle :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spect="1"/>
        </xdr:cNvSpPr>
      </xdr:nvSpPr>
      <xdr:spPr>
        <a:xfrm>
          <a:off x="781050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 baseline="0">
              <a:solidFill>
                <a:sysClr val="windowText" lastClr="000000"/>
              </a:solidFill>
            </a:rPr>
            <a:t>Adresses mail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</xdr:col>
      <xdr:colOff>742950</xdr:colOff>
      <xdr:row>4</xdr:row>
      <xdr:rowOff>9523</xdr:rowOff>
    </xdr:from>
    <xdr:to>
      <xdr:col>3</xdr:col>
      <xdr:colOff>658950</xdr:colOff>
      <xdr:row>6</xdr:row>
      <xdr:rowOff>170636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>
        <a:xfrm>
          <a:off x="1504950" y="771523"/>
          <a:ext cx="1440000" cy="542113"/>
        </a:xfrm>
        <a:prstGeom prst="roundRect">
          <a:avLst/>
        </a:prstGeom>
        <a:blipFill dpi="0" rotWithShape="1"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u="none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3</xdr:col>
      <xdr:colOff>209550</xdr:colOff>
      <xdr:row>28</xdr:row>
      <xdr:rowOff>9525</xdr:rowOff>
    </xdr:from>
    <xdr:to>
      <xdr:col>5</xdr:col>
      <xdr:colOff>125550</xdr:colOff>
      <xdr:row>30</xdr:row>
      <xdr:rowOff>168525</xdr:rowOff>
    </xdr:to>
    <xdr:sp macro="" textlink="">
      <xdr:nvSpPr>
        <xdr:cNvPr id="20" name="Rectangle :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>
        <a:xfrm>
          <a:off x="2047875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Bilan 2027</a:t>
          </a:r>
        </a:p>
      </xdr:txBody>
    </xdr:sp>
    <xdr:clientData fPrintsWithSheet="0"/>
  </xdr:twoCellAnchor>
  <xdr:twoCellAnchor>
    <xdr:from>
      <xdr:col>5</xdr:col>
      <xdr:colOff>390525</xdr:colOff>
      <xdr:row>28</xdr:row>
      <xdr:rowOff>9525</xdr:rowOff>
    </xdr:from>
    <xdr:to>
      <xdr:col>7</xdr:col>
      <xdr:colOff>306525</xdr:colOff>
      <xdr:row>30</xdr:row>
      <xdr:rowOff>168525</xdr:rowOff>
    </xdr:to>
    <xdr:sp macro="" textlink="">
      <xdr:nvSpPr>
        <xdr:cNvPr id="33" name="Rectangle : coins arrondis 32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/>
        </xdr:cNvSpPr>
      </xdr:nvSpPr>
      <xdr:spPr>
        <a:xfrm>
          <a:off x="4200525" y="5343525"/>
          <a:ext cx="1440000" cy="540000"/>
        </a:xfrm>
        <a:prstGeom prst="roundRect">
          <a:avLst/>
        </a:prstGeom>
        <a:solidFill>
          <a:srgbClr val="FFFF00"/>
        </a:solidFill>
        <a:ln w="25400"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 baseline="0">
              <a:solidFill>
                <a:sysClr val="windowText" lastClr="000000"/>
              </a:solidFill>
            </a:rPr>
            <a:t>Graphiques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</xdr:colOff>
      <xdr:row>1</xdr:row>
      <xdr:rowOff>19050</xdr:rowOff>
    </xdr:from>
    <xdr:ext cx="628650" cy="314325"/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25602"/>
            </a:ext>
            <a:ext uri="{FF2B5EF4-FFF2-40B4-BE49-F238E27FC236}">
              <a16:creationId xmlns:a16="http://schemas.microsoft.com/office/drawing/2014/main" id="{21ABC4C8-C1D9-41A8-8867-0D4D0861BFF8}"/>
            </a:ext>
          </a:extLst>
        </xdr:cNvPr>
        <xdr:cNvSpPr/>
      </xdr:nvSpPr>
      <xdr:spPr bwMode="auto">
        <a:xfrm>
          <a:off x="57150" y="209550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absolute">
    <xdr:from>
      <xdr:col>0</xdr:col>
      <xdr:colOff>171450</xdr:colOff>
      <xdr:row>0</xdr:row>
      <xdr:rowOff>66676</xdr:rowOff>
    </xdr:from>
    <xdr:to>
      <xdr:col>0</xdr:col>
      <xdr:colOff>685800</xdr:colOff>
      <xdr:row>1</xdr:row>
      <xdr:rowOff>238126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1478AA9-96F2-439F-82A8-42D8730E3FB3}"/>
            </a:ext>
          </a:extLst>
        </xdr:cNvPr>
        <xdr:cNvSpPr/>
      </xdr:nvSpPr>
      <xdr:spPr>
        <a:xfrm>
          <a:off x="171450" y="66676"/>
          <a:ext cx="51435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57150</xdr:colOff>
      <xdr:row>1</xdr:row>
      <xdr:rowOff>19050</xdr:rowOff>
    </xdr:from>
    <xdr:ext cx="628650" cy="314325"/>
    <xdr:sp macro="" textlink="">
      <xdr:nvSpPr>
        <xdr:cNvPr id="284" name="CommandButton1" hidden="1">
          <a:extLst>
            <a:ext uri="{63B3BB69-23CF-44E3-9099-C40C66FF867C}">
              <a14:compatExt xmlns:a14="http://schemas.microsoft.com/office/drawing/2010/main" spid="_x0000_s25602"/>
            </a:ext>
            <a:ext uri="{FF2B5EF4-FFF2-40B4-BE49-F238E27FC236}">
              <a16:creationId xmlns:a16="http://schemas.microsoft.com/office/drawing/2014/main" id="{FEEE3877-583A-41B2-B56E-20602880D2CD}"/>
            </a:ext>
          </a:extLst>
        </xdr:cNvPr>
        <xdr:cNvSpPr/>
      </xdr:nvSpPr>
      <xdr:spPr bwMode="auto">
        <a:xfrm>
          <a:off x="57150" y="152400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absolute">
    <xdr:from>
      <xdr:col>0</xdr:col>
      <xdr:colOff>85725</xdr:colOff>
      <xdr:row>0</xdr:row>
      <xdr:rowOff>66675</xdr:rowOff>
    </xdr:from>
    <xdr:to>
      <xdr:col>0</xdr:col>
      <xdr:colOff>657225</xdr:colOff>
      <xdr:row>0</xdr:row>
      <xdr:rowOff>371475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85725" y="666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4033" name="CommandButton1" hidden="1">
          <a:extLst>
            <a:ext uri="{63B3BB69-23CF-44E3-9099-C40C66FF867C}">
              <a14:compatExt xmlns:a14="http://schemas.microsoft.com/office/drawing/2010/main" spid="_x0000_s44033"/>
            </a:ext>
            <a:ext uri="{FF2B5EF4-FFF2-40B4-BE49-F238E27FC236}">
              <a16:creationId xmlns:a16="http://schemas.microsoft.com/office/drawing/2014/main" id="{00000000-0008-0000-0600-000001A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5057" name="CommandButton1" hidden="1">
          <a:extLst>
            <a:ext uri="{63B3BB69-23CF-44E3-9099-C40C66FF867C}">
              <a14:compatExt xmlns:a14="http://schemas.microsoft.com/office/drawing/2010/main" spid="_x0000_s45057"/>
            </a:ext>
            <a:ext uri="{FF2B5EF4-FFF2-40B4-BE49-F238E27FC236}">
              <a16:creationId xmlns:a16="http://schemas.microsoft.com/office/drawing/2014/main" id="{00000000-0008-0000-0700-000001B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6081" name="CommandButton1" hidden="1">
          <a:extLst>
            <a:ext uri="{63B3BB69-23CF-44E3-9099-C40C66FF867C}">
              <a14:compatExt xmlns:a14="http://schemas.microsoft.com/office/drawing/2010/main" spid="_x0000_s46081"/>
            </a:ext>
            <a:ext uri="{FF2B5EF4-FFF2-40B4-BE49-F238E27FC236}">
              <a16:creationId xmlns:a16="http://schemas.microsoft.com/office/drawing/2014/main" id="{00000000-0008-0000-0800-000001B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47105" name="CommandButton1" hidden="1">
          <a:extLst>
            <a:ext uri="{63B3BB69-23CF-44E3-9099-C40C66FF867C}">
              <a14:compatExt xmlns:a14="http://schemas.microsoft.com/office/drawing/2010/main" spid="_x0000_s47105"/>
            </a:ext>
            <a:ext uri="{FF2B5EF4-FFF2-40B4-BE49-F238E27FC236}">
              <a16:creationId xmlns:a16="http://schemas.microsoft.com/office/drawing/2014/main" id="{00000000-0008-0000-0900-000001B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352425</xdr:rowOff>
    </xdr:to>
    <xdr:sp macro="" textlink="">
      <xdr:nvSpPr>
        <xdr:cNvPr id="48129" name="CommandButton1" hidden="1">
          <a:extLst>
            <a:ext uri="{63B3BB69-23CF-44E3-9099-C40C66FF867C}">
              <a14:compatExt xmlns:a14="http://schemas.microsoft.com/office/drawing/2010/main" spid="_x0000_s48129"/>
            </a:ext>
            <a:ext uri="{FF2B5EF4-FFF2-40B4-BE49-F238E27FC236}">
              <a16:creationId xmlns:a16="http://schemas.microsoft.com/office/drawing/2014/main" id="{00000000-0008-0000-0A00-000001B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0</xdr:row>
      <xdr:rowOff>352425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49153" name="CommandButton1" hidden="1">
          <a:extLst>
            <a:ext uri="{63B3BB69-23CF-44E3-9099-C40C66FF867C}">
              <a14:compatExt xmlns:a14="http://schemas.microsoft.com/office/drawing/2010/main" spid="_x0000_s49153"/>
            </a:ext>
            <a:ext uri="{FF2B5EF4-FFF2-40B4-BE49-F238E27FC236}">
              <a16:creationId xmlns:a16="http://schemas.microsoft.com/office/drawing/2014/main" id="{00000000-0008-0000-0B00-000001C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50177" name="CommandButton1" hidden="1">
          <a:extLst>
            <a:ext uri="{63B3BB69-23CF-44E3-9099-C40C66FF867C}">
              <a14:compatExt xmlns:a14="http://schemas.microsoft.com/office/drawing/2010/main" spid="_x0000_s50177"/>
            </a:ext>
            <a:ext uri="{FF2B5EF4-FFF2-40B4-BE49-F238E27FC236}">
              <a16:creationId xmlns:a16="http://schemas.microsoft.com/office/drawing/2014/main" id="{00000000-0008-0000-0C00-000001C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51201" name="CommandButton1" hidden="1">
          <a:extLst>
            <a:ext uri="{63B3BB69-23CF-44E3-9099-C40C66FF867C}">
              <a14:compatExt xmlns:a14="http://schemas.microsoft.com/office/drawing/2010/main" spid="_x0000_s51201"/>
            </a:ext>
            <a:ext uri="{FF2B5EF4-FFF2-40B4-BE49-F238E27FC236}">
              <a16:creationId xmlns:a16="http://schemas.microsoft.com/office/drawing/2014/main" id="{00000000-0008-0000-0D00-000001C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19050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3" name="Flèche :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52225" name="CommandButton1" hidden="1">
          <a:extLst>
            <a:ext uri="{63B3BB69-23CF-44E3-9099-C40C66FF867C}">
              <a14:compatExt xmlns:a14="http://schemas.microsoft.com/office/drawing/2010/main" spid="_x0000_s52225"/>
            </a:ext>
            <a:ext uri="{FF2B5EF4-FFF2-40B4-BE49-F238E27FC236}">
              <a16:creationId xmlns:a16="http://schemas.microsoft.com/office/drawing/2014/main" id="{00000000-0008-0000-0E00-000001C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28575</xdr:rowOff>
    </xdr:to>
    <xdr:sp macro="" textlink="">
      <xdr:nvSpPr>
        <xdr:cNvPr id="3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104775</xdr:colOff>
      <xdr:row>0</xdr:row>
      <xdr:rowOff>38100</xdr:rowOff>
    </xdr:from>
    <xdr:to>
      <xdr:col>0</xdr:col>
      <xdr:colOff>676275</xdr:colOff>
      <xdr:row>0</xdr:row>
      <xdr:rowOff>342900</xdr:rowOff>
    </xdr:to>
    <xdr:sp macro="" textlink="">
      <xdr:nvSpPr>
        <xdr:cNvPr id="4" name="Flèche :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38100</xdr:rowOff>
    </xdr:from>
    <xdr:to>
      <xdr:col>0</xdr:col>
      <xdr:colOff>685800</xdr:colOff>
      <xdr:row>0</xdr:row>
      <xdr:rowOff>352425</xdr:rowOff>
    </xdr:to>
    <xdr:sp macro="" textlink="">
      <xdr:nvSpPr>
        <xdr:cNvPr id="40961" name="CommandButton1" hidden="1">
          <a:extLst>
            <a:ext uri="{63B3BB69-23CF-44E3-9099-C40C66FF867C}">
              <a14:compatExt xmlns:a14="http://schemas.microsoft.com/office/drawing/2010/main" spid="_x0000_s40961"/>
            </a:ext>
            <a:ext uri="{FF2B5EF4-FFF2-40B4-BE49-F238E27FC236}">
              <a16:creationId xmlns:a16="http://schemas.microsoft.com/office/drawing/2014/main" id="{00000000-0008-0000-0300-000001A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123825</xdr:colOff>
      <xdr:row>0</xdr:row>
      <xdr:rowOff>28575</xdr:rowOff>
    </xdr:from>
    <xdr:to>
      <xdr:col>0</xdr:col>
      <xdr:colOff>695325</xdr:colOff>
      <xdr:row>0</xdr:row>
      <xdr:rowOff>333375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23825" y="28575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2</xdr:row>
          <xdr:rowOff>104775</xdr:rowOff>
        </xdr:from>
        <xdr:to>
          <xdr:col>11</xdr:col>
          <xdr:colOff>514350</xdr:colOff>
          <xdr:row>4</xdr:row>
          <xdr:rowOff>9525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  <a:ext uri="{FF2B5EF4-FFF2-40B4-BE49-F238E27FC236}">
                  <a16:creationId xmlns:a16="http://schemas.microsoft.com/office/drawing/2014/main" id="{00000000-0008-0000-0E00-000002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161925</xdr:rowOff>
        </xdr:from>
        <xdr:to>
          <xdr:col>10</xdr:col>
          <xdr:colOff>752475</xdr:colOff>
          <xdr:row>2</xdr:row>
          <xdr:rowOff>9525</xdr:rowOff>
        </xdr:to>
        <xdr:sp macro="" textlink="">
          <xdr:nvSpPr>
            <xdr:cNvPr id="63491" name="Button 3" hidden="1">
              <a:extLst>
                <a:ext uri="{63B3BB69-23CF-44E3-9099-C40C66FF867C}">
                  <a14:compatExt spid="_x0000_s63491"/>
                </a:ext>
                <a:ext uri="{FF2B5EF4-FFF2-40B4-BE49-F238E27FC236}">
                  <a16:creationId xmlns:a16="http://schemas.microsoft.com/office/drawing/2014/main" id="{00000000-0008-0000-0E00-000003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568119</xdr:colOff>
      <xdr:row>0</xdr:row>
      <xdr:rowOff>103356</xdr:rowOff>
    </xdr:from>
    <xdr:to>
      <xdr:col>7</xdr:col>
      <xdr:colOff>860033</xdr:colOff>
      <xdr:row>5</xdr:row>
      <xdr:rowOff>158381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7943" y="103356"/>
          <a:ext cx="2118472" cy="1265260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66675</xdr:rowOff>
    </xdr:from>
    <xdr:to>
      <xdr:col>1</xdr:col>
      <xdr:colOff>685800</xdr:colOff>
      <xdr:row>0</xdr:row>
      <xdr:rowOff>381000</xdr:rowOff>
    </xdr:to>
    <xdr:sp macro="" textlink="">
      <xdr:nvSpPr>
        <xdr:cNvPr id="55297" name="CommandButton1" hidden="1">
          <a:extLst>
            <a:ext uri="{63B3BB69-23CF-44E3-9099-C40C66FF867C}">
              <a14:compatExt xmlns:a14="http://schemas.microsoft.com/office/drawing/2010/main" spid="_x0000_s55297"/>
            </a:ext>
            <a:ext uri="{FF2B5EF4-FFF2-40B4-BE49-F238E27FC236}">
              <a16:creationId xmlns:a16="http://schemas.microsoft.com/office/drawing/2014/main" id="{00000000-0008-0000-1000-000001D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1</xdr:col>
      <xdr:colOff>57150</xdr:colOff>
      <xdr:row>0</xdr:row>
      <xdr:rowOff>66675</xdr:rowOff>
    </xdr:from>
    <xdr:to>
      <xdr:col>1</xdr:col>
      <xdr:colOff>685800</xdr:colOff>
      <xdr:row>0</xdr:row>
      <xdr:rowOff>381000</xdr:rowOff>
    </xdr:to>
    <xdr:sp macro="" textlink="">
      <xdr:nvSpPr>
        <xdr:cNvPr id="6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 bwMode="auto">
        <a:xfrm>
          <a:off x="57150" y="66675"/>
          <a:ext cx="6286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</xdr:col>
      <xdr:colOff>104775</xdr:colOff>
      <xdr:row>0</xdr:row>
      <xdr:rowOff>38100</xdr:rowOff>
    </xdr:from>
    <xdr:to>
      <xdr:col>1</xdr:col>
      <xdr:colOff>676275</xdr:colOff>
      <xdr:row>0</xdr:row>
      <xdr:rowOff>342900</xdr:rowOff>
    </xdr:to>
    <xdr:sp macro="" textlink="">
      <xdr:nvSpPr>
        <xdr:cNvPr id="7" name="Flèche : gauch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104775" y="38100"/>
          <a:ext cx="571500" cy="304800"/>
        </a:xfrm>
        <a:prstGeom prst="left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7812D5C-EEF5-4444-85E4-264C3DE6C2F2}" name="Tabel7" displayName="Tabel7" ref="A9:I22" totalsRowShown="0" headerRowBorderDxfId="146" tableBorderDxfId="145">
  <tableColumns count="9">
    <tableColumn id="1" xr3:uid="{9C60D0EE-AB05-49B4-A227-BDC3EB15B9B4}" name="DATES" dataDxfId="144"/>
    <tableColumn id="2" xr3:uid="{4BA23522-8AF9-4E29-9A0E-6D1F6E6E9E62}" name="CODES" dataDxfId="143">
      <calculatedColumnFormula>IFERROR(INDEX(t_Comptes[CODES],MATCH(C10,t_Comptes[LIBELLES],0)),"")</calculatedColumnFormula>
    </tableColumn>
    <tableColumn id="3" xr3:uid="{CE569ECB-00DA-4BA3-9C2C-30DD2F71B254}" name="LIBELLES" dataDxfId="142"/>
    <tableColumn id="4" xr3:uid="{C29F51F0-326E-4ED9-A562-F7097152C007}" name="Désignations" dataDxfId="141"/>
    <tableColumn id="5" xr3:uid="{CF1E1CC6-E5E2-4B53-B362-CF773DEE9C73}" name="P" dataDxfId="140"/>
    <tableColumn id="6" xr3:uid="{1977C594-4FA1-4FE8-8C27-F7923A0C3610}" name="Banque +" dataDxfId="139"/>
    <tableColumn id="7" xr3:uid="{9FCA7652-F8AD-4083-8CA3-EA87F19B6089}" name="Banque -" dataDxfId="138"/>
    <tableColumn id="8" xr3:uid="{68767755-2822-4DB7-AB53-AC7BAA17B9AC}" name="Caisse +" dataDxfId="137"/>
    <tableColumn id="9" xr3:uid="{76B5E2A4-FFBE-46FE-BF4E-C5D8723E9683}" name="Caisse -" dataDxfId="1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DBC5FCD-64BB-4E2E-B265-8C750A424D9E}" name="Tabel8" displayName="Tabel8" ref="A9:I10" totalsRowShown="0" headerRowBorderDxfId="134" tableBorderDxfId="133">
  <sortState xmlns:xlrd2="http://schemas.microsoft.com/office/spreadsheetml/2017/richdata2" ref="A10:I10">
    <sortCondition ref="A10"/>
  </sortState>
  <tableColumns count="9">
    <tableColumn id="1" xr3:uid="{40E8A749-7908-4287-86CC-7276ACE1E335}" name="DATES" dataDxfId="132"/>
    <tableColumn id="2" xr3:uid="{56A40A91-F17A-4CEE-851D-6A058D0CFE5E}" name="CODES" dataDxfId="131">
      <calculatedColumnFormula>IFERROR(INDEX(t_Comptes[CODES],MATCH(C10,t_Comptes[LIBELLES],0)),"")</calculatedColumnFormula>
    </tableColumn>
    <tableColumn id="3" xr3:uid="{03802690-7F2C-4764-BB57-2F31D77B5007}" name="LIBELLES" dataDxfId="130"/>
    <tableColumn id="4" xr3:uid="{1FEB2766-AF94-4F0A-8D1B-FE8538A87D7F}" name="Désignations" dataDxfId="129"/>
    <tableColumn id="5" xr3:uid="{53B40C4A-65D9-42FF-A032-8B552AB52039}" name="P" dataDxfId="128"/>
    <tableColumn id="6" xr3:uid="{C771AB49-9AE8-42BD-9A0C-7A0732842BE5}" name="Banque +" dataDxfId="127"/>
    <tableColumn id="7" xr3:uid="{22BAD88C-56A6-4209-ADBF-674B048E3B52}" name="Banque -" dataDxfId="126"/>
    <tableColumn id="8" xr3:uid="{FCA7EB95-56CE-409F-B29B-E74DF05FA1D4}" name="Caisse +" dataDxfId="125"/>
    <tableColumn id="9" xr3:uid="{F0F0E6CA-3FDD-487F-8C99-F159B7C3276B}" name="Caisse -" dataDxfId="1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6A7FB7-1BCA-4A75-80A8-208612E70E9F}" name="Tabel9" displayName="Tabel9" ref="A9:I10" totalsRowShown="0" headerRowBorderDxfId="121" tableBorderDxfId="120">
  <sortState xmlns:xlrd2="http://schemas.microsoft.com/office/spreadsheetml/2017/richdata2" ref="A10:I10">
    <sortCondition ref="A10"/>
  </sortState>
  <tableColumns count="9">
    <tableColumn id="1" xr3:uid="{022BE3ED-B3B5-41F5-8A54-5F89ADC4E803}" name="DATES" dataDxfId="119"/>
    <tableColumn id="2" xr3:uid="{0D78E5EE-E4C7-4BE8-B3D3-A5B230B73633}" name="CODES" dataDxfId="118">
      <calculatedColumnFormula>IFERROR(INDEX(t_Comptes[CODES],MATCH(C10,t_Comptes[LIBELLES],0)),"")</calculatedColumnFormula>
    </tableColumn>
    <tableColumn id="3" xr3:uid="{11CE8B84-935E-4425-A6E1-34090AF7FBD4}" name="LIBELLES" dataDxfId="117"/>
    <tableColumn id="4" xr3:uid="{C86C4E11-0ED0-46FB-A606-BA33716ADE95}" name="Désignations" dataDxfId="116"/>
    <tableColumn id="5" xr3:uid="{36B1B574-32D2-4ECD-B7EB-2038DFFBDE52}" name="P" dataDxfId="115"/>
    <tableColumn id="6" xr3:uid="{D3452AD2-AD85-4885-9C18-65C7867B32C4}" name="Banque +" dataDxfId="114"/>
    <tableColumn id="7" xr3:uid="{16619732-420A-4026-B7D2-6B30082B797D}" name="Banque -" dataDxfId="113"/>
    <tableColumn id="8" xr3:uid="{BC66EAD3-9C1E-42D9-ADEA-5DF45A394901}" name="Caisse +" dataDxfId="112"/>
    <tableColumn id="9" xr3:uid="{57A2F8E6-327E-4295-A388-E8DFD78F50E5}" name="Caisse -" dataDxfId="1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069E84A-D6B0-4ACE-AE7F-9D9B6B1F05D7}" name="Tabel10" displayName="Tabel10" ref="A9:I10" totalsRowShown="0" headerRowBorderDxfId="109" tableBorderDxfId="108">
  <sortState xmlns:xlrd2="http://schemas.microsoft.com/office/spreadsheetml/2017/richdata2" ref="A10:I10">
    <sortCondition ref="A10"/>
  </sortState>
  <tableColumns count="9">
    <tableColumn id="1" xr3:uid="{4580C470-3AD6-4D47-A926-D0D3AC29B730}" name="DATES" dataDxfId="107"/>
    <tableColumn id="2" xr3:uid="{F92343F2-05E7-4016-81C8-CC693CC39A3E}" name="CODES" dataDxfId="106">
      <calculatedColumnFormula>IFERROR(INDEX(t_Comptes[CODES],MATCH(C10,t_Comptes[LIBELLES],0)),"")</calculatedColumnFormula>
    </tableColumn>
    <tableColumn id="3" xr3:uid="{39C1DB68-2601-46DF-A42F-B29D3D8F89BE}" name="LIBELLES" dataDxfId="105"/>
    <tableColumn id="4" xr3:uid="{94A13ABE-AF82-41B9-AB50-BA95ADE8F599}" name="Désignations" dataDxfId="104"/>
    <tableColumn id="5" xr3:uid="{4A2B66E7-965B-40D5-9161-F714081A37A9}" name="P" dataDxfId="103"/>
    <tableColumn id="6" xr3:uid="{D22CC193-9259-41D6-8EDD-895D584AC727}" name="Banque +" dataDxfId="102"/>
    <tableColumn id="7" xr3:uid="{2EF5601C-887A-4ECF-88A8-16C3674E3B7F}" name="Banque -" dataDxfId="101"/>
    <tableColumn id="8" xr3:uid="{9C9D4254-8342-45D0-86CC-67ECBD288768}" name="Caisse +" dataDxfId="100"/>
    <tableColumn id="9" xr3:uid="{218857CB-7EEE-4317-98C9-3D4FB3DA590F}" name="Caisse -" dataDxfId="9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8315CFF-BAEF-4004-A37A-C148EF7E4BF5}" name="Tabel11" displayName="Tabel11" ref="A9:I10" totalsRowShown="0" headerRowBorderDxfId="97" tableBorderDxfId="96">
  <tableColumns count="9">
    <tableColumn id="1" xr3:uid="{7D853887-2228-4E3E-8DAD-6045243F3F18}" name="DATES" dataDxfId="95"/>
    <tableColumn id="2" xr3:uid="{C1BCFD65-0AFF-49F8-88CD-D88571CE232B}" name="CODES" dataDxfId="94">
      <calculatedColumnFormula>IFERROR(INDEX(t_Comptes[CODES],MATCH(C10,t_Comptes[LIBELLES],0)),"")</calculatedColumnFormula>
    </tableColumn>
    <tableColumn id="3" xr3:uid="{E37192A1-C1A5-4F48-8F21-3453EE212E9A}" name="LIBELLES" dataDxfId="93"/>
    <tableColumn id="4" xr3:uid="{488770C9-58CB-4BA4-8214-48A6EF191B13}" name="Désignations" dataDxfId="92"/>
    <tableColumn id="5" xr3:uid="{67D85C70-EA1E-4F61-B5DE-337287A407A5}" name="P" dataDxfId="91"/>
    <tableColumn id="6" xr3:uid="{C886B68B-5920-4BAA-AE06-E165B1ABE188}" name="Banque +" dataDxfId="90"/>
    <tableColumn id="7" xr3:uid="{E947C7C2-DD16-428D-B6E5-4258BCD3B997}" name="Banque -" dataDxfId="89"/>
    <tableColumn id="8" xr3:uid="{ADA92DB1-EDD9-468E-9BD3-4987B4DBBD80}" name="Caisse +" dataDxfId="88"/>
    <tableColumn id="9" xr3:uid="{B04C0778-08EB-49D5-8957-C732DE1B75EF}" name="Caisse -" dataDxfId="8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35359B2-0372-4940-A065-53DCC8371487}" name="Tabel12" displayName="Tabel12" ref="A9:I10" totalsRowShown="0" headerRowBorderDxfId="85" tableBorderDxfId="84">
  <tableColumns count="9">
    <tableColumn id="1" xr3:uid="{98B891FB-541C-47AA-AD81-4EF8D8BBA000}" name="DATES" dataDxfId="83"/>
    <tableColumn id="2" xr3:uid="{A9B284FE-6657-4DA6-8DC7-05A99DDB266D}" name="CODES" dataDxfId="82">
      <calculatedColumnFormula>IFERROR(INDEX(t_Comptes[CODES],MATCH(C10,t_Comptes[LIBELLES],0)),"")</calculatedColumnFormula>
    </tableColumn>
    <tableColumn id="3" xr3:uid="{9BB95B35-9826-4B92-8C29-B90AE45A2ACF}" name="LIBELLES" dataDxfId="81"/>
    <tableColumn id="4" xr3:uid="{1FC322FB-672F-4F08-BE25-23C7DE60BE2C}" name="Désignations" dataDxfId="80"/>
    <tableColumn id="5" xr3:uid="{3B520179-F03B-415C-A207-DB300A93647D}" name="P" dataDxfId="79"/>
    <tableColumn id="6" xr3:uid="{99394ABA-3D7A-4703-85C5-D221DC726EE5}" name="Banque +" dataDxfId="78"/>
    <tableColumn id="7" xr3:uid="{E9A6A358-9047-4C83-A881-EFF4974FC879}" name="Banque -" dataDxfId="77"/>
    <tableColumn id="8" xr3:uid="{9493AB08-4FB4-4B96-B98B-DB7494F21583}" name="Caisse +" dataDxfId="76"/>
    <tableColumn id="9" xr3:uid="{2CED479A-3DBB-4DA8-A25A-621349C58317}" name="Caisse -" dataDxfId="7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1CF6F36-8A99-4F4C-BA7E-B8D22E5423D1}" name="Tabel13" displayName="Tabel13" ref="A9:I10" totalsRowShown="0" headerRowBorderDxfId="73" tableBorderDxfId="72">
  <tableColumns count="9">
    <tableColumn id="1" xr3:uid="{314516C8-7ECC-4EF7-A880-1CEAA3B4C0C6}" name="DATES" dataDxfId="71"/>
    <tableColumn id="2" xr3:uid="{7E0242BC-21AF-4FF0-8C6B-FC341001BCF7}" name="CODES" dataDxfId="70">
      <calculatedColumnFormula>IFERROR(INDEX(t_Comptes[CODES],MATCH(C10,t_Comptes[LIBELLES],0)),"")</calculatedColumnFormula>
    </tableColumn>
    <tableColumn id="3" xr3:uid="{5658C01B-BA28-453C-9388-970A998C3FEF}" name="LIBELLES" dataDxfId="69"/>
    <tableColumn id="4" xr3:uid="{461EEE99-D65B-415F-87BA-4734EED34F9F}" name="Désignations" dataDxfId="68"/>
    <tableColumn id="5" xr3:uid="{CA3D15A1-2245-4237-A2CA-5DB853220CAF}" name="P" dataDxfId="67"/>
    <tableColumn id="6" xr3:uid="{CA1A52A9-36AF-4043-B829-BC2AC8C818B2}" name="Banque +" dataDxfId="66"/>
    <tableColumn id="7" xr3:uid="{E5AA83AE-AB84-4EE1-BEFE-3504F2790FA1}" name="Banque -" dataDxfId="65"/>
    <tableColumn id="8" xr3:uid="{E67866F3-2A8B-46BA-8975-F51050E49606}" name="Caisse +" dataDxfId="64"/>
    <tableColumn id="9" xr3:uid="{D92E4275-3C72-4247-8280-C4D3EC00088F}" name="Caisse -" dataDxfId="6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DA14263-56EA-4E42-8E8E-5F33E17E91EB}" name="Tabel14" displayName="Tabel14" ref="A9:I10" totalsRowShown="0" headerRowBorderDxfId="61" tableBorderDxfId="60">
  <tableColumns count="9">
    <tableColumn id="1" xr3:uid="{D5984A35-9753-4837-86ED-1568F00FABE8}" name="DATES" dataDxfId="59"/>
    <tableColumn id="2" xr3:uid="{66B99BC0-51E0-4AE8-A848-56B7301CC8A6}" name="CODES" dataDxfId="58">
      <calculatedColumnFormula>IFERROR(INDEX(t_Comptes[CODES],MATCH(C10,t_Comptes[LIBELLES],0)),"")</calculatedColumnFormula>
    </tableColumn>
    <tableColumn id="3" xr3:uid="{CD33BA22-048C-4F0C-B2C9-06BA98FD569A}" name="LIBELLES" dataDxfId="57"/>
    <tableColumn id="4" xr3:uid="{AFDC62F6-9177-4B23-8800-5353431DFB8E}" name="Désignations" dataDxfId="56"/>
    <tableColumn id="5" xr3:uid="{28A7F726-E4B8-4BC3-8E47-BCB8BEC55B48}" name="P" dataDxfId="55"/>
    <tableColumn id="6" xr3:uid="{488E8C48-2C14-400B-A715-263E55DEB9E5}" name="Banque +" dataDxfId="54"/>
    <tableColumn id="7" xr3:uid="{CE3C30BA-A155-407C-99BC-FB652811C618}" name="Banque -" dataDxfId="53"/>
    <tableColumn id="8" xr3:uid="{F00CCF69-C43B-4254-A4E5-A1AB13A4046F}" name="Caisse +" dataDxfId="52"/>
    <tableColumn id="9" xr3:uid="{C37791AB-F977-4CD2-883E-4D6C37ECAF72}" name="Caisse -" dataDxfId="5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9AE0C03-B24E-4FA4-A361-05E1208DBA57}" name="Tabel15" displayName="Tabel15" ref="A9:I10" totalsRowShown="0" headerRowBorderDxfId="49" tableBorderDxfId="48">
  <tableColumns count="9">
    <tableColumn id="1" xr3:uid="{181E3847-D175-4123-A61D-7E39D973BDC5}" name="DATES" dataDxfId="47"/>
    <tableColumn id="2" xr3:uid="{F7E0E40C-A932-4C3A-8A5E-522F27F6E7E7}" name="CODES" dataDxfId="46">
      <calculatedColumnFormula>IFERROR(INDEX(t_Comptes[CODES],MATCH(C10,t_Comptes[LIBELLES],0)),"")</calculatedColumnFormula>
    </tableColumn>
    <tableColumn id="3" xr3:uid="{7F49D1D2-556C-4417-9A31-87DDC966AC9C}" name="LIBELLES" dataDxfId="45"/>
    <tableColumn id="4" xr3:uid="{E2AF214B-E646-4F27-B6F2-5A871BBAE579}" name="Désignations" dataDxfId="44"/>
    <tableColumn id="5" xr3:uid="{F1BB4FD1-3989-469E-975E-923884266343}" name="P" dataDxfId="43"/>
    <tableColumn id="6" xr3:uid="{75507198-8D44-4545-A023-FCC413C6B6FF}" name="Banque +" dataDxfId="42"/>
    <tableColumn id="7" xr3:uid="{562444D8-8EF2-4F2F-B14D-62DD784AD0D6}" name="Banque -" dataDxfId="41"/>
    <tableColumn id="8" xr3:uid="{DB9765A9-0AB6-465C-A62E-1162A763FECD}" name="Caisse +" dataDxfId="40"/>
    <tableColumn id="9" xr3:uid="{E0C3A280-2359-4EC2-988F-161D718A44C9}" name="Caisse -" dataDxfId="3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278350A-013F-4059-B6F1-17A92620A4F6}" name="Tabel16" displayName="Tabel16" ref="A9:I10" totalsRowShown="0" headerRowBorderDxfId="37" tableBorderDxfId="36">
  <tableColumns count="9">
    <tableColumn id="1" xr3:uid="{803C9574-BA37-4942-96B4-5959BF5789BB}" name="DATES" dataDxfId="35"/>
    <tableColumn id="2" xr3:uid="{A683A758-2208-475B-A86A-C72E8CBA5700}" name="CODES" dataDxfId="34">
      <calculatedColumnFormula>IFERROR(INDEX(t_Comptes[CODES],MATCH(C10,t_Comptes[LIBELLES],0)),"")</calculatedColumnFormula>
    </tableColumn>
    <tableColumn id="3" xr3:uid="{EEB1229C-3BD2-4FB8-AAC5-523C0DECE90C}" name="LIBELLES" dataDxfId="33"/>
    <tableColumn id="4" xr3:uid="{4A14BE27-5C96-4D1C-91D5-7FBF0EE1EB51}" name="Désignations" dataDxfId="32"/>
    <tableColumn id="5" xr3:uid="{B5F72FF0-B358-4B8B-8624-FCAD19DF5A24}" name="P" dataDxfId="31"/>
    <tableColumn id="6" xr3:uid="{9013DCBF-3E8C-4279-8FE2-E3ED2FD4529B}" name="Banque +" dataDxfId="30"/>
    <tableColumn id="7" xr3:uid="{CFF28E65-9205-41FA-A3C6-17C2848AD93D}" name="Banque -" dataDxfId="29"/>
    <tableColumn id="8" xr3:uid="{28373650-ECF8-47C8-9FF6-60413F72FA3E}" name="Caisse +" dataDxfId="28"/>
    <tableColumn id="9" xr3:uid="{A93CAEC7-781F-46F3-8BFC-706FBB73ED74}" name="Caisse -" dataDxfId="2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FFF9146-3424-4A52-9C6C-A334BF9E0E19}" name="Tabel17" displayName="Tabel17" ref="A9:I10" totalsRowShown="0" headerRowBorderDxfId="25" tableBorderDxfId="24">
  <tableColumns count="9">
    <tableColumn id="1" xr3:uid="{33A11BB7-F42A-48DC-8714-79DE974F74D6}" name="DATES" dataDxfId="23"/>
    <tableColumn id="2" xr3:uid="{917B712C-4CE7-43C3-A079-D33F3C86489E}" name="CODES" dataDxfId="22">
      <calculatedColumnFormula>IFERROR(INDEX(t_Comptes[CODES],MATCH(C10,t_Comptes[LIBELLES],0)),"")</calculatedColumnFormula>
    </tableColumn>
    <tableColumn id="3" xr3:uid="{8A13B15C-7BD0-46F1-80E0-A3884D09A5ED}" name="LIBELLES" dataDxfId="21"/>
    <tableColumn id="4" xr3:uid="{346FE9D1-9150-410E-BC4A-30C100F3C4C0}" name="Désignations" dataDxfId="20"/>
    <tableColumn id="5" xr3:uid="{F2F65E2E-48DD-40FA-B444-6644E9317B8D}" name="P" dataDxfId="19"/>
    <tableColumn id="6" xr3:uid="{63334174-9C24-404E-AC57-D3B0089DB62D}" name="Banque +" dataDxfId="18"/>
    <tableColumn id="7" xr3:uid="{D7CF032A-E8C1-452D-B043-A8C7B9854E7E}" name="Banque -" dataDxfId="17"/>
    <tableColumn id="8" xr3:uid="{271B7573-E63F-4861-B147-749178A66899}" name="Caisse +" dataDxfId="16"/>
    <tableColumn id="9" xr3:uid="{EDFC8B42-FB6F-4072-B221-3A37A465954F}" name="Caisse -" dataDxfId="1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C2018C3-6C26-47FB-AC32-7262988D5AE8}" name="Tabel6" displayName="Tabel6" ref="A9:I10" totalsRowShown="0" headerRowBorderDxfId="13" tableBorderDxfId="12">
  <tableColumns count="9">
    <tableColumn id="1" xr3:uid="{947C0FFD-942F-44D3-B517-F51B5C10F9ED}" name="DATES" dataDxfId="11"/>
    <tableColumn id="2" xr3:uid="{B09AF93D-133A-4E48-86AA-02C5B6C7091C}" name="CODES" dataDxfId="10">
      <calculatedColumnFormula>IFERROR(INDEX(t_Comptes[CODES],MATCH(C10,t_Comptes[LIBELLES],0)),"")</calculatedColumnFormula>
    </tableColumn>
    <tableColumn id="3" xr3:uid="{8F198D19-B605-48D6-A257-1A3D8C9E198B}" name="LIBELLES" dataDxfId="9"/>
    <tableColumn id="4" xr3:uid="{72F3544A-E9E5-49F3-91E4-6485E7E6E53F}" name="Désignations" dataDxfId="8"/>
    <tableColumn id="5" xr3:uid="{6E3185FD-1E43-4613-94AB-01CABA2ABB6D}" name="P" dataDxfId="7"/>
    <tableColumn id="6" xr3:uid="{B44FEF85-A58D-4C0F-9CAA-5A80435AA87E}" name="Banque +" dataDxfId="6"/>
    <tableColumn id="7" xr3:uid="{99FDBCA8-7C71-48C8-B04F-DADF3E08991C}" name="Banque -" dataDxfId="5"/>
    <tableColumn id="8" xr3:uid="{1DCE4E53-64B7-4EC4-854A-7FCAA7E7D987}" name="Caisse +" dataDxfId="4"/>
    <tableColumn id="9" xr3:uid="{65809D61-AC47-4AAE-8D27-F002972AD259}" name="Caisse -" dataDxfId="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5CFE6A-84EE-4981-AC96-F2C74C8BDAF1}" name="t_Comptes3" displayName="t_Comptes3" ref="M4:N34" totalsRowShown="0" headerRowDxfId="164" headerRowBorderDxfId="163" tableBorderDxfId="162">
  <autoFilter ref="M4:N34" xr:uid="{375CFE6A-84EE-4981-AC96-F2C74C8BDAF1}"/>
  <sortState xmlns:xlrd2="http://schemas.microsoft.com/office/spreadsheetml/2017/richdata2" ref="M5:N34">
    <sortCondition ref="M5:M34"/>
  </sortState>
  <tableColumns count="2">
    <tableColumn id="1" xr3:uid="{F70FF9A8-E19F-4C36-9539-4F6C28EEBA68}" name="LIBELLES" dataDxfId="161"/>
    <tableColumn id="2" xr3:uid="{ED1B40C6-D7DD-4454-B2D9-9ACC3B8658E6}" name="CODES" dataDxfId="1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37F2C2-7B52-4589-A61E-3793A3F15EF7}" name="tbl_Mois" displayName="tbl_Mois" ref="P6:U18" totalsRowShown="0" headerRowDxfId="159" dataDxfId="158">
  <autoFilter ref="P6:U18" xr:uid="{3137F2C2-7B52-4589-A61E-3793A3F15EF7}"/>
  <tableColumns count="6">
    <tableColumn id="6" xr3:uid="{464AF82A-E5B7-45BA-946B-B9D2F3D6988D}" name="date" dataDxfId="157">
      <calculatedColumnFormula>IF(ROW()-ROW(tbl_Mois[[#Headers],[date]])=1,$P$5,EDATE(P6,1))</calculatedColumnFormula>
    </tableColumn>
    <tableColumn id="1" xr3:uid="{D59BDB8E-1171-4960-8B35-2C4E8221F11B}" name="Feuille" dataDxfId="156">
      <calculatedColumnFormula>PROPER(TEXT(P7,"[$-fr-fr]"&amp;$Q$5))</calculatedColumnFormula>
    </tableColumn>
    <tableColumn id="2" xr3:uid="{D1684E14-4BEF-41B0-96BD-CB3664B02A5D}" name="Banque +" dataDxfId="155">
      <calculatedColumnFormula array="1">IFERROR(INDIRECT("'"&amp;$Q7&amp;"'!" &amp; R$5),"???")</calculatedColumnFormula>
    </tableColumn>
    <tableColumn id="3" xr3:uid="{217A01B1-D647-4453-8C18-41CA4432CAEA}" name="Banque -" dataDxfId="154">
      <calculatedColumnFormula array="1">IFERROR(INDIRECT("'"&amp;$Q7&amp;"'!" &amp; S$5),"???")</calculatedColumnFormula>
    </tableColumn>
    <tableColumn id="4" xr3:uid="{C864BF5B-FF02-48A7-999E-7CA701535666}" name="Caisse +" dataDxfId="153">
      <calculatedColumnFormula array="1">IFERROR(INDIRECT("'"&amp;$Q7&amp;"'!" &amp; T$5),"???")</calculatedColumnFormula>
    </tableColumn>
    <tableColumn id="5" xr3:uid="{1ED95F81-0DEE-495B-A178-9CB3C1AD5ADB}" name="Caisse -" dataDxfId="152">
      <calculatedColumnFormula array="1">IFERROR(INDIRECT("'"&amp;$Q7&amp;"'!" &amp; U$5),"???")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31" totalsRowShown="0" headerRowDxfId="2">
  <autoFilter ref="A1:B31" xr:uid="{00000000-0009-0000-0100-000001000000}"/>
  <sortState xmlns:xlrd2="http://schemas.microsoft.com/office/spreadsheetml/2017/richdata2" ref="A2:B31">
    <sortCondition ref="A2:A31"/>
  </sortState>
  <tableColumns count="2">
    <tableColumn id="1" xr3:uid="{00000000-0010-0000-0000-000001000000}" name="LIBELLES" dataDxfId="1"/>
    <tableColumn id="2" xr3:uid="{00000000-0010-0000-0000-000002000000}" name="CO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4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6" Type="http://schemas.openxmlformats.org/officeDocument/2006/relationships/table" Target="../tables/table1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2B842-097A-47D2-A54B-A25AD4097150}">
  <sheetPr codeName="Feuil1"/>
  <dimension ref="A1:E1"/>
  <sheetViews>
    <sheetView showGridLines="0" workbookViewId="0">
      <pane ySplit="32" topLeftCell="A33" activePane="bottomLeft" state="frozen"/>
      <selection pane="bottomLeft" activeCell="L5" sqref="L5"/>
    </sheetView>
  </sheetViews>
  <sheetFormatPr baseColWidth="10" defaultColWidth="11.42578125" defaultRowHeight="15"/>
  <cols>
    <col min="1" max="1" width="4.7109375" customWidth="1"/>
    <col min="5" max="5" width="11.42578125" customWidth="1"/>
    <col min="7" max="7" width="11.42578125" customWidth="1"/>
  </cols>
  <sheetData>
    <row r="1" spans="1:5">
      <c r="A1" s="397" t="s">
        <v>87</v>
      </c>
      <c r="B1" s="397"/>
      <c r="C1" s="397"/>
      <c r="D1" s="396" t="s">
        <v>172</v>
      </c>
      <c r="E1" s="396"/>
    </row>
  </sheetData>
  <mergeCells count="2">
    <mergeCell ref="D1:E1"/>
    <mergeCell ref="A1:C1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B770B-F034-482B-A433-85CF2B977B4A}">
  <sheetPr codeName="Feuil22">
    <tabColor rgb="FFFFFF00"/>
  </sheetPr>
  <dimension ref="A1:Z57"/>
  <sheetViews>
    <sheetView showGridLines="0" topLeftCell="B1" zoomScaleNormal="100" workbookViewId="0">
      <pane ySplit="3" topLeftCell="A24" activePane="bottomLeft" state="frozen"/>
      <selection pane="bottomLeft" activeCell="D55" sqref="D55"/>
    </sheetView>
  </sheetViews>
  <sheetFormatPr baseColWidth="10" defaultColWidth="11.42578125" defaultRowHeight="15"/>
  <cols>
    <col min="1" max="1" width="10.5703125" style="5" bestFit="1" customWidth="1"/>
    <col min="2" max="2" width="17.5703125" style="5" bestFit="1" customWidth="1"/>
    <col min="3" max="3" width="11.85546875" style="5" bestFit="1" customWidth="1"/>
    <col min="4" max="4" width="32" style="5" customWidth="1"/>
    <col min="5" max="5" width="24" style="5" customWidth="1"/>
    <col min="6" max="6" width="6.140625" style="5" customWidth="1"/>
    <col min="7" max="7" width="28.140625" style="5" bestFit="1" customWidth="1"/>
    <col min="8" max="8" width="9" style="5" customWidth="1"/>
    <col min="9" max="9" width="19.5703125" style="5" bestFit="1" customWidth="1"/>
    <col min="10" max="10" width="5" style="5" bestFit="1" customWidth="1"/>
    <col min="11" max="11" width="13.140625" style="5" customWidth="1"/>
    <col min="12" max="12" width="14.7109375" style="5" customWidth="1"/>
    <col min="13" max="13" width="10.7109375" style="5" customWidth="1"/>
    <col min="14" max="14" width="4" style="5" bestFit="1" customWidth="1"/>
    <col min="15" max="15" width="6.7109375" style="5" bestFit="1" customWidth="1"/>
    <col min="16" max="16" width="8.28515625" style="5" bestFit="1" customWidth="1"/>
    <col min="17" max="17" width="10.7109375" style="5" bestFit="1" customWidth="1"/>
    <col min="18" max="18" width="9" style="5" bestFit="1" customWidth="1"/>
    <col min="19" max="19" width="9.5703125" style="5" customWidth="1"/>
    <col min="20" max="20" width="8.5703125" style="5" hidden="1" customWidth="1"/>
    <col min="21" max="21" width="10.7109375" style="5" hidden="1" customWidth="1"/>
    <col min="22" max="22" width="5" style="2" hidden="1" customWidth="1"/>
    <col min="23" max="23" width="3.7109375" style="2" bestFit="1" customWidth="1"/>
    <col min="24" max="24" width="18.7109375" style="294" bestFit="1" customWidth="1"/>
    <col min="25" max="25" width="10.7109375" style="9" hidden="1" customWidth="1"/>
    <col min="26" max="26" width="10.7109375" hidden="1" customWidth="1"/>
  </cols>
  <sheetData>
    <row r="1" spans="1:25" s="147" customFormat="1" ht="10.5" customHeight="1">
      <c r="A1" s="1" t="s">
        <v>13</v>
      </c>
      <c r="B1" s="266" t="s">
        <v>14</v>
      </c>
      <c r="C1" s="1" t="s">
        <v>42</v>
      </c>
      <c r="D1" s="1" t="s">
        <v>54</v>
      </c>
      <c r="E1" s="400" t="s">
        <v>132</v>
      </c>
      <c r="F1" s="400"/>
      <c r="G1" s="400"/>
      <c r="I1" s="1" t="s">
        <v>15</v>
      </c>
      <c r="J1" s="147" t="s">
        <v>54</v>
      </c>
      <c r="K1" s="277" t="s">
        <v>129</v>
      </c>
      <c r="M1" s="30">
        <f ca="1">TODAY()</f>
        <v>46080</v>
      </c>
      <c r="N1" s="31"/>
      <c r="O1" s="31"/>
      <c r="P1" s="1"/>
      <c r="Q1" s="1"/>
      <c r="R1" s="1"/>
      <c r="S1" s="1"/>
      <c r="T1" s="1"/>
      <c r="W1" s="405">
        <v>46388</v>
      </c>
      <c r="X1" s="405"/>
    </row>
    <row r="2" spans="1:25" s="2" customFormat="1" ht="30" customHeight="1">
      <c r="A2" s="5"/>
      <c r="B2" s="267"/>
      <c r="C2" s="267"/>
      <c r="D2" s="32"/>
      <c r="E2" s="401"/>
      <c r="F2" s="401"/>
      <c r="G2" s="401"/>
      <c r="H2" s="33" t="s">
        <v>27</v>
      </c>
      <c r="I2" s="33" t="s">
        <v>27</v>
      </c>
      <c r="J2" s="33" t="s">
        <v>27</v>
      </c>
      <c r="K2" s="273"/>
      <c r="L2" s="33" t="s">
        <v>27</v>
      </c>
      <c r="M2" s="39" t="s">
        <v>27</v>
      </c>
      <c r="N2" s="5"/>
      <c r="O2" s="5"/>
      <c r="P2" s="5" t="s">
        <v>27</v>
      </c>
      <c r="Q2" s="5"/>
      <c r="R2" s="5"/>
      <c r="S2" s="5"/>
      <c r="T2" s="5"/>
      <c r="U2" s="5"/>
      <c r="W2" s="28"/>
      <c r="X2" s="292"/>
    </row>
    <row r="3" spans="1:25" s="2" customFormat="1" ht="25.5" customHeight="1">
      <c r="A3" s="307" t="s">
        <v>170</v>
      </c>
      <c r="B3" s="308" t="s">
        <v>133</v>
      </c>
      <c r="C3" s="309" t="s">
        <v>123</v>
      </c>
      <c r="D3" s="307" t="s">
        <v>17</v>
      </c>
      <c r="E3" s="307" t="s">
        <v>18</v>
      </c>
      <c r="F3" s="307" t="s">
        <v>19</v>
      </c>
      <c r="G3" s="307" t="s">
        <v>20</v>
      </c>
      <c r="H3" s="310" t="s">
        <v>21</v>
      </c>
      <c r="I3" s="310" t="s">
        <v>77</v>
      </c>
      <c r="J3" s="311" t="s">
        <v>55</v>
      </c>
      <c r="K3" s="307" t="s">
        <v>22</v>
      </c>
      <c r="L3" s="307" t="s">
        <v>23</v>
      </c>
      <c r="M3" s="312" t="s">
        <v>24</v>
      </c>
      <c r="N3" s="312" t="s">
        <v>30</v>
      </c>
      <c r="O3" s="312" t="s">
        <v>38</v>
      </c>
      <c r="P3" s="312" t="s">
        <v>25</v>
      </c>
      <c r="Q3" s="313" t="s">
        <v>26</v>
      </c>
      <c r="R3" s="314" t="s">
        <v>63</v>
      </c>
      <c r="S3" s="307" t="s">
        <v>40</v>
      </c>
      <c r="T3" s="3" t="s">
        <v>40</v>
      </c>
      <c r="U3" s="3" t="s">
        <v>16</v>
      </c>
      <c r="V3" s="5"/>
      <c r="W3" s="36">
        <f>COUNTA(W4:W52)</f>
        <v>0</v>
      </c>
      <c r="X3" s="293"/>
    </row>
    <row r="4" spans="1:25" ht="15" customHeight="1">
      <c r="A4" s="466" t="s">
        <v>41</v>
      </c>
      <c r="B4" s="467"/>
      <c r="C4" s="468"/>
      <c r="D4" s="469"/>
      <c r="E4" s="469"/>
      <c r="F4" s="470"/>
      <c r="G4" s="318"/>
      <c r="H4" s="471"/>
      <c r="I4" s="472"/>
      <c r="J4" s="469"/>
      <c r="K4" s="473"/>
      <c r="L4" s="473"/>
      <c r="M4" s="474"/>
      <c r="N4" s="475"/>
      <c r="O4" s="469"/>
      <c r="P4" s="476"/>
      <c r="Q4" s="477"/>
      <c r="R4" s="478" t="str">
        <f>IF(Q4="","",IF(S4="club",0,IF(P4="NP",20,IF(P4="Aéro",IF(N4="","",IF(N4&gt;=18,45,20)),""))))</f>
        <v/>
      </c>
      <c r="S4" s="479"/>
      <c r="T4" s="14" t="str">
        <f t="shared" ref="T4:T8" si="0">IF(ISBLANK(S4),"",S4)</f>
        <v/>
      </c>
      <c r="U4" s="6">
        <v>1</v>
      </c>
      <c r="W4" s="262"/>
      <c r="X4" t="str">
        <f t="shared" ref="X4:X9" si="1">IF(AND(OR(P4="Aéro",P4="NP"),ISBLANK(Q4)),B4,"")</f>
        <v/>
      </c>
      <c r="Y4" s="53">
        <v>22120</v>
      </c>
    </row>
    <row r="5" spans="1:25" ht="15" customHeight="1">
      <c r="A5" s="323">
        <v>4</v>
      </c>
      <c r="B5" s="324"/>
      <c r="C5" s="325"/>
      <c r="D5" s="326"/>
      <c r="E5" s="327"/>
      <c r="F5" s="328"/>
      <c r="G5" s="329"/>
      <c r="H5" s="330"/>
      <c r="I5" s="330"/>
      <c r="J5" s="331"/>
      <c r="K5" s="332"/>
      <c r="L5" s="333"/>
      <c r="M5" s="334"/>
      <c r="N5" s="335"/>
      <c r="O5" s="331"/>
      <c r="P5" s="336"/>
      <c r="Q5" s="337"/>
      <c r="R5" s="338" t="str">
        <f>IF(Q5="","",IF(S5="club",0,IF(P5="NP",20,IF(P5="Aéro",IF(N5="","",IF(N5&gt;=18,45,20)),""))))</f>
        <v/>
      </c>
      <c r="S5" s="339"/>
      <c r="T5" s="14"/>
      <c r="U5" s="6">
        <v>4</v>
      </c>
      <c r="W5" s="262"/>
      <c r="X5" t="str">
        <f t="shared" si="1"/>
        <v/>
      </c>
      <c r="Y5" s="42" t="s">
        <v>124</v>
      </c>
    </row>
    <row r="6" spans="1:25" s="4" customFormat="1" ht="15" customHeight="1">
      <c r="A6" s="480">
        <v>5</v>
      </c>
      <c r="B6" s="481"/>
      <c r="C6" s="482"/>
      <c r="D6" s="484"/>
      <c r="E6" s="479"/>
      <c r="F6" s="485"/>
      <c r="G6" s="300"/>
      <c r="H6" s="486"/>
      <c r="I6" s="486"/>
      <c r="J6" s="469"/>
      <c r="K6" s="488"/>
      <c r="L6" s="489"/>
      <c r="M6" s="474"/>
      <c r="N6" s="475"/>
      <c r="O6" s="469"/>
      <c r="P6" s="476"/>
      <c r="Q6" s="490"/>
      <c r="R6" s="478" t="str">
        <f t="shared" ref="R6:R9" si="2">IF(Q6="","",IF(S6="club",0,IF(P6="NP",20,IF(P6="Aéro",IF(N6="","",IF(N6&gt;=18,45,20)),""))))</f>
        <v/>
      </c>
      <c r="S6" s="491"/>
      <c r="T6" s="14" t="str">
        <f t="shared" si="0"/>
        <v/>
      </c>
      <c r="U6" s="6">
        <v>65</v>
      </c>
      <c r="V6" s="2"/>
      <c r="W6" s="262"/>
      <c r="X6" t="str">
        <f t="shared" si="1"/>
        <v/>
      </c>
      <c r="Y6" s="42">
        <v>40383</v>
      </c>
    </row>
    <row r="7" spans="1:25" ht="15" customHeight="1">
      <c r="A7" s="323">
        <v>8</v>
      </c>
      <c r="B7" s="324"/>
      <c r="C7" s="325"/>
      <c r="D7" s="327"/>
      <c r="E7" s="339"/>
      <c r="F7" s="328"/>
      <c r="G7" s="329"/>
      <c r="H7" s="340"/>
      <c r="I7" s="340"/>
      <c r="J7" s="331"/>
      <c r="K7" s="341"/>
      <c r="L7" s="333"/>
      <c r="M7" s="334"/>
      <c r="N7" s="335"/>
      <c r="O7" s="331"/>
      <c r="P7" s="336"/>
      <c r="Q7" s="337"/>
      <c r="R7" s="338" t="str">
        <f t="shared" si="2"/>
        <v/>
      </c>
      <c r="S7" s="339"/>
      <c r="T7" s="14" t="str">
        <f t="shared" si="0"/>
        <v/>
      </c>
      <c r="U7" s="6">
        <v>8</v>
      </c>
      <c r="W7" s="262"/>
      <c r="X7" t="str">
        <f t="shared" si="1"/>
        <v/>
      </c>
      <c r="Y7" s="42">
        <v>23822</v>
      </c>
    </row>
    <row r="8" spans="1:25" ht="15" customHeight="1">
      <c r="A8" s="480">
        <v>9</v>
      </c>
      <c r="B8" s="481"/>
      <c r="C8" s="482"/>
      <c r="D8" s="484"/>
      <c r="E8" s="484"/>
      <c r="F8" s="485"/>
      <c r="G8" s="319"/>
      <c r="H8" s="486"/>
      <c r="I8" s="486"/>
      <c r="J8" s="469"/>
      <c r="K8" s="488"/>
      <c r="L8" s="487"/>
      <c r="M8" s="474"/>
      <c r="N8" s="475"/>
      <c r="O8" s="469"/>
      <c r="P8" s="476"/>
      <c r="Q8" s="477"/>
      <c r="R8" s="478" t="str">
        <f t="shared" si="2"/>
        <v/>
      </c>
      <c r="S8" s="479"/>
      <c r="T8" s="14" t="str">
        <f t="shared" si="0"/>
        <v/>
      </c>
      <c r="U8" s="6">
        <v>9</v>
      </c>
      <c r="W8" s="262"/>
      <c r="X8" t="str">
        <f t="shared" si="1"/>
        <v/>
      </c>
      <c r="Y8" s="38">
        <v>19929</v>
      </c>
    </row>
    <row r="9" spans="1:25" ht="15" customHeight="1">
      <c r="A9" s="342">
        <v>10</v>
      </c>
      <c r="B9" s="324"/>
      <c r="C9" s="325"/>
      <c r="D9" s="339"/>
      <c r="E9" s="339"/>
      <c r="F9" s="343"/>
      <c r="G9" s="329"/>
      <c r="H9" s="330"/>
      <c r="I9" s="330"/>
      <c r="J9" s="331"/>
      <c r="K9" s="341"/>
      <c r="L9" s="344"/>
      <c r="M9" s="334"/>
      <c r="N9" s="335"/>
      <c r="O9" s="331"/>
      <c r="P9" s="345"/>
      <c r="Q9" s="337"/>
      <c r="R9" s="338" t="str">
        <f t="shared" si="2"/>
        <v/>
      </c>
      <c r="S9" s="339"/>
      <c r="T9" s="14"/>
      <c r="U9" s="6">
        <v>63</v>
      </c>
      <c r="W9" s="262"/>
      <c r="X9" t="str">
        <f t="shared" si="1"/>
        <v/>
      </c>
      <c r="Y9" s="291" t="s">
        <v>130</v>
      </c>
    </row>
    <row r="10" spans="1:25" ht="15" customHeight="1">
      <c r="A10" s="493">
        <v>13</v>
      </c>
      <c r="B10" s="481"/>
      <c r="C10" s="482"/>
      <c r="D10" s="484"/>
      <c r="E10" s="484"/>
      <c r="F10" s="485"/>
      <c r="G10" s="319"/>
      <c r="H10" s="486"/>
      <c r="I10" s="469"/>
      <c r="J10" s="469"/>
      <c r="K10" s="488"/>
      <c r="L10" s="487"/>
      <c r="M10" s="474"/>
      <c r="N10" s="475"/>
      <c r="O10" s="469"/>
      <c r="P10" s="476"/>
      <c r="Q10" s="477"/>
      <c r="R10" s="478" t="str">
        <f t="shared" ref="R10:R45" si="3">IF(Q10="","",IF(S10="club",0,IF(P10="NP",20,IF(P10="Aéro",IF(N10="","",IF(N10&gt;=18,45,20)),""))))</f>
        <v/>
      </c>
      <c r="S10" s="479"/>
      <c r="T10" s="14" t="str">
        <f>IF(ISBLANK(S10),"",S10)</f>
        <v/>
      </c>
      <c r="U10" s="6">
        <v>13</v>
      </c>
      <c r="W10" s="262"/>
      <c r="X10" t="str">
        <f t="shared" ref="X10:X45" si="4">IF(AND(OR(P10="Aéro",P10="NP"),ISBLANK(Q10)),B10,"")</f>
        <v/>
      </c>
      <c r="Y10" s="42">
        <v>23878</v>
      </c>
    </row>
    <row r="11" spans="1:25" ht="15" customHeight="1">
      <c r="A11" s="342">
        <v>14</v>
      </c>
      <c r="B11" s="324"/>
      <c r="C11" s="325"/>
      <c r="D11" s="327"/>
      <c r="E11" s="339"/>
      <c r="F11" s="328"/>
      <c r="G11" s="329"/>
      <c r="H11" s="330"/>
      <c r="I11" s="330"/>
      <c r="J11" s="331"/>
      <c r="K11" s="341"/>
      <c r="L11" s="344"/>
      <c r="M11" s="334"/>
      <c r="N11" s="335"/>
      <c r="O11" s="331"/>
      <c r="P11" s="336"/>
      <c r="Q11" s="337"/>
      <c r="R11" s="338" t="str">
        <f t="shared" si="3"/>
        <v/>
      </c>
      <c r="S11" s="339"/>
      <c r="T11" s="14"/>
      <c r="U11" s="6"/>
      <c r="W11" s="262"/>
      <c r="X11" t="str">
        <f t="shared" si="4"/>
        <v/>
      </c>
      <c r="Y11" s="42">
        <v>23585</v>
      </c>
    </row>
    <row r="12" spans="1:25" ht="15" customHeight="1">
      <c r="A12" s="493">
        <v>15</v>
      </c>
      <c r="B12" s="481"/>
      <c r="C12" s="482"/>
      <c r="D12" s="484"/>
      <c r="E12" s="484"/>
      <c r="F12" s="485"/>
      <c r="G12" s="319"/>
      <c r="H12" s="486"/>
      <c r="I12" s="486"/>
      <c r="J12" s="469"/>
      <c r="K12" s="488"/>
      <c r="L12" s="487"/>
      <c r="M12" s="474"/>
      <c r="N12" s="475"/>
      <c r="O12" s="469"/>
      <c r="P12" s="476"/>
      <c r="Q12" s="477"/>
      <c r="R12" s="478" t="str">
        <f t="shared" si="3"/>
        <v/>
      </c>
      <c r="S12" s="479"/>
      <c r="T12" s="14" t="str">
        <f>IF(ISBLANK(S12),"",S12)</f>
        <v/>
      </c>
      <c r="U12" s="6">
        <v>15</v>
      </c>
      <c r="W12" s="262"/>
      <c r="X12" t="str">
        <f t="shared" si="4"/>
        <v/>
      </c>
      <c r="Y12" s="38">
        <v>23916</v>
      </c>
    </row>
    <row r="13" spans="1:25" ht="15" customHeight="1">
      <c r="A13" s="342">
        <v>16</v>
      </c>
      <c r="B13" s="324"/>
      <c r="C13" s="325"/>
      <c r="D13" s="327"/>
      <c r="E13" s="327"/>
      <c r="F13" s="328"/>
      <c r="G13" s="329"/>
      <c r="H13" s="340"/>
      <c r="I13" s="340"/>
      <c r="J13" s="331"/>
      <c r="K13" s="341"/>
      <c r="L13" s="333"/>
      <c r="M13" s="334"/>
      <c r="N13" s="335"/>
      <c r="O13" s="331"/>
      <c r="P13" s="336"/>
      <c r="Q13" s="337"/>
      <c r="R13" s="338" t="str">
        <f t="shared" si="3"/>
        <v/>
      </c>
      <c r="S13" s="339"/>
      <c r="T13" s="14" t="str">
        <f>IF(ISBLANK(S13),"",S13)</f>
        <v/>
      </c>
      <c r="U13" s="6">
        <v>16</v>
      </c>
      <c r="W13" s="262"/>
      <c r="X13" t="str">
        <f t="shared" si="4"/>
        <v/>
      </c>
      <c r="Y13" s="42">
        <v>37057</v>
      </c>
    </row>
    <row r="14" spans="1:25" ht="15" customHeight="1">
      <c r="A14" s="493">
        <v>17</v>
      </c>
      <c r="B14" s="481"/>
      <c r="C14" s="482"/>
      <c r="D14" s="484"/>
      <c r="E14" s="484"/>
      <c r="F14" s="485"/>
      <c r="G14" s="319"/>
      <c r="H14" s="486"/>
      <c r="I14" s="486"/>
      <c r="J14" s="469"/>
      <c r="K14" s="488"/>
      <c r="L14" s="487"/>
      <c r="M14" s="474"/>
      <c r="N14" s="475"/>
      <c r="O14" s="469"/>
      <c r="P14" s="476"/>
      <c r="Q14" s="477"/>
      <c r="R14" s="478" t="str">
        <f t="shared" si="3"/>
        <v/>
      </c>
      <c r="S14" s="479"/>
      <c r="T14" s="14" t="str">
        <f>IF(ISBLANK(S14),"",S14)</f>
        <v/>
      </c>
      <c r="U14" s="6">
        <v>17</v>
      </c>
      <c r="W14" s="262"/>
      <c r="X14" t="str">
        <f t="shared" si="4"/>
        <v/>
      </c>
      <c r="Y14" s="38">
        <v>26232</v>
      </c>
    </row>
    <row r="15" spans="1:25" ht="15" customHeight="1">
      <c r="A15" s="342">
        <v>18</v>
      </c>
      <c r="B15" s="324"/>
      <c r="C15" s="325"/>
      <c r="D15" s="327"/>
      <c r="E15" s="327"/>
      <c r="F15" s="328"/>
      <c r="G15" s="329"/>
      <c r="H15" s="330"/>
      <c r="I15" s="330"/>
      <c r="J15" s="331"/>
      <c r="K15" s="341"/>
      <c r="L15" s="333"/>
      <c r="M15" s="334"/>
      <c r="N15" s="335"/>
      <c r="O15" s="331"/>
      <c r="P15" s="336"/>
      <c r="Q15" s="337"/>
      <c r="R15" s="338" t="str">
        <f t="shared" si="3"/>
        <v/>
      </c>
      <c r="S15" s="339"/>
      <c r="T15" s="14"/>
      <c r="U15" s="6"/>
      <c r="W15" s="262"/>
      <c r="X15" t="str">
        <f t="shared" si="4"/>
        <v/>
      </c>
      <c r="Y15" s="38">
        <v>30517</v>
      </c>
    </row>
    <row r="16" spans="1:25" ht="15" customHeight="1">
      <c r="A16" s="493">
        <v>19</v>
      </c>
      <c r="B16" s="481"/>
      <c r="C16" s="482"/>
      <c r="D16" s="483"/>
      <c r="E16" s="484"/>
      <c r="F16" s="485"/>
      <c r="G16" s="319"/>
      <c r="H16" s="486"/>
      <c r="I16" s="486"/>
      <c r="J16" s="469"/>
      <c r="K16" s="488"/>
      <c r="L16" s="487"/>
      <c r="M16" s="474"/>
      <c r="N16" s="475"/>
      <c r="O16" s="469"/>
      <c r="P16" s="476"/>
      <c r="Q16" s="477"/>
      <c r="R16" s="478" t="str">
        <f t="shared" si="3"/>
        <v/>
      </c>
      <c r="S16" s="479"/>
      <c r="T16" s="14" t="str">
        <f>IF(ISBLANK(S16),"",S16)</f>
        <v/>
      </c>
      <c r="U16" s="6">
        <v>19</v>
      </c>
      <c r="W16" s="262"/>
      <c r="X16" t="str">
        <f t="shared" si="4"/>
        <v/>
      </c>
      <c r="Y16" s="42">
        <v>23940</v>
      </c>
    </row>
    <row r="17" spans="1:26" ht="15" customHeight="1">
      <c r="A17" s="342">
        <v>20</v>
      </c>
      <c r="B17" s="324"/>
      <c r="C17" s="325"/>
      <c r="D17" s="327"/>
      <c r="E17" s="327"/>
      <c r="F17" s="328"/>
      <c r="G17" s="329"/>
      <c r="H17" s="340"/>
      <c r="I17" s="340"/>
      <c r="J17" s="331"/>
      <c r="K17" s="341"/>
      <c r="L17" s="333"/>
      <c r="M17" s="334"/>
      <c r="N17" s="335"/>
      <c r="O17" s="331"/>
      <c r="P17" s="336"/>
      <c r="Q17" s="337"/>
      <c r="R17" s="338" t="str">
        <f t="shared" si="3"/>
        <v/>
      </c>
      <c r="S17" s="339"/>
      <c r="T17" s="14" t="str">
        <f>IF(ISBLANK(S17),"",S17)</f>
        <v/>
      </c>
      <c r="U17" s="6">
        <v>20</v>
      </c>
      <c r="W17" s="262"/>
      <c r="X17" t="str">
        <f t="shared" si="4"/>
        <v/>
      </c>
      <c r="Y17" s="42">
        <v>26361</v>
      </c>
    </row>
    <row r="18" spans="1:26" ht="15" customHeight="1">
      <c r="A18" s="493">
        <v>21</v>
      </c>
      <c r="B18" s="481"/>
      <c r="C18" s="482"/>
      <c r="D18" s="479"/>
      <c r="E18" s="484"/>
      <c r="F18" s="485"/>
      <c r="G18" s="319"/>
      <c r="H18" s="492"/>
      <c r="I18" s="492"/>
      <c r="J18" s="469"/>
      <c r="K18" s="488"/>
      <c r="L18" s="487"/>
      <c r="M18" s="474"/>
      <c r="N18" s="475"/>
      <c r="O18" s="469"/>
      <c r="P18" s="476"/>
      <c r="Q18" s="477"/>
      <c r="R18" s="478" t="str">
        <f t="shared" si="3"/>
        <v/>
      </c>
      <c r="S18" s="479"/>
      <c r="T18" s="14" t="str">
        <f>IF(ISBLANK(S18),"",S18)</f>
        <v/>
      </c>
      <c r="U18" s="6">
        <v>21</v>
      </c>
      <c r="W18" s="262"/>
      <c r="X18" t="str">
        <f t="shared" si="4"/>
        <v/>
      </c>
      <c r="Y18" s="42">
        <v>18589</v>
      </c>
    </row>
    <row r="19" spans="1:26" ht="15" customHeight="1">
      <c r="A19" s="342">
        <v>22</v>
      </c>
      <c r="B19" s="324"/>
      <c r="C19" s="325"/>
      <c r="D19" s="339"/>
      <c r="E19" s="339"/>
      <c r="F19" s="328"/>
      <c r="G19" s="346"/>
      <c r="H19" s="340"/>
      <c r="I19" s="340"/>
      <c r="J19" s="331"/>
      <c r="K19" s="341"/>
      <c r="L19" s="333"/>
      <c r="M19" s="334"/>
      <c r="N19" s="335"/>
      <c r="O19" s="331"/>
      <c r="P19" s="336"/>
      <c r="Q19" s="337"/>
      <c r="R19" s="338" t="str">
        <f t="shared" si="3"/>
        <v/>
      </c>
      <c r="S19" s="339"/>
      <c r="T19" s="14" t="str">
        <f>IF(ISBLANK(S19),"",S19)</f>
        <v/>
      </c>
      <c r="U19" s="6">
        <v>22</v>
      </c>
      <c r="W19" s="262"/>
      <c r="X19" t="str">
        <f t="shared" si="4"/>
        <v/>
      </c>
      <c r="Y19" s="42">
        <v>26471</v>
      </c>
    </row>
    <row r="20" spans="1:26" ht="15" customHeight="1">
      <c r="A20" s="493">
        <v>23</v>
      </c>
      <c r="B20" s="494"/>
      <c r="C20" s="495"/>
      <c r="D20" s="484"/>
      <c r="E20" s="484"/>
      <c r="F20" s="485"/>
      <c r="G20" s="301"/>
      <c r="H20" s="486"/>
      <c r="I20" s="486"/>
      <c r="J20" s="469"/>
      <c r="K20" s="488"/>
      <c r="L20" s="496"/>
      <c r="M20" s="474"/>
      <c r="N20" s="475"/>
      <c r="O20" s="469"/>
      <c r="P20" s="476"/>
      <c r="Q20" s="477"/>
      <c r="R20" s="478" t="str">
        <f t="shared" si="3"/>
        <v/>
      </c>
      <c r="S20" s="479"/>
      <c r="T20" s="14"/>
      <c r="U20" s="6"/>
      <c r="W20" s="262"/>
      <c r="X20" t="str">
        <f t="shared" si="4"/>
        <v/>
      </c>
      <c r="Y20" s="38">
        <v>23504</v>
      </c>
    </row>
    <row r="21" spans="1:26" ht="15" customHeight="1">
      <c r="A21" s="342">
        <v>25</v>
      </c>
      <c r="B21" s="324"/>
      <c r="C21" s="325"/>
      <c r="D21" s="331"/>
      <c r="E21" s="331"/>
      <c r="F21" s="347"/>
      <c r="G21" s="348"/>
      <c r="H21" s="340"/>
      <c r="I21" s="340"/>
      <c r="J21" s="331"/>
      <c r="K21" s="341"/>
      <c r="L21" s="333"/>
      <c r="M21" s="334"/>
      <c r="N21" s="335"/>
      <c r="O21" s="331"/>
      <c r="P21" s="336"/>
      <c r="Q21" s="337"/>
      <c r="R21" s="338" t="str">
        <f t="shared" si="3"/>
        <v/>
      </c>
      <c r="S21" s="339"/>
      <c r="T21" s="14" t="str">
        <f>IF(ISBLANK(S21),"",S21)</f>
        <v/>
      </c>
      <c r="U21" s="6">
        <v>25</v>
      </c>
      <c r="W21" s="262"/>
      <c r="X21" t="str">
        <f t="shared" si="4"/>
        <v/>
      </c>
      <c r="Y21" s="42">
        <v>27494</v>
      </c>
    </row>
    <row r="22" spans="1:26" ht="15" customHeight="1">
      <c r="A22" s="493">
        <v>26</v>
      </c>
      <c r="B22" s="481"/>
      <c r="C22" s="482"/>
      <c r="D22" s="479"/>
      <c r="E22" s="479"/>
      <c r="F22" s="485"/>
      <c r="G22" s="320"/>
      <c r="H22" s="492"/>
      <c r="I22" s="492"/>
      <c r="J22" s="469"/>
      <c r="K22" s="488"/>
      <c r="L22" s="487"/>
      <c r="M22" s="474"/>
      <c r="N22" s="475"/>
      <c r="O22" s="469"/>
      <c r="P22" s="476"/>
      <c r="Q22" s="477"/>
      <c r="R22" s="478" t="str">
        <f t="shared" si="3"/>
        <v/>
      </c>
      <c r="S22" s="479"/>
      <c r="T22" s="14" t="str">
        <f>IF(ISBLANK(S22),"",S22)</f>
        <v/>
      </c>
      <c r="U22" s="6">
        <v>26</v>
      </c>
      <c r="W22" s="262"/>
      <c r="X22" t="str">
        <f t="shared" si="4"/>
        <v/>
      </c>
      <c r="Y22" s="42">
        <v>21615</v>
      </c>
    </row>
    <row r="23" spans="1:26" ht="15" customHeight="1">
      <c r="A23" s="342">
        <v>27</v>
      </c>
      <c r="B23" s="324"/>
      <c r="C23" s="325"/>
      <c r="D23" s="339"/>
      <c r="E23" s="339"/>
      <c r="F23" s="328"/>
      <c r="G23" s="348"/>
      <c r="H23" s="340"/>
      <c r="I23" s="340"/>
      <c r="J23" s="331"/>
      <c r="K23" s="341"/>
      <c r="L23" s="333"/>
      <c r="M23" s="334"/>
      <c r="N23" s="335"/>
      <c r="O23" s="331"/>
      <c r="P23" s="336"/>
      <c r="Q23" s="337"/>
      <c r="R23" s="338" t="str">
        <f t="shared" si="3"/>
        <v/>
      </c>
      <c r="S23" s="339"/>
      <c r="T23" s="14" t="str">
        <f>IF(ISBLANK(S23),"",S23)</f>
        <v/>
      </c>
      <c r="U23" s="6">
        <v>27</v>
      </c>
      <c r="W23" s="262"/>
      <c r="X23" t="str">
        <f t="shared" si="4"/>
        <v/>
      </c>
      <c r="Y23" s="42">
        <v>21963</v>
      </c>
    </row>
    <row r="24" spans="1:26" ht="15" customHeight="1">
      <c r="A24" s="493">
        <v>28</v>
      </c>
      <c r="B24" s="481"/>
      <c r="C24" s="482"/>
      <c r="D24" s="479"/>
      <c r="E24" s="479"/>
      <c r="F24" s="485"/>
      <c r="G24" s="320"/>
      <c r="H24" s="492"/>
      <c r="I24" s="492"/>
      <c r="J24" s="469"/>
      <c r="K24" s="488"/>
      <c r="L24" s="487"/>
      <c r="M24" s="474"/>
      <c r="N24" s="475"/>
      <c r="O24" s="469"/>
      <c r="P24" s="476"/>
      <c r="Q24" s="477"/>
      <c r="R24" s="478" t="str">
        <f t="shared" si="3"/>
        <v/>
      </c>
      <c r="S24" s="497"/>
      <c r="T24" s="14" t="str">
        <f>IF(ISBLANK(S24),"",S24)</f>
        <v/>
      </c>
      <c r="U24" s="6">
        <v>28</v>
      </c>
      <c r="W24" s="262"/>
      <c r="X24" t="str">
        <f t="shared" si="4"/>
        <v/>
      </c>
      <c r="Y24" s="42">
        <v>30130</v>
      </c>
    </row>
    <row r="25" spans="1:26" ht="15" customHeight="1">
      <c r="A25" s="342">
        <v>30</v>
      </c>
      <c r="B25" s="324"/>
      <c r="C25" s="325"/>
      <c r="D25" s="327"/>
      <c r="E25" s="339"/>
      <c r="F25" s="328"/>
      <c r="G25" s="329"/>
      <c r="H25" s="330"/>
      <c r="I25" s="330"/>
      <c r="J25" s="331"/>
      <c r="K25" s="341"/>
      <c r="L25" s="333"/>
      <c r="M25" s="334"/>
      <c r="N25" s="335"/>
      <c r="O25" s="331"/>
      <c r="P25" s="336"/>
      <c r="Q25" s="337"/>
      <c r="R25" s="338" t="str">
        <f t="shared" si="3"/>
        <v/>
      </c>
      <c r="S25" s="339"/>
      <c r="T25" s="14"/>
      <c r="U25" s="6"/>
      <c r="W25" s="262"/>
      <c r="X25" t="str">
        <f t="shared" si="4"/>
        <v/>
      </c>
      <c r="Y25" s="42">
        <v>27413</v>
      </c>
      <c r="Z25" s="306">
        <v>46041</v>
      </c>
    </row>
    <row r="26" spans="1:26" ht="15" customHeight="1">
      <c r="A26" s="493">
        <v>31</v>
      </c>
      <c r="B26" s="481"/>
      <c r="C26" s="482"/>
      <c r="D26" s="479"/>
      <c r="E26" s="479"/>
      <c r="F26" s="485"/>
      <c r="G26" s="320"/>
      <c r="H26" s="492"/>
      <c r="I26" s="492"/>
      <c r="J26" s="469"/>
      <c r="K26" s="488"/>
      <c r="L26" s="487"/>
      <c r="M26" s="474"/>
      <c r="N26" s="475"/>
      <c r="O26" s="469"/>
      <c r="P26" s="476"/>
      <c r="Q26" s="477"/>
      <c r="R26" s="478" t="str">
        <f t="shared" si="3"/>
        <v/>
      </c>
      <c r="S26" s="479"/>
      <c r="T26" s="14" t="str">
        <f>IF(ISBLANK(S26),"",S26)</f>
        <v/>
      </c>
      <c r="U26" s="6">
        <v>31</v>
      </c>
      <c r="W26" s="262"/>
      <c r="X26" t="str">
        <f t="shared" si="4"/>
        <v/>
      </c>
      <c r="Y26" s="42">
        <v>21512</v>
      </c>
      <c r="Z26" s="306"/>
    </row>
    <row r="27" spans="1:26" s="4" customFormat="1" ht="15" customHeight="1">
      <c r="A27" s="342">
        <v>32</v>
      </c>
      <c r="B27" s="324"/>
      <c r="C27" s="325"/>
      <c r="D27" s="339"/>
      <c r="E27" s="339"/>
      <c r="F27" s="328"/>
      <c r="G27" s="349"/>
      <c r="H27" s="340"/>
      <c r="I27" s="340"/>
      <c r="J27" s="331"/>
      <c r="K27" s="341"/>
      <c r="L27" s="344"/>
      <c r="M27" s="334"/>
      <c r="N27" s="335"/>
      <c r="O27" s="331"/>
      <c r="P27" s="336"/>
      <c r="Q27" s="350"/>
      <c r="R27" s="338" t="str">
        <f t="shared" si="3"/>
        <v/>
      </c>
      <c r="S27" s="351"/>
      <c r="T27" s="14" t="str">
        <f>IF(ISBLANK(S27),"",S27)</f>
        <v/>
      </c>
      <c r="U27" s="6">
        <v>32</v>
      </c>
      <c r="V27" s="2"/>
      <c r="W27" s="262"/>
      <c r="X27" t="str">
        <f t="shared" si="4"/>
        <v/>
      </c>
      <c r="Y27" s="42">
        <v>27899</v>
      </c>
    </row>
    <row r="28" spans="1:26" s="4" customFormat="1" ht="15" customHeight="1">
      <c r="A28" s="493">
        <v>33</v>
      </c>
      <c r="B28" s="481"/>
      <c r="C28" s="482"/>
      <c r="D28" s="479"/>
      <c r="E28" s="479"/>
      <c r="F28" s="485"/>
      <c r="G28" s="321"/>
      <c r="H28" s="492"/>
      <c r="I28" s="492"/>
      <c r="J28" s="469"/>
      <c r="K28" s="488"/>
      <c r="L28" s="489"/>
      <c r="M28" s="474"/>
      <c r="N28" s="475"/>
      <c r="O28" s="469"/>
      <c r="P28" s="476"/>
      <c r="Q28" s="490"/>
      <c r="R28" s="478" t="str">
        <f t="shared" si="3"/>
        <v/>
      </c>
      <c r="S28" s="491"/>
      <c r="T28" s="14"/>
      <c r="U28" s="6"/>
      <c r="V28" s="2"/>
      <c r="W28" s="262"/>
      <c r="X28" t="str">
        <f t="shared" si="4"/>
        <v/>
      </c>
      <c r="Y28" s="42">
        <v>22881</v>
      </c>
    </row>
    <row r="29" spans="1:26" ht="15" customHeight="1">
      <c r="A29" s="342">
        <v>35</v>
      </c>
      <c r="B29" s="324"/>
      <c r="C29" s="325"/>
      <c r="D29" s="339"/>
      <c r="E29" s="339"/>
      <c r="F29" s="328"/>
      <c r="G29" s="352"/>
      <c r="H29" s="340"/>
      <c r="I29" s="340"/>
      <c r="J29" s="331"/>
      <c r="K29" s="341"/>
      <c r="L29" s="333"/>
      <c r="M29" s="334"/>
      <c r="N29" s="335"/>
      <c r="O29" s="331"/>
      <c r="P29" s="336"/>
      <c r="Q29" s="337"/>
      <c r="R29" s="338" t="str">
        <f t="shared" si="3"/>
        <v/>
      </c>
      <c r="S29" s="339"/>
      <c r="T29" s="14" t="str">
        <f>IF(ISBLANK(S29),"",S29)</f>
        <v/>
      </c>
      <c r="U29" s="6">
        <v>35</v>
      </c>
      <c r="W29" s="262"/>
      <c r="X29" t="str">
        <f t="shared" si="4"/>
        <v/>
      </c>
      <c r="Y29" s="42">
        <v>21617</v>
      </c>
    </row>
    <row r="30" spans="1:26" ht="15" customHeight="1">
      <c r="A30" s="493">
        <v>38</v>
      </c>
      <c r="B30" s="481"/>
      <c r="C30" s="482"/>
      <c r="D30" s="498"/>
      <c r="E30" s="479"/>
      <c r="F30" s="485"/>
      <c r="G30" s="322"/>
      <c r="H30" s="492"/>
      <c r="I30" s="492"/>
      <c r="J30" s="469"/>
      <c r="K30" s="488"/>
      <c r="L30" s="487"/>
      <c r="M30" s="474"/>
      <c r="N30" s="475"/>
      <c r="O30" s="469"/>
      <c r="P30" s="476"/>
      <c r="Q30" s="477"/>
      <c r="R30" s="478" t="str">
        <f t="shared" si="3"/>
        <v/>
      </c>
      <c r="S30" s="479"/>
      <c r="T30" s="14" t="str">
        <f>IF(ISBLANK(S30),"",S30)</f>
        <v/>
      </c>
      <c r="U30" s="6">
        <v>38</v>
      </c>
      <c r="W30" s="262"/>
      <c r="X30" t="str">
        <f t="shared" si="4"/>
        <v/>
      </c>
      <c r="Y30" s="42">
        <v>22938</v>
      </c>
    </row>
    <row r="31" spans="1:26" ht="15" customHeight="1">
      <c r="A31" s="342">
        <v>39</v>
      </c>
      <c r="B31" s="324"/>
      <c r="C31" s="325"/>
      <c r="D31" s="353"/>
      <c r="E31" s="339"/>
      <c r="F31" s="328"/>
      <c r="G31" s="348"/>
      <c r="H31" s="340"/>
      <c r="I31" s="340"/>
      <c r="J31" s="331"/>
      <c r="K31" s="341"/>
      <c r="L31" s="354"/>
      <c r="M31" s="334"/>
      <c r="N31" s="335"/>
      <c r="O31" s="331"/>
      <c r="P31" s="336"/>
      <c r="Q31" s="337"/>
      <c r="R31" s="338" t="str">
        <f t="shared" si="3"/>
        <v/>
      </c>
      <c r="S31" s="339"/>
      <c r="T31" s="14"/>
      <c r="U31" s="6"/>
      <c r="W31" s="262"/>
      <c r="X31" t="str">
        <f t="shared" si="4"/>
        <v/>
      </c>
      <c r="Y31" s="42">
        <v>30995</v>
      </c>
    </row>
    <row r="32" spans="1:26" ht="15" customHeight="1">
      <c r="A32" s="493">
        <v>40</v>
      </c>
      <c r="B32" s="481"/>
      <c r="C32" s="482"/>
      <c r="D32" s="479"/>
      <c r="E32" s="479"/>
      <c r="F32" s="485"/>
      <c r="G32" s="300"/>
      <c r="H32" s="492"/>
      <c r="I32" s="492"/>
      <c r="J32" s="469"/>
      <c r="K32" s="488"/>
      <c r="L32" s="500"/>
      <c r="M32" s="474"/>
      <c r="N32" s="475"/>
      <c r="O32" s="469"/>
      <c r="P32" s="476"/>
      <c r="Q32" s="477"/>
      <c r="R32" s="478" t="str">
        <f t="shared" si="3"/>
        <v/>
      </c>
      <c r="S32" s="479"/>
      <c r="T32" s="14" t="e">
        <f>IF(ISBLANK(#REF!),"",#REF!)</f>
        <v>#REF!</v>
      </c>
      <c r="U32" s="6">
        <v>40</v>
      </c>
      <c r="W32" s="262"/>
      <c r="X32" t="str">
        <f t="shared" si="4"/>
        <v/>
      </c>
      <c r="Y32" s="42">
        <v>34751</v>
      </c>
    </row>
    <row r="33" spans="1:26" ht="15" customHeight="1">
      <c r="A33" s="342">
        <v>41</v>
      </c>
      <c r="B33" s="324"/>
      <c r="C33" s="325"/>
      <c r="D33" s="339"/>
      <c r="E33" s="339"/>
      <c r="F33" s="328"/>
      <c r="G33" s="329"/>
      <c r="H33" s="340"/>
      <c r="I33" s="340"/>
      <c r="J33" s="331"/>
      <c r="K33" s="341"/>
      <c r="L33" s="355"/>
      <c r="M33" s="334"/>
      <c r="N33" s="335"/>
      <c r="O33" s="331"/>
      <c r="P33" s="336"/>
      <c r="Q33" s="337"/>
      <c r="R33" s="338" t="str">
        <f t="shared" si="3"/>
        <v/>
      </c>
      <c r="S33" s="339"/>
      <c r="T33" s="14"/>
      <c r="U33" s="6"/>
      <c r="W33" s="262"/>
      <c r="X33" t="str">
        <f t="shared" si="4"/>
        <v/>
      </c>
      <c r="Y33" s="42">
        <v>40513</v>
      </c>
    </row>
    <row r="34" spans="1:26" ht="15" customHeight="1">
      <c r="A34" s="493">
        <v>42</v>
      </c>
      <c r="B34" s="481"/>
      <c r="C34" s="482"/>
      <c r="D34" s="479"/>
      <c r="E34" s="479"/>
      <c r="F34" s="485"/>
      <c r="G34" s="300"/>
      <c r="H34" s="492"/>
      <c r="I34" s="492"/>
      <c r="J34" s="469"/>
      <c r="K34" s="488"/>
      <c r="L34" s="500"/>
      <c r="M34" s="474"/>
      <c r="N34" s="475"/>
      <c r="O34" s="469"/>
      <c r="P34" s="476"/>
      <c r="Q34" s="477"/>
      <c r="R34" s="478" t="str">
        <f t="shared" si="3"/>
        <v/>
      </c>
      <c r="S34" s="479"/>
      <c r="T34" s="14"/>
      <c r="U34" s="6"/>
      <c r="W34" s="262"/>
      <c r="X34" t="str">
        <f t="shared" si="4"/>
        <v/>
      </c>
      <c r="Y34" s="42">
        <v>40513</v>
      </c>
    </row>
    <row r="35" spans="1:26" ht="15" customHeight="1">
      <c r="A35" s="342">
        <v>50</v>
      </c>
      <c r="B35" s="356"/>
      <c r="C35" s="357"/>
      <c r="D35" s="331"/>
      <c r="E35" s="331"/>
      <c r="F35" s="347"/>
      <c r="G35" s="346"/>
      <c r="H35" s="358"/>
      <c r="I35" s="358"/>
      <c r="J35" s="331"/>
      <c r="K35" s="359"/>
      <c r="L35" s="360"/>
      <c r="M35" s="334"/>
      <c r="N35" s="335"/>
      <c r="O35" s="331"/>
      <c r="P35" s="336"/>
      <c r="Q35" s="337"/>
      <c r="R35" s="338" t="str">
        <f t="shared" si="3"/>
        <v/>
      </c>
      <c r="S35" s="339"/>
      <c r="T35" s="14" t="str">
        <f>IF(ISBLANK(S35),"",S35)</f>
        <v/>
      </c>
      <c r="U35" s="6">
        <v>48</v>
      </c>
      <c r="W35" s="262"/>
      <c r="X35" t="str">
        <f t="shared" si="4"/>
        <v/>
      </c>
      <c r="Y35" s="53">
        <v>24930</v>
      </c>
    </row>
    <row r="36" spans="1:26" ht="15" customHeight="1">
      <c r="A36" s="493">
        <v>52</v>
      </c>
      <c r="B36" s="501"/>
      <c r="C36" s="482"/>
      <c r="D36" s="479"/>
      <c r="E36" s="479"/>
      <c r="F36" s="485"/>
      <c r="G36" s="318"/>
      <c r="H36" s="486"/>
      <c r="I36" s="486"/>
      <c r="J36" s="469"/>
      <c r="K36" s="488"/>
      <c r="L36" s="487"/>
      <c r="M36" s="474"/>
      <c r="N36" s="475"/>
      <c r="O36" s="469"/>
      <c r="P36" s="476"/>
      <c r="Q36" s="477"/>
      <c r="R36" s="478" t="str">
        <f t="shared" si="3"/>
        <v/>
      </c>
      <c r="S36" s="479"/>
      <c r="T36" s="14"/>
      <c r="U36" s="6"/>
      <c r="W36" s="262"/>
      <c r="X36" t="str">
        <f t="shared" si="4"/>
        <v/>
      </c>
      <c r="Y36" s="53">
        <v>22336</v>
      </c>
    </row>
    <row r="37" spans="1:26" ht="15" customHeight="1">
      <c r="A37" s="342">
        <v>53</v>
      </c>
      <c r="B37" s="356"/>
      <c r="C37" s="357"/>
      <c r="D37" s="327"/>
      <c r="E37" s="327"/>
      <c r="F37" s="328"/>
      <c r="G37" s="361"/>
      <c r="H37" s="330"/>
      <c r="I37" s="330"/>
      <c r="J37" s="331"/>
      <c r="K37" s="341"/>
      <c r="L37" s="333"/>
      <c r="M37" s="334"/>
      <c r="N37" s="335"/>
      <c r="O37" s="331"/>
      <c r="P37" s="336"/>
      <c r="Q37" s="337"/>
      <c r="R37" s="338" t="str">
        <f t="shared" si="3"/>
        <v/>
      </c>
      <c r="S37" s="339"/>
      <c r="T37" s="14" t="str">
        <f t="shared" ref="T37:T45" si="5">IF(ISBLANK(S37),"",S37)</f>
        <v/>
      </c>
      <c r="U37" s="6">
        <v>52</v>
      </c>
      <c r="W37" s="262"/>
      <c r="X37" t="str">
        <f t="shared" si="4"/>
        <v/>
      </c>
      <c r="Y37" s="40">
        <v>41685</v>
      </c>
    </row>
    <row r="38" spans="1:26">
      <c r="A38" s="493">
        <v>54</v>
      </c>
      <c r="B38" s="501"/>
      <c r="C38" s="482"/>
      <c r="D38" s="479"/>
      <c r="E38" s="479"/>
      <c r="F38" s="485"/>
      <c r="G38" s="318"/>
      <c r="H38" s="492"/>
      <c r="I38" s="492"/>
      <c r="J38" s="469"/>
      <c r="K38" s="488"/>
      <c r="L38" s="499"/>
      <c r="M38" s="474"/>
      <c r="N38" s="475"/>
      <c r="O38" s="469"/>
      <c r="P38" s="476"/>
      <c r="Q38" s="502"/>
      <c r="R38" s="478" t="str">
        <f t="shared" si="3"/>
        <v/>
      </c>
      <c r="S38" s="497"/>
      <c r="T38" s="14" t="str">
        <f t="shared" si="5"/>
        <v/>
      </c>
      <c r="U38" s="80">
        <v>53</v>
      </c>
      <c r="W38" s="262"/>
      <c r="X38" t="str">
        <f t="shared" si="4"/>
        <v/>
      </c>
      <c r="Y38" s="42">
        <v>22476</v>
      </c>
    </row>
    <row r="39" spans="1:26">
      <c r="A39" s="342">
        <v>55</v>
      </c>
      <c r="B39" s="356"/>
      <c r="C39" s="357"/>
      <c r="D39" s="331"/>
      <c r="E39" s="331"/>
      <c r="F39" s="347"/>
      <c r="G39" s="362"/>
      <c r="H39" s="358"/>
      <c r="I39" s="358"/>
      <c r="J39" s="331"/>
      <c r="K39" s="359"/>
      <c r="L39" s="363"/>
      <c r="M39" s="334"/>
      <c r="N39" s="335"/>
      <c r="O39" s="331"/>
      <c r="P39" s="336"/>
      <c r="Q39" s="337"/>
      <c r="R39" s="338" t="str">
        <f t="shared" si="3"/>
        <v/>
      </c>
      <c r="S39" s="339"/>
      <c r="T39" s="14" t="str">
        <f t="shared" si="5"/>
        <v/>
      </c>
      <c r="U39" s="6">
        <v>54</v>
      </c>
      <c r="W39" s="262"/>
      <c r="X39" t="str">
        <f t="shared" si="4"/>
        <v/>
      </c>
      <c r="Y39" s="42">
        <v>24262</v>
      </c>
    </row>
    <row r="40" spans="1:26">
      <c r="A40" s="493">
        <v>58</v>
      </c>
      <c r="B40" s="501"/>
      <c r="C40" s="482"/>
      <c r="D40" s="483"/>
      <c r="E40" s="484"/>
      <c r="F40" s="485"/>
      <c r="G40" s="300"/>
      <c r="H40" s="486"/>
      <c r="I40" s="486"/>
      <c r="J40" s="469"/>
      <c r="K40" s="488"/>
      <c r="L40" s="487"/>
      <c r="M40" s="474"/>
      <c r="N40" s="475"/>
      <c r="O40" s="469"/>
      <c r="P40" s="476"/>
      <c r="Q40" s="490"/>
      <c r="R40" s="478" t="str">
        <f t="shared" si="3"/>
        <v/>
      </c>
      <c r="S40" s="491"/>
      <c r="T40" s="14" t="str">
        <f t="shared" si="5"/>
        <v/>
      </c>
      <c r="U40" s="6">
        <v>57</v>
      </c>
      <c r="W40" s="262"/>
      <c r="X40" t="str">
        <f t="shared" si="4"/>
        <v/>
      </c>
      <c r="Y40" s="38">
        <v>27181</v>
      </c>
    </row>
    <row r="41" spans="1:26">
      <c r="A41" s="342">
        <v>59</v>
      </c>
      <c r="B41" s="324"/>
      <c r="C41" s="325"/>
      <c r="D41" s="327"/>
      <c r="E41" s="339"/>
      <c r="F41" s="328"/>
      <c r="G41" s="364"/>
      <c r="H41" s="330"/>
      <c r="I41" s="330"/>
      <c r="J41" s="331"/>
      <c r="K41" s="341"/>
      <c r="L41" s="333"/>
      <c r="M41" s="334"/>
      <c r="N41" s="335"/>
      <c r="O41" s="331"/>
      <c r="P41" s="336"/>
      <c r="Q41" s="350"/>
      <c r="R41" s="338" t="str">
        <f t="shared" si="3"/>
        <v/>
      </c>
      <c r="S41" s="351"/>
      <c r="T41" s="14" t="str">
        <f t="shared" si="5"/>
        <v/>
      </c>
      <c r="U41" s="6">
        <v>58</v>
      </c>
      <c r="W41" s="262"/>
      <c r="X41" t="str">
        <f t="shared" si="4"/>
        <v/>
      </c>
      <c r="Y41" s="42">
        <v>26299</v>
      </c>
      <c r="Z41" s="306">
        <v>46023</v>
      </c>
    </row>
    <row r="42" spans="1:26">
      <c r="A42" s="493">
        <v>60</v>
      </c>
      <c r="B42" s="501"/>
      <c r="C42" s="482"/>
      <c r="D42" s="484"/>
      <c r="E42" s="479"/>
      <c r="F42" s="485"/>
      <c r="G42" s="300"/>
      <c r="H42" s="486"/>
      <c r="I42" s="486"/>
      <c r="J42" s="469"/>
      <c r="K42" s="488"/>
      <c r="L42" s="499"/>
      <c r="M42" s="474"/>
      <c r="N42" s="475"/>
      <c r="O42" s="469"/>
      <c r="P42" s="476"/>
      <c r="Q42" s="490"/>
      <c r="R42" s="478" t="str">
        <f t="shared" si="3"/>
        <v/>
      </c>
      <c r="S42" s="491"/>
      <c r="T42" s="14" t="str">
        <f t="shared" si="5"/>
        <v/>
      </c>
      <c r="U42" s="6">
        <v>59</v>
      </c>
      <c r="W42" s="262"/>
      <c r="X42" t="str">
        <f t="shared" si="4"/>
        <v/>
      </c>
      <c r="Y42" s="42">
        <v>21228</v>
      </c>
    </row>
    <row r="43" spans="1:26" s="4" customFormat="1" ht="15" customHeight="1">
      <c r="A43" s="342">
        <v>61</v>
      </c>
      <c r="B43" s="324"/>
      <c r="C43" s="325"/>
      <c r="D43" s="327"/>
      <c r="E43" s="339"/>
      <c r="F43" s="328"/>
      <c r="G43" s="329"/>
      <c r="H43" s="330"/>
      <c r="I43" s="330"/>
      <c r="J43" s="331"/>
      <c r="K43" s="341"/>
      <c r="L43" s="333"/>
      <c r="M43" s="334"/>
      <c r="N43" s="335"/>
      <c r="O43" s="331"/>
      <c r="P43" s="336"/>
      <c r="Q43" s="337"/>
      <c r="R43" s="338" t="str">
        <f t="shared" si="3"/>
        <v/>
      </c>
      <c r="S43" s="339"/>
      <c r="T43" s="14" t="str">
        <f t="shared" si="5"/>
        <v/>
      </c>
      <c r="U43" s="6">
        <v>60</v>
      </c>
      <c r="V43" s="2"/>
      <c r="W43" s="262"/>
      <c r="X43" t="str">
        <f t="shared" si="4"/>
        <v/>
      </c>
      <c r="Y43" s="42">
        <v>38471</v>
      </c>
    </row>
    <row r="44" spans="1:26" s="4" customFormat="1">
      <c r="A44" s="493">
        <v>62</v>
      </c>
      <c r="B44" s="481"/>
      <c r="C44" s="482"/>
      <c r="D44" s="484"/>
      <c r="E44" s="479"/>
      <c r="F44" s="485"/>
      <c r="G44" s="300"/>
      <c r="H44" s="486"/>
      <c r="I44" s="486"/>
      <c r="J44" s="469"/>
      <c r="K44" s="488"/>
      <c r="L44" s="487"/>
      <c r="M44" s="474"/>
      <c r="N44" s="475"/>
      <c r="O44" s="469"/>
      <c r="P44" s="476"/>
      <c r="Q44" s="477"/>
      <c r="R44" s="478" t="str">
        <f t="shared" si="3"/>
        <v/>
      </c>
      <c r="S44" s="479"/>
      <c r="T44" s="14" t="str">
        <f t="shared" si="5"/>
        <v/>
      </c>
      <c r="U44" s="6">
        <v>61</v>
      </c>
      <c r="V44" s="2"/>
      <c r="W44" s="262"/>
      <c r="X44" t="str">
        <f t="shared" si="4"/>
        <v/>
      </c>
      <c r="Y44" s="42">
        <v>19150</v>
      </c>
    </row>
    <row r="45" spans="1:26" s="4" customFormat="1" ht="15" customHeight="1">
      <c r="A45" s="342">
        <v>63</v>
      </c>
      <c r="B45" s="324"/>
      <c r="C45" s="325"/>
      <c r="D45" s="327"/>
      <c r="E45" s="339"/>
      <c r="F45" s="328"/>
      <c r="G45" s="329"/>
      <c r="H45" s="330"/>
      <c r="I45" s="330"/>
      <c r="J45" s="331"/>
      <c r="K45" s="341"/>
      <c r="L45" s="344"/>
      <c r="M45" s="334"/>
      <c r="N45" s="335"/>
      <c r="O45" s="331"/>
      <c r="P45" s="336"/>
      <c r="Q45" s="337"/>
      <c r="R45" s="338" t="str">
        <f t="shared" si="3"/>
        <v/>
      </c>
      <c r="S45" s="339"/>
      <c r="T45" s="14" t="str">
        <f t="shared" si="5"/>
        <v/>
      </c>
      <c r="U45" s="6">
        <v>62</v>
      </c>
      <c r="V45" s="2"/>
      <c r="W45" s="262"/>
      <c r="X45" t="str">
        <f t="shared" si="4"/>
        <v/>
      </c>
      <c r="Y45" s="42">
        <v>26844</v>
      </c>
    </row>
    <row r="46" spans="1:26" s="4" customFormat="1" ht="15" customHeight="1">
      <c r="A46" s="493"/>
      <c r="B46" s="481"/>
      <c r="C46" s="482"/>
      <c r="D46" s="479"/>
      <c r="E46" s="479"/>
      <c r="F46" s="485"/>
      <c r="G46" s="300"/>
      <c r="H46" s="492"/>
      <c r="I46" s="492"/>
      <c r="J46" s="469"/>
      <c r="K46" s="488"/>
      <c r="L46" s="503"/>
      <c r="M46" s="474"/>
      <c r="N46" s="475"/>
      <c r="O46" s="469"/>
      <c r="P46" s="476"/>
      <c r="Q46" s="477"/>
      <c r="R46" s="478"/>
      <c r="S46" s="479"/>
      <c r="T46" s="14"/>
      <c r="U46" s="6"/>
      <c r="V46" s="2"/>
      <c r="W46" s="262"/>
      <c r="X46" t="str">
        <f t="shared" ref="X46:X52" si="6">IF(AND(OR(P46="Aéro",P46="NP"),ISBLANK(Q46)),B46,"")</f>
        <v/>
      </c>
      <c r="Y46" s="42"/>
    </row>
    <row r="47" spans="1:26" s="4" customFormat="1" ht="15" customHeight="1">
      <c r="A47" s="342"/>
      <c r="B47" s="365"/>
      <c r="C47" s="366"/>
      <c r="D47" s="327"/>
      <c r="E47" s="327"/>
      <c r="F47" s="328"/>
      <c r="G47" s="367"/>
      <c r="H47" s="330"/>
      <c r="I47" s="330"/>
      <c r="J47" s="331"/>
      <c r="K47" s="341"/>
      <c r="L47" s="368"/>
      <c r="M47" s="334"/>
      <c r="N47" s="335"/>
      <c r="O47" s="331"/>
      <c r="P47" s="336"/>
      <c r="Q47" s="337"/>
      <c r="R47" s="338"/>
      <c r="S47" s="339"/>
      <c r="T47" s="14"/>
      <c r="U47" s="6"/>
      <c r="V47" s="2"/>
      <c r="W47" s="262"/>
      <c r="X47" t="str">
        <f t="shared" si="6"/>
        <v/>
      </c>
      <c r="Y47" s="42"/>
    </row>
    <row r="48" spans="1:26" s="4" customFormat="1" ht="15" customHeight="1">
      <c r="A48" s="493"/>
      <c r="B48" s="504"/>
      <c r="C48" s="495"/>
      <c r="D48" s="484"/>
      <c r="E48" s="484"/>
      <c r="F48" s="485"/>
      <c r="G48" s="301"/>
      <c r="H48" s="486"/>
      <c r="I48" s="486"/>
      <c r="J48" s="469"/>
      <c r="K48" s="488"/>
      <c r="L48" s="505"/>
      <c r="M48" s="474"/>
      <c r="N48" s="475"/>
      <c r="O48" s="469"/>
      <c r="P48" s="476"/>
      <c r="Q48" s="477"/>
      <c r="R48" s="478"/>
      <c r="S48" s="479"/>
      <c r="T48" s="14"/>
      <c r="U48" s="6"/>
      <c r="V48" s="2"/>
      <c r="W48" s="262"/>
      <c r="X48" t="str">
        <f t="shared" si="6"/>
        <v/>
      </c>
      <c r="Y48" s="42"/>
    </row>
    <row r="49" spans="1:25" s="4" customFormat="1" ht="15" customHeight="1">
      <c r="A49" s="342"/>
      <c r="B49" s="324"/>
      <c r="C49" s="325"/>
      <c r="D49" s="327"/>
      <c r="E49" s="339"/>
      <c r="F49" s="328"/>
      <c r="G49" s="329"/>
      <c r="H49" s="330"/>
      <c r="I49" s="330"/>
      <c r="J49" s="331"/>
      <c r="K49" s="341"/>
      <c r="L49" s="344"/>
      <c r="M49" s="334"/>
      <c r="N49" s="335"/>
      <c r="O49" s="331"/>
      <c r="P49" s="336"/>
      <c r="Q49" s="337"/>
      <c r="R49" s="338" t="str">
        <f t="shared" ref="R49" si="7">IF(Q49="","",IF(S49="club",0,IF(P49="NP",20,IF(P49="Aéro",IF(N49="","",IF(N49&gt;=18,45,20)),""))))</f>
        <v/>
      </c>
      <c r="S49" s="339"/>
      <c r="X49" t="str">
        <f t="shared" si="6"/>
        <v/>
      </c>
      <c r="Y49" s="42"/>
    </row>
    <row r="50" spans="1:25" s="4" customFormat="1" ht="15" customHeight="1">
      <c r="A50" s="493"/>
      <c r="B50" s="481"/>
      <c r="C50" s="482"/>
      <c r="D50" s="484"/>
      <c r="E50" s="479"/>
      <c r="F50" s="485"/>
      <c r="G50" s="300"/>
      <c r="H50" s="486"/>
      <c r="I50" s="486"/>
      <c r="J50" s="469"/>
      <c r="K50" s="488"/>
      <c r="L50" s="489"/>
      <c r="M50" s="474"/>
      <c r="N50" s="475"/>
      <c r="O50" s="469"/>
      <c r="P50" s="476"/>
      <c r="Q50" s="477"/>
      <c r="R50" s="478" t="str">
        <f t="shared" ref="R50:R52" si="8">IF(Q50="","",IF(S50="club",0,IF(P50="NP",20,IF(P50="Aéro",IF(N50="","",IF(N50&gt;=18,45,20)),""))))</f>
        <v/>
      </c>
      <c r="S50" s="479"/>
      <c r="T50" s="14"/>
      <c r="U50" s="6"/>
      <c r="V50" s="2"/>
      <c r="W50" s="262"/>
      <c r="X50" t="str">
        <f t="shared" si="6"/>
        <v/>
      </c>
      <c r="Y50" s="42"/>
    </row>
    <row r="51" spans="1:25" s="4" customFormat="1" ht="15" customHeight="1">
      <c r="A51" s="342"/>
      <c r="B51" s="324"/>
      <c r="C51" s="325"/>
      <c r="D51" s="327"/>
      <c r="E51" s="339"/>
      <c r="F51" s="328"/>
      <c r="G51" s="329"/>
      <c r="H51" s="330"/>
      <c r="I51" s="330"/>
      <c r="J51" s="331"/>
      <c r="K51" s="341"/>
      <c r="L51" s="344"/>
      <c r="M51" s="334"/>
      <c r="N51" s="335"/>
      <c r="O51" s="331"/>
      <c r="P51" s="336"/>
      <c r="Q51" s="337"/>
      <c r="R51" s="338" t="str">
        <f t="shared" si="8"/>
        <v/>
      </c>
      <c r="S51" s="339"/>
      <c r="T51" s="14" t="str">
        <f>IF(ISBLANK(S51),"",S51)</f>
        <v/>
      </c>
      <c r="U51" s="6">
        <v>64</v>
      </c>
      <c r="V51" s="2"/>
      <c r="W51" s="262"/>
      <c r="X51" t="str">
        <f t="shared" si="6"/>
        <v/>
      </c>
      <c r="Y51" s="42"/>
    </row>
    <row r="52" spans="1:25" s="4" customFormat="1" ht="15" customHeight="1" thickBot="1">
      <c r="A52" s="493"/>
      <c r="B52" s="481"/>
      <c r="C52" s="482"/>
      <c r="D52" s="484"/>
      <c r="E52" s="479"/>
      <c r="F52" s="485"/>
      <c r="G52" s="300"/>
      <c r="H52" s="486"/>
      <c r="I52" s="486"/>
      <c r="J52" s="469"/>
      <c r="K52" s="488"/>
      <c r="L52" s="489"/>
      <c r="M52" s="474"/>
      <c r="N52" s="475"/>
      <c r="O52" s="469"/>
      <c r="P52" s="476"/>
      <c r="Q52" s="477"/>
      <c r="R52" s="478" t="str">
        <f t="shared" si="8"/>
        <v/>
      </c>
      <c r="S52" s="479"/>
      <c r="T52" s="14" t="str">
        <f>IF(ISBLANK(S52),"",S52)</f>
        <v/>
      </c>
      <c r="U52" s="6">
        <v>65</v>
      </c>
      <c r="V52" s="2"/>
      <c r="W52" s="262"/>
      <c r="X52" t="str">
        <f t="shared" si="6"/>
        <v/>
      </c>
      <c r="Y52" s="42"/>
    </row>
    <row r="53" spans="1:25" ht="29.25" customHeight="1" thickBot="1">
      <c r="A53" s="406"/>
      <c r="B53" s="407"/>
      <c r="C53" s="407"/>
      <c r="D53" s="407"/>
      <c r="E53" s="407"/>
      <c r="F53" s="407"/>
      <c r="G53" s="407"/>
      <c r="H53" s="408"/>
      <c r="I53" s="402" t="e" cm="1">
        <f t="array" ref="I53">CompterMF_Texte(J4:J52)</f>
        <v>#VALUE!</v>
      </c>
      <c r="J53" s="403"/>
      <c r="K53" s="404"/>
      <c r="L53" s="78"/>
      <c r="M53" s="139" t="s">
        <v>78</v>
      </c>
      <c r="N53" s="27" t="str" cm="1">
        <f t="array" ref="N53">IFERROR(ROUND(AVERAGE(_xlfn._xlws.FILTER(N4:N52,ISNUMBER(N4:N52))),0),"")</f>
        <v/>
      </c>
      <c r="O53" s="316"/>
      <c r="P53" s="27">
        <f>SUBTOTAL(103,P4:P52)</f>
        <v>0</v>
      </c>
      <c r="Q53" s="120" t="s">
        <v>28</v>
      </c>
      <c r="R53" s="398">
        <f>SUM(R4:R52)</f>
        <v>0</v>
      </c>
      <c r="S53" s="399"/>
      <c r="T53" s="37"/>
      <c r="V53" s="41"/>
      <c r="W53" s="81"/>
      <c r="X53" s="2" cm="1">
        <f t="array" aca="1" ref="X53" ca="1">SUMPRODUCT((X4:X52&lt;&gt;"")*SUBTOTAL(103,OFFSET(X4,ROW(X4:X52)-ROW(X4),0)))</f>
        <v>0</v>
      </c>
    </row>
    <row r="54" spans="1:25" ht="15" customHeight="1">
      <c r="B54" s="2"/>
      <c r="C54" s="2"/>
      <c r="I54" s="295"/>
      <c r="J54" s="295"/>
      <c r="K54" s="295"/>
      <c r="L54" s="79"/>
      <c r="Q54" s="56" t="s">
        <v>14</v>
      </c>
      <c r="R54" s="57">
        <f>COUNTIF(S4:S52,"Espèces")</f>
        <v>0</v>
      </c>
      <c r="S54" s="76">
        <f>SUMIF(S4:S52,"Espèces",R4:R52)</f>
        <v>0</v>
      </c>
    </row>
    <row r="55" spans="1:25" ht="15" customHeight="1">
      <c r="D55" s="34"/>
      <c r="O55" s="315"/>
      <c r="Q55" s="14" t="s">
        <v>48</v>
      </c>
      <c r="R55" s="29">
        <f>COUNTIF(S4:S52,"Chèque")</f>
        <v>0</v>
      </c>
      <c r="S55" s="77">
        <f>SUMIF(S4:S52,"Chèque",R4:R52)</f>
        <v>0</v>
      </c>
      <c r="X55" s="2"/>
    </row>
    <row r="56" spans="1:25" ht="15" customHeight="1">
      <c r="E56" s="35"/>
      <c r="F56" s="35"/>
      <c r="G56" s="35"/>
      <c r="Q56" s="14" t="s">
        <v>49</v>
      </c>
      <c r="R56" s="29">
        <f>COUNTIF(S4:S52,"Virement")</f>
        <v>0</v>
      </c>
      <c r="S56" s="77">
        <f>SUMIF(S4:S52,"Virement",R4:R52)</f>
        <v>0</v>
      </c>
    </row>
    <row r="57" spans="1:25" ht="15.75">
      <c r="B57" s="268"/>
      <c r="C57" s="268"/>
      <c r="R57" s="5">
        <f>SUM(R54:R56)</f>
        <v>0</v>
      </c>
      <c r="S57" s="101">
        <f>SUM(S54:S56)</f>
        <v>0</v>
      </c>
    </row>
  </sheetData>
  <sortState xmlns:xlrd2="http://schemas.microsoft.com/office/spreadsheetml/2017/richdata2" ref="A10:X45">
    <sortCondition ref="A10:A45"/>
  </sortState>
  <mergeCells count="5">
    <mergeCell ref="R53:S53"/>
    <mergeCell ref="E1:G2"/>
    <mergeCell ref="I53:K53"/>
    <mergeCell ref="W1:X1"/>
    <mergeCell ref="A53:H53"/>
  </mergeCells>
  <phoneticPr fontId="55" type="noConversion"/>
  <conditionalFormatting sqref="A4:S52">
    <cfRule type="expression" dxfId="151" priority="1">
      <formula>ROW()=CELL("ligne")</formula>
    </cfRule>
  </conditionalFormatting>
  <conditionalFormatting sqref="M4:M52">
    <cfRule type="expression" dxfId="150" priority="12">
      <formula>IF($M4="","",(MONTH(TODAY())=MONTH($M4)))</formula>
    </cfRule>
  </conditionalFormatting>
  <conditionalFormatting sqref="V50:V52 V4:V48">
    <cfRule type="expression" dxfId="149" priority="11">
      <formula>$S4&lt;&gt;""</formula>
    </cfRule>
  </conditionalFormatting>
  <dataValidations count="2">
    <dataValidation type="list" allowBlank="1" showInputMessage="1" showErrorMessage="1" sqref="S4:S52" xr:uid="{62FB803E-472A-4C00-BC64-DA768D500FF8}">
      <formula1>$A$1:$D$1</formula1>
    </dataValidation>
    <dataValidation type="list" allowBlank="1" showInputMessage="1" showErrorMessage="1" sqref="P4:P52" xr:uid="{B9396557-5BA4-4182-8CA9-41B095756807}">
      <formula1>$I$1:$K$1</formula1>
    </dataValidation>
  </dataValidations>
  <pageMargins left="0.37" right="0.21" top="0.44" bottom="0.43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CC66"/>
  </sheetPr>
  <dimension ref="A1:K50"/>
  <sheetViews>
    <sheetView showGridLines="0" tabSelected="1" zoomScaleNormal="100" workbookViewId="0">
      <pane ySplit="9" topLeftCell="A10" activePane="bottomLeft" state="frozen"/>
      <selection activeCell="C10" sqref="C10"/>
      <selection pane="bottomLeft" activeCell="L18" sqref="L18"/>
    </sheetView>
  </sheetViews>
  <sheetFormatPr baseColWidth="10" defaultColWidth="11.42578125" defaultRowHeight="15.75"/>
  <cols>
    <col min="1" max="1" width="16.85546875" style="19" bestFit="1" customWidth="1"/>
    <col min="2" max="2" width="15.7109375" style="11" hidden="1" customWidth="1"/>
    <col min="3" max="3" width="40.7109375" style="20" customWidth="1"/>
    <col min="4" max="4" width="83.7109375" style="11" bestFit="1" customWidth="1"/>
    <col min="5" max="5" width="8.7109375" style="12" customWidth="1"/>
    <col min="6" max="9" width="15.7109375" style="11" customWidth="1"/>
    <col min="10" max="11" width="11.42578125" style="20"/>
    <col min="12" max="16384" width="11.42578125" style="11"/>
  </cols>
  <sheetData>
    <row r="1" spans="1:11" ht="30" customHeight="1">
      <c r="A1" s="15"/>
      <c r="B1" s="16"/>
      <c r="C1" s="317" t="s">
        <v>171</v>
      </c>
      <c r="D1" s="12"/>
      <c r="F1" s="16"/>
      <c r="G1" s="16"/>
      <c r="H1" s="16"/>
      <c r="I1" s="16"/>
    </row>
    <row r="2" spans="1:11" ht="31.5">
      <c r="A2" s="15"/>
      <c r="B2" s="17" t="s">
        <v>6</v>
      </c>
      <c r="C2" s="409" t="str">
        <f ca="1">_xlfn.LET(_xlpm.Mois,MID(CELL("filename",A1),FIND("]",CELL("filename",A1))+1,32),IF(ISNUMBER(SEARCH(LEFT(_xlpm.Mois,1),"AEIOUY")),"Mois d'" &amp; _xlpm.Mois,"Mois de " &amp; _xlpm.Mois))</f>
        <v>Mois de Janvier 2027</v>
      </c>
      <c r="D2" s="409"/>
      <c r="E2" s="23"/>
      <c r="F2" s="10"/>
      <c r="G2" s="10"/>
      <c r="H2" s="18"/>
      <c r="I2" s="18"/>
    </row>
    <row r="3" spans="1:11" ht="16.5" thickBot="1">
      <c r="A3" s="15"/>
      <c r="B3" s="16"/>
      <c r="C3" s="12"/>
      <c r="D3" s="12"/>
      <c r="F3" s="16"/>
      <c r="G3" s="16"/>
      <c r="H3" s="16"/>
      <c r="I3" s="16"/>
    </row>
    <row r="4" spans="1:11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1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</row>
    <row r="6" spans="1:11" ht="15.75" customHeight="1" thickBot="1">
      <c r="A6" s="247"/>
      <c r="B6" s="240"/>
      <c r="C6" s="241"/>
      <c r="D6" s="246" t="s">
        <v>134</v>
      </c>
      <c r="E6" s="242" t="s">
        <v>111</v>
      </c>
      <c r="F6" s="421">
        <v>1180.71</v>
      </c>
      <c r="G6" s="422"/>
      <c r="H6" s="419">
        <v>346.77</v>
      </c>
      <c r="I6" s="420"/>
    </row>
    <row r="7" spans="1:11" ht="15.75" customHeight="1" thickBot="1">
      <c r="A7" s="202" t="s">
        <v>131</v>
      </c>
      <c r="B7" s="203"/>
      <c r="C7" s="204"/>
      <c r="D7" s="248" t="s">
        <v>135</v>
      </c>
      <c r="E7" s="204"/>
      <c r="F7" s="289">
        <f>SUMIF($E$10:$E$22,"P",F10:F22)</f>
        <v>0</v>
      </c>
      <c r="G7" s="290">
        <f>SUMIF($E$10:$E$22,"P",G10:G22)</f>
        <v>770</v>
      </c>
      <c r="H7" s="289">
        <f>SUMIF($E$10:$E$22,"P",H10:H22)</f>
        <v>0</v>
      </c>
      <c r="I7" s="288">
        <f>SUMIF($E$10:$E$22,"P",I10:I22)</f>
        <v>140</v>
      </c>
    </row>
    <row r="8" spans="1:11" ht="15.75" customHeight="1">
      <c r="A8" s="202"/>
      <c r="B8" s="203"/>
      <c r="C8" s="204"/>
      <c r="D8" s="248" t="s">
        <v>136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1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1" s="20" customFormat="1" ht="15.75" customHeight="1">
      <c r="A10" s="222">
        <v>46080</v>
      </c>
      <c r="B10" s="216">
        <f>IFERROR(INDEX(t_Comptes[CODES],MATCH(C10,t_Comptes[LIBELLES],0)),"")</f>
        <v>6052</v>
      </c>
      <c r="C10" s="228" t="s">
        <v>88</v>
      </c>
      <c r="D10" s="259">
        <v>1</v>
      </c>
      <c r="E10" s="229" t="s">
        <v>92</v>
      </c>
      <c r="F10" s="230"/>
      <c r="G10" s="231">
        <v>10</v>
      </c>
      <c r="H10" s="230"/>
      <c r="I10" s="232"/>
    </row>
    <row r="11" spans="1:11" ht="15.75" customHeight="1">
      <c r="A11" s="375">
        <v>46081</v>
      </c>
      <c r="B11" s="233">
        <f>IFERROR(INDEX(t_Comptes[CODES],MATCH(C11,t_Comptes[LIBELLES],0)),"")</f>
        <v>6052</v>
      </c>
      <c r="C11" s="370" t="s">
        <v>88</v>
      </c>
      <c r="D11" s="377">
        <v>2</v>
      </c>
      <c r="E11" s="371" t="s">
        <v>92</v>
      </c>
      <c r="F11" s="372"/>
      <c r="G11" s="373">
        <v>20</v>
      </c>
      <c r="H11" s="372"/>
      <c r="I11" s="374"/>
    </row>
    <row r="12" spans="1:11" ht="15.75" customHeight="1">
      <c r="A12" s="375">
        <v>46082</v>
      </c>
      <c r="B12" s="233">
        <f>IFERROR(INDEX(t_Comptes[CODES],MATCH(C12,t_Comptes[LIBELLES],0)),"")</f>
        <v>6052</v>
      </c>
      <c r="C12" s="370" t="s">
        <v>88</v>
      </c>
      <c r="D12" s="377">
        <v>3</v>
      </c>
      <c r="E12" s="371" t="s">
        <v>92</v>
      </c>
      <c r="F12" s="372"/>
      <c r="G12" s="373">
        <v>30</v>
      </c>
      <c r="H12" s="372"/>
      <c r="I12" s="374"/>
    </row>
    <row r="13" spans="1:11" ht="15.75" customHeight="1">
      <c r="A13" s="375">
        <v>46083</v>
      </c>
      <c r="B13" s="233">
        <f>IFERROR(INDEX(t_Comptes[CODES],MATCH(C13,t_Comptes[LIBELLES],0)),"")</f>
        <v>6052</v>
      </c>
      <c r="C13" s="370" t="s">
        <v>88</v>
      </c>
      <c r="D13" s="377">
        <v>4</v>
      </c>
      <c r="E13" s="371" t="s">
        <v>92</v>
      </c>
      <c r="F13" s="372"/>
      <c r="G13" s="373">
        <v>40</v>
      </c>
      <c r="H13" s="372"/>
      <c r="I13" s="374"/>
    </row>
    <row r="14" spans="1:11" ht="15.75" customHeight="1">
      <c r="A14" s="375">
        <v>46084</v>
      </c>
      <c r="B14" s="233">
        <f>IFERROR(INDEX(t_Comptes[CODES],MATCH(C14,t_Comptes[LIBELLES],0)),"")</f>
        <v>6052</v>
      </c>
      <c r="C14" s="370" t="s">
        <v>88</v>
      </c>
      <c r="D14" s="377">
        <v>5</v>
      </c>
      <c r="E14" s="371" t="s">
        <v>92</v>
      </c>
      <c r="F14" s="372"/>
      <c r="G14" s="373"/>
      <c r="H14" s="372"/>
      <c r="I14" s="374">
        <v>50</v>
      </c>
    </row>
    <row r="15" spans="1:11" ht="15.75" customHeight="1">
      <c r="A15" s="375">
        <v>46085</v>
      </c>
      <c r="B15" s="233">
        <f>IFERROR(INDEX(t_Comptes[CODES],MATCH(C15,t_Comptes[LIBELLES],0)),"")</f>
        <v>6052</v>
      </c>
      <c r="C15" s="370" t="s">
        <v>88</v>
      </c>
      <c r="D15" s="377">
        <v>6</v>
      </c>
      <c r="E15" s="371" t="s">
        <v>92</v>
      </c>
      <c r="F15" s="372"/>
      <c r="G15" s="373">
        <v>60</v>
      </c>
      <c r="H15" s="372"/>
      <c r="I15" s="374"/>
    </row>
    <row r="16" spans="1:11" ht="15.75" customHeight="1">
      <c r="A16" s="375">
        <v>46086</v>
      </c>
      <c r="B16" s="233">
        <f>IFERROR(INDEX(t_Comptes[CODES],MATCH(C16,t_Comptes[LIBELLES],0)),"")</f>
        <v>6052</v>
      </c>
      <c r="C16" s="370" t="s">
        <v>88</v>
      </c>
      <c r="D16" s="377">
        <v>7</v>
      </c>
      <c r="E16" s="371" t="s">
        <v>92</v>
      </c>
      <c r="F16" s="372"/>
      <c r="G16" s="373">
        <v>70</v>
      </c>
      <c r="H16" s="372"/>
      <c r="I16" s="374"/>
    </row>
    <row r="17" spans="1:9" ht="15.75" customHeight="1">
      <c r="A17" s="375">
        <v>46054</v>
      </c>
      <c r="B17" s="233">
        <f>IFERROR(INDEX(t_Comptes[CODES],MATCH(C17,t_Comptes[LIBELLES],0)),"")</f>
        <v>6052</v>
      </c>
      <c r="C17" s="370" t="s">
        <v>88</v>
      </c>
      <c r="D17" s="376">
        <v>8</v>
      </c>
      <c r="E17" s="371" t="s">
        <v>92</v>
      </c>
      <c r="F17" s="372"/>
      <c r="G17" s="373">
        <v>80</v>
      </c>
      <c r="H17" s="372"/>
      <c r="I17" s="374"/>
    </row>
    <row r="18" spans="1:9" ht="15.75" customHeight="1">
      <c r="A18" s="375">
        <v>46074</v>
      </c>
      <c r="B18" s="233">
        <f>IFERROR(INDEX(t_Comptes[CODES],MATCH(C18,t_Comptes[LIBELLES],0)),"")</f>
        <v>6052</v>
      </c>
      <c r="C18" s="370" t="s">
        <v>88</v>
      </c>
      <c r="D18" s="376">
        <v>9</v>
      </c>
      <c r="E18" s="371" t="s">
        <v>92</v>
      </c>
      <c r="F18" s="372"/>
      <c r="G18" s="373"/>
      <c r="H18" s="372"/>
      <c r="I18" s="374">
        <v>90</v>
      </c>
    </row>
    <row r="19" spans="1:9" ht="15.75" customHeight="1">
      <c r="A19" s="375">
        <v>46081</v>
      </c>
      <c r="B19" s="233">
        <f>IFERROR(INDEX(t_Comptes[CODES],MATCH(C19,t_Comptes[LIBELLES],0)),"")</f>
        <v>6052</v>
      </c>
      <c r="C19" s="370" t="s">
        <v>88</v>
      </c>
      <c r="D19" s="376">
        <v>10</v>
      </c>
      <c r="E19" s="371" t="s">
        <v>92</v>
      </c>
      <c r="F19" s="372"/>
      <c r="G19" s="373">
        <v>100</v>
      </c>
      <c r="H19" s="372"/>
      <c r="I19" s="374"/>
    </row>
    <row r="20" spans="1:9" ht="15.75" customHeight="1">
      <c r="A20" s="375">
        <v>46081</v>
      </c>
      <c r="B20" s="233">
        <f>IFERROR(INDEX(t_Comptes[CODES],MATCH(C20,t_Comptes[LIBELLES],0)),"")</f>
        <v>6052</v>
      </c>
      <c r="C20" s="370" t="s">
        <v>88</v>
      </c>
      <c r="D20" s="376">
        <v>11</v>
      </c>
      <c r="E20" s="371" t="s">
        <v>92</v>
      </c>
      <c r="F20" s="372"/>
      <c r="G20" s="373">
        <v>110</v>
      </c>
      <c r="H20" s="372"/>
      <c r="I20" s="374"/>
    </row>
    <row r="21" spans="1:9" ht="15.75" customHeight="1">
      <c r="A21" s="375">
        <v>46082</v>
      </c>
      <c r="B21" s="233">
        <f>IFERROR(INDEX(t_Comptes[CODES],MATCH(C21,t_Comptes[LIBELLES],0)),"")</f>
        <v>6052</v>
      </c>
      <c r="C21" s="370" t="s">
        <v>88</v>
      </c>
      <c r="D21" s="376">
        <v>12</v>
      </c>
      <c r="E21" s="371" t="s">
        <v>92</v>
      </c>
      <c r="F21" s="372"/>
      <c r="G21" s="373">
        <v>120</v>
      </c>
      <c r="H21" s="372"/>
      <c r="I21" s="374"/>
    </row>
    <row r="22" spans="1:9" ht="15.75" customHeight="1">
      <c r="A22" s="375">
        <v>46084</v>
      </c>
      <c r="B22" s="233">
        <f>IFERROR(INDEX(t_Comptes[CODES],MATCH(C22,t_Comptes[LIBELLES],0)),"")</f>
        <v>6052</v>
      </c>
      <c r="C22" s="370" t="s">
        <v>88</v>
      </c>
      <c r="D22" s="376">
        <v>13</v>
      </c>
      <c r="E22" s="371" t="s">
        <v>92</v>
      </c>
      <c r="F22" s="372"/>
      <c r="G22" s="373">
        <v>130</v>
      </c>
      <c r="H22" s="372"/>
      <c r="I22" s="374"/>
    </row>
    <row r="23" spans="1:9" ht="15.75" customHeight="1"/>
    <row r="24" spans="1:9" ht="15.75" customHeight="1"/>
    <row r="25" spans="1:9" ht="15.75" customHeight="1"/>
    <row r="26" spans="1:9" ht="15.75" customHeight="1"/>
    <row r="27" spans="1:9" ht="15.75" customHeight="1"/>
    <row r="28" spans="1:9" ht="15.75" customHeight="1"/>
    <row r="29" spans="1:9" ht="15.75" customHeight="1"/>
    <row r="30" spans="1:9" ht="15.75" customHeight="1"/>
    <row r="31" spans="1:9" ht="15.75" customHeight="1"/>
    <row r="32" spans="1:9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10:I16">
    <sortCondition ref="A10:A16"/>
  </sortState>
  <mergeCells count="13">
    <mergeCell ref="H8:I8"/>
    <mergeCell ref="F8:G8"/>
    <mergeCell ref="H6:I6"/>
    <mergeCell ref="F6:G6"/>
    <mergeCell ref="E4:E5"/>
    <mergeCell ref="F4:I4"/>
    <mergeCell ref="F5:G5"/>
    <mergeCell ref="H5:I5"/>
    <mergeCell ref="C2:D2"/>
    <mergeCell ref="A4:A5"/>
    <mergeCell ref="B4:B5"/>
    <mergeCell ref="C4:C5"/>
    <mergeCell ref="D4:D5"/>
  </mergeCells>
  <conditionalFormatting sqref="A10:C22 E10:I22">
    <cfRule type="expression" dxfId="148" priority="36">
      <formula>INT(ROW()/2)=ROW()/2</formula>
    </cfRule>
  </conditionalFormatting>
  <conditionalFormatting sqref="D10:D22">
    <cfRule type="expression" dxfId="147" priority="1">
      <formula>INT(ROW()/2)=ROW()/2</formula>
    </cfRule>
  </conditionalFormatting>
  <dataValidations count="3">
    <dataValidation type="list" allowBlank="1" showInputMessage="1" showErrorMessage="1" sqref="C10:C22" xr:uid="{1A2D6577-DAFA-477D-8F9F-A2D85BD57D3B}">
      <formula1>d.comptes</formula1>
    </dataValidation>
    <dataValidation type="custom" allowBlank="1" showInputMessage="1" showErrorMessage="1" sqref="F10:F22 H10:H22" xr:uid="{B6339BF2-5EFB-413F-9134-A6436D10585E}">
      <formula1>$B10&gt;=7000</formula1>
    </dataValidation>
    <dataValidation type="custom" allowBlank="1" showInputMessage="1" showErrorMessage="1" sqref="G10:G22 I10:I22" xr:uid="{8A70F2ED-E229-4C55-AA18-77A59E629961}">
      <formula1>$B10&lt;=7000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50"/>
  <sheetViews>
    <sheetView showGridLines="0" workbookViewId="0">
      <pane ySplit="9" topLeftCell="A10" activePane="bottomLeft" state="frozen"/>
      <selection activeCell="D29" sqref="D29"/>
      <selection pane="bottomLeft" activeCell="F24" sqref="F24"/>
    </sheetView>
  </sheetViews>
  <sheetFormatPr baseColWidth="10" defaultColWidth="11.42578125" defaultRowHeight="15.75"/>
  <cols>
    <col min="1" max="1" width="15.7109375" style="19" customWidth="1"/>
    <col min="2" max="2" width="15.7109375" style="285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15"/>
      <c r="B1" s="279"/>
      <c r="C1" s="12"/>
      <c r="D1" s="12"/>
      <c r="F1" s="16"/>
      <c r="G1" s="16"/>
      <c r="H1" s="16"/>
      <c r="I1" s="16"/>
    </row>
    <row r="2" spans="1:14" ht="31.5" customHeight="1">
      <c r="A2" s="15"/>
      <c r="B2" s="280" t="s">
        <v>6</v>
      </c>
      <c r="C2" s="429" t="str">
        <f ca="1">_xlfn.LET(_xlpm.Mois,MID(CELL("filename",A1),FIND("]",CELL("filename",A1))+1,32),IF(ISNUMBER(SEARCH(LEFT(_xlpm.Mois,1),"AEIOUY")),"Mois d'" &amp; _xlpm.Mois,"Mois de " &amp; _xlpm.Mois))</f>
        <v>Mois de Février 2027</v>
      </c>
      <c r="D2" s="429"/>
      <c r="E2" s="23"/>
      <c r="F2" s="10"/>
      <c r="G2" s="10"/>
      <c r="H2" s="18"/>
      <c r="I2" s="18"/>
    </row>
    <row r="3" spans="1:14" ht="16.5" thickBot="1">
      <c r="A3" s="15"/>
      <c r="B3" s="279"/>
      <c r="C3" s="12"/>
      <c r="D3" s="12"/>
      <c r="F3" s="16"/>
      <c r="G3" s="16"/>
      <c r="H3" s="16"/>
      <c r="I3" s="16"/>
    </row>
    <row r="4" spans="1:14" ht="15.75" customHeight="1" thickBot="1">
      <c r="A4" s="410" t="s">
        <v>8</v>
      </c>
      <c r="B4" s="430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3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81"/>
      <c r="C6" s="241"/>
      <c r="D6" s="246" t="s">
        <v>137</v>
      </c>
      <c r="E6" s="242" t="s">
        <v>112</v>
      </c>
      <c r="F6" s="421">
        <f>'Janvier 2027'!F8</f>
        <v>410.71000000000004</v>
      </c>
      <c r="G6" s="422"/>
      <c r="H6" s="419">
        <f>'Janvier 2027'!H8</f>
        <v>206.76999999999998</v>
      </c>
      <c r="I6" s="420"/>
    </row>
    <row r="7" spans="1:14" ht="15.75" customHeight="1" thickBot="1">
      <c r="A7" s="211"/>
      <c r="B7" s="282"/>
      <c r="C7" s="204"/>
      <c r="D7" s="248" t="s">
        <v>138</v>
      </c>
      <c r="E7" s="204"/>
      <c r="F7" s="255">
        <f>SUMIF($E$10:$E$19,"P",F10:F19)</f>
        <v>0</v>
      </c>
      <c r="G7" s="256">
        <f>SUMIF($E$10:$E$19,"P",G10:G19)</f>
        <v>0</v>
      </c>
      <c r="H7" s="255">
        <f>SUMIF($E$10:$E$19,"P",H10:H19)</f>
        <v>0</v>
      </c>
      <c r="I7" s="257">
        <f>SUMIF($E$10:$E$19,"P",I10:I19)</f>
        <v>0</v>
      </c>
    </row>
    <row r="8" spans="1:14" ht="15.75" customHeight="1">
      <c r="A8" s="211"/>
      <c r="B8" s="282"/>
      <c r="C8" s="204"/>
      <c r="D8" s="248" t="s">
        <v>139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83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15"/>
      <c r="B10" s="284" t="str">
        <f>IFERROR(INDEX(t_Comptes[CODES],MATCH(C10,t_Comptes[LIBELLES],0)),"")</f>
        <v/>
      </c>
      <c r="C10" s="217"/>
      <c r="D10" s="225"/>
      <c r="E10" s="369"/>
      <c r="F10" s="219"/>
      <c r="G10" s="220"/>
      <c r="H10" s="219"/>
      <c r="I10" s="221"/>
      <c r="L10" s="11"/>
      <c r="M10" s="11"/>
      <c r="N10" s="11"/>
    </row>
    <row r="11" spans="1:14" ht="15.75" customHeight="1">
      <c r="E11" s="238"/>
    </row>
    <row r="12" spans="1:14" ht="15.75" customHeight="1">
      <c r="E12" s="238"/>
    </row>
    <row r="13" spans="1:14" ht="15.75" customHeight="1">
      <c r="E13" s="238"/>
    </row>
    <row r="14" spans="1:14" ht="15.75" customHeight="1">
      <c r="E14" s="238"/>
    </row>
    <row r="15" spans="1:14" ht="15.75" customHeight="1">
      <c r="E15" s="238"/>
    </row>
    <row r="16" spans="1:14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/>
    <row r="24" spans="5:5" ht="15.75" customHeight="1"/>
    <row r="25" spans="5:5" ht="15.75" customHeight="1"/>
    <row r="26" spans="5:5" ht="15.75" customHeight="1"/>
    <row r="27" spans="5:5" ht="15.75" customHeight="1"/>
    <row r="28" spans="5:5" ht="15.75" customHeight="1"/>
    <row r="29" spans="5:5" ht="15.75" customHeight="1"/>
    <row r="30" spans="5:5" ht="15.75" customHeight="1"/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ortState xmlns:xlrd2="http://schemas.microsoft.com/office/spreadsheetml/2017/richdata2" ref="A10:I10">
    <sortCondition ref="A10"/>
  </sortState>
  <mergeCells count="13">
    <mergeCell ref="A4:A5"/>
    <mergeCell ref="B4:B5"/>
    <mergeCell ref="C4:C5"/>
    <mergeCell ref="D4:D5"/>
    <mergeCell ref="F8:G8"/>
    <mergeCell ref="C2:D2"/>
    <mergeCell ref="H8:I8"/>
    <mergeCell ref="H6:I6"/>
    <mergeCell ref="F6:G6"/>
    <mergeCell ref="E4:E5"/>
    <mergeCell ref="F5:G5"/>
    <mergeCell ref="H5:I5"/>
    <mergeCell ref="F4:I4"/>
  </mergeCells>
  <conditionalFormatting sqref="A10:I10">
    <cfRule type="expression" dxfId="135" priority="4">
      <formula>INT(ROW()/2)=ROW()/2</formula>
    </cfRule>
  </conditionalFormatting>
  <dataValidations count="3">
    <dataValidation type="list" allowBlank="1" showInputMessage="1" showErrorMessage="1" sqref="C10" xr:uid="{00000000-0002-0000-0400-000000000000}">
      <formula1>d.comptes</formula1>
    </dataValidation>
    <dataValidation type="custom" allowBlank="1" showInputMessage="1" showErrorMessage="1" sqref="H10 F10" xr:uid="{1C19216D-26CE-47A6-96A5-CA32AEFFE019}">
      <formula1>$B10&gt;=7000</formula1>
    </dataValidation>
    <dataValidation type="custom" allowBlank="1" showInputMessage="1" showErrorMessage="1" sqref="I10 G10" xr:uid="{983AC6F5-5A50-488A-89F1-249AA01DD17E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N50"/>
  <sheetViews>
    <sheetView showGridLines="0" workbookViewId="0">
      <pane ySplit="9" topLeftCell="A10" activePane="bottomLeft" state="frozen"/>
      <selection activeCell="F24" sqref="F24"/>
      <selection pane="bottomLeft" activeCell="F24" sqref="F24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15"/>
      <c r="B1" s="16"/>
      <c r="C1" s="12"/>
      <c r="D1" s="12"/>
      <c r="F1" s="16"/>
      <c r="G1" s="16"/>
      <c r="H1" s="16"/>
      <c r="I1" s="16"/>
    </row>
    <row r="2" spans="1:14" ht="31.5" customHeight="1">
      <c r="A2" s="15"/>
      <c r="B2" s="17" t="s">
        <v>6</v>
      </c>
      <c r="C2" s="429" t="str">
        <f ca="1">_xlfn.LET(_xlpm.Mois,MID(CELL("filename",A1),FIND("]",CELL("filename",A1))+1,32),IF(ISNUMBER(SEARCH(LEFT(_xlpm.Mois,1),"AEIOUY")),"Mois d'" &amp; _xlpm.Mois,"Mois de " &amp; _xlpm.Mois))</f>
        <v>Mois de Mars 2027</v>
      </c>
      <c r="D2" s="429"/>
      <c r="E2" s="23"/>
      <c r="F2" s="10"/>
      <c r="G2" s="10"/>
      <c r="H2" s="18"/>
      <c r="I2" s="18"/>
    </row>
    <row r="3" spans="1:14" ht="16.5" thickBot="1">
      <c r="A3" s="15"/>
      <c r="B3" s="16"/>
      <c r="C3" s="12"/>
      <c r="D3" s="12"/>
      <c r="F3" s="16"/>
      <c r="G3" s="16"/>
      <c r="H3" s="16"/>
      <c r="I3" s="16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51"/>
      <c r="B6" s="250"/>
      <c r="C6" s="241"/>
      <c r="D6" s="246" t="s">
        <v>140</v>
      </c>
      <c r="E6" s="242" t="s">
        <v>113</v>
      </c>
      <c r="F6" s="421">
        <f>'Février 2027'!F8</f>
        <v>410.71000000000004</v>
      </c>
      <c r="G6" s="422"/>
      <c r="H6" s="421">
        <f>'Février 2027'!H8</f>
        <v>206.76999999999998</v>
      </c>
      <c r="I6" s="422"/>
    </row>
    <row r="7" spans="1:14" ht="15.75" customHeight="1" thickBot="1">
      <c r="A7" s="213"/>
      <c r="B7" s="212"/>
      <c r="C7" s="204"/>
      <c r="D7" s="248" t="s">
        <v>141</v>
      </c>
      <c r="E7" s="204"/>
      <c r="F7" s="255">
        <f>SUMIF($E$10:$E$24,"P",F10:F24)</f>
        <v>0</v>
      </c>
      <c r="G7" s="256">
        <f>SUMIF($E$10:$E$24,"P",G10:G24)</f>
        <v>0</v>
      </c>
      <c r="H7" s="255">
        <f>SUMIF($E$10:$E$24,"P",H10:H24)</f>
        <v>0</v>
      </c>
      <c r="I7" s="257">
        <f>SUMIF($E$10:$E$24,"P",I10:I24)</f>
        <v>0</v>
      </c>
    </row>
    <row r="8" spans="1:14" ht="15.75" customHeight="1">
      <c r="A8" s="213"/>
      <c r="B8" s="212"/>
      <c r="C8" s="204"/>
      <c r="D8" s="248" t="s">
        <v>142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14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26"/>
      <c r="B10" s="227" t="str">
        <f>IFERROR(INDEX(t_Comptes[CODES],MATCH(C10,t_Comptes[LIBELLES],0)),"")</f>
        <v/>
      </c>
      <c r="C10" s="228"/>
      <c r="D10" s="218"/>
      <c r="E10" s="229"/>
      <c r="F10" s="230"/>
      <c r="G10" s="231"/>
      <c r="H10" s="230"/>
      <c r="I10" s="232"/>
    </row>
    <row r="11" spans="1:14" ht="15.75" customHeight="1">
      <c r="E11" s="238"/>
    </row>
    <row r="12" spans="1:14" ht="15.75" customHeight="1">
      <c r="E12" s="238"/>
    </row>
    <row r="13" spans="1:14" ht="15.75" customHeight="1">
      <c r="E13" s="238"/>
    </row>
    <row r="14" spans="1:14" ht="15.75" customHeight="1">
      <c r="E14" s="238"/>
    </row>
    <row r="15" spans="1:14" ht="15.75" customHeight="1">
      <c r="E15" s="238"/>
    </row>
    <row r="16" spans="1:14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>
      <c r="E23" s="238"/>
    </row>
    <row r="24" spans="5:5" ht="15.75" customHeight="1">
      <c r="E24" s="238"/>
    </row>
    <row r="25" spans="5:5" ht="15.75" customHeight="1">
      <c r="E25" s="238"/>
    </row>
    <row r="26" spans="5:5" ht="15.75" customHeight="1">
      <c r="E26" s="238"/>
    </row>
    <row r="27" spans="5:5" ht="15.75" customHeight="1">
      <c r="E27" s="238"/>
    </row>
    <row r="28" spans="5:5" ht="15.75" customHeight="1"/>
    <row r="29" spans="5:5" ht="15.75" customHeight="1"/>
    <row r="30" spans="5:5" ht="15.75" customHeight="1"/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ortState xmlns:xlrd2="http://schemas.microsoft.com/office/spreadsheetml/2017/richdata2" ref="A10:I10">
    <sortCondition ref="A10"/>
  </sortState>
  <mergeCells count="13">
    <mergeCell ref="A4:A5"/>
    <mergeCell ref="B4:B5"/>
    <mergeCell ref="C4:C5"/>
    <mergeCell ref="D4:D5"/>
    <mergeCell ref="F5:G5"/>
    <mergeCell ref="C2:D2"/>
    <mergeCell ref="H8:I8"/>
    <mergeCell ref="F8:G8"/>
    <mergeCell ref="H6:I6"/>
    <mergeCell ref="F6:G6"/>
    <mergeCell ref="H5:I5"/>
    <mergeCell ref="F4:I4"/>
    <mergeCell ref="E4:E5"/>
  </mergeCells>
  <conditionalFormatting sqref="A10:C10 E10:I10">
    <cfRule type="expression" dxfId="123" priority="30">
      <formula>INT(ROW()/2)=ROW()/2</formula>
    </cfRule>
  </conditionalFormatting>
  <conditionalFormatting sqref="D10">
    <cfRule type="expression" dxfId="122" priority="2">
      <formula>INT(ROW()/2)=ROW()/2</formula>
    </cfRule>
  </conditionalFormatting>
  <dataValidations count="3">
    <dataValidation type="list" allowBlank="1" showInputMessage="1" showErrorMessage="1" sqref="C10" xr:uid="{00000000-0002-0000-0500-000000000000}">
      <formula1>d.comptes</formula1>
    </dataValidation>
    <dataValidation type="custom" allowBlank="1" showInputMessage="1" showErrorMessage="1" sqref="F10 H10" xr:uid="{4F12ED2B-4FAA-4D75-B04E-E837D819AA5F}">
      <formula1>$B10&gt;=7000</formula1>
    </dataValidation>
    <dataValidation type="custom" allowBlank="1" showInputMessage="1" showErrorMessage="1" sqref="G10 I10" xr:uid="{14CE17F1-8D37-42AF-8552-1E3628FE7B50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50"/>
  <sheetViews>
    <sheetView showGridLines="0" workbookViewId="0">
      <pane ySplit="9" topLeftCell="A10" activePane="bottomLeft" state="frozen"/>
      <selection activeCell="F24" sqref="F24"/>
      <selection pane="bottomLeft" activeCell="F24" sqref="F24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2" width="11.42578125" style="20"/>
    <col min="13" max="16384" width="11.42578125" style="11"/>
  </cols>
  <sheetData>
    <row r="1" spans="1:12" ht="30" customHeight="1">
      <c r="A1" s="15"/>
      <c r="B1" s="16"/>
      <c r="C1" s="12"/>
      <c r="D1" s="12"/>
      <c r="F1" s="16"/>
      <c r="G1" s="16"/>
      <c r="H1" s="16"/>
      <c r="I1" s="16"/>
    </row>
    <row r="2" spans="1:12" ht="30" customHeight="1">
      <c r="A2" s="15"/>
      <c r="B2" s="17" t="s">
        <v>6</v>
      </c>
      <c r="C2" s="409" t="str">
        <f ca="1">_xlfn.LET(_xlpm.Mois,MID(CELL("filename",A1),FIND("]",CELL("filename",A1))+1,32),IF(ISNUMBER(SEARCH(LEFT(_xlpm.Mois,1),"AEIOUY")),"Mois d'" &amp; _xlpm.Mois,"Mois de " &amp; _xlpm.Mois))</f>
        <v>Mois d'Avril 2027</v>
      </c>
      <c r="D2" s="409"/>
      <c r="E2" s="23"/>
      <c r="F2" s="10"/>
      <c r="G2" s="10"/>
      <c r="H2" s="18"/>
      <c r="I2" s="18"/>
    </row>
    <row r="3" spans="1:12" ht="16.5" thickBot="1">
      <c r="A3" s="15"/>
      <c r="B3" s="16"/>
      <c r="C3" s="12"/>
      <c r="D3" s="12"/>
      <c r="F3" s="16"/>
      <c r="G3" s="16"/>
      <c r="H3" s="16"/>
      <c r="I3" s="16"/>
    </row>
    <row r="4" spans="1:12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  <c r="J4" s="11"/>
      <c r="K4" s="11"/>
      <c r="L4" s="11"/>
    </row>
    <row r="5" spans="1:12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</row>
    <row r="6" spans="1:12" ht="15.75" customHeight="1" thickBot="1">
      <c r="A6" s="249"/>
      <c r="B6" s="250"/>
      <c r="C6" s="241"/>
      <c r="D6" s="246" t="s">
        <v>143</v>
      </c>
      <c r="E6" s="242" t="s">
        <v>114</v>
      </c>
      <c r="F6" s="421">
        <f>'Mars 2027'!F8</f>
        <v>410.71000000000004</v>
      </c>
      <c r="G6" s="422"/>
      <c r="H6" s="419">
        <f>'Mars 2027'!H8</f>
        <v>206.76999999999998</v>
      </c>
      <c r="I6" s="420"/>
    </row>
    <row r="7" spans="1:12" ht="15.75" customHeight="1" thickBot="1">
      <c r="A7" s="211"/>
      <c r="B7" s="212"/>
      <c r="C7" s="204"/>
      <c r="D7" s="248" t="s">
        <v>144</v>
      </c>
      <c r="E7" s="204"/>
      <c r="F7" s="255">
        <f>SUMIF($E$10:$E$13,"P",F10:F13)</f>
        <v>0</v>
      </c>
      <c r="G7" s="256">
        <f>SUMIF($E$10:$E$13,"P",G10:G13)</f>
        <v>0</v>
      </c>
      <c r="H7" s="255">
        <f>SUMIF($E$10:$E$13,"P",H10:H13)</f>
        <v>0</v>
      </c>
      <c r="I7" s="257">
        <f>SUMIF($E$10:$E$13,"P",I10:I13)</f>
        <v>0</v>
      </c>
    </row>
    <row r="8" spans="1:12" ht="15.75" customHeight="1">
      <c r="A8" s="211"/>
      <c r="B8" s="212"/>
      <c r="C8" s="204"/>
      <c r="D8" s="248" t="s">
        <v>145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2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2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</row>
    <row r="11" spans="1:12" ht="15.75" customHeight="1">
      <c r="E11" s="238"/>
    </row>
    <row r="12" spans="1:12" ht="15.75" customHeight="1">
      <c r="E12" s="238"/>
    </row>
    <row r="13" spans="1:12" ht="15.75" customHeight="1">
      <c r="E13" s="238"/>
    </row>
    <row r="14" spans="1:12" ht="15.75" customHeight="1">
      <c r="E14" s="238"/>
    </row>
    <row r="15" spans="1:12" ht="15.75" customHeight="1">
      <c r="E15" s="238"/>
    </row>
    <row r="16" spans="1:12" ht="15.75" customHeight="1"/>
    <row r="17" spans="4:4" ht="15.75" customHeight="1">
      <c r="D17" s="278"/>
    </row>
    <row r="18" spans="4:4" ht="15.75" customHeight="1"/>
    <row r="19" spans="4:4" ht="15.75" customHeight="1"/>
    <row r="20" spans="4:4" ht="15.75" customHeight="1"/>
    <row r="21" spans="4:4" ht="15.75" customHeight="1"/>
    <row r="22" spans="4:4" ht="15.75" customHeight="1"/>
    <row r="23" spans="4:4" ht="15.75" customHeight="1"/>
    <row r="24" spans="4:4" ht="15.75" customHeight="1"/>
    <row r="25" spans="4:4" ht="15.75" customHeight="1"/>
    <row r="26" spans="4:4" ht="15.75" customHeight="1"/>
    <row r="27" spans="4:4" ht="15.75" customHeight="1"/>
    <row r="28" spans="4:4" ht="15.75" customHeight="1"/>
    <row r="29" spans="4:4" ht="15.75" customHeight="1"/>
    <row r="30" spans="4:4" ht="15.75" customHeight="1"/>
    <row r="31" spans="4:4" ht="15.75" customHeight="1"/>
    <row r="32" spans="4:4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ortState xmlns:xlrd2="http://schemas.microsoft.com/office/spreadsheetml/2017/richdata2" ref="A10:L10">
    <sortCondition ref="A10"/>
  </sortState>
  <mergeCells count="13">
    <mergeCell ref="A4:A5"/>
    <mergeCell ref="B4:B5"/>
    <mergeCell ref="C4:C5"/>
    <mergeCell ref="D4:D5"/>
    <mergeCell ref="F4:I4"/>
    <mergeCell ref="E4:E5"/>
    <mergeCell ref="C2:D2"/>
    <mergeCell ref="F8:G8"/>
    <mergeCell ref="H8:I8"/>
    <mergeCell ref="H6:I6"/>
    <mergeCell ref="F6:G6"/>
    <mergeCell ref="F5:G5"/>
    <mergeCell ref="H5:I5"/>
  </mergeCells>
  <conditionalFormatting sqref="A10:I10">
    <cfRule type="expression" dxfId="110" priority="34">
      <formula>INT(ROW()/2)=ROW()/2</formula>
    </cfRule>
  </conditionalFormatting>
  <dataValidations count="3">
    <dataValidation type="list" allowBlank="1" showInputMessage="1" showErrorMessage="1" sqref="C10" xr:uid="{00000000-0002-0000-0600-000000000000}">
      <formula1>d.comptes</formula1>
    </dataValidation>
    <dataValidation type="custom" allowBlank="1" showInputMessage="1" showErrorMessage="1" sqref="H10 F10" xr:uid="{CE8B8B0D-6E48-4770-98BA-E24C9032B5F3}">
      <formula1>$B10&gt;=7000</formula1>
    </dataValidation>
    <dataValidation type="custom" allowBlank="1" showInputMessage="1" showErrorMessage="1" sqref="I10 G10" xr:uid="{E2C5C890-898B-4D8D-A08A-7A8BCCB569D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M50"/>
  <sheetViews>
    <sheetView showGridLines="0" zoomScaleNormal="100" workbookViewId="0">
      <pane ySplit="9" topLeftCell="A10" activePane="bottomLeft" state="frozen"/>
      <selection activeCell="C10" sqref="C10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3" width="11.42578125" style="20"/>
    <col min="14" max="16384" width="11.42578125" style="11"/>
  </cols>
  <sheetData>
    <row r="1" spans="1:13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</row>
    <row r="2" spans="1:13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Mai 2027</v>
      </c>
      <c r="D2" s="432"/>
      <c r="E2" s="23"/>
      <c r="F2" s="23"/>
      <c r="G2" s="23"/>
      <c r="H2" s="24"/>
      <c r="I2" s="24"/>
      <c r="J2" s="11"/>
      <c r="K2" s="11"/>
      <c r="L2" s="11"/>
      <c r="M2" s="11"/>
    </row>
    <row r="3" spans="1:13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</row>
    <row r="4" spans="1:13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3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</row>
    <row r="6" spans="1:13" ht="15.75" customHeight="1" thickBot="1">
      <c r="A6" s="249"/>
      <c r="B6" s="250"/>
      <c r="C6" s="241"/>
      <c r="D6" s="246" t="s">
        <v>146</v>
      </c>
      <c r="E6" s="242" t="s">
        <v>115</v>
      </c>
      <c r="F6" s="421">
        <f>'Avril 2027'!F8</f>
        <v>410.71000000000004</v>
      </c>
      <c r="G6" s="422"/>
      <c r="H6" s="419">
        <f>'Avril 2027'!H8</f>
        <v>206.76999999999998</v>
      </c>
      <c r="I6" s="420"/>
    </row>
    <row r="7" spans="1:13" ht="15.75" customHeight="1" thickBot="1">
      <c r="A7" s="211"/>
      <c r="B7" s="212"/>
      <c r="C7" s="204"/>
      <c r="D7" s="248" t="s">
        <v>147</v>
      </c>
      <c r="E7" s="204"/>
      <c r="F7" s="255">
        <f>SUMIF($E$10:$E$25,"P",F10:F25)</f>
        <v>0</v>
      </c>
      <c r="G7" s="256">
        <f>SUMIF($E$10:$E$25,"P",G10:G25)</f>
        <v>0</v>
      </c>
      <c r="H7" s="255">
        <f>SUMIF($E$10:$E$25,"P",H10:H25)</f>
        <v>0</v>
      </c>
      <c r="I7" s="257">
        <f>SUMIF($E$10:$E$25,"P",I10:I25)</f>
        <v>0</v>
      </c>
    </row>
    <row r="8" spans="1:13" ht="15.75" customHeight="1">
      <c r="A8" s="211"/>
      <c r="B8" s="212"/>
      <c r="C8" s="204"/>
      <c r="D8" s="248" t="s">
        <v>148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3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63" t="s">
        <v>103</v>
      </c>
      <c r="G9" s="264" t="s">
        <v>104</v>
      </c>
      <c r="H9" s="263" t="s">
        <v>105</v>
      </c>
      <c r="I9" s="265" t="s">
        <v>106</v>
      </c>
    </row>
    <row r="10" spans="1:13" ht="15.75" customHeight="1">
      <c r="A10" s="261"/>
      <c r="B10" s="233" t="str">
        <f>IFERROR(INDEX(t_Comptes[CODES],MATCH(C10,t_Comptes[LIBELLES],0)),"")</f>
        <v/>
      </c>
      <c r="C10" s="259"/>
      <c r="D10" s="274"/>
      <c r="E10" s="260"/>
      <c r="F10" s="234"/>
      <c r="G10" s="235"/>
      <c r="H10" s="234"/>
      <c r="I10" s="236"/>
    </row>
    <row r="11" spans="1:13" ht="15.75" customHeight="1">
      <c r="E11" s="238"/>
    </row>
    <row r="12" spans="1:13" ht="15.75" customHeight="1">
      <c r="E12" s="238"/>
    </row>
    <row r="13" spans="1:13" ht="15.75" customHeight="1">
      <c r="E13" s="238"/>
    </row>
    <row r="14" spans="1:13" ht="15.75" customHeight="1">
      <c r="E14" s="238"/>
    </row>
    <row r="15" spans="1:13" ht="15.75" customHeight="1">
      <c r="E15" s="238"/>
    </row>
    <row r="16" spans="1:13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>
      <c r="E23" s="238"/>
    </row>
    <row r="24" spans="5:5" ht="15.75" customHeight="1">
      <c r="E24" s="238"/>
    </row>
    <row r="25" spans="5:5" ht="15.75" customHeight="1">
      <c r="E25" s="238"/>
    </row>
    <row r="26" spans="5:5" ht="15.75" customHeight="1">
      <c r="E26" s="238"/>
    </row>
    <row r="27" spans="5:5" ht="15.75" customHeight="1">
      <c r="E27" s="238"/>
    </row>
    <row r="28" spans="5:5" ht="15.75" customHeight="1"/>
    <row r="29" spans="5:5" ht="15.75" customHeight="1"/>
    <row r="30" spans="5:5" ht="15.75" customHeight="1"/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F5:G5"/>
    <mergeCell ref="C2:D2"/>
    <mergeCell ref="H8:I8"/>
    <mergeCell ref="H6:I6"/>
    <mergeCell ref="F8:G8"/>
    <mergeCell ref="F6:G6"/>
    <mergeCell ref="H5:I5"/>
    <mergeCell ref="F4:I4"/>
    <mergeCell ref="E4:E5"/>
  </mergeCells>
  <conditionalFormatting sqref="A10:C10 E10:I10">
    <cfRule type="expression" dxfId="98" priority="26">
      <formula>INT(ROW()/2)=ROW()/2</formula>
    </cfRule>
  </conditionalFormatting>
  <dataValidations count="3">
    <dataValidation type="list" allowBlank="1" showInputMessage="1" showErrorMessage="1" sqref="C10" xr:uid="{00000000-0002-0000-0700-000000000000}">
      <formula1>d.comptes</formula1>
    </dataValidation>
    <dataValidation type="custom" allowBlank="1" showInputMessage="1" showErrorMessage="1" sqref="H10 F10" xr:uid="{18D6E21C-ECE4-408A-B1D0-E64741022514}">
      <formula1>$B10&gt;=7000</formula1>
    </dataValidation>
    <dataValidation type="custom" allowBlank="1" showInputMessage="1" showErrorMessage="1" sqref="I10 G10" xr:uid="{EEC70CAE-6454-4AB8-AE6B-C96C628196FE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N50"/>
  <sheetViews>
    <sheetView showGridLines="0" workbookViewId="0">
      <pane ySplit="9" topLeftCell="A10" activePane="bottomLeft" state="frozen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Juin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3" t="s">
        <v>149</v>
      </c>
      <c r="E6" s="242" t="s">
        <v>116</v>
      </c>
      <c r="F6" s="421">
        <f>'Mai 2027'!F8</f>
        <v>410.71000000000004</v>
      </c>
      <c r="G6" s="422"/>
      <c r="H6" s="419">
        <f>'Mai 2027'!H8</f>
        <v>206.76999999999998</v>
      </c>
      <c r="I6" s="420"/>
    </row>
    <row r="7" spans="1:14" ht="15.75" customHeight="1" thickBot="1">
      <c r="A7" s="211"/>
      <c r="B7" s="212"/>
      <c r="C7" s="204"/>
      <c r="D7" s="244" t="s">
        <v>150</v>
      </c>
      <c r="E7" s="204"/>
      <c r="F7" s="255">
        <f>SUMIF($E$10:$E$29,"P",F10:F29)</f>
        <v>0</v>
      </c>
      <c r="G7" s="256">
        <f>SUMIF($E$10:$E$29,"P",G10:G29)</f>
        <v>0</v>
      </c>
      <c r="H7" s="255">
        <f>SUMIF($E$10:$E$29,"P",H10:H29)</f>
        <v>0</v>
      </c>
      <c r="I7" s="257">
        <f>SUMIF($E$10:$E$29,"P",I10:I29)</f>
        <v>0</v>
      </c>
    </row>
    <row r="8" spans="1:14" ht="15.75" customHeight="1">
      <c r="A8" s="211"/>
      <c r="B8" s="212"/>
      <c r="C8" s="204"/>
      <c r="D8" s="244" t="s">
        <v>151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</row>
    <row r="11" spans="1:14" ht="15.75" customHeight="1">
      <c r="E11" s="238"/>
    </row>
    <row r="12" spans="1:14" ht="15.75" customHeight="1">
      <c r="E12" s="238"/>
    </row>
    <row r="13" spans="1:14" ht="15.75" customHeight="1">
      <c r="E13" s="238"/>
    </row>
    <row r="14" spans="1:14" ht="15.75" customHeight="1">
      <c r="E14" s="238"/>
    </row>
    <row r="15" spans="1:14" ht="15.75" customHeight="1">
      <c r="E15" s="238"/>
    </row>
    <row r="16" spans="1:14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>
      <c r="E23" s="238"/>
    </row>
    <row r="24" spans="5:5" ht="15.75" customHeight="1">
      <c r="E24" s="238"/>
    </row>
    <row r="25" spans="5:5" ht="15.75" customHeight="1">
      <c r="E25" s="238"/>
    </row>
    <row r="26" spans="5:5" ht="15.75" customHeight="1">
      <c r="E26" s="238"/>
    </row>
    <row r="27" spans="5:5" ht="15.75" customHeight="1">
      <c r="E27" s="238"/>
    </row>
    <row r="28" spans="5:5" ht="15.75" customHeight="1">
      <c r="E28" s="238"/>
    </row>
    <row r="29" spans="5:5" ht="15.75" customHeight="1">
      <c r="E29" s="238"/>
    </row>
    <row r="30" spans="5:5" ht="15.75" customHeight="1">
      <c r="E30" s="238"/>
    </row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F5:G5"/>
    <mergeCell ref="C2:D2"/>
    <mergeCell ref="F8:G8"/>
    <mergeCell ref="H8:I8"/>
    <mergeCell ref="H6:I6"/>
    <mergeCell ref="F6:G6"/>
    <mergeCell ref="H5:I5"/>
    <mergeCell ref="F4:I4"/>
    <mergeCell ref="E4:E5"/>
  </mergeCells>
  <conditionalFormatting sqref="A10:I10">
    <cfRule type="expression" dxfId="86" priority="22">
      <formula>INT(ROW()/2)=ROW()/2</formula>
    </cfRule>
  </conditionalFormatting>
  <dataValidations count="3">
    <dataValidation type="list" allowBlank="1" showInputMessage="1" showErrorMessage="1" sqref="C10" xr:uid="{00000000-0002-0000-0800-000000000000}">
      <formula1>d.comptes</formula1>
    </dataValidation>
    <dataValidation type="custom" allowBlank="1" showInputMessage="1" showErrorMessage="1" sqref="H10 F10" xr:uid="{FAEA6BA5-C8FD-42D3-8E8D-0CB9116FD03D}">
      <formula1>$B10&gt;=7000</formula1>
    </dataValidation>
    <dataValidation type="custom" allowBlank="1" showInputMessage="1" showErrorMessage="1" sqref="I10 G10" xr:uid="{3BC016A3-019D-4D63-A286-3A31F6C115D0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N50"/>
  <sheetViews>
    <sheetView showGridLines="0" workbookViewId="0">
      <pane ySplit="9" topLeftCell="A10" activePane="bottomLeft" state="frozen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Juillet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3" t="s">
        <v>152</v>
      </c>
      <c r="E6" s="242" t="s">
        <v>117</v>
      </c>
      <c r="F6" s="421">
        <f>'Juin 2027'!F8</f>
        <v>410.71000000000004</v>
      </c>
      <c r="G6" s="422"/>
      <c r="H6" s="419">
        <f>'Juin 2027'!H8</f>
        <v>206.76999999999998</v>
      </c>
      <c r="I6" s="420"/>
    </row>
    <row r="7" spans="1:14" ht="15.75" customHeight="1" thickBot="1">
      <c r="A7" s="211"/>
      <c r="B7" s="212"/>
      <c r="C7" s="204"/>
      <c r="D7" s="244" t="s">
        <v>153</v>
      </c>
      <c r="E7" s="204"/>
      <c r="F7" s="255">
        <f>SUMIF($E$10:$E$24,"P",F10:F24)</f>
        <v>0</v>
      </c>
      <c r="G7" s="256">
        <f>SUMIF($E$10:$E$24,"P",G10:G24)</f>
        <v>0</v>
      </c>
      <c r="H7" s="255">
        <f>SUMIF($E$10:$E$24,"P",H10:H24)</f>
        <v>0</v>
      </c>
      <c r="I7" s="257">
        <f>SUMIF($E$10:$E$24,"P",I10:I24)</f>
        <v>0</v>
      </c>
    </row>
    <row r="8" spans="1:14" ht="15.75" customHeight="1">
      <c r="A8" s="211"/>
      <c r="B8" s="212"/>
      <c r="C8" s="204"/>
      <c r="D8" s="244" t="s">
        <v>154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</row>
    <row r="11" spans="1:14" ht="15.75" customHeight="1">
      <c r="E11" s="238"/>
    </row>
    <row r="12" spans="1:14" ht="15.75" customHeight="1">
      <c r="E12" s="238"/>
    </row>
    <row r="13" spans="1:14" ht="15.75" customHeight="1">
      <c r="E13" s="238"/>
    </row>
    <row r="14" spans="1:14" ht="15.75" customHeight="1">
      <c r="E14" s="238"/>
    </row>
    <row r="15" spans="1:14" ht="15.75" customHeight="1">
      <c r="E15" s="238"/>
    </row>
    <row r="16" spans="1:14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>
      <c r="E23" s="238"/>
    </row>
    <row r="24" spans="5:5" ht="15.75" customHeight="1">
      <c r="E24" s="238"/>
    </row>
    <row r="25" spans="5:5" ht="15.75" customHeight="1">
      <c r="E25" s="238"/>
    </row>
    <row r="26" spans="5:5" ht="15.75" customHeight="1">
      <c r="E26" s="238"/>
    </row>
    <row r="27" spans="5:5" ht="15.75" customHeight="1">
      <c r="E27" s="238"/>
    </row>
    <row r="28" spans="5:5" ht="15.75" customHeight="1">
      <c r="E28" s="238"/>
    </row>
    <row r="29" spans="5:5" ht="15.75" customHeight="1">
      <c r="E29" s="238"/>
    </row>
    <row r="30" spans="5:5" ht="15.75" customHeight="1">
      <c r="E30" s="238"/>
    </row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ortState xmlns:xlrd2="http://schemas.microsoft.com/office/spreadsheetml/2017/richdata2" ref="A10:N10">
    <sortCondition ref="A10"/>
  </sortState>
  <mergeCells count="13">
    <mergeCell ref="A4:A5"/>
    <mergeCell ref="B4:B5"/>
    <mergeCell ref="C4:C5"/>
    <mergeCell ref="D4:D5"/>
    <mergeCell ref="F5:G5"/>
    <mergeCell ref="C2:D2"/>
    <mergeCell ref="H8:I8"/>
    <mergeCell ref="H6:I6"/>
    <mergeCell ref="F8:G8"/>
    <mergeCell ref="F6:G6"/>
    <mergeCell ref="H5:I5"/>
    <mergeCell ref="F4:I4"/>
    <mergeCell ref="E4:E5"/>
  </mergeCells>
  <conditionalFormatting sqref="A10:I10">
    <cfRule type="expression" dxfId="74" priority="26">
      <formula>INT(ROW()/2)=ROW()/2</formula>
    </cfRule>
  </conditionalFormatting>
  <dataValidations count="3">
    <dataValidation type="list" allowBlank="1" showInputMessage="1" showErrorMessage="1" sqref="C10" xr:uid="{00000000-0002-0000-0900-000000000000}">
      <formula1>d.comptes</formula1>
    </dataValidation>
    <dataValidation type="custom" allowBlank="1" showInputMessage="1" showErrorMessage="1" sqref="H10 F10" xr:uid="{71D10893-ABCA-462C-A0CA-80FC586EBE57}">
      <formula1>$B10&gt;=7000</formula1>
    </dataValidation>
    <dataValidation type="custom" allowBlank="1" showInputMessage="1" showErrorMessage="1" sqref="I10 G10" xr:uid="{8AE2C650-1ACB-49DB-B9CD-C82DE2DF74C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N50"/>
  <sheetViews>
    <sheetView showGridLines="0" workbookViewId="0">
      <pane ySplit="9" topLeftCell="A10" activePane="bottomLeft" state="frozen"/>
      <selection pane="bottomLeft" activeCell="D17" sqref="D17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d'Août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6" t="s">
        <v>155</v>
      </c>
      <c r="E6" s="242" t="s">
        <v>118</v>
      </c>
      <c r="F6" s="421">
        <f>'Juillet 2027'!F8</f>
        <v>410.71000000000004</v>
      </c>
      <c r="G6" s="422"/>
      <c r="H6" s="419">
        <f>'Juillet 2027'!H8</f>
        <v>206.76999999999998</v>
      </c>
      <c r="I6" s="420"/>
    </row>
    <row r="7" spans="1:14" ht="15.75" customHeight="1" thickBot="1">
      <c r="A7" s="211"/>
      <c r="B7" s="212"/>
      <c r="C7" s="204"/>
      <c r="D7" s="248" t="s">
        <v>156</v>
      </c>
      <c r="E7" s="204"/>
      <c r="F7" s="255">
        <f>SUMIF($E$10:$E$24,"P",F10:F24)</f>
        <v>0</v>
      </c>
      <c r="G7" s="256">
        <f>SUMIF($E$10:$E$24,"P",G10:G24)</f>
        <v>0</v>
      </c>
      <c r="H7" s="255">
        <f>SUMIF($E$10:$E$24,"P",H10:H24)</f>
        <v>0</v>
      </c>
      <c r="I7" s="257">
        <f>SUMIF($E$10:$E$24,"P",I10:I24)</f>
        <v>0</v>
      </c>
    </row>
    <row r="8" spans="1:14" ht="15.75" customHeight="1">
      <c r="A8" s="211"/>
      <c r="B8" s="212"/>
      <c r="C8" s="204"/>
      <c r="D8" s="248" t="s">
        <v>157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  <c r="J10" s="177"/>
    </row>
    <row r="11" spans="1:14" ht="15.75" customHeight="1"/>
    <row r="12" spans="1:14" ht="15.75" customHeight="1"/>
    <row r="13" spans="1:14" ht="15.75" customHeight="1"/>
    <row r="14" spans="1:14" ht="15.75" customHeight="1"/>
    <row r="15" spans="1:14" ht="15.75" customHeight="1"/>
    <row r="16" spans="1:14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F5:G5"/>
    <mergeCell ref="C2:D2"/>
    <mergeCell ref="H8:I8"/>
    <mergeCell ref="F8:G8"/>
    <mergeCell ref="H6:I6"/>
    <mergeCell ref="F6:G6"/>
    <mergeCell ref="H5:I5"/>
    <mergeCell ref="F4:I4"/>
    <mergeCell ref="E4:E5"/>
  </mergeCells>
  <conditionalFormatting sqref="A10:I10">
    <cfRule type="expression" dxfId="62" priority="8">
      <formula>INT(ROW()/2)=ROW()/2</formula>
    </cfRule>
  </conditionalFormatting>
  <dataValidations count="3">
    <dataValidation type="list" allowBlank="1" showInputMessage="1" showErrorMessage="1" sqref="C10" xr:uid="{00000000-0002-0000-0A00-000000000000}">
      <formula1>d.comptes</formula1>
    </dataValidation>
    <dataValidation type="custom" allowBlank="1" showInputMessage="1" showErrorMessage="1" sqref="F10 H10" xr:uid="{EAE46A14-A595-4DC1-BAE3-2E79DCDBEA06}">
      <formula1>$B10&gt;=7000</formula1>
    </dataValidation>
    <dataValidation type="custom" allowBlank="1" showInputMessage="1" showErrorMessage="1" sqref="G10 I10" xr:uid="{FE77BDC0-D79F-4C94-A52D-69D9B3CD37D1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N50"/>
  <sheetViews>
    <sheetView showGridLines="0" workbookViewId="0">
      <pane ySplit="9" topLeftCell="A10" activePane="bottomLeft" state="frozen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Septembre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6" t="s">
        <v>158</v>
      </c>
      <c r="E6" s="242" t="s">
        <v>119</v>
      </c>
      <c r="F6" s="421">
        <f>'Août 2027'!F8</f>
        <v>410.71000000000004</v>
      </c>
      <c r="G6" s="422"/>
      <c r="H6" s="419">
        <f>'Août 2027'!H8</f>
        <v>206.76999999999998</v>
      </c>
      <c r="I6" s="420"/>
      <c r="J6" s="179"/>
      <c r="K6" s="179"/>
    </row>
    <row r="7" spans="1:14" ht="15.75" customHeight="1" thickBot="1">
      <c r="A7" s="211"/>
      <c r="B7" s="212"/>
      <c r="C7" s="204"/>
      <c r="D7" s="248" t="s">
        <v>159</v>
      </c>
      <c r="E7" s="204"/>
      <c r="F7" s="255">
        <f>SUMIF($E$10:$E$24,"P",F10:F24)</f>
        <v>0</v>
      </c>
      <c r="G7" s="256">
        <f>SUMIF($E$10:$E$24,"P",G10:G24)</f>
        <v>0</v>
      </c>
      <c r="H7" s="255">
        <f>SUMIF($E$10:$E$24,"P",H10:H24)</f>
        <v>0</v>
      </c>
      <c r="I7" s="257">
        <f>SUMIF($E$10:$E$24,"P",I10:I24)</f>
        <v>0</v>
      </c>
      <c r="J7" s="179"/>
      <c r="K7" s="179"/>
    </row>
    <row r="8" spans="1:14" ht="15.75" customHeight="1">
      <c r="A8" s="211"/>
      <c r="B8" s="212"/>
      <c r="C8" s="204"/>
      <c r="D8" s="248" t="s">
        <v>160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  <c r="J8" s="179"/>
      <c r="K8" s="179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  <c r="J9" s="179"/>
      <c r="K9" s="179"/>
    </row>
    <row r="10" spans="1:14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  <c r="J10" s="178"/>
    </row>
    <row r="11" spans="1:14" ht="15.75" customHeight="1"/>
    <row r="12" spans="1:14" ht="15.75" customHeight="1"/>
    <row r="13" spans="1:14" ht="15.75" customHeight="1"/>
    <row r="14" spans="1:14" ht="15.75" customHeight="1"/>
    <row r="15" spans="1:14" ht="15.75" customHeight="1"/>
    <row r="16" spans="1:14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F5:G5"/>
    <mergeCell ref="C2:D2"/>
    <mergeCell ref="H8:I8"/>
    <mergeCell ref="F8:G8"/>
    <mergeCell ref="H6:I6"/>
    <mergeCell ref="F6:G6"/>
    <mergeCell ref="H5:I5"/>
    <mergeCell ref="F4:I4"/>
    <mergeCell ref="E4:E5"/>
  </mergeCells>
  <conditionalFormatting sqref="A10:I10">
    <cfRule type="expression" dxfId="50" priority="30">
      <formula>INT(ROW()/2)=ROW()/2</formula>
    </cfRule>
  </conditionalFormatting>
  <dataValidations count="3">
    <dataValidation type="list" allowBlank="1" showInputMessage="1" showErrorMessage="1" sqref="C10" xr:uid="{00000000-0002-0000-0B00-000000000000}">
      <formula1>d.comptes</formula1>
    </dataValidation>
    <dataValidation type="custom" allowBlank="1" showInputMessage="1" showErrorMessage="1" sqref="H10 F10" xr:uid="{1D13FAD3-9A8A-48FB-A341-559F71176075}">
      <formula1>$B10&gt;=7000</formula1>
    </dataValidation>
    <dataValidation type="custom" allowBlank="1" showInputMessage="1" showErrorMessage="1" sqref="I10 G10" xr:uid="{17C9643B-BDE3-4818-BF6D-EAE0D1CB2D7A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N50"/>
  <sheetViews>
    <sheetView showGridLines="0" workbookViewId="0">
      <pane ySplit="9" topLeftCell="A10" activePane="bottomLeft" state="frozen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d'Octobre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6" t="s">
        <v>161</v>
      </c>
      <c r="E6" s="242" t="s">
        <v>120</v>
      </c>
      <c r="F6" s="421">
        <f>'Septembre 2027'!F8</f>
        <v>410.71000000000004</v>
      </c>
      <c r="G6" s="422"/>
      <c r="H6" s="419">
        <f>'Septembre 2027'!H8</f>
        <v>206.76999999999998</v>
      </c>
      <c r="I6" s="420"/>
    </row>
    <row r="7" spans="1:14" ht="15.75" customHeight="1" thickBot="1">
      <c r="A7" s="211"/>
      <c r="B7" s="212"/>
      <c r="C7" s="204"/>
      <c r="D7" s="248" t="s">
        <v>162</v>
      </c>
      <c r="E7" s="204"/>
      <c r="F7" s="255"/>
      <c r="G7" s="256">
        <f>SUMIF($E$10:$E$23,"P",G10:G23)</f>
        <v>0</v>
      </c>
      <c r="H7" s="255">
        <f>SUMIF($E$10:$E$23,"P",H10:H23)</f>
        <v>0</v>
      </c>
      <c r="I7" s="257">
        <f>SUMIF($E$10:$E$23,"P",I10:I23)</f>
        <v>0</v>
      </c>
    </row>
    <row r="8" spans="1:14" ht="15.75" customHeight="1">
      <c r="A8" s="211"/>
      <c r="B8" s="212"/>
      <c r="C8" s="204"/>
      <c r="D8" s="248" t="s">
        <v>163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37"/>
      <c r="B10" s="227" t="str">
        <f>IFERROR(INDEX(t_Comptes[CODES],MATCH(C10,t_Comptes[LIBELLES],0)),"")</f>
        <v/>
      </c>
      <c r="C10" s="228"/>
      <c r="D10" s="228"/>
      <c r="E10" s="229"/>
      <c r="F10" s="230"/>
      <c r="G10" s="231"/>
      <c r="H10" s="230"/>
      <c r="I10" s="232"/>
      <c r="J10" s="177"/>
    </row>
    <row r="11" spans="1:14" ht="15.75" customHeight="1"/>
    <row r="12" spans="1:14" ht="15.75" customHeight="1"/>
    <row r="13" spans="1:14" ht="15.75" customHeight="1"/>
    <row r="14" spans="1:14" ht="15.75" customHeight="1"/>
    <row r="15" spans="1:14" ht="15.75" customHeight="1"/>
    <row r="16" spans="1:14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F5:G5"/>
    <mergeCell ref="C2:D2"/>
    <mergeCell ref="H8:I8"/>
    <mergeCell ref="F8:G8"/>
    <mergeCell ref="H6:I6"/>
    <mergeCell ref="F6:G6"/>
    <mergeCell ref="H5:I5"/>
    <mergeCell ref="F4:I4"/>
    <mergeCell ref="E4:E5"/>
  </mergeCells>
  <conditionalFormatting sqref="A10:I10">
    <cfRule type="expression" dxfId="38" priority="24">
      <formula>INT(ROW()/2)=ROW()/2</formula>
    </cfRule>
  </conditionalFormatting>
  <dataValidations count="3">
    <dataValidation type="list" allowBlank="1" showInputMessage="1" showErrorMessage="1" sqref="C10" xr:uid="{00000000-0002-0000-0C00-000000000000}">
      <formula1>d.comptes</formula1>
    </dataValidation>
    <dataValidation type="custom" allowBlank="1" showInputMessage="1" showErrorMessage="1" sqref="H10 F10" xr:uid="{07DF229E-07FD-4988-BA4D-999F40060951}">
      <formula1>$B10&gt;=7000</formula1>
    </dataValidation>
    <dataValidation type="custom" allowBlank="1" showInputMessage="1" showErrorMessage="1" sqref="I10 G10" xr:uid="{729367CA-5452-423E-A507-A74F2C130AE9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N50"/>
  <sheetViews>
    <sheetView showGridLines="0" workbookViewId="0">
      <pane ySplit="9" topLeftCell="A10" activePane="bottomLeft" state="frozen"/>
      <selection pane="bottomLeft" activeCell="F8" sqref="F8:I8"/>
    </sheetView>
  </sheetViews>
  <sheetFormatPr baseColWidth="10" defaultColWidth="11.42578125" defaultRowHeight="15.75"/>
  <cols>
    <col min="1" max="1" width="15.7109375" style="19" customWidth="1"/>
    <col min="2" max="2" width="15.7109375" style="11" hidden="1" customWidth="1"/>
    <col min="3" max="3" width="40.7109375" style="20" customWidth="1"/>
    <col min="4" max="4" width="80.7109375" style="11" customWidth="1"/>
    <col min="5" max="5" width="8.7109375" style="12" customWidth="1"/>
    <col min="6" max="9" width="15.7109375" style="11" customWidth="1"/>
    <col min="10" max="14" width="11.42578125" style="20"/>
    <col min="15" max="16384" width="11.42578125" style="11"/>
  </cols>
  <sheetData>
    <row r="1" spans="1:14" ht="30" customHeight="1">
      <c r="A1" s="21"/>
      <c r="B1" s="12"/>
      <c r="C1" s="12"/>
      <c r="D1" s="12"/>
      <c r="F1" s="12"/>
      <c r="G1" s="12"/>
      <c r="H1" s="12"/>
      <c r="I1" s="12"/>
      <c r="J1" s="11"/>
      <c r="K1" s="11"/>
      <c r="L1" s="11"/>
      <c r="M1" s="11"/>
      <c r="N1" s="11"/>
    </row>
    <row r="2" spans="1:14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Novembre 2027</v>
      </c>
      <c r="D2" s="432"/>
      <c r="E2" s="23"/>
      <c r="F2" s="23"/>
      <c r="G2" s="23"/>
      <c r="H2" s="24"/>
      <c r="I2" s="24"/>
      <c r="J2" s="11"/>
      <c r="K2" s="11"/>
      <c r="L2" s="11"/>
      <c r="M2" s="11"/>
      <c r="N2" s="11"/>
    </row>
    <row r="3" spans="1:14" ht="16.5" customHeight="1" thickBot="1">
      <c r="A3" s="21"/>
      <c r="B3" s="12"/>
      <c r="C3" s="12"/>
      <c r="D3" s="12"/>
      <c r="F3" s="12"/>
      <c r="G3" s="12"/>
      <c r="H3" s="12"/>
      <c r="I3" s="12"/>
      <c r="J3" s="11"/>
      <c r="K3" s="11"/>
      <c r="L3" s="11"/>
      <c r="M3" s="11"/>
      <c r="N3" s="11"/>
    </row>
    <row r="4" spans="1:14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14" s="13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  <c r="J5" s="12"/>
      <c r="K5" s="12"/>
      <c r="L5" s="12"/>
      <c r="M5" s="12"/>
      <c r="N5" s="12"/>
    </row>
    <row r="6" spans="1:14" ht="15.75" customHeight="1" thickBot="1">
      <c r="A6" s="249"/>
      <c r="B6" s="250"/>
      <c r="C6" s="241"/>
      <c r="D6" s="246" t="s">
        <v>164</v>
      </c>
      <c r="E6" s="242" t="s">
        <v>121</v>
      </c>
      <c r="F6" s="421">
        <f>'Octobre 2027'!F8</f>
        <v>410.71000000000004</v>
      </c>
      <c r="G6" s="422"/>
      <c r="H6" s="419">
        <f>'Octobre 2027'!H8</f>
        <v>206.76999999999998</v>
      </c>
      <c r="I6" s="420"/>
    </row>
    <row r="7" spans="1:14" ht="15.75" customHeight="1" thickBot="1">
      <c r="A7" s="211"/>
      <c r="B7" s="212"/>
      <c r="C7" s="204"/>
      <c r="D7" s="248" t="s">
        <v>165</v>
      </c>
      <c r="E7" s="204"/>
      <c r="F7" s="255">
        <f>SUMIF($E$10:$E$22,"P",F10:F22)</f>
        <v>0</v>
      </c>
      <c r="G7" s="256">
        <f>SUMIF($E$10:$E$22,"P",G10:G22)</f>
        <v>0</v>
      </c>
      <c r="H7" s="255">
        <f>SUMIF($E$10:$E$22,"P",H10:H22)</f>
        <v>0</v>
      </c>
      <c r="I7" s="257">
        <f>SUMIF($E$10:$E$22,"P",I10:I22)</f>
        <v>0</v>
      </c>
    </row>
    <row r="8" spans="1:14" ht="15.75" customHeight="1">
      <c r="A8" s="211"/>
      <c r="B8" s="212"/>
      <c r="C8" s="204"/>
      <c r="D8" s="248" t="s">
        <v>166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14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14" ht="15.75" customHeight="1">
      <c r="A10" s="237"/>
      <c r="B10" s="227"/>
      <c r="C10" s="228"/>
      <c r="D10" s="228"/>
      <c r="E10" s="229"/>
      <c r="F10" s="230"/>
      <c r="G10" s="231"/>
      <c r="H10" s="230"/>
      <c r="I10" s="232"/>
    </row>
    <row r="11" spans="1:14" ht="15.75" customHeight="1"/>
    <row r="12" spans="1:14" ht="15.75" customHeight="1"/>
    <row r="13" spans="1:14" ht="15.75" customHeight="1"/>
    <row r="14" spans="1:14" ht="15.75" customHeight="1"/>
    <row r="15" spans="1:14" ht="15.75" customHeight="1"/>
    <row r="16" spans="1:14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mergeCells count="13">
    <mergeCell ref="A4:A5"/>
    <mergeCell ref="B4:B5"/>
    <mergeCell ref="C4:C5"/>
    <mergeCell ref="D4:D5"/>
    <mergeCell ref="E4:E5"/>
    <mergeCell ref="C2:D2"/>
    <mergeCell ref="H8:I8"/>
    <mergeCell ref="F8:G8"/>
    <mergeCell ref="H6:I6"/>
    <mergeCell ref="F6:G6"/>
    <mergeCell ref="F5:G5"/>
    <mergeCell ref="H5:I5"/>
    <mergeCell ref="F4:I4"/>
  </mergeCells>
  <conditionalFormatting sqref="A10:I10">
    <cfRule type="expression" dxfId="26" priority="21">
      <formula>INT(ROW()/2)=ROW()/2</formula>
    </cfRule>
  </conditionalFormatting>
  <dataValidations count="3">
    <dataValidation type="list" allowBlank="1" showInputMessage="1" showErrorMessage="1" sqref="C10" xr:uid="{00000000-0002-0000-0D00-000000000000}">
      <formula1>d.comptes</formula1>
    </dataValidation>
    <dataValidation type="custom" allowBlank="1" showInputMessage="1" showErrorMessage="1" sqref="H10 F10" xr:uid="{B4BD5858-68C1-49A8-9EB5-F8622BDE6495}">
      <formula1>$B10&gt;=7000</formula1>
    </dataValidation>
    <dataValidation type="custom" allowBlank="1" showInputMessage="1" showErrorMessage="1" sqref="I10 G10" xr:uid="{56A0A216-D89F-4A3D-A491-3F156CA88FBB}">
      <formula1>$B10&lt;=7000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50"/>
  <sheetViews>
    <sheetView showGridLines="0" zoomScaleNormal="100" workbookViewId="0">
      <pane ySplit="9" topLeftCell="A10" activePane="bottomLeft" state="frozen"/>
      <selection activeCell="C10" sqref="C10"/>
      <selection pane="bottomLeft" activeCell="D22" sqref="D22"/>
    </sheetView>
  </sheetViews>
  <sheetFormatPr baseColWidth="10" defaultColWidth="11.42578125" defaultRowHeight="15.75"/>
  <cols>
    <col min="1" max="1" width="15.7109375" style="21" customWidth="1"/>
    <col min="2" max="2" width="15.7109375" style="12" hidden="1" customWidth="1"/>
    <col min="3" max="3" width="40.7109375" style="12" customWidth="1"/>
    <col min="4" max="4" width="80.7109375" style="12" customWidth="1"/>
    <col min="5" max="5" width="8.7109375" style="12" customWidth="1"/>
    <col min="6" max="9" width="15.7109375" style="12" customWidth="1"/>
    <col min="10" max="16384" width="11.42578125" style="20"/>
  </cols>
  <sheetData>
    <row r="1" spans="1:9" s="11" customFormat="1" ht="30" customHeight="1">
      <c r="A1" s="21"/>
      <c r="B1" s="12"/>
      <c r="C1" s="12"/>
      <c r="D1" s="12"/>
      <c r="E1" s="12"/>
      <c r="F1" s="12"/>
      <c r="G1" s="12"/>
      <c r="H1" s="12"/>
      <c r="I1" s="12"/>
    </row>
    <row r="2" spans="1:9" s="11" customFormat="1" ht="31.5" customHeight="1">
      <c r="A2" s="21"/>
      <c r="B2" s="22" t="s">
        <v>6</v>
      </c>
      <c r="C2" s="432" t="str">
        <f ca="1">_xlfn.LET(_xlpm.Mois,MID(CELL("filename",A1),FIND("]",CELL("filename",A1))+1,32),IF(ISNUMBER(SEARCH(LEFT(_xlpm.Mois,1),"AEIOUY")),"Mois d'" &amp; _xlpm.Mois,"Mois de " &amp; _xlpm.Mois))</f>
        <v>Mois de Décembre 2027</v>
      </c>
      <c r="D2" s="432"/>
      <c r="E2" s="23"/>
      <c r="F2" s="23"/>
      <c r="G2" s="23"/>
      <c r="H2" s="24"/>
      <c r="I2" s="24"/>
    </row>
    <row r="3" spans="1:9" s="11" customFormat="1" ht="16.5" customHeight="1" thickBot="1">
      <c r="A3" s="21"/>
      <c r="B3" s="12"/>
      <c r="C3" s="12"/>
      <c r="D3" s="12"/>
      <c r="E3" s="12"/>
      <c r="F3" s="12"/>
      <c r="G3" s="12"/>
      <c r="H3" s="12"/>
      <c r="I3" s="12"/>
    </row>
    <row r="4" spans="1:9" ht="15.75" customHeight="1" thickBot="1">
      <c r="A4" s="410" t="s">
        <v>8</v>
      </c>
      <c r="B4" s="412" t="s">
        <v>0</v>
      </c>
      <c r="C4" s="413" t="s">
        <v>94</v>
      </c>
      <c r="D4" s="413" t="s">
        <v>93</v>
      </c>
      <c r="E4" s="384" t="s">
        <v>80</v>
      </c>
      <c r="F4" s="423" t="s">
        <v>95</v>
      </c>
      <c r="G4" s="424"/>
      <c r="H4" s="424"/>
      <c r="I4" s="425"/>
    </row>
    <row r="5" spans="1:9" s="12" customFormat="1" ht="15.75" customHeight="1" thickBot="1">
      <c r="A5" s="411"/>
      <c r="B5" s="411"/>
      <c r="C5" s="414"/>
      <c r="D5" s="414"/>
      <c r="E5" s="385"/>
      <c r="F5" s="426" t="s">
        <v>10</v>
      </c>
      <c r="G5" s="427"/>
      <c r="H5" s="426" t="s">
        <v>11</v>
      </c>
      <c r="I5" s="428"/>
    </row>
    <row r="6" spans="1:9" ht="15.75" customHeight="1" thickBot="1">
      <c r="A6" s="239"/>
      <c r="B6" s="240"/>
      <c r="C6" s="241"/>
      <c r="D6" s="246" t="s">
        <v>167</v>
      </c>
      <c r="E6" s="269">
        <v>45962</v>
      </c>
      <c r="F6" s="435">
        <f>'Novembre 2027'!F8</f>
        <v>410.71000000000004</v>
      </c>
      <c r="G6" s="436"/>
      <c r="H6" s="433">
        <f>'Novembre 2027'!H8</f>
        <v>206.76999999999998</v>
      </c>
      <c r="I6" s="434"/>
    </row>
    <row r="7" spans="1:9" ht="15.75" customHeight="1" thickBot="1">
      <c r="A7" s="202"/>
      <c r="B7" s="203"/>
      <c r="C7" s="204"/>
      <c r="D7" s="245" t="s">
        <v>168</v>
      </c>
      <c r="E7" s="204"/>
      <c r="F7" s="252">
        <f>SUMIF($E$10:$E$31,"P",F10:F31)</f>
        <v>0</v>
      </c>
      <c r="G7" s="253">
        <f>SUMIF($E$10:$E$31,"P",G10:G31)</f>
        <v>0</v>
      </c>
      <c r="H7" s="252">
        <f>SUMIF($E$10:$E$31,"P",H10:H31)</f>
        <v>0</v>
      </c>
      <c r="I7" s="254">
        <f>SUMIF($E$10:$E$31,"P",I10:I31)</f>
        <v>0</v>
      </c>
    </row>
    <row r="8" spans="1:9" ht="15.75" customHeight="1">
      <c r="A8" s="202"/>
      <c r="B8" s="203"/>
      <c r="C8" s="204"/>
      <c r="D8" s="245" t="s">
        <v>169</v>
      </c>
      <c r="E8" s="204"/>
      <c r="F8" s="417">
        <f>MAX(0,F6+F7-G7)</f>
        <v>410.71000000000004</v>
      </c>
      <c r="G8" s="418"/>
      <c r="H8" s="415">
        <f>MAX(0,H6+H7-I7)</f>
        <v>206.76999999999998</v>
      </c>
      <c r="I8" s="416"/>
    </row>
    <row r="9" spans="1:9" ht="15.75" customHeight="1" thickBot="1">
      <c r="A9" s="205" t="s">
        <v>8</v>
      </c>
      <c r="B9" s="201" t="s">
        <v>0</v>
      </c>
      <c r="C9" s="206" t="s">
        <v>9</v>
      </c>
      <c r="D9" s="206" t="s">
        <v>37</v>
      </c>
      <c r="E9" s="207" t="s">
        <v>92</v>
      </c>
      <c r="F9" s="208" t="s">
        <v>103</v>
      </c>
      <c r="G9" s="209" t="s">
        <v>104</v>
      </c>
      <c r="H9" s="208" t="s">
        <v>105</v>
      </c>
      <c r="I9" s="210" t="s">
        <v>106</v>
      </c>
    </row>
    <row r="10" spans="1:9" ht="15.75" customHeight="1">
      <c r="A10" s="222"/>
      <c r="B10" s="216" t="str">
        <f>IFERROR(INDEX(t_Comptes[CODES],MATCH(C10,t_Comptes[LIBELLES],0)),"")</f>
        <v/>
      </c>
      <c r="C10" s="223"/>
      <c r="D10" s="217"/>
      <c r="E10" s="224"/>
      <c r="F10" s="219"/>
      <c r="G10" s="220"/>
      <c r="H10" s="219"/>
      <c r="I10" s="221"/>
    </row>
    <row r="11" spans="1:9" ht="15.75" customHeight="1">
      <c r="E11" s="238"/>
    </row>
    <row r="12" spans="1:9" ht="15.75" customHeight="1">
      <c r="E12" s="238"/>
    </row>
    <row r="13" spans="1:9" ht="15.75" customHeight="1">
      <c r="E13" s="238"/>
    </row>
    <row r="14" spans="1:9" ht="15.75" customHeight="1">
      <c r="E14" s="238"/>
    </row>
    <row r="15" spans="1:9" ht="15.75" customHeight="1">
      <c r="E15" s="238"/>
    </row>
    <row r="16" spans="1:9" ht="15.75" customHeight="1">
      <c r="E16" s="238"/>
    </row>
    <row r="17" spans="5:5" ht="15.75" customHeight="1">
      <c r="E17" s="238"/>
    </row>
    <row r="18" spans="5:5" ht="15.75" customHeight="1">
      <c r="E18" s="238"/>
    </row>
    <row r="19" spans="5:5" ht="15.75" customHeight="1">
      <c r="E19" s="238"/>
    </row>
    <row r="20" spans="5:5" ht="15.75" customHeight="1">
      <c r="E20" s="238"/>
    </row>
    <row r="21" spans="5:5" ht="15.75" customHeight="1">
      <c r="E21" s="238"/>
    </row>
    <row r="22" spans="5:5" ht="15.75" customHeight="1">
      <c r="E22" s="238"/>
    </row>
    <row r="23" spans="5:5" ht="15.75" customHeight="1">
      <c r="E23" s="238"/>
    </row>
    <row r="24" spans="5:5" ht="15.75" customHeight="1">
      <c r="E24" s="238"/>
    </row>
    <row r="25" spans="5:5" ht="15.75" customHeight="1">
      <c r="E25" s="238"/>
    </row>
    <row r="26" spans="5:5" ht="15.75" customHeight="1">
      <c r="E26" s="238"/>
    </row>
    <row r="27" spans="5:5" ht="15.75" customHeight="1">
      <c r="E27" s="238"/>
    </row>
    <row r="28" spans="5:5" ht="15.75" customHeight="1">
      <c r="E28" s="238"/>
    </row>
    <row r="29" spans="5:5" ht="15.75" customHeight="1"/>
    <row r="30" spans="5:5" ht="15.75" customHeight="1"/>
    <row r="31" spans="5:5" ht="15.75" customHeight="1"/>
    <row r="32" spans="5:5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</sheetData>
  <sheetProtection formatCells="0" formatColumns="0" formatRows="0" insertColumns="0" insertRows="0" insertHyperlinks="0" deleteColumns="0" deleteRows="0" sort="0" autoFilter="0" pivotTables="0"/>
  <sortState xmlns:xlrd2="http://schemas.microsoft.com/office/spreadsheetml/2017/richdata2" ref="A10:I10">
    <sortCondition ref="A10"/>
  </sortState>
  <mergeCells count="13">
    <mergeCell ref="B4:B5"/>
    <mergeCell ref="A4:A5"/>
    <mergeCell ref="D4:D5"/>
    <mergeCell ref="F4:I4"/>
    <mergeCell ref="E4:E5"/>
    <mergeCell ref="C2:D2"/>
    <mergeCell ref="H8:I8"/>
    <mergeCell ref="F8:G8"/>
    <mergeCell ref="H6:I6"/>
    <mergeCell ref="F6:G6"/>
    <mergeCell ref="F5:G5"/>
    <mergeCell ref="H5:I5"/>
    <mergeCell ref="C4:C5"/>
  </mergeCells>
  <conditionalFormatting sqref="A10:I10">
    <cfRule type="expression" dxfId="14" priority="42">
      <formula>INT(ROW()/2)=ROW()/2</formula>
    </cfRule>
  </conditionalFormatting>
  <dataValidations count="3">
    <dataValidation type="list" allowBlank="1" showInputMessage="1" showErrorMessage="1" sqref="C10" xr:uid="{00000000-0002-0000-0200-000000000000}">
      <formula1>d.comptes</formula1>
    </dataValidation>
    <dataValidation type="custom" allowBlank="1" showInputMessage="1" showErrorMessage="1" sqref="G10 I10" xr:uid="{F15D3D64-F61C-488C-B25E-A63B4F7C6131}">
      <formula1>$B10&lt;=7000</formula1>
    </dataValidation>
    <dataValidation type="custom" allowBlank="1" showInputMessage="1" showErrorMessage="1" sqref="F10 H10" xr:uid="{DF621F92-7B47-4E49-A4AF-C047BF0BDF25}">
      <formula1>$B10&gt;=7000</formula1>
    </dataValidation>
  </dataValidations>
  <pageMargins left="0.7" right="0.7" top="0.75" bottom="0.75" header="0.3" footer="0.3"/>
  <pageSetup paperSize="9" scale="44" orientation="landscape" r:id="rId1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C456C-D71A-4F64-9FA6-72B4F5F875FD}">
  <sheetPr codeName="Feuil23">
    <tabColor rgb="FF00B0F0"/>
  </sheetPr>
  <dimension ref="A1:AE39"/>
  <sheetViews>
    <sheetView showGridLines="0" workbookViewId="0">
      <pane ySplit="2" topLeftCell="A3" activePane="bottomLeft" state="frozen"/>
      <selection pane="bottomLeft" activeCell="M2" sqref="M2"/>
    </sheetView>
  </sheetViews>
  <sheetFormatPr baseColWidth="10" defaultColWidth="11.42578125" defaultRowHeight="15"/>
  <cols>
    <col min="1" max="1" width="11.42578125" style="2"/>
    <col min="2" max="2" width="8.140625" style="2" customWidth="1"/>
    <col min="3" max="3" width="39.42578125" style="2" bestFit="1" customWidth="1"/>
    <col min="4" max="4" width="80.28515625" style="2" bestFit="1" customWidth="1"/>
    <col min="5" max="5" width="4.42578125" style="2" customWidth="1"/>
    <col min="6" max="9" width="11.42578125" style="2"/>
    <col min="10" max="10" width="5.5703125" customWidth="1"/>
    <col min="12" max="12" width="9" customWidth="1"/>
    <col min="13" max="13" width="44.85546875" bestFit="1" customWidth="1"/>
    <col min="14" max="14" width="10" customWidth="1"/>
    <col min="15" max="15" width="19.7109375" customWidth="1"/>
    <col min="16" max="16" width="10.7109375" hidden="1" customWidth="1"/>
    <col min="17" max="17" width="17.5703125" hidden="1" customWidth="1"/>
    <col min="18" max="18" width="14.7109375" hidden="1" customWidth="1"/>
    <col min="19" max="19" width="14.28515625" hidden="1" customWidth="1"/>
    <col min="20" max="20" width="13" hidden="1" customWidth="1"/>
    <col min="21" max="21" width="12.5703125" hidden="1" customWidth="1"/>
    <col min="22" max="22" width="2.85546875" hidden="1" customWidth="1"/>
    <col min="23" max="23" width="7.28515625" hidden="1" customWidth="1"/>
    <col min="24" max="24" width="7.42578125" hidden="1" customWidth="1"/>
    <col min="25" max="25" width="9.28515625" hidden="1" customWidth="1"/>
    <col min="26" max="26" width="13.42578125" hidden="1" customWidth="1"/>
    <col min="27" max="27" width="2.140625" hidden="1" customWidth="1"/>
    <col min="28" max="28" width="10.140625" hidden="1" customWidth="1"/>
    <col min="29" max="29" width="9.7109375" hidden="1" customWidth="1"/>
    <col min="30" max="30" width="8.42578125" hidden="1" customWidth="1"/>
    <col min="31" max="31" width="8" hidden="1" customWidth="1"/>
    <col min="32" max="33" width="45" customWidth="1"/>
  </cols>
  <sheetData>
    <row r="1" spans="1:31" ht="15" customHeight="1" thickBot="1">
      <c r="A1" s="380" t="s">
        <v>8</v>
      </c>
      <c r="B1" s="380" t="s">
        <v>0</v>
      </c>
      <c r="C1" s="382" t="s">
        <v>9</v>
      </c>
      <c r="D1" s="382" t="s">
        <v>37</v>
      </c>
      <c r="E1" s="384" t="s">
        <v>82</v>
      </c>
      <c r="F1" s="390" t="s">
        <v>7</v>
      </c>
      <c r="G1" s="391"/>
      <c r="H1" s="391"/>
      <c r="I1" s="392"/>
      <c r="L1" s="155"/>
    </row>
    <row r="2" spans="1:31" ht="16.5" customHeight="1" thickBot="1">
      <c r="A2" s="381"/>
      <c r="B2" s="381"/>
      <c r="C2" s="383"/>
      <c r="D2" s="383"/>
      <c r="E2" s="385"/>
      <c r="F2" s="393" t="s">
        <v>10</v>
      </c>
      <c r="G2" s="394"/>
      <c r="H2" s="393" t="s">
        <v>11</v>
      </c>
      <c r="I2" s="395"/>
      <c r="L2" s="171">
        <f>INDEX($N$5:$N$34,MATCH(M2,$M$5:$M$34,0))</f>
        <v>6052</v>
      </c>
      <c r="M2" s="172" t="s">
        <v>88</v>
      </c>
    </row>
    <row r="3" spans="1:31" ht="15.75" customHeight="1" thickBot="1">
      <c r="A3" s="153">
        <v>46080</v>
      </c>
      <c r="B3" s="57">
        <v>6052</v>
      </c>
      <c r="C3" s="57" t="s">
        <v>88</v>
      </c>
      <c r="D3" s="57">
        <v>1</v>
      </c>
      <c r="E3" s="185" t="s">
        <v>92</v>
      </c>
      <c r="F3" s="173"/>
      <c r="G3" s="302">
        <v>10</v>
      </c>
      <c r="H3" s="169"/>
      <c r="I3" s="304"/>
    </row>
    <row r="4" spans="1:31" ht="15.75" customHeight="1" thickBot="1">
      <c r="A4" s="154">
        <v>46081</v>
      </c>
      <c r="B4" s="29">
        <v>6052</v>
      </c>
      <c r="C4" s="29" t="s">
        <v>88</v>
      </c>
      <c r="D4" s="29">
        <v>2</v>
      </c>
      <c r="E4" s="186" t="s">
        <v>92</v>
      </c>
      <c r="F4" s="174"/>
      <c r="G4" s="303">
        <v>20</v>
      </c>
      <c r="H4" s="170"/>
      <c r="I4" s="305"/>
      <c r="M4" s="187" t="s">
        <v>9</v>
      </c>
      <c r="N4" s="187" t="s">
        <v>0</v>
      </c>
      <c r="O4" s="275"/>
    </row>
    <row r="5" spans="1:31" ht="15.75" customHeight="1" thickBot="1">
      <c r="A5" s="154">
        <v>46082</v>
      </c>
      <c r="B5" s="29">
        <v>6052</v>
      </c>
      <c r="C5" s="29" t="s">
        <v>88</v>
      </c>
      <c r="D5" s="29">
        <v>3</v>
      </c>
      <c r="E5" s="186" t="s">
        <v>92</v>
      </c>
      <c r="F5" s="168"/>
      <c r="G5" s="303">
        <v>30</v>
      </c>
      <c r="H5" s="170"/>
      <c r="I5" s="305"/>
      <c r="M5" s="2" t="s">
        <v>88</v>
      </c>
      <c r="N5" s="54">
        <v>6052</v>
      </c>
      <c r="O5" s="2"/>
      <c r="P5" s="195">
        <v>46388</v>
      </c>
      <c r="Q5" s="196" t="s">
        <v>122</v>
      </c>
      <c r="R5" s="190" t="s">
        <v>107</v>
      </c>
      <c r="S5" s="190" t="s">
        <v>108</v>
      </c>
      <c r="T5" s="190" t="s">
        <v>109</v>
      </c>
      <c r="U5" s="190" t="s">
        <v>110</v>
      </c>
    </row>
    <row r="6" spans="1:31" ht="15.75" customHeight="1" thickBot="1">
      <c r="A6" s="154">
        <v>46083</v>
      </c>
      <c r="B6" s="29">
        <v>6052</v>
      </c>
      <c r="C6" s="29" t="s">
        <v>88</v>
      </c>
      <c r="D6" s="29">
        <v>4</v>
      </c>
      <c r="E6" s="186" t="s">
        <v>92</v>
      </c>
      <c r="F6" s="168"/>
      <c r="G6" s="296">
        <v>40</v>
      </c>
      <c r="H6" s="170"/>
      <c r="I6" s="297"/>
      <c r="M6" s="2" t="s">
        <v>66</v>
      </c>
      <c r="N6" s="54">
        <v>6010</v>
      </c>
      <c r="O6" s="2"/>
      <c r="P6" s="9" t="s">
        <v>101</v>
      </c>
      <c r="Q6" s="9" t="s">
        <v>102</v>
      </c>
      <c r="R6" s="191" t="s">
        <v>103</v>
      </c>
      <c r="S6" s="192" t="s">
        <v>104</v>
      </c>
      <c r="T6" s="191" t="s">
        <v>105</v>
      </c>
      <c r="U6" s="193" t="s">
        <v>106</v>
      </c>
      <c r="W6" s="197" t="s">
        <v>8</v>
      </c>
      <c r="X6" s="198" t="s">
        <v>0</v>
      </c>
      <c r="Y6" s="199" t="s">
        <v>9</v>
      </c>
      <c r="Z6" s="199" t="s">
        <v>37</v>
      </c>
      <c r="AA6" s="200" t="s">
        <v>92</v>
      </c>
      <c r="AB6" s="191" t="s">
        <v>103</v>
      </c>
      <c r="AC6" s="192" t="s">
        <v>104</v>
      </c>
      <c r="AD6" s="191" t="s">
        <v>105</v>
      </c>
      <c r="AE6" s="193" t="s">
        <v>106</v>
      </c>
    </row>
    <row r="7" spans="1:31" ht="15.75" customHeight="1">
      <c r="A7" s="154">
        <v>46084</v>
      </c>
      <c r="B7" s="29">
        <v>6052</v>
      </c>
      <c r="C7" s="29" t="s">
        <v>88</v>
      </c>
      <c r="D7" s="29">
        <v>5</v>
      </c>
      <c r="E7" s="186" t="s">
        <v>92</v>
      </c>
      <c r="F7" s="168"/>
      <c r="G7" s="296"/>
      <c r="H7" s="170"/>
      <c r="I7" s="297">
        <v>50</v>
      </c>
      <c r="M7" s="2" t="s">
        <v>86</v>
      </c>
      <c r="N7" s="54">
        <v>6250</v>
      </c>
      <c r="O7" s="2"/>
      <c r="P7" s="195">
        <f>IF(ROW()-ROW(tbl_Mois[[#Headers],[date]])=1,$P$5,EDATE(P6,1))</f>
        <v>46388</v>
      </c>
      <c r="Q7" s="194" t="str">
        <f t="shared" ref="Q7:Q18" si="0">PROPER(TEXT(P7,"[$-fr-fr]"&amp;$Q$5))</f>
        <v>Janvier 2027</v>
      </c>
      <c r="R7" s="18" cm="1">
        <f t="array" aca="1" ref="R7" ca="1">IFERROR(INDIRECT("'"&amp;$Q7&amp;"'!" &amp; R$5),"???")</f>
        <v>410.71000000000004</v>
      </c>
      <c r="S7" s="18" cm="1">
        <f t="array" aca="1" ref="S7" ca="1">IFERROR(INDIRECT("'"&amp;$Q7&amp;"'!" &amp; S$5),"???")</f>
        <v>0</v>
      </c>
      <c r="T7" s="18" cm="1">
        <f t="array" aca="1" ref="T7" ca="1">IFERROR(INDIRECT("'"&amp;$Q7&amp;"'!" &amp; T$5),"???")</f>
        <v>206.76999999999998</v>
      </c>
      <c r="U7" s="18" cm="1">
        <f t="array" aca="1" ref="U7" ca="1">IFERROR(INDIRECT("'"&amp;$Q7&amp;"'!" &amp; U$5),"???")</f>
        <v>0</v>
      </c>
    </row>
    <row r="8" spans="1:31" ht="15.75" customHeight="1">
      <c r="A8" s="154">
        <v>46085</v>
      </c>
      <c r="B8" s="29">
        <v>6052</v>
      </c>
      <c r="C8" s="29" t="s">
        <v>88</v>
      </c>
      <c r="D8" s="29">
        <v>6</v>
      </c>
      <c r="E8" s="186" t="s">
        <v>92</v>
      </c>
      <c r="F8" s="168"/>
      <c r="G8" s="296">
        <v>60</v>
      </c>
      <c r="H8" s="170"/>
      <c r="I8" s="297"/>
      <c r="M8" s="2" t="s">
        <v>89</v>
      </c>
      <c r="N8" s="54">
        <v>6051</v>
      </c>
      <c r="O8" s="2"/>
      <c r="P8" s="195">
        <f>IF(ROW()-ROW(tbl_Mois[[#Headers],[date]])=1,$P$5,EDATE(P7,1))</f>
        <v>46419</v>
      </c>
      <c r="Q8" s="194" t="str">
        <f t="shared" si="0"/>
        <v>Février 2027</v>
      </c>
      <c r="R8" s="18" cm="1">
        <f t="array" aca="1" ref="R8" ca="1">IFERROR(INDIRECT("'"&amp;$Q8&amp;"'!" &amp; R$5),"???")</f>
        <v>410.71000000000004</v>
      </c>
      <c r="S8" s="18" cm="1">
        <f t="array" aca="1" ref="S8" ca="1">IFERROR(INDIRECT("'"&amp;$Q8&amp;"'!" &amp; S$5),"???")</f>
        <v>0</v>
      </c>
      <c r="T8" s="18" cm="1">
        <f t="array" aca="1" ref="T8" ca="1">IFERROR(INDIRECT("'"&amp;$Q8&amp;"'!" &amp; T$5),"???")</f>
        <v>206.76999999999998</v>
      </c>
      <c r="U8" s="18" cm="1">
        <f t="array" aca="1" ref="U8" ca="1">IFERROR(INDIRECT("'"&amp;$Q8&amp;"'!" &amp; U$5),"???")</f>
        <v>0</v>
      </c>
    </row>
    <row r="9" spans="1:31" ht="15.75" customHeight="1">
      <c r="A9" s="154">
        <v>46086</v>
      </c>
      <c r="B9" s="29">
        <v>6052</v>
      </c>
      <c r="C9" s="29" t="s">
        <v>88</v>
      </c>
      <c r="D9" s="29">
        <v>7</v>
      </c>
      <c r="E9" s="186" t="s">
        <v>92</v>
      </c>
      <c r="F9" s="168"/>
      <c r="G9" s="296">
        <v>70</v>
      </c>
      <c r="H9" s="170"/>
      <c r="I9" s="297"/>
      <c r="M9" s="2" t="s">
        <v>46</v>
      </c>
      <c r="N9" s="54">
        <v>6160</v>
      </c>
      <c r="O9" s="2"/>
      <c r="P9" s="195">
        <f>IF(ROW()-ROW(tbl_Mois[[#Headers],[date]])=1,$P$5,EDATE(P8,1))</f>
        <v>46447</v>
      </c>
      <c r="Q9" s="194" t="str">
        <f t="shared" si="0"/>
        <v>Mars 2027</v>
      </c>
      <c r="R9" s="18" cm="1">
        <f t="array" aca="1" ref="R9" ca="1">IFERROR(INDIRECT("'"&amp;$Q9&amp;"'!" &amp; R$5),"???")</f>
        <v>410.71000000000004</v>
      </c>
      <c r="S9" s="18" cm="1">
        <f t="array" aca="1" ref="S9" ca="1">IFERROR(INDIRECT("'"&amp;$Q9&amp;"'!" &amp; S$5),"???")</f>
        <v>0</v>
      </c>
      <c r="T9" s="18" cm="1">
        <f t="array" aca="1" ref="T9" ca="1">IFERROR(INDIRECT("'"&amp;$Q9&amp;"'!" &amp; T$5),"???")</f>
        <v>206.76999999999998</v>
      </c>
      <c r="U9" s="18" cm="1">
        <f t="array" aca="1" ref="U9" ca="1">IFERROR(INDIRECT("'"&amp;$Q9&amp;"'!" &amp; U$5),"???")</f>
        <v>0</v>
      </c>
    </row>
    <row r="10" spans="1:31" ht="15.75" customHeight="1">
      <c r="A10" s="154">
        <v>46054</v>
      </c>
      <c r="B10" s="29">
        <v>6052</v>
      </c>
      <c r="C10" s="29" t="s">
        <v>88</v>
      </c>
      <c r="D10" s="29">
        <v>8</v>
      </c>
      <c r="E10" s="186" t="s">
        <v>92</v>
      </c>
      <c r="F10" s="168"/>
      <c r="G10" s="296">
        <v>80</v>
      </c>
      <c r="H10" s="170"/>
      <c r="I10" s="297"/>
      <c r="M10" s="2" t="s">
        <v>29</v>
      </c>
      <c r="N10" s="54">
        <v>6234</v>
      </c>
      <c r="O10" s="2"/>
      <c r="P10" s="195">
        <f>IF(ROW()-ROW(tbl_Mois[[#Headers],[date]])=1,$P$5,EDATE(P9,1))</f>
        <v>46478</v>
      </c>
      <c r="Q10" s="194" t="str">
        <f t="shared" si="0"/>
        <v>Avril 2027</v>
      </c>
      <c r="R10" s="18" cm="1">
        <f t="array" aca="1" ref="R10" ca="1">IFERROR(INDIRECT("'"&amp;$Q10&amp;"'!" &amp; R$5),"???")</f>
        <v>410.71000000000004</v>
      </c>
      <c r="S10" s="18" cm="1">
        <f t="array" aca="1" ref="S10" ca="1">IFERROR(INDIRECT("'"&amp;$Q10&amp;"'!" &amp; S$5),"???")</f>
        <v>0</v>
      </c>
      <c r="T10" s="18" cm="1">
        <f t="array" aca="1" ref="T10" ca="1">IFERROR(INDIRECT("'"&amp;$Q10&amp;"'!" &amp; T$5),"???")</f>
        <v>206.76999999999998</v>
      </c>
      <c r="U10" s="18" cm="1">
        <f t="array" aca="1" ref="U10" ca="1">IFERROR(INDIRECT("'"&amp;$Q10&amp;"'!" &amp; U$5),"???")</f>
        <v>0</v>
      </c>
    </row>
    <row r="11" spans="1:31" ht="15.75" customHeight="1">
      <c r="A11" s="154">
        <v>46074</v>
      </c>
      <c r="B11" s="29">
        <v>6052</v>
      </c>
      <c r="C11" s="29" t="s">
        <v>88</v>
      </c>
      <c r="D11" s="29">
        <v>9</v>
      </c>
      <c r="E11" s="186" t="s">
        <v>92</v>
      </c>
      <c r="F11" s="168"/>
      <c r="G11" s="296"/>
      <c r="H11" s="170"/>
      <c r="I11" s="297">
        <v>90</v>
      </c>
      <c r="M11" s="2" t="s">
        <v>68</v>
      </c>
      <c r="N11" s="54">
        <v>7560</v>
      </c>
      <c r="O11" s="2"/>
      <c r="P11" s="195">
        <f>IF(ROW()-ROW(tbl_Mois[[#Headers],[date]])=1,$P$5,EDATE(P10,1))</f>
        <v>46508</v>
      </c>
      <c r="Q11" s="194" t="str">
        <f t="shared" si="0"/>
        <v>Mai 2027</v>
      </c>
      <c r="R11" s="18" cm="1">
        <f t="array" aca="1" ref="R11" ca="1">IFERROR(INDIRECT("'"&amp;$Q11&amp;"'!" &amp; R$5),"???")</f>
        <v>410.71000000000004</v>
      </c>
      <c r="S11" s="18" cm="1">
        <f t="array" aca="1" ref="S11" ca="1">IFERROR(INDIRECT("'"&amp;$Q11&amp;"'!" &amp; S$5),"???")</f>
        <v>0</v>
      </c>
      <c r="T11" s="18" cm="1">
        <f t="array" aca="1" ref="T11" ca="1">IFERROR(INDIRECT("'"&amp;$Q11&amp;"'!" &amp; T$5),"???")</f>
        <v>206.76999999999998</v>
      </c>
      <c r="U11" s="18" cm="1">
        <f t="array" aca="1" ref="U11" ca="1">IFERROR(INDIRECT("'"&amp;$Q11&amp;"'!" &amp; U$5),"???")</f>
        <v>0</v>
      </c>
    </row>
    <row r="12" spans="1:31" ht="15.75" customHeight="1">
      <c r="A12" s="154">
        <v>46081</v>
      </c>
      <c r="B12" s="29">
        <v>6052</v>
      </c>
      <c r="C12" s="29" t="s">
        <v>88</v>
      </c>
      <c r="D12" s="29">
        <v>10</v>
      </c>
      <c r="E12" s="186" t="s">
        <v>92</v>
      </c>
      <c r="F12" s="168"/>
      <c r="G12" s="296">
        <v>100</v>
      </c>
      <c r="H12" s="170"/>
      <c r="I12" s="297"/>
      <c r="M12" s="2" t="s">
        <v>75</v>
      </c>
      <c r="N12" s="54">
        <v>6510</v>
      </c>
      <c r="O12" s="2"/>
      <c r="P12" s="195">
        <f>IF(ROW()-ROW(tbl_Mois[[#Headers],[date]])=1,$P$5,EDATE(P11,1))</f>
        <v>46539</v>
      </c>
      <c r="Q12" s="194" t="str">
        <f t="shared" si="0"/>
        <v>Juin 2027</v>
      </c>
      <c r="R12" s="18" cm="1">
        <f t="array" aca="1" ref="R12" ca="1">IFERROR(INDIRECT("'"&amp;$Q12&amp;"'!" &amp; R$5),"???")</f>
        <v>410.71000000000004</v>
      </c>
      <c r="S12" s="18" cm="1">
        <f t="array" aca="1" ref="S12" ca="1">IFERROR(INDIRECT("'"&amp;$Q12&amp;"'!" &amp; S$5),"???")</f>
        <v>0</v>
      </c>
      <c r="T12" s="18" cm="1">
        <f t="array" aca="1" ref="T12" ca="1">IFERROR(INDIRECT("'"&amp;$Q12&amp;"'!" &amp; T$5),"???")</f>
        <v>206.76999999999998</v>
      </c>
      <c r="U12" s="18" cm="1">
        <f t="array" aca="1" ref="U12" ca="1">IFERROR(INDIRECT("'"&amp;$Q12&amp;"'!" &amp; U$5),"???")</f>
        <v>0</v>
      </c>
    </row>
    <row r="13" spans="1:31" ht="15.75" customHeight="1">
      <c r="A13" s="154">
        <v>46081</v>
      </c>
      <c r="B13" s="29">
        <v>6052</v>
      </c>
      <c r="C13" s="29" t="s">
        <v>88</v>
      </c>
      <c r="D13" s="29">
        <v>11</v>
      </c>
      <c r="E13" s="186" t="s">
        <v>92</v>
      </c>
      <c r="F13" s="168"/>
      <c r="G13" s="296">
        <v>110</v>
      </c>
      <c r="H13" s="170"/>
      <c r="I13" s="297"/>
      <c r="M13" s="2" t="s">
        <v>2</v>
      </c>
      <c r="N13" s="54">
        <v>6150</v>
      </c>
      <c r="O13" s="2"/>
      <c r="P13" s="195">
        <f>IF(ROW()-ROW(tbl_Mois[[#Headers],[date]])=1,$P$5,EDATE(P12,1))</f>
        <v>46569</v>
      </c>
      <c r="Q13" s="194" t="str">
        <f t="shared" si="0"/>
        <v>Juillet 2027</v>
      </c>
      <c r="R13" s="18" cm="1">
        <f t="array" aca="1" ref="R13" ca="1">IFERROR(INDIRECT("'"&amp;$Q13&amp;"'!" &amp; R$5),"???")</f>
        <v>410.71000000000004</v>
      </c>
      <c r="S13" s="18" cm="1">
        <f t="array" aca="1" ref="S13" ca="1">IFERROR(INDIRECT("'"&amp;$Q13&amp;"'!" &amp; S$5),"???")</f>
        <v>0</v>
      </c>
      <c r="T13" s="18" cm="1">
        <f t="array" aca="1" ref="T13" ca="1">IFERROR(INDIRECT("'"&amp;$Q13&amp;"'!" &amp; T$5),"???")</f>
        <v>206.76999999999998</v>
      </c>
      <c r="U13" s="18" cm="1">
        <f t="array" aca="1" ref="U13" ca="1">IFERROR(INDIRECT("'"&amp;$Q13&amp;"'!" &amp; U$5),"???")</f>
        <v>0</v>
      </c>
    </row>
    <row r="14" spans="1:31" ht="15.75" customHeight="1">
      <c r="A14" s="154">
        <v>46082</v>
      </c>
      <c r="B14" s="29">
        <v>6052</v>
      </c>
      <c r="C14" s="29" t="s">
        <v>88</v>
      </c>
      <c r="D14" s="29">
        <v>12</v>
      </c>
      <c r="E14" s="186" t="s">
        <v>92</v>
      </c>
      <c r="F14" s="168"/>
      <c r="G14" s="296">
        <v>120</v>
      </c>
      <c r="H14" s="170"/>
      <c r="I14" s="297"/>
      <c r="M14" s="2" t="s">
        <v>1</v>
      </c>
      <c r="N14" s="54">
        <v>6064</v>
      </c>
      <c r="O14" s="2"/>
      <c r="P14" s="195">
        <f>IF(ROW()-ROW(tbl_Mois[[#Headers],[date]])=1,$P$5,EDATE(P13,1))</f>
        <v>46600</v>
      </c>
      <c r="Q14" s="194" t="str">
        <f t="shared" si="0"/>
        <v>Août 2027</v>
      </c>
      <c r="R14" s="18" cm="1">
        <f t="array" aca="1" ref="R14" ca="1">IFERROR(INDIRECT("'"&amp;$Q14&amp;"'!" &amp; R$5),"???")</f>
        <v>410.71000000000004</v>
      </c>
      <c r="S14" s="18" cm="1">
        <f t="array" aca="1" ref="S14" ca="1">IFERROR(INDIRECT("'"&amp;$Q14&amp;"'!" &amp; S$5),"???")</f>
        <v>0</v>
      </c>
      <c r="T14" s="18" cm="1">
        <f t="array" aca="1" ref="T14" ca="1">IFERROR(INDIRECT("'"&amp;$Q14&amp;"'!" &amp; T$5),"???")</f>
        <v>206.76999999999998</v>
      </c>
      <c r="U14" s="18" cm="1">
        <f t="array" aca="1" ref="U14" ca="1">IFERROR(INDIRECT("'"&amp;$Q14&amp;"'!" &amp; U$5),"???")</f>
        <v>0</v>
      </c>
    </row>
    <row r="15" spans="1:31" ht="15.75" customHeight="1">
      <c r="A15" s="154">
        <v>46084</v>
      </c>
      <c r="B15" s="29">
        <v>6052</v>
      </c>
      <c r="C15" s="29" t="s">
        <v>88</v>
      </c>
      <c r="D15" s="29">
        <v>13</v>
      </c>
      <c r="E15" s="186" t="s">
        <v>92</v>
      </c>
      <c r="F15" s="168"/>
      <c r="G15" s="296">
        <v>130</v>
      </c>
      <c r="H15" s="170"/>
      <c r="I15" s="297"/>
      <c r="M15" s="2" t="s">
        <v>4</v>
      </c>
      <c r="N15" s="54">
        <v>6270</v>
      </c>
      <c r="O15" s="2"/>
      <c r="P15" s="195">
        <f>IF(ROW()-ROW(tbl_Mois[[#Headers],[date]])=1,$P$5,EDATE(P14,1))</f>
        <v>46631</v>
      </c>
      <c r="Q15" s="194" t="str">
        <f t="shared" si="0"/>
        <v>Septembre 2027</v>
      </c>
      <c r="R15" s="18" cm="1">
        <f t="array" aca="1" ref="R15" ca="1">IFERROR(INDIRECT("'"&amp;$Q15&amp;"'!" &amp; R$5),"???")</f>
        <v>410.71000000000004</v>
      </c>
      <c r="S15" s="18" cm="1">
        <f t="array" aca="1" ref="S15" ca="1">IFERROR(INDIRECT("'"&amp;$Q15&amp;"'!" &amp; S$5),"???")</f>
        <v>0</v>
      </c>
      <c r="T15" s="18" cm="1">
        <f t="array" aca="1" ref="T15" ca="1">IFERROR(INDIRECT("'"&amp;$Q15&amp;"'!" &amp; T$5),"???")</f>
        <v>206.76999999999998</v>
      </c>
      <c r="U15" s="18" cm="1">
        <f t="array" aca="1" ref="U15" ca="1">IFERROR(INDIRECT("'"&amp;$Q15&amp;"'!" &amp; U$5),"???")</f>
        <v>0</v>
      </c>
    </row>
    <row r="16" spans="1:31" ht="15.75" customHeight="1">
      <c r="A16" s="154">
        <v>46084</v>
      </c>
      <c r="B16" s="29">
        <v>6052</v>
      </c>
      <c r="C16" s="29" t="s">
        <v>88</v>
      </c>
      <c r="D16" s="29">
        <v>5</v>
      </c>
      <c r="E16" s="186" t="s">
        <v>92</v>
      </c>
      <c r="F16" s="168"/>
      <c r="G16" s="296"/>
      <c r="H16" s="170"/>
      <c r="I16" s="297">
        <v>50</v>
      </c>
      <c r="M16" s="2" t="s">
        <v>83</v>
      </c>
      <c r="N16" s="54">
        <v>6040</v>
      </c>
      <c r="O16" s="2"/>
      <c r="P16" s="195">
        <f>IF(ROW()-ROW(tbl_Mois[[#Headers],[date]])=1,$P$5,EDATE(P15,1))</f>
        <v>46661</v>
      </c>
      <c r="Q16" s="194" t="str">
        <f t="shared" si="0"/>
        <v>Octobre 2027</v>
      </c>
      <c r="R16" s="18" cm="1">
        <f t="array" aca="1" ref="R16" ca="1">IFERROR(INDIRECT("'"&amp;$Q16&amp;"'!" &amp; R$5),"???")</f>
        <v>410.71000000000004</v>
      </c>
      <c r="S16" s="18" cm="1">
        <f t="array" aca="1" ref="S16" ca="1">IFERROR(INDIRECT("'"&amp;$Q16&amp;"'!" &amp; S$5),"???")</f>
        <v>0</v>
      </c>
      <c r="T16" s="18" cm="1">
        <f t="array" aca="1" ref="T16" ca="1">IFERROR(INDIRECT("'"&amp;$Q16&amp;"'!" &amp; T$5),"???")</f>
        <v>206.76999999999998</v>
      </c>
      <c r="U16" s="18" cm="1">
        <f t="array" aca="1" ref="U16" ca="1">IFERROR(INDIRECT("'"&amp;$Q16&amp;"'!" &amp; U$5),"???")</f>
        <v>0</v>
      </c>
    </row>
    <row r="17" spans="1:21" ht="15.75" customHeight="1">
      <c r="A17" s="154">
        <v>46085</v>
      </c>
      <c r="B17" s="29">
        <v>6052</v>
      </c>
      <c r="C17" s="29" t="s">
        <v>88</v>
      </c>
      <c r="D17" s="29">
        <v>6</v>
      </c>
      <c r="E17" s="186" t="s">
        <v>92</v>
      </c>
      <c r="F17" s="168"/>
      <c r="G17" s="296">
        <v>60</v>
      </c>
      <c r="H17" s="170"/>
      <c r="I17" s="297"/>
      <c r="M17" s="2" t="s">
        <v>5</v>
      </c>
      <c r="N17" s="54">
        <v>6280</v>
      </c>
      <c r="O17" s="2"/>
      <c r="P17" s="195">
        <f>IF(ROW()-ROW(tbl_Mois[[#Headers],[date]])=1,$P$5,EDATE(P16,1))</f>
        <v>46692</v>
      </c>
      <c r="Q17" s="194" t="str">
        <f t="shared" si="0"/>
        <v>Novembre 2027</v>
      </c>
      <c r="R17" s="18" cm="1">
        <f t="array" aca="1" ref="R17" ca="1">IFERROR(INDIRECT("'"&amp;$Q17&amp;"'!" &amp; R$5),"???")</f>
        <v>410.71000000000004</v>
      </c>
      <c r="S17" s="18" cm="1">
        <f t="array" aca="1" ref="S17" ca="1">IFERROR(INDIRECT("'"&amp;$Q17&amp;"'!" &amp; S$5),"???")</f>
        <v>0</v>
      </c>
      <c r="T17" s="18" cm="1">
        <f t="array" aca="1" ref="T17" ca="1">IFERROR(INDIRECT("'"&amp;$Q17&amp;"'!" &amp; T$5),"???")</f>
        <v>206.76999999999998</v>
      </c>
      <c r="U17" s="18" cm="1">
        <f t="array" aca="1" ref="U17" ca="1">IFERROR(INDIRECT("'"&amp;$Q17&amp;"'!" &amp; U$5),"???")</f>
        <v>0</v>
      </c>
    </row>
    <row r="18" spans="1:21" ht="15.75" customHeight="1">
      <c r="A18" s="154">
        <v>46086</v>
      </c>
      <c r="B18" s="29">
        <v>6052</v>
      </c>
      <c r="C18" s="29" t="s">
        <v>88</v>
      </c>
      <c r="D18" s="29">
        <v>7</v>
      </c>
      <c r="E18" s="186" t="s">
        <v>92</v>
      </c>
      <c r="F18" s="168"/>
      <c r="G18" s="296">
        <v>70</v>
      </c>
      <c r="H18" s="170"/>
      <c r="I18" s="297"/>
      <c r="M18" s="2" t="s">
        <v>125</v>
      </c>
      <c r="N18" s="54">
        <v>6253</v>
      </c>
      <c r="O18" s="2"/>
      <c r="P18" s="195">
        <f>IF(ROW()-ROW(tbl_Mois[[#Headers],[date]])=1,$P$5,EDATE(P17,1))</f>
        <v>46722</v>
      </c>
      <c r="Q18" s="194" t="str">
        <f t="shared" si="0"/>
        <v>Décembre 2027</v>
      </c>
      <c r="R18" s="18" cm="1">
        <f t="array" aca="1" ref="R18" ca="1">IFERROR(INDIRECT("'"&amp;$Q18&amp;"'!" &amp; R$5),"???")</f>
        <v>410.71000000000004</v>
      </c>
      <c r="S18" s="18" cm="1">
        <f t="array" aca="1" ref="S18" ca="1">IFERROR(INDIRECT("'"&amp;$Q18&amp;"'!" &amp; S$5),"???")</f>
        <v>0</v>
      </c>
      <c r="T18" s="18" cm="1">
        <f t="array" aca="1" ref="T18" ca="1">IFERROR(INDIRECT("'"&amp;$Q18&amp;"'!" &amp; T$5),"???")</f>
        <v>206.76999999999998</v>
      </c>
      <c r="U18" s="18" cm="1">
        <f t="array" aca="1" ref="U18" ca="1">IFERROR(INDIRECT("'"&amp;$Q18&amp;"'!" &amp; U$5),"???")</f>
        <v>0</v>
      </c>
    </row>
    <row r="19" spans="1:21" ht="15.75" customHeight="1">
      <c r="A19" s="154">
        <v>46054</v>
      </c>
      <c r="B19" s="29">
        <v>6052</v>
      </c>
      <c r="C19" s="29" t="s">
        <v>88</v>
      </c>
      <c r="D19" s="29">
        <v>8</v>
      </c>
      <c r="E19" s="186" t="s">
        <v>92</v>
      </c>
      <c r="F19" s="168"/>
      <c r="G19" s="296">
        <v>80</v>
      </c>
      <c r="H19" s="170"/>
      <c r="I19" s="297"/>
      <c r="M19" s="2" t="s">
        <v>74</v>
      </c>
      <c r="N19" s="158">
        <v>6582</v>
      </c>
      <c r="O19" s="276"/>
    </row>
    <row r="20" spans="1:21" ht="15.75" customHeight="1">
      <c r="A20" s="154">
        <v>46074</v>
      </c>
      <c r="B20" s="29">
        <v>6052</v>
      </c>
      <c r="C20" s="29" t="s">
        <v>88</v>
      </c>
      <c r="D20" s="29">
        <v>9</v>
      </c>
      <c r="E20" s="186" t="s">
        <v>92</v>
      </c>
      <c r="F20" s="168"/>
      <c r="G20" s="296"/>
      <c r="H20" s="170"/>
      <c r="I20" s="297">
        <v>90</v>
      </c>
      <c r="M20" s="2" t="s">
        <v>43</v>
      </c>
      <c r="N20" s="54">
        <v>6231</v>
      </c>
      <c r="O20" s="2"/>
    </row>
    <row r="21" spans="1:21" ht="15.75" customHeight="1">
      <c r="A21" s="154">
        <v>46081</v>
      </c>
      <c r="B21" s="29">
        <v>6052</v>
      </c>
      <c r="C21" s="29" t="s">
        <v>88</v>
      </c>
      <c r="D21" s="29">
        <v>10</v>
      </c>
      <c r="E21" s="186" t="s">
        <v>92</v>
      </c>
      <c r="F21" s="168"/>
      <c r="G21" s="296">
        <v>100</v>
      </c>
      <c r="H21" s="170"/>
      <c r="I21" s="297"/>
      <c r="M21" s="2" t="s">
        <v>62</v>
      </c>
      <c r="N21" s="82">
        <v>6135</v>
      </c>
      <c r="O21" s="2"/>
    </row>
    <row r="22" spans="1:21" ht="15.75" customHeight="1">
      <c r="A22" s="154">
        <v>46081</v>
      </c>
      <c r="B22" s="29">
        <v>6052</v>
      </c>
      <c r="C22" s="29" t="s">
        <v>88</v>
      </c>
      <c r="D22" s="29">
        <v>11</v>
      </c>
      <c r="E22" s="186" t="s">
        <v>92</v>
      </c>
      <c r="F22" s="168"/>
      <c r="G22" s="296">
        <v>110</v>
      </c>
      <c r="H22" s="170"/>
      <c r="I22" s="297"/>
      <c r="M22" s="2" t="s">
        <v>45</v>
      </c>
      <c r="N22" s="189">
        <v>6130</v>
      </c>
      <c r="O22" s="2"/>
    </row>
    <row r="23" spans="1:21" ht="15.75" customHeight="1">
      <c r="A23" s="154">
        <v>46082</v>
      </c>
      <c r="B23" s="29">
        <v>6052</v>
      </c>
      <c r="C23" s="29" t="s">
        <v>88</v>
      </c>
      <c r="D23" s="29">
        <v>12</v>
      </c>
      <c r="E23" s="186" t="s">
        <v>92</v>
      </c>
      <c r="F23" s="168"/>
      <c r="G23" s="296">
        <v>120</v>
      </c>
      <c r="H23" s="170"/>
      <c r="I23" s="297"/>
      <c r="M23" s="2" t="s">
        <v>76</v>
      </c>
      <c r="N23" s="102">
        <v>7511</v>
      </c>
      <c r="O23" s="2"/>
    </row>
    <row r="24" spans="1:21" ht="15.75" customHeight="1">
      <c r="A24" s="154">
        <v>46084</v>
      </c>
      <c r="B24" s="29">
        <v>6052</v>
      </c>
      <c r="C24" s="29" t="s">
        <v>88</v>
      </c>
      <c r="D24" s="29">
        <v>13</v>
      </c>
      <c r="E24" s="186" t="s">
        <v>92</v>
      </c>
      <c r="F24" s="168"/>
      <c r="G24" s="296">
        <v>130</v>
      </c>
      <c r="H24" s="170"/>
      <c r="I24" s="297"/>
      <c r="M24" s="2" t="s">
        <v>98</v>
      </c>
      <c r="N24" s="102">
        <v>6710</v>
      </c>
      <c r="O24" s="2"/>
    </row>
    <row r="25" spans="1:21" ht="15.75" customHeight="1">
      <c r="A25" s="154"/>
      <c r="B25" s="29"/>
      <c r="C25" s="29"/>
      <c r="D25" s="29"/>
      <c r="E25" s="186"/>
      <c r="F25" s="168"/>
      <c r="G25" s="296"/>
      <c r="H25" s="170"/>
      <c r="I25" s="297"/>
      <c r="M25" s="2" t="s">
        <v>79</v>
      </c>
      <c r="N25" s="54">
        <v>7530</v>
      </c>
      <c r="O25" s="2"/>
    </row>
    <row r="26" spans="1:21" ht="15.75" customHeight="1">
      <c r="A26" s="154"/>
      <c r="B26" s="29"/>
      <c r="C26" s="29"/>
      <c r="D26" s="29"/>
      <c r="E26" s="186"/>
      <c r="F26" s="168"/>
      <c r="G26" s="296"/>
      <c r="H26" s="170"/>
      <c r="I26" s="297"/>
      <c r="M26" s="2" t="s">
        <v>127</v>
      </c>
      <c r="N26" s="54">
        <v>7030</v>
      </c>
      <c r="O26" s="2"/>
    </row>
    <row r="27" spans="1:21" ht="15.75" customHeight="1">
      <c r="A27" s="154"/>
      <c r="B27" s="29"/>
      <c r="C27" s="29"/>
      <c r="D27" s="29"/>
      <c r="E27" s="186"/>
      <c r="F27" s="168"/>
      <c r="G27" s="296"/>
      <c r="H27" s="170"/>
      <c r="I27" s="297"/>
      <c r="M27" s="108" t="s">
        <v>3</v>
      </c>
      <c r="N27" s="54">
        <v>6230</v>
      </c>
      <c r="O27" s="2"/>
    </row>
    <row r="28" spans="1:21" ht="15.75" customHeight="1">
      <c r="A28" s="154"/>
      <c r="B28" s="29"/>
      <c r="C28" s="29"/>
      <c r="D28" s="29"/>
      <c r="E28" s="186"/>
      <c r="F28" s="168"/>
      <c r="G28" s="296"/>
      <c r="H28" s="170"/>
      <c r="I28" s="297"/>
      <c r="M28" s="2" t="s">
        <v>126</v>
      </c>
      <c r="N28" s="102">
        <v>7020</v>
      </c>
      <c r="O28" s="2"/>
    </row>
    <row r="29" spans="1:21" ht="15.75" customHeight="1">
      <c r="A29" s="154"/>
      <c r="B29" s="29"/>
      <c r="C29" s="29"/>
      <c r="D29" s="29"/>
      <c r="E29" s="186"/>
      <c r="F29" s="168"/>
      <c r="G29" s="296"/>
      <c r="H29" s="170"/>
      <c r="I29" s="297"/>
      <c r="M29" s="2" t="s">
        <v>81</v>
      </c>
      <c r="N29" s="54">
        <v>7417</v>
      </c>
      <c r="O29" s="2"/>
    </row>
    <row r="30" spans="1:21" ht="15.75" customHeight="1">
      <c r="A30" s="154"/>
      <c r="B30" s="29"/>
      <c r="C30" s="29"/>
      <c r="D30" s="29"/>
      <c r="E30" s="186"/>
      <c r="F30" s="168"/>
      <c r="G30" s="296"/>
      <c r="H30" s="170"/>
      <c r="I30" s="297"/>
      <c r="M30" s="2" t="s">
        <v>36</v>
      </c>
      <c r="N30" s="54">
        <v>7442</v>
      </c>
      <c r="O30" s="2"/>
    </row>
    <row r="31" spans="1:21" ht="15.75" customHeight="1">
      <c r="A31" s="154"/>
      <c r="B31" s="29"/>
      <c r="C31" s="29"/>
      <c r="D31" s="29"/>
      <c r="E31" s="186"/>
      <c r="F31" s="168"/>
      <c r="G31" s="296"/>
      <c r="H31" s="170"/>
      <c r="I31" s="297"/>
      <c r="M31" s="2" t="s">
        <v>35</v>
      </c>
      <c r="N31" s="82">
        <v>7441</v>
      </c>
      <c r="O31" s="2"/>
    </row>
    <row r="32" spans="1:21" ht="15.75" customHeight="1">
      <c r="A32" s="154"/>
      <c r="B32" s="29"/>
      <c r="C32" s="29"/>
      <c r="D32" s="29"/>
      <c r="E32" s="186"/>
      <c r="F32" s="168"/>
      <c r="G32" s="296"/>
      <c r="H32" s="170"/>
      <c r="I32" s="297"/>
      <c r="M32" s="2" t="s">
        <v>128</v>
      </c>
      <c r="N32" s="82">
        <v>7443</v>
      </c>
      <c r="O32" s="2"/>
    </row>
    <row r="33" spans="1:15" ht="15.75" customHeight="1">
      <c r="A33" s="154"/>
      <c r="B33" s="29"/>
      <c r="C33" s="29"/>
      <c r="D33" s="29"/>
      <c r="E33" s="186"/>
      <c r="F33" s="168"/>
      <c r="G33" s="296"/>
      <c r="H33" s="170"/>
      <c r="I33" s="297"/>
      <c r="M33" s="2" t="s">
        <v>65</v>
      </c>
      <c r="N33" s="82">
        <v>7151</v>
      </c>
      <c r="O33" s="2"/>
    </row>
    <row r="34" spans="1:15" ht="15.75" customHeight="1" thickBot="1">
      <c r="A34" s="154"/>
      <c r="B34" s="29"/>
      <c r="C34" s="29"/>
      <c r="D34" s="29"/>
      <c r="E34" s="186"/>
      <c r="F34" s="168"/>
      <c r="G34" s="296"/>
      <c r="H34" s="298"/>
      <c r="I34" s="299"/>
      <c r="M34" s="2" t="s">
        <v>67</v>
      </c>
      <c r="N34" s="82">
        <v>7061</v>
      </c>
      <c r="O34" s="2"/>
    </row>
    <row r="35" spans="1:15" ht="15.75" customHeight="1" thickBot="1">
      <c r="A35" s="378"/>
      <c r="F35" s="386"/>
      <c r="G35" s="387"/>
      <c r="H35" s="388"/>
      <c r="I35" s="389"/>
      <c r="M35" s="2"/>
      <c r="N35" s="2"/>
      <c r="O35" s="2"/>
    </row>
    <row r="36" spans="1:15">
      <c r="A36" s="378"/>
      <c r="G36" s="379"/>
      <c r="M36" s="2"/>
      <c r="N36" s="2"/>
      <c r="O36" s="2"/>
    </row>
    <row r="37" spans="1:15">
      <c r="A37" s="378"/>
      <c r="G37" s="379"/>
      <c r="M37" s="2"/>
      <c r="N37" s="2"/>
      <c r="O37" s="2"/>
    </row>
    <row r="38" spans="1:15">
      <c r="A38" s="378"/>
      <c r="G38" s="379"/>
      <c r="M38" s="2"/>
      <c r="N38" s="2"/>
      <c r="O38" s="2"/>
    </row>
    <row r="39" spans="1:15">
      <c r="A39" s="378"/>
    </row>
  </sheetData>
  <mergeCells count="10">
    <mergeCell ref="F35:G35"/>
    <mergeCell ref="H35:I35"/>
    <mergeCell ref="F1:I1"/>
    <mergeCell ref="F2:G2"/>
    <mergeCell ref="H2:I2"/>
    <mergeCell ref="A1:A2"/>
    <mergeCell ref="B1:B2"/>
    <mergeCell ref="C1:C2"/>
    <mergeCell ref="D1:D2"/>
    <mergeCell ref="E1:E2"/>
  </mergeCells>
  <dataValidations count="2">
    <dataValidation type="list" allowBlank="1" showInputMessage="1" showErrorMessage="1" sqref="Q5" xr:uid="{19826DD2-85DC-4DA7-A66A-6D5D17069A29}">
      <formula1>"mmmm jjjj,mmmm aaaa"</formula1>
    </dataValidation>
    <dataValidation type="list" allowBlank="1" showInputMessage="1" showErrorMessage="1" sqref="M2" xr:uid="{702891F7-49F4-42D8-8009-522865A7B013}">
      <formula1>$M$5:$M$34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90" r:id="rId4" name="Button 2">
              <controlPr defaultSize="0" print="0" autoFill="0" autoPict="0" macro="[0]!Recherche">
                <anchor moveWithCells="1" sizeWithCells="1">
                  <from>
                    <xdr:col>10</xdr:col>
                    <xdr:colOff>485775</xdr:colOff>
                    <xdr:row>2</xdr:row>
                    <xdr:rowOff>104775</xdr:rowOff>
                  </from>
                  <to>
                    <xdr:col>11</xdr:col>
                    <xdr:colOff>514350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1" r:id="rId5" name="Button 3">
              <controlPr defaultSize="0" print="0" autoFill="0" autoPict="0" macro="[0]!Efface">
                <anchor moveWithCells="1" sizeWithCells="1">
                  <from>
                    <xdr:col>10</xdr:col>
                    <xdr:colOff>9525</xdr:colOff>
                    <xdr:row>0</xdr:row>
                    <xdr:rowOff>161925</xdr:rowOff>
                  </from>
                  <to>
                    <xdr:col>10</xdr:col>
                    <xdr:colOff>752475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9">
    <tabColor rgb="FFFFFF00"/>
    <pageSetUpPr fitToPage="1"/>
  </sheetPr>
  <dimension ref="B1:M58"/>
  <sheetViews>
    <sheetView showGridLines="0" zoomScale="85" zoomScaleNormal="85" workbookViewId="0">
      <pane ySplit="6" topLeftCell="A7" activePane="bottomLeft" state="frozen"/>
      <selection pane="bottomLeft" activeCell="E13" sqref="E13"/>
    </sheetView>
  </sheetViews>
  <sheetFormatPr baseColWidth="10" defaultColWidth="11.42578125" defaultRowHeight="15"/>
  <cols>
    <col min="1" max="1" width="1.5703125" style="44" customWidth="1"/>
    <col min="2" max="2" width="44.140625" style="44" customWidth="1"/>
    <col min="3" max="3" width="14.7109375" style="7" customWidth="1"/>
    <col min="4" max="4" width="12.85546875" style="7" customWidth="1"/>
    <col min="5" max="5" width="13" style="7" customWidth="1"/>
    <col min="6" max="6" width="14.42578125" style="7" customWidth="1"/>
    <col min="7" max="8" width="12.85546875" style="7" customWidth="1"/>
    <col min="9" max="9" width="3.28515625" style="7" customWidth="1"/>
    <col min="10" max="10" width="11.42578125" style="163"/>
    <col min="11" max="16384" width="11.42578125" style="44"/>
  </cols>
  <sheetData>
    <row r="1" spans="2:11" ht="35.25" customHeight="1">
      <c r="B1" s="21"/>
      <c r="C1" s="107" t="str">
        <f ca="1">MID(CELL("filename",C1),FIND("]",CELL("filename",C1))+1,32)</f>
        <v>Bilan Financier 2026</v>
      </c>
      <c r="D1" s="107"/>
      <c r="E1" s="107"/>
      <c r="F1" s="107"/>
      <c r="G1" s="107"/>
      <c r="H1" s="43"/>
      <c r="I1" s="43"/>
      <c r="K1" s="163"/>
    </row>
    <row r="2" spans="2:11" ht="15" customHeight="1">
      <c r="B2" s="437" t="s">
        <v>31</v>
      </c>
      <c r="C2" s="437"/>
      <c r="D2" s="437"/>
      <c r="E2" s="437"/>
      <c r="F2" s="180"/>
      <c r="G2" s="184">
        <f ca="1">SUM(E13:E23)</f>
        <v>0</v>
      </c>
      <c r="H2" s="165">
        <f ca="1">SUM(D13:D23)</f>
        <v>0</v>
      </c>
      <c r="I2" s="25"/>
    </row>
    <row r="3" spans="2:11" ht="15" customHeight="1">
      <c r="B3" s="437"/>
      <c r="C3" s="437"/>
      <c r="D3" s="437"/>
      <c r="E3" s="437"/>
      <c r="F3" s="180"/>
      <c r="G3" s="183">
        <f ca="1">SUM(H25:H42)</f>
        <v>140</v>
      </c>
      <c r="H3" s="184">
        <f ca="1">SUM(G25:G42)</f>
        <v>770</v>
      </c>
      <c r="I3" s="25"/>
    </row>
    <row r="4" spans="2:11" ht="15" customHeight="1">
      <c r="B4" s="437"/>
      <c r="C4" s="437"/>
      <c r="D4" s="437"/>
      <c r="E4" s="437"/>
      <c r="F4" s="180"/>
      <c r="G4" s="165">
        <f>C51</f>
        <v>410.11</v>
      </c>
      <c r="H4" s="165">
        <f>C50</f>
        <v>501.2</v>
      </c>
      <c r="I4" s="25"/>
    </row>
    <row r="5" spans="2:11" ht="15" customHeight="1">
      <c r="B5" s="437"/>
      <c r="C5" s="437"/>
      <c r="D5" s="437"/>
      <c r="E5" s="437"/>
      <c r="F5" s="180"/>
      <c r="G5" s="165">
        <f ca="1">G2-G3+G4</f>
        <v>270.11</v>
      </c>
      <c r="H5" s="164">
        <f ca="1">H2-H3+H4</f>
        <v>-268.8</v>
      </c>
      <c r="I5" s="25"/>
    </row>
    <row r="6" spans="2:11" ht="15.75" customHeight="1" thickBot="1">
      <c r="B6" s="438"/>
      <c r="C6" s="438"/>
      <c r="D6" s="438"/>
      <c r="E6" s="438"/>
      <c r="F6" s="162"/>
      <c r="G6" s="162"/>
      <c r="H6" s="58"/>
      <c r="I6" s="25"/>
      <c r="K6" s="163"/>
    </row>
    <row r="7" spans="2:11" ht="15.75" thickTop="1">
      <c r="B7" s="45"/>
      <c r="C7" s="46"/>
      <c r="D7" s="46"/>
      <c r="E7" s="46"/>
      <c r="F7" s="46"/>
      <c r="G7" s="46"/>
      <c r="H7" s="50"/>
      <c r="I7" s="47"/>
      <c r="K7" s="160"/>
    </row>
    <row r="8" spans="2:11" ht="23.25">
      <c r="B8" s="446" t="s">
        <v>97</v>
      </c>
      <c r="C8" s="447"/>
      <c r="D8" s="447"/>
      <c r="E8" s="447"/>
      <c r="F8" s="447"/>
      <c r="G8" s="447"/>
      <c r="H8" s="59"/>
      <c r="I8" s="26"/>
      <c r="K8" s="160"/>
    </row>
    <row r="9" spans="2:11" ht="15.75" thickBot="1">
      <c r="B9" s="48"/>
      <c r="C9" s="49"/>
      <c r="D9" s="49"/>
      <c r="E9" s="49"/>
      <c r="F9" s="49"/>
      <c r="G9" s="49"/>
      <c r="H9" s="55"/>
      <c r="I9" s="47"/>
      <c r="K9" s="160"/>
    </row>
    <row r="10" spans="2:11" ht="6.75" customHeight="1" thickBot="1">
      <c r="B10" s="448"/>
      <c r="C10" s="449"/>
      <c r="D10" s="449"/>
      <c r="E10" s="449"/>
      <c r="F10" s="449"/>
      <c r="G10" s="449"/>
      <c r="H10" s="61"/>
      <c r="I10" s="60"/>
      <c r="K10" s="160"/>
    </row>
    <row r="11" spans="2:11" ht="24.95" customHeight="1" thickBot="1">
      <c r="B11" s="64" t="s">
        <v>32</v>
      </c>
      <c r="C11" s="149" t="s">
        <v>0</v>
      </c>
      <c r="D11" s="443" t="s">
        <v>33</v>
      </c>
      <c r="E11" s="444"/>
      <c r="F11" s="62" t="s">
        <v>0</v>
      </c>
      <c r="G11" s="445" t="s">
        <v>34</v>
      </c>
      <c r="H11" s="444"/>
      <c r="I11" s="63"/>
      <c r="K11" s="160"/>
    </row>
    <row r="12" spans="2:11">
      <c r="B12" s="450"/>
      <c r="C12" s="451"/>
      <c r="D12" s="138" t="s">
        <v>10</v>
      </c>
      <c r="E12" s="138" t="s">
        <v>11</v>
      </c>
      <c r="F12" s="124"/>
      <c r="G12" s="60"/>
      <c r="H12" s="123"/>
      <c r="I12" s="63"/>
      <c r="K12" s="160"/>
    </row>
    <row r="13" spans="2:11" s="8" customFormat="1" ht="20.100000000000001" customHeight="1">
      <c r="B13" s="182" t="s">
        <v>84</v>
      </c>
      <c r="C13" s="133">
        <v>7020</v>
      </c>
      <c r="D13" s="135" cm="1">
        <f t="array" aca="1" ref="D13" ca="1">totalB(C13)</f>
        <v>0</v>
      </c>
      <c r="E13" s="122" cm="1">
        <f t="array" aca="1" ref="E13" ca="1">totalN(C13)</f>
        <v>0</v>
      </c>
      <c r="F13" s="92"/>
      <c r="G13" s="93"/>
      <c r="H13" s="94"/>
      <c r="I13" s="73"/>
      <c r="J13" s="258"/>
      <c r="K13" s="161"/>
    </row>
    <row r="14" spans="2:11" s="8" customFormat="1" ht="20.100000000000001" customHeight="1">
      <c r="B14" s="129" t="s">
        <v>91</v>
      </c>
      <c r="C14" s="133">
        <v>7061</v>
      </c>
      <c r="D14" s="135" cm="1">
        <f t="array" aca="1" ref="D14" ca="1">totalB(C14)</f>
        <v>0</v>
      </c>
      <c r="E14" s="121" cm="1">
        <f t="array" aca="1" ref="E14" ca="1">totalN(C14)</f>
        <v>0</v>
      </c>
      <c r="F14" s="92"/>
      <c r="G14" s="93"/>
      <c r="H14" s="94"/>
      <c r="I14" s="73"/>
      <c r="J14" s="258"/>
      <c r="K14" s="161"/>
    </row>
    <row r="15" spans="2:11" s="8" customFormat="1" ht="20.100000000000001" customHeight="1">
      <c r="B15" s="129" t="s">
        <v>56</v>
      </c>
      <c r="C15" s="133">
        <v>7151</v>
      </c>
      <c r="D15" s="135" cm="1">
        <f t="array" aca="1" ref="D15" ca="1">totalB(C15)</f>
        <v>0</v>
      </c>
      <c r="E15" s="121" cm="1">
        <f t="array" aca="1" ref="E15" ca="1">totalN(C15)</f>
        <v>0</v>
      </c>
      <c r="F15" s="92"/>
      <c r="G15" s="93"/>
      <c r="H15" s="94"/>
      <c r="I15" s="73"/>
      <c r="J15" s="258"/>
      <c r="K15" s="161"/>
    </row>
    <row r="16" spans="2:11" s="8" customFormat="1" ht="20.100000000000001" customHeight="1">
      <c r="B16" s="128" t="s">
        <v>100</v>
      </c>
      <c r="C16" s="133">
        <v>7417</v>
      </c>
      <c r="D16" s="135" cm="1">
        <f t="array" aca="1" ref="D16" ca="1">totalB(C16)</f>
        <v>0</v>
      </c>
      <c r="E16" s="121" cm="1">
        <f t="array" aca="1" ref="E16" ca="1">totalN(C16)</f>
        <v>0</v>
      </c>
      <c r="F16" s="92"/>
      <c r="G16" s="93"/>
      <c r="H16" s="94"/>
      <c r="I16" s="73"/>
      <c r="J16" s="258"/>
      <c r="K16" s="161"/>
    </row>
    <row r="17" spans="2:11" s="8" customFormat="1" ht="20.100000000000001" customHeight="1">
      <c r="B17" s="129" t="s">
        <v>35</v>
      </c>
      <c r="C17" s="133">
        <v>7441</v>
      </c>
      <c r="D17" s="135" cm="1">
        <f t="array" aca="1" ref="D17" ca="1">totalB(C17)</f>
        <v>0</v>
      </c>
      <c r="E17" s="121" cm="1">
        <f t="array" aca="1" ref="E17" ca="1">totalN(C17)</f>
        <v>0</v>
      </c>
      <c r="F17" s="92"/>
      <c r="G17" s="93"/>
      <c r="H17" s="94"/>
      <c r="I17" s="73"/>
      <c r="J17" s="258"/>
      <c r="K17" s="161"/>
    </row>
    <row r="18" spans="2:11" s="8" customFormat="1" ht="20.100000000000001" customHeight="1">
      <c r="B18" s="129" t="s">
        <v>36</v>
      </c>
      <c r="C18" s="133">
        <v>7442</v>
      </c>
      <c r="D18" s="135" cm="1">
        <f t="array" aca="1" ref="D18" ca="1">totalB(C18)</f>
        <v>0</v>
      </c>
      <c r="E18" s="121" cm="1">
        <f t="array" aca="1" ref="E18" ca="1">totalN(C18)</f>
        <v>0</v>
      </c>
      <c r="F18" s="92"/>
      <c r="G18" s="93"/>
      <c r="H18" s="94"/>
      <c r="I18" s="74"/>
      <c r="J18" s="258"/>
      <c r="K18" s="161"/>
    </row>
    <row r="19" spans="2:11" s="8" customFormat="1" ht="20.100000000000001" customHeight="1">
      <c r="B19" s="129" t="s">
        <v>99</v>
      </c>
      <c r="C19" s="133">
        <v>7443</v>
      </c>
      <c r="D19" s="135" cm="1">
        <f t="array" aca="1" ref="D19" ca="1">totalB(C19)</f>
        <v>0</v>
      </c>
      <c r="E19" s="121" cm="1">
        <f t="array" aca="1" ref="E19" ca="1">totalN(C19)</f>
        <v>0</v>
      </c>
      <c r="F19" s="92"/>
      <c r="G19" s="93"/>
      <c r="H19" s="94"/>
      <c r="I19" s="73"/>
      <c r="J19" s="258"/>
      <c r="K19" s="161"/>
    </row>
    <row r="20" spans="2:11" s="8" customFormat="1" ht="20.100000000000001" customHeight="1">
      <c r="B20" s="129" t="s">
        <v>69</v>
      </c>
      <c r="C20" s="133">
        <v>7511</v>
      </c>
      <c r="D20" s="135" cm="1">
        <f t="array" aca="1" ref="D20" ca="1">totalB(C20)</f>
        <v>0</v>
      </c>
      <c r="E20" s="121" cm="1">
        <f t="array" aca="1" ref="E20" ca="1">totalN(C20)</f>
        <v>0</v>
      </c>
      <c r="F20" s="92"/>
      <c r="G20" s="93"/>
      <c r="H20" s="94"/>
      <c r="I20" s="73"/>
      <c r="J20" s="164"/>
      <c r="K20" s="258"/>
    </row>
    <row r="21" spans="2:11" s="8" customFormat="1" ht="20.100000000000001" customHeight="1">
      <c r="B21" s="148" t="s">
        <v>79</v>
      </c>
      <c r="C21" s="133">
        <v>7530</v>
      </c>
      <c r="D21" s="135" cm="1">
        <f t="array" aca="1" ref="D21" ca="1">totalB(C21)</f>
        <v>0</v>
      </c>
      <c r="E21" s="121" cm="1">
        <f t="array" aca="1" ref="E21" ca="1">totalN(C21)</f>
        <v>0</v>
      </c>
      <c r="F21" s="92"/>
      <c r="G21" s="93"/>
      <c r="H21" s="94"/>
      <c r="I21" s="73"/>
      <c r="J21" s="258"/>
      <c r="K21" s="161"/>
    </row>
    <row r="22" spans="2:11" s="8" customFormat="1" ht="20.100000000000001" customHeight="1">
      <c r="B22" s="129" t="s">
        <v>68</v>
      </c>
      <c r="C22" s="133">
        <v>7560</v>
      </c>
      <c r="D22" s="135" cm="1">
        <f t="array" aca="1" ref="D22" ca="1">totalB(C22)</f>
        <v>0</v>
      </c>
      <c r="E22" s="121" cm="1">
        <f t="array" aca="1" ref="E22" ca="1">totalN(C22)</f>
        <v>0</v>
      </c>
      <c r="F22" s="92"/>
      <c r="G22" s="93"/>
      <c r="H22" s="94"/>
      <c r="I22" s="74"/>
      <c r="J22" s="258"/>
      <c r="K22" s="161"/>
    </row>
    <row r="23" spans="2:11" s="8" customFormat="1" ht="20.100000000000001" customHeight="1" thickBot="1">
      <c r="B23" s="132" t="s">
        <v>50</v>
      </c>
      <c r="C23" s="134">
        <v>7710</v>
      </c>
      <c r="D23" s="136" cm="1">
        <f t="array" aca="1" ref="D23" ca="1">totalB(C23)</f>
        <v>0</v>
      </c>
      <c r="E23" s="127" cm="1">
        <f t="array" aca="1" ref="E23" ca="1">totalN(C23)</f>
        <v>0</v>
      </c>
      <c r="F23" s="95"/>
      <c r="G23" s="96"/>
      <c r="H23" s="97"/>
      <c r="I23" s="73"/>
      <c r="J23" s="258"/>
      <c r="K23" s="161"/>
    </row>
    <row r="24" spans="2:11" s="8" customFormat="1" ht="15" customHeight="1">
      <c r="B24" s="452"/>
      <c r="C24" s="453"/>
      <c r="D24" s="453"/>
      <c r="E24" s="453"/>
      <c r="F24" s="453"/>
      <c r="G24" s="140" t="s">
        <v>73</v>
      </c>
      <c r="H24" s="137" t="s">
        <v>11</v>
      </c>
      <c r="I24" s="73"/>
      <c r="J24" s="258"/>
    </row>
    <row r="25" spans="2:11" s="8" customFormat="1" ht="20.100000000000001" customHeight="1">
      <c r="B25" s="125" t="s">
        <v>70</v>
      </c>
      <c r="C25" s="126"/>
      <c r="D25" s="126"/>
      <c r="E25" s="152"/>
      <c r="F25" s="130">
        <v>6010</v>
      </c>
      <c r="G25" s="270" cm="1">
        <f t="array" aca="1" ref="G25" ca="1">totalB(F25)</f>
        <v>0</v>
      </c>
      <c r="H25" s="271" cm="1">
        <f t="array" aca="1" ref="H25" ca="1">totalN(F25)</f>
        <v>0</v>
      </c>
      <c r="I25" s="75"/>
      <c r="J25" s="258"/>
    </row>
    <row r="26" spans="2:11" s="8" customFormat="1" ht="20.100000000000001" customHeight="1">
      <c r="B26" s="176" t="s">
        <v>83</v>
      </c>
      <c r="C26" s="104"/>
      <c r="D26" s="104"/>
      <c r="E26" s="151"/>
      <c r="F26" s="131">
        <v>6040</v>
      </c>
      <c r="G26" s="270" cm="1">
        <f t="array" aca="1" ref="G26" ca="1">totalB(F26)</f>
        <v>0</v>
      </c>
      <c r="H26" s="271" cm="1">
        <f t="array" aca="1" ref="H26" ca="1">totalN(F26)</f>
        <v>0</v>
      </c>
      <c r="I26" s="75"/>
      <c r="J26" s="258"/>
    </row>
    <row r="27" spans="2:11" s="8" customFormat="1" ht="20.100000000000001" customHeight="1">
      <c r="B27" s="105" t="s">
        <v>90</v>
      </c>
      <c r="C27" s="106"/>
      <c r="D27" s="106"/>
      <c r="E27" s="150"/>
      <c r="F27" s="65">
        <v>6051</v>
      </c>
      <c r="G27" s="270" cm="1">
        <f t="array" aca="1" ref="G27" ca="1">totalB(F27)</f>
        <v>0</v>
      </c>
      <c r="H27" s="271" cm="1">
        <f t="array" aca="1" ref="H27" ca="1">totalN(F27)</f>
        <v>0</v>
      </c>
      <c r="I27" s="75"/>
      <c r="J27" s="258"/>
    </row>
    <row r="28" spans="2:11" s="8" customFormat="1" ht="20.100000000000001" customHeight="1">
      <c r="B28" s="105" t="s">
        <v>71</v>
      </c>
      <c r="C28" s="106"/>
      <c r="D28" s="106"/>
      <c r="E28" s="150"/>
      <c r="F28" s="130">
        <v>6052</v>
      </c>
      <c r="G28" s="270" cm="1">
        <f t="array" aca="1" ref="G28" ca="1">totalB(F28)</f>
        <v>770</v>
      </c>
      <c r="H28" s="271" cm="1">
        <f t="array" aca="1" ref="H28" ca="1">totalN(F28)</f>
        <v>140</v>
      </c>
      <c r="I28" s="75"/>
      <c r="J28" s="258"/>
    </row>
    <row r="29" spans="2:11" s="8" customFormat="1" ht="20.100000000000001" customHeight="1">
      <c r="B29" s="103" t="s">
        <v>51</v>
      </c>
      <c r="C29" s="104"/>
      <c r="D29" s="104"/>
      <c r="E29" s="151"/>
      <c r="F29" s="130">
        <v>6064</v>
      </c>
      <c r="G29" s="270" cm="1">
        <f t="array" aca="1" ref="G29" ca="1">totalB(F29)</f>
        <v>0</v>
      </c>
      <c r="H29" s="271" cm="1">
        <f t="array" aca="1" ref="H29" ca="1">totalN(F29)</f>
        <v>0</v>
      </c>
      <c r="I29" s="75"/>
      <c r="J29" s="258"/>
    </row>
    <row r="30" spans="2:11" s="8" customFormat="1" ht="20.100000000000001" customHeight="1">
      <c r="B30" s="103" t="s">
        <v>45</v>
      </c>
      <c r="C30" s="104"/>
      <c r="D30" s="104"/>
      <c r="E30" s="151"/>
      <c r="F30" s="131">
        <v>6130</v>
      </c>
      <c r="G30" s="270" cm="1">
        <f t="array" aca="1" ref="G30" ca="1">totalB(F30)</f>
        <v>0</v>
      </c>
      <c r="H30" s="271" cm="1">
        <f t="array" aca="1" ref="H30" ca="1">totalN(F30)</f>
        <v>0</v>
      </c>
      <c r="I30" s="75"/>
      <c r="J30" s="258"/>
    </row>
    <row r="31" spans="2:11" s="8" customFormat="1" ht="20.100000000000001" customHeight="1">
      <c r="B31" s="103" t="s">
        <v>52</v>
      </c>
      <c r="C31" s="104"/>
      <c r="D31" s="104"/>
      <c r="E31" s="151"/>
      <c r="F31" s="65">
        <v>6135</v>
      </c>
      <c r="G31" s="270" cm="1">
        <f t="array" aca="1" ref="G31" ca="1">totalB(F31)</f>
        <v>0</v>
      </c>
      <c r="H31" s="271" cm="1">
        <f t="array" aca="1" ref="H31" ca="1">totalN(F31)</f>
        <v>0</v>
      </c>
      <c r="I31" s="75"/>
      <c r="J31" s="258"/>
    </row>
    <row r="32" spans="2:11" s="8" customFormat="1" ht="20.100000000000001" customHeight="1">
      <c r="B32" s="103" t="s">
        <v>2</v>
      </c>
      <c r="C32" s="104"/>
      <c r="D32" s="104"/>
      <c r="E32" s="151"/>
      <c r="F32" s="65">
        <v>6150</v>
      </c>
      <c r="G32" s="270" cm="1">
        <f t="array" aca="1" ref="G32" ca="1">totalB(F32)</f>
        <v>0</v>
      </c>
      <c r="H32" s="271" cm="1">
        <f t="array" aca="1" ref="H32" ca="1">totalN(F32)</f>
        <v>0</v>
      </c>
      <c r="I32" s="75"/>
      <c r="J32" s="258"/>
    </row>
    <row r="33" spans="2:13" s="8" customFormat="1" ht="20.100000000000001" customHeight="1">
      <c r="B33" s="103" t="s">
        <v>46</v>
      </c>
      <c r="C33" s="104"/>
      <c r="D33" s="104"/>
      <c r="E33" s="151"/>
      <c r="F33" s="65">
        <v>6160</v>
      </c>
      <c r="G33" s="270" cm="1">
        <f t="array" aca="1" ref="G33" ca="1">totalB(F33)</f>
        <v>0</v>
      </c>
      <c r="H33" s="271" cm="1">
        <f t="array" aca="1" ref="H33" ca="1">totalN(F33)</f>
        <v>0</v>
      </c>
      <c r="I33" s="75"/>
      <c r="J33" s="258"/>
    </row>
    <row r="34" spans="2:13" s="8" customFormat="1" ht="20.100000000000001" customHeight="1">
      <c r="B34" s="105" t="s">
        <v>61</v>
      </c>
      <c r="C34" s="106"/>
      <c r="D34" s="106"/>
      <c r="E34" s="150"/>
      <c r="F34" s="131">
        <v>6230</v>
      </c>
      <c r="G34" s="270" cm="1">
        <f t="array" aca="1" ref="G34" ca="1">totalB(F34)</f>
        <v>0</v>
      </c>
      <c r="H34" s="271" cm="1">
        <f t="array" aca="1" ref="H34" ca="1">totalN(F34)</f>
        <v>0</v>
      </c>
      <c r="I34" s="75"/>
      <c r="J34" s="258"/>
    </row>
    <row r="35" spans="2:13" s="8" customFormat="1" ht="20.100000000000001" customHeight="1">
      <c r="B35" s="103" t="s">
        <v>47</v>
      </c>
      <c r="C35" s="104"/>
      <c r="D35" s="104"/>
      <c r="E35" s="151"/>
      <c r="F35" s="65">
        <v>6231</v>
      </c>
      <c r="G35" s="270" cm="1">
        <f t="array" aca="1" ref="G35" ca="1">totalB(F35)</f>
        <v>0</v>
      </c>
      <c r="H35" s="271" cm="1">
        <f t="array" aca="1" ref="H35" ca="1">totalN(F35)</f>
        <v>0</v>
      </c>
      <c r="I35" s="75"/>
      <c r="J35" s="258"/>
    </row>
    <row r="36" spans="2:13" s="8" customFormat="1" ht="20.100000000000001" customHeight="1">
      <c r="B36" s="103" t="s">
        <v>44</v>
      </c>
      <c r="C36" s="104"/>
      <c r="D36" s="104"/>
      <c r="E36" s="151"/>
      <c r="F36" s="65">
        <v>6234</v>
      </c>
      <c r="G36" s="270" cm="1">
        <f t="array" aca="1" ref="G36" ca="1">totalB(F36)</f>
        <v>0</v>
      </c>
      <c r="H36" s="271" cm="1">
        <f t="array" aca="1" ref="H36" ca="1">totalN(F36)</f>
        <v>0</v>
      </c>
      <c r="I36" s="75"/>
      <c r="J36" s="258"/>
    </row>
    <row r="37" spans="2:13" s="8" customFormat="1" ht="20.100000000000001" customHeight="1">
      <c r="B37" s="105" t="s">
        <v>85</v>
      </c>
      <c r="C37" s="106"/>
      <c r="D37" s="106"/>
      <c r="E37" s="150"/>
      <c r="F37" s="65">
        <v>6250</v>
      </c>
      <c r="G37" s="270" cm="1">
        <f t="array" aca="1" ref="G37" ca="1">totalB(F37)</f>
        <v>0</v>
      </c>
      <c r="H37" s="271" cm="1">
        <f t="array" aca="1" ref="H37" ca="1">totalN(F37)</f>
        <v>0</v>
      </c>
      <c r="I37" s="75"/>
      <c r="J37" s="258"/>
    </row>
    <row r="38" spans="2:13" s="8" customFormat="1" ht="20.100000000000001" customHeight="1">
      <c r="B38" s="105" t="s">
        <v>72</v>
      </c>
      <c r="C38" s="106"/>
      <c r="D38" s="106"/>
      <c r="E38" s="150"/>
      <c r="F38" s="65">
        <v>6253</v>
      </c>
      <c r="G38" s="270" cm="1">
        <f t="array" aca="1" ref="G38" ca="1">totalB(F38)</f>
        <v>0</v>
      </c>
      <c r="H38" s="271" cm="1">
        <f t="array" aca="1" ref="H38" ca="1">totalN(F38)</f>
        <v>0</v>
      </c>
      <c r="I38" s="75"/>
      <c r="J38" s="258"/>
    </row>
    <row r="39" spans="2:13" s="8" customFormat="1" ht="20.100000000000001" customHeight="1">
      <c r="B39" s="103" t="s">
        <v>53</v>
      </c>
      <c r="C39" s="104"/>
      <c r="D39" s="104"/>
      <c r="E39" s="151"/>
      <c r="F39" s="65">
        <v>6270</v>
      </c>
      <c r="G39" s="270" cm="1">
        <f t="array" aca="1" ref="G39" ca="1">totalB(F39)</f>
        <v>0</v>
      </c>
      <c r="H39" s="271" cm="1">
        <f t="array" aca="1" ref="H39" ca="1">totalN(F39)</f>
        <v>0</v>
      </c>
      <c r="I39" s="75"/>
      <c r="J39" s="258"/>
      <c r="K39" s="86"/>
    </row>
    <row r="40" spans="2:13" s="8" customFormat="1" ht="20.100000000000001" customHeight="1">
      <c r="B40" s="103" t="s">
        <v>5</v>
      </c>
      <c r="C40" s="104"/>
      <c r="D40" s="104"/>
      <c r="E40" s="151"/>
      <c r="F40" s="65">
        <v>6280</v>
      </c>
      <c r="G40" s="270" cm="1">
        <f t="array" aca="1" ref="G40" ca="1">totalB(F40)</f>
        <v>0</v>
      </c>
      <c r="H40" s="271" cm="1">
        <f t="array" aca="1" ref="H40" ca="1">totalN(F40)</f>
        <v>0</v>
      </c>
      <c r="I40" s="75"/>
      <c r="J40" s="258"/>
      <c r="K40" s="86"/>
    </row>
    <row r="41" spans="2:13" s="8" customFormat="1" ht="20.100000000000001" customHeight="1">
      <c r="B41" s="103" t="s">
        <v>75</v>
      </c>
      <c r="C41" s="104"/>
      <c r="D41" s="104"/>
      <c r="E41" s="151"/>
      <c r="F41" s="65">
        <v>6510</v>
      </c>
      <c r="G41" s="272" cm="1">
        <f t="array" aca="1" ref="G41" ca="1">totalB(F41)</f>
        <v>0</v>
      </c>
      <c r="H41" s="271" cm="1">
        <f t="array" aca="1" ref="H41" ca="1">totalN(F41)</f>
        <v>0</v>
      </c>
      <c r="I41" s="75"/>
      <c r="J41" s="258"/>
    </row>
    <row r="42" spans="2:13" s="8" customFormat="1" ht="20.100000000000001" customHeight="1" thickBot="1">
      <c r="B42" s="175" t="s">
        <v>74</v>
      </c>
      <c r="C42" s="156"/>
      <c r="D42" s="156"/>
      <c r="E42" s="156"/>
      <c r="F42" s="157">
        <v>6582</v>
      </c>
      <c r="G42" s="272" cm="1">
        <f t="array" aca="1" ref="G42" ca="1">totalB(F42)</f>
        <v>0</v>
      </c>
      <c r="H42" s="271" cm="1">
        <f t="array" aca="1" ref="H42" ca="1">totalN(F42)</f>
        <v>0</v>
      </c>
      <c r="I42" s="75"/>
      <c r="J42" s="258"/>
    </row>
    <row r="43" spans="2:13" ht="24.95" customHeight="1" thickBot="1">
      <c r="B43" s="83"/>
      <c r="C43" s="84" t="s">
        <v>12</v>
      </c>
      <c r="D43" s="441">
        <f ca="1">SUM(D13:D23,E13:E23)</f>
        <v>0</v>
      </c>
      <c r="E43" s="442"/>
      <c r="F43" s="85"/>
      <c r="G43" s="439">
        <f ca="1">SUM((G25:G42,H25:H42))</f>
        <v>910</v>
      </c>
      <c r="H43" s="440"/>
      <c r="I43" s="66"/>
    </row>
    <row r="44" spans="2:13" ht="24.95" customHeight="1">
      <c r="B44" s="109"/>
      <c r="C44" s="462"/>
      <c r="D44" s="462"/>
      <c r="E44" s="115"/>
      <c r="F44" s="89"/>
      <c r="G44" s="90"/>
      <c r="H44" s="91"/>
      <c r="I44" s="66"/>
      <c r="K44" s="98"/>
    </row>
    <row r="45" spans="2:13" ht="19.5" customHeight="1" thickBot="1">
      <c r="B45" s="109"/>
      <c r="E45" s="100"/>
      <c r="F45" s="463" t="s">
        <v>64</v>
      </c>
      <c r="G45" s="463"/>
      <c r="H45" s="166">
        <f ca="1">H2-H3+H4</f>
        <v>-268.8</v>
      </c>
      <c r="I45" s="69"/>
      <c r="M45" s="181"/>
    </row>
    <row r="46" spans="2:13" ht="19.5" customHeight="1" thickTop="1" thickBot="1">
      <c r="B46" s="88" t="s">
        <v>96</v>
      </c>
      <c r="C46" s="118">
        <f ca="1">TODAY()</f>
        <v>46080</v>
      </c>
      <c r="D46" s="464">
        <f ca="1">SUM(D13:D23)-SUM(G25:G42)+SUM(E13:E23)-SUM(H25:H42)</f>
        <v>-910</v>
      </c>
      <c r="E46" s="465"/>
      <c r="F46" s="463" t="s">
        <v>39</v>
      </c>
      <c r="G46" s="463"/>
      <c r="H46" s="167">
        <f ca="1">G2-G3+G4</f>
        <v>270.11</v>
      </c>
      <c r="I46" s="69"/>
    </row>
    <row r="47" spans="2:13" ht="14.25" customHeight="1" thickTop="1">
      <c r="B47" s="88"/>
      <c r="C47" s="110"/>
      <c r="D47" s="110"/>
      <c r="E47" s="112"/>
      <c r="F47" s="100"/>
      <c r="G47" s="63"/>
      <c r="H47" s="67"/>
      <c r="I47" s="69"/>
    </row>
    <row r="48" spans="2:13" ht="7.5" customHeight="1">
      <c r="B48" s="141"/>
      <c r="C48" s="142"/>
      <c r="D48" s="142"/>
      <c r="E48" s="143"/>
      <c r="F48" s="144"/>
      <c r="G48" s="145"/>
      <c r="H48" s="146"/>
      <c r="I48" s="69"/>
    </row>
    <row r="49" spans="2:11" ht="7.5" customHeight="1">
      <c r="B49" s="111"/>
      <c r="C49" s="113"/>
      <c r="D49" s="113"/>
      <c r="E49" s="114"/>
      <c r="G49" s="63"/>
      <c r="H49" s="68"/>
      <c r="I49" s="69"/>
    </row>
    <row r="50" spans="2:11" ht="24.95" customHeight="1">
      <c r="B50" s="111" t="s">
        <v>57</v>
      </c>
      <c r="C50" s="188">
        <v>501.2</v>
      </c>
      <c r="D50" s="117"/>
      <c r="H50" s="71"/>
      <c r="I50" s="69"/>
    </row>
    <row r="51" spans="2:11" ht="28.5" customHeight="1" thickBot="1">
      <c r="B51" s="111" t="s">
        <v>58</v>
      </c>
      <c r="C51" s="99">
        <v>410.11</v>
      </c>
      <c r="D51" s="117"/>
      <c r="H51" s="71"/>
      <c r="I51" s="69"/>
    </row>
    <row r="52" spans="2:11" ht="24.95" customHeight="1" thickTop="1" thickBot="1">
      <c r="B52" s="111" t="s">
        <v>60</v>
      </c>
      <c r="C52" s="116">
        <f>SUM(C50:C51)</f>
        <v>911.31</v>
      </c>
      <c r="D52" s="119"/>
      <c r="E52" s="44"/>
      <c r="F52" s="70"/>
      <c r="G52" s="69"/>
      <c r="H52" s="71"/>
      <c r="I52" s="69"/>
      <c r="K52" s="159"/>
    </row>
    <row r="53" spans="2:11" ht="24.95" customHeight="1" thickTop="1">
      <c r="B53" s="109"/>
      <c r="F53" s="72"/>
      <c r="G53" s="63"/>
      <c r="H53" s="68"/>
      <c r="I53" s="63"/>
    </row>
    <row r="54" spans="2:11" ht="20.100000000000001" customHeight="1" thickBot="1">
      <c r="B54" s="109"/>
      <c r="F54" s="60"/>
      <c r="G54" s="70"/>
      <c r="H54" s="68"/>
      <c r="I54" s="63"/>
    </row>
    <row r="55" spans="2:11" ht="20.100000000000001" customHeight="1" thickTop="1">
      <c r="B55" s="456" t="s">
        <v>59</v>
      </c>
      <c r="C55" s="454">
        <f ca="1">TODAY()</f>
        <v>46080</v>
      </c>
      <c r="D55" s="458">
        <f ca="1">SUM(D46+C52)</f>
        <v>1.3099999999999454</v>
      </c>
      <c r="E55" s="459"/>
      <c r="F55" s="47"/>
      <c r="G55" s="47"/>
      <c r="H55" s="50"/>
      <c r="I55" s="47"/>
    </row>
    <row r="56" spans="2:11" ht="20.100000000000001" customHeight="1" thickBot="1">
      <c r="B56" s="457"/>
      <c r="C56" s="455"/>
      <c r="D56" s="460"/>
      <c r="E56" s="461"/>
      <c r="F56" s="52"/>
      <c r="G56" s="52"/>
      <c r="H56" s="51"/>
      <c r="I56" s="47"/>
    </row>
    <row r="57" spans="2:11" ht="15.75" thickTop="1">
      <c r="D57" s="87"/>
      <c r="E57" s="87"/>
    </row>
    <row r="58" spans="2:11">
      <c r="D58" s="44"/>
      <c r="E58" s="44"/>
    </row>
  </sheetData>
  <mergeCells count="16">
    <mergeCell ref="C55:C56"/>
    <mergeCell ref="B55:B56"/>
    <mergeCell ref="D55:E56"/>
    <mergeCell ref="C44:D44"/>
    <mergeCell ref="F46:G46"/>
    <mergeCell ref="F45:G45"/>
    <mergeCell ref="D46:E46"/>
    <mergeCell ref="B2:E6"/>
    <mergeCell ref="G43:H43"/>
    <mergeCell ref="D43:E43"/>
    <mergeCell ref="D11:E11"/>
    <mergeCell ref="G11:H11"/>
    <mergeCell ref="B8:G8"/>
    <mergeCell ref="B10:G10"/>
    <mergeCell ref="B12:C12"/>
    <mergeCell ref="B24:F24"/>
  </mergeCells>
  <pageMargins left="0.74803149606299213" right="0.23622047244094488" top="0.74803149606299213" bottom="0.74803149606299213" header="0.31496062992125984" footer="0.31496062992125984"/>
  <pageSetup paperSize="9" scale="62" fitToWidth="0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31"/>
  <sheetViews>
    <sheetView workbookViewId="0">
      <selection activeCell="G26" sqref="G26"/>
    </sheetView>
  </sheetViews>
  <sheetFormatPr baseColWidth="10" defaultColWidth="11.42578125" defaultRowHeight="15"/>
  <cols>
    <col min="1" max="1" width="52.140625" style="2" bestFit="1" customWidth="1"/>
    <col min="2" max="2" width="10.5703125" style="2" bestFit="1" customWidth="1"/>
  </cols>
  <sheetData>
    <row r="1" spans="1:2">
      <c r="A1" s="2" t="s">
        <v>9</v>
      </c>
      <c r="B1" s="2" t="s">
        <v>0</v>
      </c>
    </row>
    <row r="2" spans="1:2">
      <c r="A2" s="2" t="s">
        <v>88</v>
      </c>
      <c r="B2" s="54">
        <v>6052</v>
      </c>
    </row>
    <row r="3" spans="1:2">
      <c r="A3" s="2" t="s">
        <v>66</v>
      </c>
      <c r="B3" s="54">
        <v>6010</v>
      </c>
    </row>
    <row r="4" spans="1:2">
      <c r="A4" s="2" t="s">
        <v>86</v>
      </c>
      <c r="B4" s="54">
        <v>6250</v>
      </c>
    </row>
    <row r="5" spans="1:2">
      <c r="A5" s="2" t="s">
        <v>89</v>
      </c>
      <c r="B5" s="54">
        <v>6051</v>
      </c>
    </row>
    <row r="6" spans="1:2">
      <c r="A6" s="2" t="s">
        <v>46</v>
      </c>
      <c r="B6" s="54">
        <v>6160</v>
      </c>
    </row>
    <row r="7" spans="1:2">
      <c r="A7" s="2" t="s">
        <v>29</v>
      </c>
      <c r="B7" s="54">
        <v>6234</v>
      </c>
    </row>
    <row r="8" spans="1:2">
      <c r="A8" s="2" t="s">
        <v>68</v>
      </c>
      <c r="B8" s="54">
        <v>7560</v>
      </c>
    </row>
    <row r="9" spans="1:2">
      <c r="A9" s="2" t="s">
        <v>75</v>
      </c>
      <c r="B9" s="54">
        <v>6510</v>
      </c>
    </row>
    <row r="10" spans="1:2">
      <c r="A10" s="2" t="s">
        <v>2</v>
      </c>
      <c r="B10" s="54">
        <v>6150</v>
      </c>
    </row>
    <row r="11" spans="1:2">
      <c r="A11" s="2" t="s">
        <v>1</v>
      </c>
      <c r="B11" s="54">
        <v>6064</v>
      </c>
    </row>
    <row r="12" spans="1:2">
      <c r="A12" s="2" t="s">
        <v>4</v>
      </c>
      <c r="B12" s="54">
        <v>6270</v>
      </c>
    </row>
    <row r="13" spans="1:2">
      <c r="A13" s="2" t="s">
        <v>83</v>
      </c>
      <c r="B13" s="54">
        <v>6040</v>
      </c>
    </row>
    <row r="14" spans="1:2">
      <c r="A14" s="2" t="s">
        <v>5</v>
      </c>
      <c r="B14" s="54">
        <v>6280</v>
      </c>
    </row>
    <row r="15" spans="1:2">
      <c r="A15" s="2" t="s">
        <v>125</v>
      </c>
      <c r="B15" s="54">
        <v>6253</v>
      </c>
    </row>
    <row r="16" spans="1:2">
      <c r="A16" s="2" t="s">
        <v>74</v>
      </c>
      <c r="B16" s="158">
        <v>6582</v>
      </c>
    </row>
    <row r="17" spans="1:2">
      <c r="A17" s="2" t="s">
        <v>43</v>
      </c>
      <c r="B17" s="54">
        <v>6231</v>
      </c>
    </row>
    <row r="18" spans="1:2">
      <c r="A18" s="2" t="s">
        <v>62</v>
      </c>
      <c r="B18" s="82">
        <v>6135</v>
      </c>
    </row>
    <row r="19" spans="1:2">
      <c r="A19" s="2" t="s">
        <v>45</v>
      </c>
      <c r="B19" s="189">
        <v>6130</v>
      </c>
    </row>
    <row r="20" spans="1:2">
      <c r="A20" s="286" t="s">
        <v>76</v>
      </c>
      <c r="B20" s="287">
        <v>7511</v>
      </c>
    </row>
    <row r="21" spans="1:2">
      <c r="A21" s="2" t="s">
        <v>98</v>
      </c>
      <c r="B21" s="102">
        <v>6710</v>
      </c>
    </row>
    <row r="22" spans="1:2">
      <c r="A22" s="2" t="s">
        <v>79</v>
      </c>
      <c r="B22" s="54">
        <v>7530</v>
      </c>
    </row>
    <row r="23" spans="1:2">
      <c r="A23" s="2" t="s">
        <v>127</v>
      </c>
      <c r="B23" s="54">
        <v>7030</v>
      </c>
    </row>
    <row r="24" spans="1:2">
      <c r="A24" s="108" t="s">
        <v>3</v>
      </c>
      <c r="B24" s="54">
        <v>6230</v>
      </c>
    </row>
    <row r="25" spans="1:2">
      <c r="A25" s="2" t="s">
        <v>126</v>
      </c>
      <c r="B25" s="102">
        <v>7020</v>
      </c>
    </row>
    <row r="26" spans="1:2">
      <c r="A26" s="2" t="s">
        <v>81</v>
      </c>
      <c r="B26" s="54">
        <v>7417</v>
      </c>
    </row>
    <row r="27" spans="1:2">
      <c r="A27" s="2" t="s">
        <v>36</v>
      </c>
      <c r="B27" s="54">
        <v>7442</v>
      </c>
    </row>
    <row r="28" spans="1:2">
      <c r="A28" s="2" t="s">
        <v>35</v>
      </c>
      <c r="B28" s="82">
        <v>7441</v>
      </c>
    </row>
    <row r="29" spans="1:2">
      <c r="A29" s="2" t="s">
        <v>128</v>
      </c>
      <c r="B29" s="82">
        <v>7443</v>
      </c>
    </row>
    <row r="30" spans="1:2">
      <c r="A30" s="2" t="s">
        <v>65</v>
      </c>
      <c r="B30" s="82">
        <v>7151</v>
      </c>
    </row>
    <row r="31" spans="1:2">
      <c r="A31" s="2" t="s">
        <v>67</v>
      </c>
      <c r="B31" s="82">
        <v>7061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18</vt:i4>
      </vt:variant>
    </vt:vector>
  </HeadingPairs>
  <TitlesOfParts>
    <vt:vector size="35" baseType="lpstr">
      <vt:lpstr>Menu</vt:lpstr>
      <vt:lpstr>Membres 2027</vt:lpstr>
      <vt:lpstr>Janvier 2027</vt:lpstr>
      <vt:lpstr>Février 2027</vt:lpstr>
      <vt:lpstr>Mars 2027</vt:lpstr>
      <vt:lpstr>Avril 2027</vt:lpstr>
      <vt:lpstr>Mai 2027</vt:lpstr>
      <vt:lpstr>Juin 2027</vt:lpstr>
      <vt:lpstr>Juillet 2027</vt:lpstr>
      <vt:lpstr>Août 2027</vt:lpstr>
      <vt:lpstr>Septembre 2027</vt:lpstr>
      <vt:lpstr>Octobre 2027</vt:lpstr>
      <vt:lpstr>Novembre 2027</vt:lpstr>
      <vt:lpstr>Décembre 2027</vt:lpstr>
      <vt:lpstr>Recherche</vt:lpstr>
      <vt:lpstr>Bilan Financier 2026</vt:lpstr>
      <vt:lpstr>Data</vt:lpstr>
      <vt:lpstr>'Août 2027'!d.comptes</vt:lpstr>
      <vt:lpstr>'Avril 2027'!d.comptes</vt:lpstr>
      <vt:lpstr>'Bilan Financier 2026'!d.comptes</vt:lpstr>
      <vt:lpstr>'Décembre 2027'!d.comptes</vt:lpstr>
      <vt:lpstr>'Février 2027'!d.comptes</vt:lpstr>
      <vt:lpstr>'Janvier 2027'!d.comptes</vt:lpstr>
      <vt:lpstr>'Juillet 2027'!d.comptes</vt:lpstr>
      <vt:lpstr>'Juin 2027'!d.comptes</vt:lpstr>
      <vt:lpstr>'Mai 2027'!d.comptes</vt:lpstr>
      <vt:lpstr>'Mars 2027'!d.comptes</vt:lpstr>
      <vt:lpstr>'Novembre 2027'!d.comptes</vt:lpstr>
      <vt:lpstr>'Octobre 2027'!d.comptes</vt:lpstr>
      <vt:lpstr>'Septembre 2027'!d.comptes</vt:lpstr>
      <vt:lpstr>d.comptes</vt:lpstr>
      <vt:lpstr>DateSauve</vt:lpstr>
      <vt:lpstr>Entete</vt:lpstr>
      <vt:lpstr>Feuille</vt:lpstr>
      <vt:lpstr>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Jean-Charles BERTHAUD</cp:lastModifiedBy>
  <cp:lastPrinted>2026-01-14T13:55:04Z</cp:lastPrinted>
  <dcterms:created xsi:type="dcterms:W3CDTF">2021-11-28T08:35:44Z</dcterms:created>
  <dcterms:modified xsi:type="dcterms:W3CDTF">2026-02-27T09:33:42Z</dcterms:modified>
</cp:coreProperties>
</file>