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tables/table8.xml" ContentType="application/vnd.openxmlformats-officedocument.spreadsheetml.table+xml"/>
  <Override PartName="/xl/drawings/drawing11.xml" ContentType="application/vnd.openxmlformats-officedocument.drawing+xml"/>
  <Override PartName="/xl/tables/table9.xml" ContentType="application/vnd.openxmlformats-officedocument.spreadsheetml.table+xml"/>
  <Override PartName="/xl/drawings/drawing12.xml" ContentType="application/vnd.openxmlformats-officedocument.drawing+xml"/>
  <Override PartName="/xl/tables/table10.xml" ContentType="application/vnd.openxmlformats-officedocument.spreadsheetml.table+xml"/>
  <Override PartName="/xl/drawings/drawing13.xml" ContentType="application/vnd.openxmlformats-officedocument.drawing+xml"/>
  <Override PartName="/xl/tables/table11.xml" ContentType="application/vnd.openxmlformats-officedocument.spreadsheetml.table+xml"/>
  <Override PartName="/xl/drawings/drawing14.xml" ContentType="application/vnd.openxmlformats-officedocument.drawing+xml"/>
  <Override PartName="/xl/tables/table12.xml" ContentType="application/vnd.openxmlformats-officedocument.spreadsheetml.table+xml"/>
  <Override PartName="/xl/drawings/drawing15.xml" ContentType="application/vnd.openxmlformats-officedocument.drawing+xml"/>
  <Override PartName="/xl/tables/table13.xml" ContentType="application/vnd.openxmlformats-officedocument.spreadsheetml.table+xml"/>
  <Override PartName="/xl/drawings/drawing16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-Charles\OneDrive\Bureau\"/>
    </mc:Choice>
  </mc:AlternateContent>
  <xr:revisionPtr revIDLastSave="0" documentId="13_ncr:1_{2677240F-57D0-4E88-8037-0EAEBC7F6BA6}" xr6:coauthVersionLast="47" xr6:coauthVersionMax="47" xr10:uidLastSave="{00000000-0000-0000-0000-000000000000}"/>
  <bookViews>
    <workbookView xWindow="-120" yWindow="-120" windowWidth="29040" windowHeight="15840" tabRatio="948" activeTab="17" xr2:uid="{00000000-000D-0000-FFFF-FFFF00000000}"/>
  </bookViews>
  <sheets>
    <sheet name="Menu" sheetId="29" r:id="rId1"/>
    <sheet name="Membres 2026" sheetId="33" state="hidden" r:id="rId2"/>
    <sheet name="Novembre 2025" sheetId="2" r:id="rId3"/>
    <sheet name="Décembre 2025" sheetId="4" r:id="rId4"/>
    <sheet name="Janvier 2026" sheetId="5" state="hidden" r:id="rId5"/>
    <sheet name="Février 2026" sheetId="6" state="hidden" r:id="rId6"/>
    <sheet name="Mars 2026" sheetId="7" state="hidden" r:id="rId7"/>
    <sheet name="Avril 2026" sheetId="8" state="hidden" r:id="rId8"/>
    <sheet name="Mai 2026" sheetId="9" state="hidden" r:id="rId9"/>
    <sheet name="Juin 2026" sheetId="10" state="hidden" r:id="rId10"/>
    <sheet name="Juillet 2026" sheetId="11" state="hidden" r:id="rId11"/>
    <sheet name="Août 2026" sheetId="12" state="hidden" r:id="rId12"/>
    <sheet name="Septembre 2026" sheetId="13" state="hidden" r:id="rId13"/>
    <sheet name="Octobre 2026" sheetId="14" state="hidden" r:id="rId14"/>
    <sheet name="Novembre 2026" sheetId="15" state="hidden" r:id="rId15"/>
    <sheet name="Recherche" sheetId="31" state="hidden" r:id="rId16"/>
    <sheet name="Bilan Financier 2026" sheetId="19" r:id="rId17"/>
    <sheet name="Bilan 2026" sheetId="30" r:id="rId18"/>
    <sheet name="Caisse" sheetId="28" state="hidden" r:id="rId19"/>
    <sheet name="Graphique" sheetId="26" state="hidden" r:id="rId20"/>
    <sheet name="Data" sheetId="1" r:id="rId21"/>
  </sheets>
  <functionGroups builtInGroupCount="19"/>
  <externalReferences>
    <externalReference r:id="rId22"/>
    <externalReference r:id="rId23"/>
  </externalReferences>
  <definedNames>
    <definedName name="_xlnm._FilterDatabase" localSheetId="1" hidden="1">'Membres 2026'!$A$3:$X$52</definedName>
    <definedName name="_xleta.FIND" hidden="1" xlm="1">#NAME?</definedName>
    <definedName name="_xleta.IF" hidden="1" xlm="1">#NAME?</definedName>
    <definedName name="_xleta.NOT" hidden="1" xlm="1">#NAME?</definedName>
    <definedName name="_xleta.SUM" hidden="1" xlm="1">#NAME?</definedName>
    <definedName name="_xleta.T" hidden="1" xlm="1">#NAME?</definedName>
    <definedName name="_xlpm.w" hidden="1" xlm="1">#NAME?</definedName>
    <definedName name="_xlpm.x" hidden="1" xlm="1">#NAME?</definedName>
    <definedName name="_xlpm.y" hidden="1" xlm="1">#NAME?</definedName>
    <definedName name="compte">'[1]Bilan ouverture'!$A$18:$A$49</definedName>
    <definedName name="comptes">'[1]Bilan ouverture'!$A$18:$A$50</definedName>
    <definedName name="d.comptes" localSheetId="11">t_Comptes[LIBELLES]</definedName>
    <definedName name="d.comptes" localSheetId="7">t_Comptes[LIBELLES]</definedName>
    <definedName name="d.comptes" localSheetId="16">t_Comptes[LIBELLES]</definedName>
    <definedName name="d.comptes" localSheetId="3">t_Comptes[LIBELLES]</definedName>
    <definedName name="d.comptes" localSheetId="5">t_Comptes[LIBELLES]</definedName>
    <definedName name="d.comptes" localSheetId="4">t_Comptes[LIBELLES]</definedName>
    <definedName name="d.comptes" localSheetId="10">t_Comptes[LIBELLES]</definedName>
    <definedName name="d.comptes" localSheetId="9">t_Comptes[LIBELLES]</definedName>
    <definedName name="d.comptes" localSheetId="8">t_Comptes[LIBELLES]</definedName>
    <definedName name="d.comptes" localSheetId="6">t_Comptes[LIBELLES]</definedName>
    <definedName name="d.comptes" localSheetId="14">t_Comptes[LIBELLES]</definedName>
    <definedName name="d.comptes" localSheetId="13">t_Comptes[LIBELLES]</definedName>
    <definedName name="d.comptes" localSheetId="12">t_Comptes[LIBELLES]</definedName>
    <definedName name="d.comptes">t_Comptes[LIBELLES]</definedName>
    <definedName name="date">[1]Journal!$O$1:$O$365</definedName>
    <definedName name="DateSauve">Menu!$D$1</definedName>
    <definedName name="Entete">Recherche!$W$6:$AE$6</definedName>
    <definedName name="Feuille">tbl_Mois[Feuille]</definedName>
    <definedName name="toto">[2]!t_Comptes[LIBELLES]</definedName>
    <definedName name="X">'Novembre 2026'!$A$9:$I$10</definedName>
    <definedName name="_xlnm.Print_Area" localSheetId="19">Graphique!$A$2:$H$54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6" i="2" l="1"/>
  <c r="B15" i="2"/>
  <c r="B14" i="2"/>
  <c r="B13" i="2"/>
  <c r="B12" i="2"/>
  <c r="B11" i="2"/>
  <c r="X30" i="33"/>
  <c r="M29" i="33"/>
  <c r="M30" i="33"/>
  <c r="M31" i="33"/>
  <c r="C2" i="4"/>
  <c r="B10" i="15"/>
  <c r="B10" i="14"/>
  <c r="B10" i="13"/>
  <c r="B10" i="12"/>
  <c r="B10" i="11"/>
  <c r="B10" i="10"/>
  <c r="B10" i="9"/>
  <c r="B10" i="8"/>
  <c r="B10" i="7"/>
  <c r="B10" i="6"/>
  <c r="B10" i="5"/>
  <c r="B10" i="4"/>
  <c r="B10" i="2"/>
  <c r="X31" i="33"/>
  <c r="I7" i="9"/>
  <c r="M14" i="33"/>
  <c r="H46" i="30"/>
  <c r="H45" i="30"/>
  <c r="R43" i="33"/>
  <c r="R44" i="33"/>
  <c r="R45" i="33"/>
  <c r="R46" i="33"/>
  <c r="R47" i="33"/>
  <c r="R5" i="33"/>
  <c r="X15" i="33"/>
  <c r="M15" i="33"/>
  <c r="J15" i="33"/>
  <c r="B38" i="30"/>
  <c r="O10" i="33"/>
  <c r="O43" i="33"/>
  <c r="O44" i="33"/>
  <c r="O45" i="33"/>
  <c r="O46" i="33"/>
  <c r="O47" i="33"/>
  <c r="N10" i="33"/>
  <c r="R10" i="33" s="1"/>
  <c r="N43" i="33"/>
  <c r="N44" i="33"/>
  <c r="N45" i="33"/>
  <c r="N46" i="33"/>
  <c r="N47" i="33"/>
  <c r="M4" i="33"/>
  <c r="M6" i="33"/>
  <c r="M5" i="33"/>
  <c r="M7" i="33"/>
  <c r="M8" i="33"/>
  <c r="M9" i="33"/>
  <c r="M10" i="33"/>
  <c r="M11" i="33"/>
  <c r="M12" i="33"/>
  <c r="M13" i="33"/>
  <c r="M16" i="33"/>
  <c r="M17" i="33"/>
  <c r="M18" i="33"/>
  <c r="M19" i="33"/>
  <c r="M20" i="33"/>
  <c r="M21" i="33"/>
  <c r="M22" i="33"/>
  <c r="M23" i="33"/>
  <c r="M24" i="33"/>
  <c r="M25" i="33"/>
  <c r="M26" i="33"/>
  <c r="M27" i="33"/>
  <c r="M28" i="33"/>
  <c r="M32" i="33"/>
  <c r="M33" i="33"/>
  <c r="M34" i="33"/>
  <c r="M35" i="33"/>
  <c r="M36" i="33"/>
  <c r="M37" i="33"/>
  <c r="M38" i="33"/>
  <c r="M39" i="33"/>
  <c r="M40" i="33"/>
  <c r="M41" i="33"/>
  <c r="M42" i="33"/>
  <c r="M43" i="33"/>
  <c r="M44" i="33"/>
  <c r="M45" i="33"/>
  <c r="M46" i="33"/>
  <c r="M47" i="33"/>
  <c r="X25" i="33"/>
  <c r="J25" i="33"/>
  <c r="X20" i="33"/>
  <c r="M1" i="33"/>
  <c r="N9" i="33" s="1"/>
  <c r="O9" i="33" s="1"/>
  <c r="W3" i="33"/>
  <c r="J4" i="33"/>
  <c r="T4" i="33"/>
  <c r="X4" i="33"/>
  <c r="J5" i="33"/>
  <c r="T5" i="33"/>
  <c r="X5" i="33"/>
  <c r="J6" i="33"/>
  <c r="T6" i="33"/>
  <c r="X6" i="33"/>
  <c r="J7" i="33"/>
  <c r="T7" i="33"/>
  <c r="X7" i="33"/>
  <c r="J8" i="33"/>
  <c r="T8" i="33"/>
  <c r="X8" i="33"/>
  <c r="J9" i="33"/>
  <c r="T9" i="33"/>
  <c r="X9" i="33"/>
  <c r="J10" i="33"/>
  <c r="T10" i="33"/>
  <c r="X10" i="33"/>
  <c r="J11" i="33"/>
  <c r="T11" i="33"/>
  <c r="X11" i="33"/>
  <c r="J12" i="33"/>
  <c r="T12" i="33"/>
  <c r="X12" i="33"/>
  <c r="J13" i="33"/>
  <c r="T13" i="33"/>
  <c r="X13" i="33"/>
  <c r="J14" i="33"/>
  <c r="T14" i="33"/>
  <c r="X14" i="33"/>
  <c r="J20" i="33"/>
  <c r="J16" i="33"/>
  <c r="T16" i="33"/>
  <c r="X16" i="33"/>
  <c r="J17" i="33"/>
  <c r="T17" i="33"/>
  <c r="X17" i="33"/>
  <c r="J18" i="33"/>
  <c r="T18" i="33"/>
  <c r="X18" i="33"/>
  <c r="J19" i="33"/>
  <c r="T19" i="33"/>
  <c r="X19" i="33"/>
  <c r="J21" i="33"/>
  <c r="T21" i="33"/>
  <c r="X21" i="33"/>
  <c r="J22" i="33"/>
  <c r="T22" i="33"/>
  <c r="X22" i="33"/>
  <c r="J23" i="33"/>
  <c r="T23" i="33"/>
  <c r="X23" i="33"/>
  <c r="J24" i="33"/>
  <c r="T24" i="33"/>
  <c r="X24" i="33"/>
  <c r="J26" i="33"/>
  <c r="T26" i="33"/>
  <c r="X26" i="33"/>
  <c r="J27" i="33"/>
  <c r="T27" i="33"/>
  <c r="X27" i="33"/>
  <c r="J28" i="33"/>
  <c r="T28" i="33"/>
  <c r="X28" i="33"/>
  <c r="J29" i="33"/>
  <c r="T29" i="33"/>
  <c r="X29" i="33"/>
  <c r="J31" i="33"/>
  <c r="T31" i="33"/>
  <c r="J32" i="33"/>
  <c r="T32" i="33"/>
  <c r="X32" i="33"/>
  <c r="J33" i="33"/>
  <c r="T33" i="33"/>
  <c r="X33" i="33"/>
  <c r="J34" i="33"/>
  <c r="T34" i="33"/>
  <c r="X34" i="33"/>
  <c r="J35" i="33"/>
  <c r="T35" i="33"/>
  <c r="X35" i="33"/>
  <c r="J36" i="33"/>
  <c r="T36" i="33"/>
  <c r="X36" i="33"/>
  <c r="J37" i="33"/>
  <c r="T37" i="33"/>
  <c r="X37" i="33"/>
  <c r="J38" i="33"/>
  <c r="T38" i="33"/>
  <c r="X38" i="33"/>
  <c r="J39" i="33"/>
  <c r="T39" i="33"/>
  <c r="X39" i="33"/>
  <c r="J40" i="33"/>
  <c r="T40" i="33"/>
  <c r="X40" i="33"/>
  <c r="J41" i="33"/>
  <c r="T41" i="33"/>
  <c r="X41" i="33"/>
  <c r="J42" i="33"/>
  <c r="T42" i="33"/>
  <c r="X42" i="33"/>
  <c r="T43" i="33"/>
  <c r="X43" i="33"/>
  <c r="T44" i="33"/>
  <c r="X44" i="33"/>
  <c r="J45" i="33"/>
  <c r="X45" i="33"/>
  <c r="J46" i="33"/>
  <c r="T46" i="33"/>
  <c r="X46" i="33"/>
  <c r="J47" i="33"/>
  <c r="T47" i="33"/>
  <c r="X47" i="33"/>
  <c r="P48" i="33"/>
  <c r="R49" i="33"/>
  <c r="R50" i="33"/>
  <c r="R51" i="33"/>
  <c r="N30" i="33" l="1"/>
  <c r="R9" i="33"/>
  <c r="N40" i="33"/>
  <c r="R40" i="33" s="1"/>
  <c r="N15" i="33"/>
  <c r="R15" i="33" s="1"/>
  <c r="N39" i="33"/>
  <c r="N8" i="33"/>
  <c r="N13" i="33"/>
  <c r="N14" i="33"/>
  <c r="N5" i="33"/>
  <c r="O5" i="33" s="1"/>
  <c r="N33" i="33"/>
  <c r="N42" i="33"/>
  <c r="N21" i="33"/>
  <c r="N41" i="33"/>
  <c r="N37" i="33"/>
  <c r="R37" i="33" s="1"/>
  <c r="N28" i="33"/>
  <c r="N24" i="33"/>
  <c r="N20" i="33"/>
  <c r="N16" i="33"/>
  <c r="N11" i="33"/>
  <c r="N7" i="33"/>
  <c r="R7" i="33" s="1"/>
  <c r="N38" i="33"/>
  <c r="N29" i="33"/>
  <c r="R29" i="33" s="1"/>
  <c r="N12" i="33"/>
  <c r="N36" i="33"/>
  <c r="N32" i="33"/>
  <c r="N27" i="33"/>
  <c r="N23" i="33"/>
  <c r="N19" i="33"/>
  <c r="N6" i="33"/>
  <c r="N34" i="33"/>
  <c r="N25" i="33"/>
  <c r="N17" i="33"/>
  <c r="N35" i="33"/>
  <c r="N31" i="33"/>
  <c r="N26" i="33"/>
  <c r="N22" i="33"/>
  <c r="N18" i="33"/>
  <c r="R18" i="33" s="1"/>
  <c r="N4" i="33"/>
  <c r="I48" i="33"/>
  <c r="K48" i="33"/>
  <c r="R52" i="33"/>
  <c r="X48" i="33" a="1"/>
  <c r="X48" i="33" s="1"/>
  <c r="C15" i="26"/>
  <c r="C14" i="26"/>
  <c r="C13" i="26"/>
  <c r="B15" i="26"/>
  <c r="B14" i="26"/>
  <c r="B13" i="26"/>
  <c r="B12" i="26"/>
  <c r="C12" i="26"/>
  <c r="C11" i="26"/>
  <c r="B11" i="26"/>
  <c r="D11" i="26" s="1"/>
  <c r="E11" i="26" s="1"/>
  <c r="B10" i="26"/>
  <c r="C10" i="26"/>
  <c r="D13" i="26"/>
  <c r="E13" i="26" s="1"/>
  <c r="O30" i="33" l="1"/>
  <c r="R30" i="33"/>
  <c r="N48" i="33" a="1"/>
  <c r="N48" i="33" s="1"/>
  <c r="O8" i="33"/>
  <c r="R8" i="33"/>
  <c r="O14" i="33"/>
  <c r="R14" i="33"/>
  <c r="O13" i="33"/>
  <c r="R13" i="33"/>
  <c r="R33" i="33"/>
  <c r="O33" i="33"/>
  <c r="O32" i="33"/>
  <c r="R32" i="33"/>
  <c r="O20" i="33"/>
  <c r="R20" i="33"/>
  <c r="O41" i="33"/>
  <c r="R41" i="33"/>
  <c r="O22" i="33"/>
  <c r="R22" i="33"/>
  <c r="O17" i="33"/>
  <c r="R17" i="33"/>
  <c r="O19" i="33"/>
  <c r="R19" i="33"/>
  <c r="O36" i="33"/>
  <c r="R36" i="33"/>
  <c r="O24" i="33"/>
  <c r="R24" i="33"/>
  <c r="O26" i="33"/>
  <c r="R26" i="33"/>
  <c r="O25" i="33"/>
  <c r="R25" i="33"/>
  <c r="O23" i="33"/>
  <c r="R23" i="33"/>
  <c r="O28" i="33"/>
  <c r="R28" i="33"/>
  <c r="O42" i="33"/>
  <c r="R42" i="33"/>
  <c r="O21" i="33"/>
  <c r="R21" i="33"/>
  <c r="O31" i="33"/>
  <c r="R31" i="33"/>
  <c r="O34" i="33"/>
  <c r="R34" i="33"/>
  <c r="O27" i="33"/>
  <c r="R27" i="33"/>
  <c r="O29" i="33"/>
  <c r="O16" i="33"/>
  <c r="R16" i="33"/>
  <c r="O35" i="33"/>
  <c r="R35" i="33"/>
  <c r="O38" i="33"/>
  <c r="R38" i="33"/>
  <c r="S49" i="33" s="1"/>
  <c r="O39" i="33"/>
  <c r="R39" i="33"/>
  <c r="O12" i="33"/>
  <c r="R12" i="33"/>
  <c r="O11" i="33"/>
  <c r="R11" i="33"/>
  <c r="O6" i="33"/>
  <c r="R6" i="33"/>
  <c r="O4" i="33"/>
  <c r="R4" i="33"/>
  <c r="O40" i="33"/>
  <c r="O15" i="33"/>
  <c r="O18" i="33"/>
  <c r="O7" i="33"/>
  <c r="O37" i="33"/>
  <c r="D15" i="26"/>
  <c r="E15" i="26" s="1"/>
  <c r="D10" i="26"/>
  <c r="E10" i="26" s="1"/>
  <c r="D14" i="26"/>
  <c r="E14" i="26" s="1"/>
  <c r="D12" i="26"/>
  <c r="E12" i="26" s="1"/>
  <c r="S51" i="33" l="1"/>
  <c r="S50" i="33"/>
  <c r="R48" i="33"/>
  <c r="I7" i="15"/>
  <c r="H7" i="15"/>
  <c r="G7" i="15"/>
  <c r="F7" i="15"/>
  <c r="I7" i="14"/>
  <c r="H7" i="14"/>
  <c r="G7" i="14"/>
  <c r="I7" i="13"/>
  <c r="H7" i="13"/>
  <c r="G7" i="13"/>
  <c r="F7" i="13"/>
  <c r="I7" i="12"/>
  <c r="H7" i="12"/>
  <c r="G7" i="12"/>
  <c r="F7" i="12"/>
  <c r="I7" i="11"/>
  <c r="H7" i="11"/>
  <c r="G7" i="11"/>
  <c r="F7" i="11"/>
  <c r="I7" i="10"/>
  <c r="H7" i="10"/>
  <c r="G7" i="10"/>
  <c r="F7" i="10"/>
  <c r="H7" i="9"/>
  <c r="G7" i="9"/>
  <c r="F7" i="9"/>
  <c r="I7" i="8"/>
  <c r="H7" i="8"/>
  <c r="G7" i="8"/>
  <c r="F7" i="8"/>
  <c r="I7" i="7"/>
  <c r="H7" i="7"/>
  <c r="G7" i="7"/>
  <c r="F7" i="7"/>
  <c r="I7" i="6"/>
  <c r="H7" i="6"/>
  <c r="G7" i="6"/>
  <c r="F7" i="6"/>
  <c r="I7" i="5"/>
  <c r="H7" i="5"/>
  <c r="G7" i="5"/>
  <c r="F7" i="5"/>
  <c r="I7" i="4"/>
  <c r="H7" i="4"/>
  <c r="G7" i="4"/>
  <c r="F7" i="4"/>
  <c r="B4" i="26" s="1"/>
  <c r="H7" i="2"/>
  <c r="I7" i="2"/>
  <c r="G7" i="2"/>
  <c r="F7" i="2"/>
  <c r="C3" i="26" l="1"/>
  <c r="C4" i="26"/>
  <c r="H8" i="2"/>
  <c r="H6" i="4" s="1"/>
  <c r="F8" i="2"/>
  <c r="F6" i="4" s="1"/>
  <c r="B3" i="26"/>
  <c r="S52" i="33"/>
  <c r="B9" i="26"/>
  <c r="C9" i="26"/>
  <c r="B8" i="26"/>
  <c r="C8" i="26"/>
  <c r="B7" i="26"/>
  <c r="C7" i="26"/>
  <c r="B5" i="26"/>
  <c r="C5" i="26"/>
  <c r="B6" i="26"/>
  <c r="C6" i="26"/>
  <c r="D3" i="26" l="1"/>
  <c r="E3" i="26" s="1"/>
  <c r="D4" i="26"/>
  <c r="D9" i="26"/>
  <c r="D8" i="26"/>
  <c r="D7" i="26"/>
  <c r="D5" i="26"/>
  <c r="E5" i="26" s="1"/>
  <c r="D6" i="26"/>
  <c r="P7" i="31"/>
  <c r="Q7" i="31" s="1"/>
  <c r="R7" i="31" a="1"/>
  <c r="E7" i="26" l="1"/>
  <c r="E4" i="26"/>
  <c r="E8" i="26"/>
  <c r="E6" i="26"/>
  <c r="E9" i="26"/>
  <c r="R7" i="31"/>
  <c r="P8" i="31"/>
  <c r="T7" i="31" a="1"/>
  <c r="U7" i="31" a="1"/>
  <c r="S7" i="31" a="1"/>
  <c r="T7" i="31" l="1"/>
  <c r="U7" i="31"/>
  <c r="S7" i="31"/>
  <c r="P9" i="31"/>
  <c r="Q8" i="31"/>
  <c r="L2" i="31"/>
  <c r="F35" i="31" a="1"/>
  <c r="F35" i="31" s="1"/>
  <c r="G4" i="19"/>
  <c r="H4" i="19"/>
  <c r="R8" i="31" a="1"/>
  <c r="R8" i="31" l="1"/>
  <c r="P10" i="31"/>
  <c r="Q9" i="31"/>
  <c r="H38" i="30"/>
  <c r="H35" i="31" a="1"/>
  <c r="H35" i="31" s="1"/>
  <c r="L37" i="30"/>
  <c r="J37" i="30"/>
  <c r="I17" i="28"/>
  <c r="I16" i="28"/>
  <c r="I15" i="28"/>
  <c r="I14" i="28"/>
  <c r="I11" i="28"/>
  <c r="I10" i="28"/>
  <c r="I9" i="28"/>
  <c r="I8" i="28"/>
  <c r="I7" i="28"/>
  <c r="I6" i="28"/>
  <c r="I5" i="28"/>
  <c r="I4" i="28"/>
  <c r="B46" i="30"/>
  <c r="B45" i="30"/>
  <c r="C1" i="19"/>
  <c r="D15" i="28"/>
  <c r="D16" i="28"/>
  <c r="D17" i="28"/>
  <c r="D14" i="28"/>
  <c r="D5" i="28"/>
  <c r="D6" i="28"/>
  <c r="D7" i="28"/>
  <c r="D8" i="28"/>
  <c r="D9" i="28"/>
  <c r="D10" i="28"/>
  <c r="D11" i="28"/>
  <c r="D4" i="28"/>
  <c r="S8" i="31" a="1"/>
  <c r="T8" i="31" a="1"/>
  <c r="U8" i="31" a="1"/>
  <c r="H18" i="28" l="1"/>
  <c r="H12" i="28"/>
  <c r="T8" i="31"/>
  <c r="S8" i="31"/>
  <c r="U8" i="31"/>
  <c r="P11" i="31"/>
  <c r="Q10" i="31"/>
  <c r="J38" i="30"/>
  <c r="D18" i="28"/>
  <c r="D12" i="28"/>
  <c r="C52" i="19"/>
  <c r="D43" i="30" s="1"/>
  <c r="H19" i="28" l="1"/>
  <c r="P12" i="31"/>
  <c r="Q11" i="31"/>
  <c r="C19" i="28"/>
  <c r="S9" i="31" a="1"/>
  <c r="U9" i="31" a="1"/>
  <c r="U9" i="31" l="1"/>
  <c r="S9" i="31"/>
  <c r="P13" i="31"/>
  <c r="Q12" i="31"/>
  <c r="P14" i="31" l="1"/>
  <c r="Q13" i="31"/>
  <c r="C46" i="19"/>
  <c r="U10" i="31" a="1"/>
  <c r="S10" i="31" a="1"/>
  <c r="U10" i="31" l="1"/>
  <c r="S10" i="31"/>
  <c r="P15" i="31"/>
  <c r="Q14" i="31"/>
  <c r="P16" i="31" l="1"/>
  <c r="Q15" i="31"/>
  <c r="S11" i="31" a="1"/>
  <c r="U11" i="31" a="1"/>
  <c r="S11" i="31" l="1"/>
  <c r="U11" i="31"/>
  <c r="P17" i="31"/>
  <c r="Q16" i="31"/>
  <c r="P18" i="31" l="1"/>
  <c r="Q17" i="31"/>
  <c r="S12" i="31" a="1"/>
  <c r="U12" i="31" a="1"/>
  <c r="S12" i="31" l="1"/>
  <c r="U12" i="31"/>
  <c r="P19" i="31"/>
  <c r="Q18" i="31"/>
  <c r="P20" i="31" l="1"/>
  <c r="Q19" i="31"/>
  <c r="C55" i="19"/>
  <c r="S13" i="31" a="1"/>
  <c r="U13" i="31" a="1"/>
  <c r="S13" i="31" l="1"/>
  <c r="U13" i="31"/>
  <c r="P21" i="31"/>
  <c r="Q20" i="31"/>
  <c r="P22" i="31" l="1"/>
  <c r="Q21" i="31"/>
  <c r="C16" i="26"/>
  <c r="U14" i="31" a="1"/>
  <c r="S14" i="31" a="1"/>
  <c r="S14" i="31" l="1"/>
  <c r="U14" i="31"/>
  <c r="P23" i="31"/>
  <c r="Q22" i="31"/>
  <c r="U21" i="31" a="1"/>
  <c r="S21" i="31" a="1"/>
  <c r="U21" i="31" l="1"/>
  <c r="S21" i="31"/>
  <c r="P24" i="31"/>
  <c r="Q23" i="31"/>
  <c r="S22" i="31" a="1"/>
  <c r="U22" i="31" a="1"/>
  <c r="S15" i="31" a="1"/>
  <c r="U15" i="31" a="1"/>
  <c r="S15" i="31" l="1"/>
  <c r="U15" i="31"/>
  <c r="S22" i="31"/>
  <c r="U22" i="31"/>
  <c r="P25" i="31"/>
  <c r="Q24" i="31"/>
  <c r="S23" i="31" a="1"/>
  <c r="U23" i="31" a="1"/>
  <c r="U23" i="31" l="1"/>
  <c r="S23" i="31"/>
  <c r="P26" i="31"/>
  <c r="Q25" i="31"/>
  <c r="S16" i="31" a="1"/>
  <c r="S24" i="31" a="1"/>
  <c r="U16" i="31" a="1"/>
  <c r="U24" i="31" a="1"/>
  <c r="S16" i="31" l="1"/>
  <c r="U16" i="31"/>
  <c r="U24" i="31"/>
  <c r="S24" i="31"/>
  <c r="P27" i="31"/>
  <c r="Q26" i="31"/>
  <c r="C2" i="15"/>
  <c r="C2" i="14"/>
  <c r="C2" i="13"/>
  <c r="C2" i="12"/>
  <c r="C2" i="11"/>
  <c r="C2" i="10"/>
  <c r="C2" i="9"/>
  <c r="C2" i="8"/>
  <c r="C2" i="7"/>
  <c r="C2" i="6"/>
  <c r="S25" i="31" a="1"/>
  <c r="U25" i="31" a="1"/>
  <c r="U25" i="31" l="1"/>
  <c r="S25" i="31"/>
  <c r="P28" i="31"/>
  <c r="Q27" i="31"/>
  <c r="C2" i="5"/>
  <c r="D20" i="19" a="1"/>
  <c r="U17" i="31" a="1"/>
  <c r="S26" i="31" a="1"/>
  <c r="U26" i="31" a="1"/>
  <c r="S17" i="31" a="1"/>
  <c r="D20" i="19" l="1"/>
  <c r="U17" i="31"/>
  <c r="S17" i="31"/>
  <c r="U26" i="31"/>
  <c r="S26" i="31"/>
  <c r="P29" i="31"/>
  <c r="Q28" i="31"/>
  <c r="S27" i="31" a="1"/>
  <c r="U27" i="31" a="1"/>
  <c r="S27" i="31" l="1"/>
  <c r="U27" i="31"/>
  <c r="P30" i="31"/>
  <c r="Q29" i="31"/>
  <c r="U18" i="31" a="1"/>
  <c r="U28" i="31" a="1"/>
  <c r="S18" i="31" a="1"/>
  <c r="S28" i="31" a="1"/>
  <c r="U18" i="31" l="1"/>
  <c r="S18" i="31"/>
  <c r="S28" i="31"/>
  <c r="U28" i="31"/>
  <c r="P31" i="31"/>
  <c r="Q30" i="31"/>
  <c r="E19" i="19" a="1"/>
  <c r="D13" i="19" a="1"/>
  <c r="E17" i="19" a="1"/>
  <c r="G36" i="19" a="1"/>
  <c r="G35" i="19" a="1"/>
  <c r="G39" i="19" a="1"/>
  <c r="H41" i="19" a="1"/>
  <c r="G40" i="19" a="1"/>
  <c r="G30" i="19" a="1"/>
  <c r="E14" i="19" a="1"/>
  <c r="G26" i="19" a="1"/>
  <c r="G38" i="19" a="1"/>
  <c r="D14" i="19" a="1"/>
  <c r="E18" i="19" a="1"/>
  <c r="D17" i="19" a="1"/>
  <c r="G27" i="19" a="1"/>
  <c r="G29" i="19" a="1"/>
  <c r="H31" i="19" a="1"/>
  <c r="D21" i="19" a="1"/>
  <c r="D18" i="19" a="1"/>
  <c r="E13" i="19" a="1"/>
  <c r="H35" i="19" a="1"/>
  <c r="E22" i="19" a="1"/>
  <c r="E20" i="19" a="1"/>
  <c r="G34" i="19" a="1"/>
  <c r="H25" i="19" a="1"/>
  <c r="D16" i="19" a="1"/>
  <c r="H29" i="19" a="1"/>
  <c r="H42" i="19" a="1"/>
  <c r="E21" i="19" a="1"/>
  <c r="H26" i="19" a="1"/>
  <c r="H33" i="19" a="1"/>
  <c r="D19" i="19" a="1"/>
  <c r="G42" i="19" a="1"/>
  <c r="H36" i="19" a="1"/>
  <c r="G33" i="19" a="1"/>
  <c r="H30" i="19" a="1"/>
  <c r="H34" i="19" a="1"/>
  <c r="G41" i="19" a="1"/>
  <c r="D15" i="19" a="1"/>
  <c r="H27" i="19" a="1"/>
  <c r="H40" i="19" a="1"/>
  <c r="G32" i="19" a="1"/>
  <c r="H39" i="19" a="1"/>
  <c r="E23" i="19" a="1"/>
  <c r="D22" i="19" a="1"/>
  <c r="G31" i="19" a="1"/>
  <c r="E16" i="19" a="1"/>
  <c r="G28" i="19" a="1"/>
  <c r="G37" i="19" a="1"/>
  <c r="H32" i="19" a="1"/>
  <c r="H37" i="19" a="1"/>
  <c r="H28" i="19" a="1"/>
  <c r="E15" i="19" a="1"/>
  <c r="D23" i="19" a="1"/>
  <c r="G25" i="19" a="1"/>
  <c r="H38" i="19" a="1"/>
  <c r="S29" i="31" a="1"/>
  <c r="U29" i="31" a="1"/>
  <c r="S29" i="31" l="1"/>
  <c r="U29" i="31"/>
  <c r="P32" i="31"/>
  <c r="Q31" i="31"/>
  <c r="D22" i="19"/>
  <c r="D21" i="19"/>
  <c r="G28" i="19"/>
  <c r="H28" i="19"/>
  <c r="E13" i="19"/>
  <c r="D13" i="19"/>
  <c r="G37" i="19"/>
  <c r="G42" i="19"/>
  <c r="H42" i="19"/>
  <c r="H37" i="19"/>
  <c r="E21" i="19"/>
  <c r="H35" i="19"/>
  <c r="G41" i="19"/>
  <c r="H41" i="19"/>
  <c r="G40" i="19"/>
  <c r="H40" i="19"/>
  <c r="H25" i="19"/>
  <c r="H27" i="19"/>
  <c r="H29" i="19"/>
  <c r="H31" i="19"/>
  <c r="H33" i="19"/>
  <c r="H36" i="19"/>
  <c r="H38" i="19"/>
  <c r="H26" i="19"/>
  <c r="H30" i="19"/>
  <c r="H32" i="19"/>
  <c r="H34" i="19"/>
  <c r="H39" i="19"/>
  <c r="G25" i="19"/>
  <c r="G27" i="19"/>
  <c r="F21" i="30" s="1" a="1"/>
  <c r="F21" i="30" s="1"/>
  <c r="G29" i="19"/>
  <c r="F23" i="30" s="1" a="1"/>
  <c r="F23" i="30" s="1"/>
  <c r="G31" i="19"/>
  <c r="F25" i="30" s="1" a="1"/>
  <c r="F25" i="30" s="1"/>
  <c r="G33" i="19"/>
  <c r="F27" i="30" s="1" a="1"/>
  <c r="F27" i="30" s="1"/>
  <c r="G36" i="19"/>
  <c r="F30" i="30" s="1" a="1"/>
  <c r="F30" i="30" s="1"/>
  <c r="G38" i="19"/>
  <c r="F32" i="30" s="1" a="1"/>
  <c r="F32" i="30" s="1"/>
  <c r="G26" i="19"/>
  <c r="F20" i="30" s="1" a="1"/>
  <c r="F20" i="30" s="1"/>
  <c r="G30" i="19"/>
  <c r="F24" i="30" s="1" a="1"/>
  <c r="F24" i="30" s="1"/>
  <c r="G32" i="19"/>
  <c r="F26" i="30" s="1" a="1"/>
  <c r="F26" i="30" s="1"/>
  <c r="G34" i="19"/>
  <c r="F28" i="30" s="1" a="1"/>
  <c r="F28" i="30" s="1"/>
  <c r="G35" i="19"/>
  <c r="F29" i="30" s="1" a="1"/>
  <c r="F29" i="30" s="1"/>
  <c r="G39" i="19"/>
  <c r="E14" i="19"/>
  <c r="E15" i="19"/>
  <c r="E16" i="19"/>
  <c r="E18" i="19"/>
  <c r="E20" i="19"/>
  <c r="E22" i="19"/>
  <c r="E23" i="19"/>
  <c r="E17" i="19"/>
  <c r="E19" i="19"/>
  <c r="D14" i="19"/>
  <c r="D15" i="19"/>
  <c r="D16" i="19"/>
  <c r="D18" i="19"/>
  <c r="D23" i="19"/>
  <c r="D17" i="19"/>
  <c r="D19" i="19"/>
  <c r="C2" i="2"/>
  <c r="U30" i="31" a="1"/>
  <c r="S30" i="31" a="1"/>
  <c r="U19" i="31" a="1"/>
  <c r="S19" i="31" a="1"/>
  <c r="S19" i="31" l="1"/>
  <c r="U30" i="31"/>
  <c r="S30" i="31"/>
  <c r="U19" i="31"/>
  <c r="P33" i="31"/>
  <c r="Q32" i="31"/>
  <c r="H2" i="19"/>
  <c r="F19" i="30" a="1"/>
  <c r="F19" i="30" s="1"/>
  <c r="H3" i="19"/>
  <c r="F33" i="30" a="1"/>
  <c r="F33" i="30" s="1"/>
  <c r="F34" i="30" a="1"/>
  <c r="F34" i="30" s="1"/>
  <c r="F22" i="30" a="1"/>
  <c r="F22" i="30" s="1"/>
  <c r="F36" i="30" a="1"/>
  <c r="F36" i="30" s="1"/>
  <c r="F31" i="30" a="1"/>
  <c r="F31" i="30" s="1"/>
  <c r="F35" i="30" a="1"/>
  <c r="F35" i="30" s="1"/>
  <c r="D8" i="30" a="1"/>
  <c r="D8" i="30" s="1"/>
  <c r="G3" i="19"/>
  <c r="G2" i="19"/>
  <c r="D43" i="19"/>
  <c r="G43" i="19"/>
  <c r="D46" i="19"/>
  <c r="D14" i="30" a="1"/>
  <c r="D14" i="30" s="1"/>
  <c r="D15" i="30" a="1"/>
  <c r="D15" i="30" s="1"/>
  <c r="D12" i="30" a="1"/>
  <c r="D12" i="30" s="1"/>
  <c r="D13" i="30" a="1"/>
  <c r="D13" i="30" s="1"/>
  <c r="D16" i="30" a="1"/>
  <c r="D16" i="30" s="1"/>
  <c r="D9" i="30" a="1"/>
  <c r="D9" i="30" s="1"/>
  <c r="D18" i="30" a="1"/>
  <c r="D18" i="30" s="1"/>
  <c r="D11" i="30" a="1"/>
  <c r="D11" i="30" s="1"/>
  <c r="D17" i="30" a="1"/>
  <c r="D17" i="30" s="1"/>
  <c r="D10" i="30" a="1"/>
  <c r="D10" i="30" s="1"/>
  <c r="U31" i="31" a="1"/>
  <c r="S31" i="31" a="1"/>
  <c r="U31" i="31" l="1"/>
  <c r="S31" i="31"/>
  <c r="P34" i="31"/>
  <c r="Q33" i="31"/>
  <c r="H46" i="19"/>
  <c r="H5" i="19"/>
  <c r="D37" i="30" a="1"/>
  <c r="D37" i="30" s="1"/>
  <c r="F37" i="30" a="1"/>
  <c r="F37" i="30" s="1"/>
  <c r="G5" i="19"/>
  <c r="H45" i="19"/>
  <c r="U20" i="31" a="1"/>
  <c r="S20" i="31" a="1"/>
  <c r="U32" i="31" a="1"/>
  <c r="S32" i="31" a="1"/>
  <c r="S20" i="31" l="1"/>
  <c r="U20" i="31"/>
  <c r="U32" i="31"/>
  <c r="S32" i="31"/>
  <c r="P35" i="31"/>
  <c r="Q34" i="31"/>
  <c r="U33" i="31" a="1"/>
  <c r="R33" i="31" a="1"/>
  <c r="S33" i="31" a="1"/>
  <c r="T33" i="31" a="1"/>
  <c r="S33" i="31" l="1"/>
  <c r="R33" i="31"/>
  <c r="U33" i="31"/>
  <c r="T33" i="31"/>
  <c r="P36" i="31"/>
  <c r="Q35" i="31"/>
  <c r="B16" i="26"/>
  <c r="B17" i="26" s="1"/>
  <c r="T34" i="31" a="1"/>
  <c r="R34" i="31" a="1"/>
  <c r="U34" i="31" a="1"/>
  <c r="S34" i="31" a="1"/>
  <c r="S34" i="31" l="1"/>
  <c r="R34" i="31"/>
  <c r="U34" i="31"/>
  <c r="T34" i="31"/>
  <c r="P37" i="31"/>
  <c r="Q36" i="31"/>
  <c r="T35" i="31" a="1"/>
  <c r="R35" i="31" a="1"/>
  <c r="S35" i="31" a="1"/>
  <c r="U35" i="31" a="1"/>
  <c r="S35" i="31" l="1"/>
  <c r="R35" i="31"/>
  <c r="U35" i="31"/>
  <c r="T35" i="31"/>
  <c r="P38" i="31"/>
  <c r="Q38" i="31" s="1"/>
  <c r="Q37" i="31"/>
  <c r="S36" i="31" a="1"/>
  <c r="R36" i="31" a="1"/>
  <c r="T36" i="31" a="1"/>
  <c r="U36" i="31" a="1"/>
  <c r="H8" i="4" l="1"/>
  <c r="F8" i="4"/>
  <c r="R36" i="31"/>
  <c r="U36" i="31"/>
  <c r="S36" i="31"/>
  <c r="T36" i="31"/>
  <c r="T37" i="31" a="1"/>
  <c r="R21" i="31" a="1"/>
  <c r="R38" i="31" a="1"/>
  <c r="R37" i="31" a="1"/>
  <c r="T38" i="31" a="1"/>
  <c r="S38" i="31" a="1"/>
  <c r="U38" i="31" a="1"/>
  <c r="R9" i="31" a="1"/>
  <c r="T9" i="31" a="1"/>
  <c r="U37" i="31" a="1"/>
  <c r="T21" i="31" a="1"/>
  <c r="S37" i="31" a="1"/>
  <c r="T21" i="31" l="1"/>
  <c r="H6" i="5"/>
  <c r="R21" i="31"/>
  <c r="F6" i="5"/>
  <c r="R9" i="31"/>
  <c r="T9" i="31"/>
  <c r="R38" i="31"/>
  <c r="R37" i="31"/>
  <c r="U38" i="31"/>
  <c r="U37" i="31"/>
  <c r="S38" i="31"/>
  <c r="S37" i="31"/>
  <c r="T38" i="31"/>
  <c r="T37" i="31"/>
  <c r="D45" i="30"/>
  <c r="J45" i="30" s="1"/>
  <c r="R10" i="31" a="1"/>
  <c r="T10" i="31" a="1"/>
  <c r="H8" i="5" l="1"/>
  <c r="F8" i="5"/>
  <c r="R10" i="31"/>
  <c r="T10" i="31"/>
  <c r="D46" i="30"/>
  <c r="J46" i="30" s="1"/>
  <c r="J47" i="30" s="1"/>
  <c r="D55" i="19"/>
  <c r="T22" i="31" a="1"/>
  <c r="R11" i="31" a="1"/>
  <c r="R22" i="31" a="1"/>
  <c r="T11" i="31" a="1"/>
  <c r="T22" i="31" l="1"/>
  <c r="H6" i="6"/>
  <c r="H8" i="6" s="1"/>
  <c r="R22" i="31"/>
  <c r="F6" i="6"/>
  <c r="F8" i="6" s="1"/>
  <c r="R11" i="31"/>
  <c r="T11" i="31"/>
  <c r="D38" i="30"/>
  <c r="D47" i="30" s="1"/>
  <c r="T23" i="31" a="1"/>
  <c r="T12" i="31" a="1"/>
  <c r="R23" i="31" a="1"/>
  <c r="R12" i="31" a="1"/>
  <c r="T23" i="31" l="1"/>
  <c r="H6" i="7"/>
  <c r="H8" i="7" s="1"/>
  <c r="R23" i="31"/>
  <c r="F6" i="7"/>
  <c r="F8" i="7" s="1"/>
  <c r="R12" i="31"/>
  <c r="T12" i="31"/>
  <c r="T24" i="31" a="1"/>
  <c r="T13" i="31" a="1"/>
  <c r="R13" i="31" a="1"/>
  <c r="R24" i="31" a="1"/>
  <c r="T24" i="31" l="1"/>
  <c r="H6" i="8"/>
  <c r="H8" i="8"/>
  <c r="R24" i="31"/>
  <c r="F6" i="8"/>
  <c r="F8" i="8" s="1"/>
  <c r="T13" i="31"/>
  <c r="R13" i="31"/>
  <c r="T25" i="31" a="1"/>
  <c r="R14" i="31" a="1"/>
  <c r="T14" i="31" a="1"/>
  <c r="R25" i="31" a="1"/>
  <c r="T25" i="31" l="1"/>
  <c r="H6" i="9"/>
  <c r="H8" i="9" s="1"/>
  <c r="R25" i="31"/>
  <c r="F6" i="9"/>
  <c r="F8" i="9" s="1"/>
  <c r="R14" i="31"/>
  <c r="T14" i="31"/>
  <c r="T26" i="31" a="1"/>
  <c r="R26" i="31" a="1"/>
  <c r="R15" i="31" a="1"/>
  <c r="T15" i="31" a="1"/>
  <c r="T26" i="31" l="1"/>
  <c r="H6" i="10"/>
  <c r="H8" i="10" s="1"/>
  <c r="R26" i="31"/>
  <c r="F6" i="10"/>
  <c r="F8" i="10" s="1"/>
  <c r="T15" i="31"/>
  <c r="R15" i="31"/>
  <c r="T27" i="31" a="1"/>
  <c r="R16" i="31" a="1"/>
  <c r="T16" i="31" a="1"/>
  <c r="R27" i="31" a="1"/>
  <c r="T27" i="31" l="1"/>
  <c r="H6" i="11"/>
  <c r="H8" i="11" s="1"/>
  <c r="R27" i="31"/>
  <c r="F6" i="11"/>
  <c r="F8" i="11" s="1"/>
  <c r="R16" i="31"/>
  <c r="T16" i="31"/>
  <c r="T28" i="31" a="1"/>
  <c r="R17" i="31" a="1"/>
  <c r="R28" i="31" a="1"/>
  <c r="T17" i="31" a="1"/>
  <c r="T28" i="31" l="1"/>
  <c r="H6" i="12"/>
  <c r="H8" i="12"/>
  <c r="R28" i="31"/>
  <c r="F6" i="12"/>
  <c r="F8" i="12" s="1"/>
  <c r="T17" i="31"/>
  <c r="R17" i="31"/>
  <c r="T29" i="31" a="1"/>
  <c r="T18" i="31" a="1"/>
  <c r="R29" i="31" a="1"/>
  <c r="R18" i="31" a="1"/>
  <c r="T29" i="31" l="1"/>
  <c r="H6" i="13"/>
  <c r="H8" i="13" s="1"/>
  <c r="R29" i="31"/>
  <c r="F6" i="13"/>
  <c r="F8" i="13" s="1"/>
  <c r="R18" i="31"/>
  <c r="T18" i="31"/>
  <c r="T30" i="31" a="1"/>
  <c r="T19" i="31" a="1"/>
  <c r="R30" i="31" a="1"/>
  <c r="R19" i="31" a="1"/>
  <c r="T30" i="31" l="1"/>
  <c r="H6" i="14"/>
  <c r="H8" i="14"/>
  <c r="R30" i="31"/>
  <c r="F6" i="14"/>
  <c r="F8" i="14" s="1"/>
  <c r="T19" i="31"/>
  <c r="R19" i="31"/>
  <c r="T31" i="31" a="1"/>
  <c r="T20" i="31" a="1"/>
  <c r="R20" i="31" a="1"/>
  <c r="R31" i="31" a="1"/>
  <c r="T31" i="31" l="1"/>
  <c r="H6" i="15"/>
  <c r="H8" i="15" s="1"/>
  <c r="R31" i="31"/>
  <c r="F6" i="15"/>
  <c r="F8" i="15" s="1"/>
  <c r="R20" i="31"/>
  <c r="T20" i="31"/>
  <c r="T32" i="31" a="1"/>
  <c r="R32" i="31" a="1"/>
  <c r="T32" i="31" l="1"/>
  <c r="R32" i="3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<sst xmlns="http://schemas.openxmlformats.org/spreadsheetml/2006/main" count="612" uniqueCount="228">
  <si>
    <t>CODES</t>
  </si>
  <si>
    <t>Produits exceptionnels</t>
  </si>
  <si>
    <t>Fournitures administratives</t>
  </si>
  <si>
    <t>Entretien matériels</t>
  </si>
  <si>
    <t>Relations publiques</t>
  </si>
  <si>
    <t>Frais bancaires</t>
  </si>
  <si>
    <t>Frais divers</t>
  </si>
  <si>
    <t xml:space="preserve">Mois de : </t>
  </si>
  <si>
    <t>T R E S O R E R I E</t>
  </si>
  <si>
    <t>DATES</t>
  </si>
  <si>
    <t>LIBELLES</t>
  </si>
  <si>
    <t>BANQUE</t>
  </si>
  <si>
    <t>CAISSE</t>
  </si>
  <si>
    <t>TOTAUX</t>
  </si>
  <si>
    <t>Chèque</t>
  </si>
  <si>
    <t>Espèces</t>
  </si>
  <si>
    <t>Aéro</t>
  </si>
  <si>
    <t>N° matricule</t>
  </si>
  <si>
    <t>Adresse</t>
  </si>
  <si>
    <t>Ville</t>
  </si>
  <si>
    <t>Code
 Postal</t>
  </si>
  <si>
    <t>Email</t>
  </si>
  <si>
    <t>Licence   FFAM</t>
  </si>
  <si>
    <t>Téléphone 
fixe</t>
  </si>
  <si>
    <t>Téléphone 
portable</t>
  </si>
  <si>
    <t>Date de naissance</t>
  </si>
  <si>
    <t>Discipline</t>
  </si>
  <si>
    <t>Date de paiement</t>
  </si>
  <si>
    <t/>
  </si>
  <si>
    <t>Totaux</t>
  </si>
  <si>
    <t>Cadeaux-récompenses</t>
  </si>
  <si>
    <t>Age</t>
  </si>
  <si>
    <t>AMCB</t>
  </si>
  <si>
    <t>DESIGNATION</t>
  </si>
  <si>
    <t>RECETTES</t>
  </si>
  <si>
    <t>DEPENSES</t>
  </si>
  <si>
    <t>Subvention Conseil Régional</t>
  </si>
  <si>
    <t>Subvention Conseil Général</t>
  </si>
  <si>
    <t xml:space="preserve">ENCOURS subventions </t>
  </si>
  <si>
    <t xml:space="preserve">ENCOURS charges </t>
  </si>
  <si>
    <t>Régularisations</t>
  </si>
  <si>
    <t>Divers</t>
  </si>
  <si>
    <t>Désignations</t>
  </si>
  <si>
    <t>Majeur
mineur</t>
  </si>
  <si>
    <t>Solde Caisse</t>
  </si>
  <si>
    <t>Cotisations des membres</t>
  </si>
  <si>
    <t>Mode de paiement</t>
  </si>
  <si>
    <t>01</t>
  </si>
  <si>
    <t>Virement</t>
  </si>
  <si>
    <t>Hébergement Internet</t>
  </si>
  <si>
    <t xml:space="preserve">Cadeaux, remerciements et récompenses </t>
  </si>
  <si>
    <t>Location terrain</t>
  </si>
  <si>
    <t>Assurance Club</t>
  </si>
  <si>
    <t>Hébergement site Internet du Club</t>
  </si>
  <si>
    <t>Chèques</t>
  </si>
  <si>
    <t>Virements</t>
  </si>
  <si>
    <r>
      <t>Produits exceptionnels</t>
    </r>
    <r>
      <rPr>
        <sz val="11"/>
        <rFont val="Arial"/>
        <family val="2"/>
      </rPr>
      <t/>
    </r>
  </si>
  <si>
    <t xml:space="preserve">Fournitures administratives </t>
  </si>
  <si>
    <t xml:space="preserve">Location matériels </t>
  </si>
  <si>
    <t xml:space="preserve">Frais bancaires </t>
  </si>
  <si>
    <t>Mécène</t>
  </si>
  <si>
    <t>Club</t>
  </si>
  <si>
    <t>Sexe</t>
  </si>
  <si>
    <t>MOIS</t>
  </si>
  <si>
    <t>Recettes</t>
  </si>
  <si>
    <t>Dépenses</t>
  </si>
  <si>
    <t>Trésorerie</t>
  </si>
  <si>
    <t>Graphique de trésorerie :</t>
  </si>
  <si>
    <t>Ventes matériels Club</t>
  </si>
  <si>
    <t>Solde Compte courant N-1</t>
  </si>
  <si>
    <t>Solde Caisse N-1</t>
  </si>
  <si>
    <t>BILAN CONSOLIDE AU</t>
  </si>
  <si>
    <t xml:space="preserve">Report de l'année N-1 </t>
  </si>
  <si>
    <t xml:space="preserve">Relations publiques </t>
  </si>
  <si>
    <t>Subvention Mairie BLASIMON</t>
  </si>
  <si>
    <t>Location matériels</t>
  </si>
  <si>
    <t>Billets</t>
  </si>
  <si>
    <t>Total:</t>
  </si>
  <si>
    <t>Montant</t>
  </si>
  <si>
    <t>Nombres</t>
  </si>
  <si>
    <t>Pièces</t>
  </si>
  <si>
    <t>Fond de caisse AMCB</t>
  </si>
  <si>
    <t>RESTE EN CAISSE</t>
  </si>
  <si>
    <t>Graphique des recettes et dépenses par mois :</t>
  </si>
  <si>
    <t>Solde banque</t>
  </si>
  <si>
    <t xml:space="preserve">Cotisations Club </t>
  </si>
  <si>
    <t xml:space="preserve">Vente produits club </t>
  </si>
  <si>
    <t>Vente matériels Club</t>
  </si>
  <si>
    <t xml:space="preserve">Achat matières premières </t>
  </si>
  <si>
    <t>Mécénats-Dons</t>
  </si>
  <si>
    <t xml:space="preserve">Frais restauration-déplacements-Meetings </t>
  </si>
  <si>
    <t xml:space="preserve">Frais divers </t>
  </si>
  <si>
    <t xml:space="preserve">Report année n-1 </t>
  </si>
  <si>
    <t>Achat matières premières</t>
  </si>
  <si>
    <t>Frais restauration-déplacements-Meetings</t>
  </si>
  <si>
    <t>Vente produits club</t>
  </si>
  <si>
    <t>Cotisations Club</t>
  </si>
  <si>
    <t>Dons, mécénat</t>
  </si>
  <si>
    <t>Achats matières premières</t>
  </si>
  <si>
    <t>Achats matériels club</t>
  </si>
  <si>
    <t>Frais restauration - déplacement</t>
  </si>
  <si>
    <t xml:space="preserve">BANQUE </t>
  </si>
  <si>
    <t>Frais spécifiques pour évènements</t>
  </si>
  <si>
    <t>Dons aux associations</t>
  </si>
  <si>
    <t>Mécénats - Dons</t>
  </si>
  <si>
    <t>N° Exploitant UAS</t>
  </si>
  <si>
    <t>Moyenne d'age</t>
  </si>
  <si>
    <t>Quote-part location terrain TtB</t>
  </si>
  <si>
    <t>Pointage</t>
  </si>
  <si>
    <t>Subvention CC de l'entre deux mers</t>
  </si>
  <si>
    <t>ok</t>
  </si>
  <si>
    <t>N°
 matricule</t>
  </si>
  <si>
    <t>Frais d'entretien terrain</t>
  </si>
  <si>
    <t>Recettes manifestations</t>
  </si>
  <si>
    <t>Recettes manifestation</t>
  </si>
  <si>
    <t>Achats par virements bancaires</t>
  </si>
  <si>
    <t>Achats par virement bancaire</t>
  </si>
  <si>
    <t xml:space="preserve"> Fichier sauvegardé le:</t>
  </si>
  <si>
    <t>NOVEMBRE 2025</t>
  </si>
  <si>
    <t>SOLDE ANNEE 2025</t>
  </si>
  <si>
    <t>Achat matériels Club</t>
  </si>
  <si>
    <t xml:space="preserve">Achats produits club </t>
  </si>
  <si>
    <t>Achat matériels club</t>
  </si>
  <si>
    <t>Achats produits club</t>
  </si>
  <si>
    <t>Ventes produits club</t>
  </si>
  <si>
    <t>P</t>
  </si>
  <si>
    <t>DÉSIGNATIONS</t>
  </si>
  <si>
    <t>LIBELLÉS</t>
  </si>
  <si>
    <t>T R É S O R E R I E</t>
  </si>
  <si>
    <t>Compte 2024/2025 au</t>
  </si>
  <si>
    <t>COMPTE D'EXPLOITATION 2024 / 2025</t>
  </si>
  <si>
    <t>Prélèvement automatique</t>
  </si>
  <si>
    <r>
      <t xml:space="preserve">Subvention </t>
    </r>
    <r>
      <rPr>
        <b/>
        <sz val="11"/>
        <color theme="1"/>
        <rFont val="Arial"/>
        <family val="2"/>
      </rPr>
      <t xml:space="preserve">Mairie </t>
    </r>
  </si>
  <si>
    <r>
      <t xml:space="preserve">Subvention </t>
    </r>
    <r>
      <rPr>
        <b/>
        <sz val="11"/>
        <color theme="1"/>
        <rFont val="Arial"/>
        <family val="2"/>
      </rPr>
      <t xml:space="preserve">CC </t>
    </r>
  </si>
  <si>
    <t>Subvention CC</t>
  </si>
  <si>
    <t xml:space="preserve">Subvention Mairie </t>
  </si>
  <si>
    <t>Quote-part location terrain</t>
  </si>
  <si>
    <t>Subvention Mairie</t>
  </si>
  <si>
    <t xml:space="preserve">Subvention CC </t>
  </si>
  <si>
    <t>date</t>
  </si>
  <si>
    <t>Feuille</t>
  </si>
  <si>
    <t>Banque +</t>
  </si>
  <si>
    <t>Banque -</t>
  </si>
  <si>
    <t>Caisse +</t>
  </si>
  <si>
    <t>Caisse -</t>
  </si>
  <si>
    <t>F8</t>
  </si>
  <si>
    <t>G8</t>
  </si>
  <si>
    <t>H8</t>
  </si>
  <si>
    <t>I8</t>
  </si>
  <si>
    <t>Octobre 2024</t>
  </si>
  <si>
    <t>Décembre 2024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</si>
  <si>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</si>
  <si>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</si>
  <si>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</si>
  <si>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</si>
  <si>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</si>
  <si>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</si>
  <si>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</si>
  <si>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</si>
  <si>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</si>
  <si>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</si>
  <si>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mmmm aaaa</t>
  </si>
  <si>
    <t>Hébergement Internet (2 ans)</t>
  </si>
  <si>
    <t>Différence</t>
  </si>
  <si>
    <t xml:space="preserve">BILAN  CONSOLIDE 2024 / 2025 </t>
  </si>
  <si>
    <t xml:space="preserve">Nom </t>
  </si>
  <si>
    <t>Prénom</t>
  </si>
  <si>
    <t>Dépenses et recettes du mois de Novembre 2025</t>
  </si>
  <si>
    <t>Solde debut mois Décembre 2025</t>
  </si>
  <si>
    <t>Dépenses et recettes du mois Décembre 2025</t>
  </si>
  <si>
    <t>solde Fin mois Décembre 2025</t>
  </si>
  <si>
    <t>Solde debut mois Janvier 2026</t>
  </si>
  <si>
    <t>Dépenses et recettes du mois de  Janvier 2026</t>
  </si>
  <si>
    <t>solde Fin mois Janvier 2026</t>
  </si>
  <si>
    <t>Solde debut mois Février 202</t>
  </si>
  <si>
    <t>Dépenses et recettes du mois de  Février 2026</t>
  </si>
  <si>
    <t>solde Fin mois Février 2026</t>
  </si>
  <si>
    <t>Solde debut mois Mars 2026</t>
  </si>
  <si>
    <t>Dépenses et recettes du mois Mars 2026</t>
  </si>
  <si>
    <t>solde Fin mois Mars 2026</t>
  </si>
  <si>
    <t>Dépenses et recettes du mois d'Avril 2026</t>
  </si>
  <si>
    <t>solde Fin mois Avril 2026</t>
  </si>
  <si>
    <t>Solde debut mois Mai 2026</t>
  </si>
  <si>
    <t>Somme mois Mai 2026</t>
  </si>
  <si>
    <t>solde Fin mois Mai 2026</t>
  </si>
  <si>
    <t>Solde debut mois Juin 2026</t>
  </si>
  <si>
    <t>Somme mois Juin 2026</t>
  </si>
  <si>
    <t>solde Fin mois Juin 2026</t>
  </si>
  <si>
    <t>Solde debut mois Juillet 2026</t>
  </si>
  <si>
    <t>Somme mois Juillet 2026</t>
  </si>
  <si>
    <t>solde Fin mois Juillet 2026</t>
  </si>
  <si>
    <t>Solde debut mois Août 2026</t>
  </si>
  <si>
    <t>Somme mois Août 2026</t>
  </si>
  <si>
    <t>solde Fin mois Août 2026</t>
  </si>
  <si>
    <t>Solde debut mois Septembre 2026</t>
  </si>
  <si>
    <t>Somme mois Septembre 2026</t>
  </si>
  <si>
    <t>solde Fin mois Septembre 2026</t>
  </si>
  <si>
    <t>Solde debut mois Octobre 2026</t>
  </si>
  <si>
    <t>Somme mois Octobre 2026</t>
  </si>
  <si>
    <t>solde Fin mois Octobre 2026</t>
  </si>
  <si>
    <t>Solde debut mois Novembre 2026</t>
  </si>
  <si>
    <t>Somme mois Novembre 2026</t>
  </si>
  <si>
    <t>solde Fin mois Novembre 2026</t>
  </si>
  <si>
    <t>DECEMBRE 2025</t>
  </si>
  <si>
    <t>FEVRIER 2026</t>
  </si>
  <si>
    <t>AOUT 2026</t>
  </si>
  <si>
    <t>JANVIER 2026</t>
  </si>
  <si>
    <t>MARS 2026</t>
  </si>
  <si>
    <t>AVRIL2026</t>
  </si>
  <si>
    <t>MAI 2026</t>
  </si>
  <si>
    <t>JUIN 2026</t>
  </si>
  <si>
    <t>JUILLET 2026</t>
  </si>
  <si>
    <t>SEPTEMBRE 2026</t>
  </si>
  <si>
    <t>OCTOBRE 2026</t>
  </si>
  <si>
    <t>NOVEMBRE 2026</t>
  </si>
  <si>
    <t>Solde début mois Avril 2026</t>
  </si>
  <si>
    <t>Solde début mois de Novembre 2025</t>
  </si>
  <si>
    <t>solde fin mois de Novembre 2025</t>
  </si>
  <si>
    <t>M  /  F</t>
  </si>
  <si>
    <t>COMPTE FINANCIER  2025 / 2026</t>
  </si>
  <si>
    <t>COMPTE PREVISIONNEL   2026/ 2027</t>
  </si>
  <si>
    <t>prélèvement assurance</t>
  </si>
  <si>
    <t>essence</t>
  </si>
  <si>
    <t>bois</t>
  </si>
  <si>
    <t>durand</t>
  </si>
  <si>
    <t>robert</t>
  </si>
  <si>
    <t>pmichel</t>
  </si>
  <si>
    <t>jean, pascal, 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</si>
</sst>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4">
    <numFmt numFmtId="7" formatCode="#,##0.00\ &quot;€&quot;;\-#,##0.00\ &quot;€&quot;"/>
    <numFmt numFmtId="164" formatCode="&quot;€&quot;#,##0.00_);\(&quot;€&quot;#,##0.00\)"/>
    <numFmt numFmtId="165" formatCode="&quot;€&quot;#,##0.00_);[Red]\(&quot;€&quot;#,##0.00\)"/>
    <numFmt numFmtId="166" formatCode="dd/mm/yy;@"/>
    <numFmt numFmtId="167" formatCode="dd/mm/yyyy;@"/>
    <numFmt numFmtId="168" formatCode="#,##0.00\ &quot;fr.&quot;"/>
    <numFmt numFmtId="169" formatCode="0000"/>
    <numFmt numFmtId="170" formatCode="0#&quot; &quot;##&quot; &quot;##&quot; &quot;##&quot; &quot;##"/>
    <numFmt numFmtId="171" formatCode="#,##0.00\ &quot;€&quot;"/>
    <numFmt numFmtId="172" formatCode="[$-40C]d\ mmmm\ yyyy;@"/>
    <numFmt numFmtId="173" formatCode="\-0.00&quot;€&quot;"/>
    <numFmt numFmtId="174" formatCode="d/mm/yyyy;@"/>
    <numFmt numFmtId="175" formatCode="\-0.00&quot;€&quot;;\-0;;@"/>
    <numFmt numFmtId="176" formatCode="0.00&quot;€&quot;;\-0;;@"/>
    <numFmt numFmtId="177" formatCode="00"/>
    <numFmt numFmtId="178" formatCode="0000000"/>
    <numFmt numFmtId="179" formatCode="#,##0\ &quot;€&quot;"/>
    <numFmt numFmtId="180" formatCode="00000"/>
    <numFmt numFmtId="181" formatCode="#,##0.00\ [$€-40C]"/>
    <numFmt numFmtId="182" formatCode="0.00&quot;€&quot;"/>
    <numFmt numFmtId="183" formatCode="\+0.00\€;;;@"/>
    <numFmt numFmtId="184" formatCode="\-0.00\€;;;@"/>
    <numFmt numFmtId="185" formatCode="mm/dd/yyyy\ hh:mm"/>
    <numFmt numFmtId="186" formatCode="mmmm\ yyyy"/>
  </numFmts>
  <fonts count="7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b/>
      <i/>
      <sz val="48"/>
      <name val="Arial"/>
      <family val="2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/>
      <sz val="18"/>
      <name val="Arial"/>
      <family val="2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name val="Calibri"/>
      <family val="2"/>
      <scheme val="minor"/>
    </font>
    <font>
      <b/>
      <sz val="20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0"/>
      <color theme="1"/>
      <name val="Arial Unicode MS"/>
      <family val="2"/>
    </font>
    <font>
      <sz val="12"/>
      <name val="Calibri"/>
      <family val="2"/>
      <scheme val="minor"/>
    </font>
    <font>
      <b/>
      <sz val="1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b/>
      <i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color theme="0"/>
      <name val="Arial"/>
      <family val="2"/>
    </font>
    <font>
      <b/>
      <i/>
      <sz val="12"/>
      <name val="Arial"/>
      <family val="2"/>
    </font>
    <font>
      <sz val="12"/>
      <color theme="1"/>
      <name val="Times New Roman"/>
      <family val="1"/>
    </font>
    <font>
      <b/>
      <sz val="12"/>
      <color rgb="FFFF0000"/>
      <name val="Calibri"/>
      <family val="2"/>
      <scheme val="minor"/>
    </font>
    <font>
      <sz val="26"/>
      <color theme="3" tint="0.3999755851924192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Arial"/>
      <family val="2"/>
    </font>
    <font>
      <b/>
      <i/>
      <sz val="48"/>
      <color indexed="8"/>
      <name val="Arial"/>
      <family val="2"/>
    </font>
    <font>
      <b/>
      <u/>
      <sz val="16"/>
      <name val="Calibri"/>
      <family val="2"/>
      <scheme val="minor"/>
    </font>
    <font>
      <b/>
      <i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2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8"/>
      <color rgb="FFFF0000"/>
      <name val="Wingdings 2"/>
      <family val="1"/>
      <charset val="2"/>
    </font>
    <font>
      <b/>
      <sz val="11"/>
      <color rgb="FFFF0000"/>
      <name val="Wingdings 2"/>
      <family val="1"/>
      <charset val="2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1"/>
      <name val="Wingdings 2"/>
      <family val="1"/>
      <charset val="2"/>
    </font>
    <font>
      <b/>
      <sz val="4"/>
      <color theme="0" tint="-0.14999847407452621"/>
      <name val="Calibri"/>
      <family val="2"/>
      <scheme val="minor"/>
    </font>
    <font>
      <b/>
      <sz val="12"/>
      <color rgb="FFFF0000"/>
      <name val="Arial"/>
      <family val="2"/>
    </font>
    <font>
      <sz val="10"/>
      <color rgb="FF333333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2"/>
      <color rgb="FFFF0000"/>
      <name val="Wingdings 2"/>
      <family val="1"/>
      <charset val="2"/>
    </font>
    <font>
      <sz val="8"/>
      <name val="Calibri"/>
      <family val="2"/>
      <scheme val="minor"/>
    </font>
    <font>
      <b/>
      <sz val="11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</fills>
  <borders count="13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/>
      <top/>
      <bottom/>
      <diagonal/>
    </border>
    <border>
      <left style="medium">
        <color indexed="64"/>
      </left>
      <right style="thin">
        <color theme="4"/>
      </right>
      <top style="medium">
        <color rgb="FF000000"/>
      </top>
      <bottom style="medium">
        <color indexed="64"/>
      </bottom>
      <diagonal/>
    </border>
    <border>
      <left style="thin">
        <color theme="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thin">
        <color theme="4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theme="4"/>
      </right>
      <top/>
      <bottom style="medium">
        <color indexed="64"/>
      </bottom>
      <diagonal/>
    </border>
    <border>
      <left style="thin">
        <color theme="4"/>
      </left>
      <right style="medium">
        <color indexed="64"/>
      </right>
      <top/>
      <bottom style="medium">
        <color indexed="64"/>
      </bottom>
      <diagonal/>
    </border>
    <border>
      <left style="thin">
        <color theme="4"/>
      </left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639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4" borderId="14" xfId="0" applyFont="1" applyFill="1" applyBorder="1" applyAlignment="1" applyProtection="1">
      <alignment horizontal="center" vertical="center" wrapText="1"/>
      <protection hidden="1"/>
    </xf>
    <xf numFmtId="0" fontId="5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15" xfId="0" applyFont="1" applyBorder="1" applyAlignment="1" applyProtection="1">
      <alignment horizontal="center" vertical="center"/>
      <protection hidden="1"/>
    </xf>
    <xf numFmtId="1" fontId="6" fillId="0" borderId="14" xfId="0" applyNumberFormat="1" applyFont="1" applyBorder="1" applyAlignment="1" applyProtection="1">
      <alignment horizontal="center" vertical="center"/>
      <protection locked="0"/>
    </xf>
    <xf numFmtId="170" fontId="6" fillId="0" borderId="14" xfId="0" applyNumberFormat="1" applyFont="1" applyBorder="1" applyAlignment="1" applyProtection="1">
      <alignment horizontal="center" vertical="center"/>
      <protection locked="0"/>
    </xf>
    <xf numFmtId="170" fontId="6" fillId="0" borderId="14" xfId="0" applyNumberFormat="1" applyFont="1" applyBorder="1" applyAlignment="1" applyProtection="1">
      <alignment horizontal="center" vertical="center" wrapText="1"/>
      <protection locked="0"/>
    </xf>
    <xf numFmtId="167" fontId="6" fillId="0" borderId="16" xfId="0" applyNumberFormat="1" applyFont="1" applyBorder="1" applyAlignment="1" applyProtection="1">
      <alignment horizontal="center" vertical="center"/>
      <protection locked="0"/>
    </xf>
    <xf numFmtId="14" fontId="6" fillId="0" borderId="17" xfId="0" applyNumberFormat="1" applyFont="1" applyBorder="1" applyAlignment="1" applyProtection="1">
      <alignment horizontal="center" vertical="center"/>
      <protection locked="0"/>
    </xf>
    <xf numFmtId="171" fontId="6" fillId="0" borderId="14" xfId="0" applyNumberFormat="1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1" fontId="6" fillId="0" borderId="14" xfId="0" applyNumberFormat="1" applyFont="1" applyBorder="1" applyAlignment="1" applyProtection="1">
      <alignment horizontal="center" vertical="center" wrapText="1"/>
      <protection locked="0"/>
    </xf>
    <xf numFmtId="170" fontId="6" fillId="0" borderId="14" xfId="1" applyNumberFormat="1" applyFont="1" applyBorder="1" applyAlignment="1" applyProtection="1">
      <alignment horizontal="center" vertical="center"/>
      <protection locked="0"/>
    </xf>
    <xf numFmtId="1" fontId="6" fillId="5" borderId="14" xfId="0" applyNumberFormat="1" applyFont="1" applyFill="1" applyBorder="1" applyAlignment="1" applyProtection="1">
      <alignment horizontal="center" vertical="center"/>
      <protection locked="0"/>
    </xf>
    <xf numFmtId="170" fontId="6" fillId="5" borderId="14" xfId="0" applyNumberFormat="1" applyFont="1" applyFill="1" applyBorder="1" applyAlignment="1" applyProtection="1">
      <alignment horizontal="center" vertical="center"/>
      <protection locked="0"/>
    </xf>
    <xf numFmtId="170" fontId="6" fillId="0" borderId="15" xfId="0" applyNumberFormat="1" applyFont="1" applyBorder="1" applyAlignment="1" applyProtection="1">
      <alignment horizontal="center" vertical="center" wrapText="1"/>
      <protection locked="0"/>
    </xf>
    <xf numFmtId="1" fontId="6" fillId="5" borderId="14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4" xfId="0" applyFont="1" applyBorder="1" applyAlignment="1" applyProtection="1">
      <alignment horizontal="center" vertical="center" wrapText="1"/>
      <protection locked="0"/>
    </xf>
    <xf numFmtId="169" fontId="6" fillId="0" borderId="14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15" fillId="0" borderId="0" xfId="0" applyFont="1"/>
    <xf numFmtId="0" fontId="15" fillId="0" borderId="0" xfId="0" applyFont="1" applyAlignment="1" applyProtection="1">
      <alignment horizontal="center" vertical="center"/>
      <protection hidden="1"/>
    </xf>
    <xf numFmtId="0" fontId="15" fillId="0" borderId="0" xfId="0" applyFont="1" applyAlignment="1">
      <alignment horizontal="center"/>
    </xf>
    <xf numFmtId="0" fontId="6" fillId="0" borderId="14" xfId="0" applyFont="1" applyBorder="1" applyAlignment="1">
      <alignment horizontal="center" vertical="center"/>
    </xf>
    <xf numFmtId="166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15" fillId="0" borderId="0" xfId="0" applyNumberFormat="1" applyFont="1"/>
    <xf numFmtId="0" fontId="15" fillId="0" borderId="0" xfId="0" applyFont="1" applyProtection="1">
      <protection hidden="1"/>
    </xf>
    <xf numFmtId="166" fontId="15" fillId="0" borderId="0" xfId="0" applyNumberFormat="1" applyFont="1" applyAlignment="1" applyProtection="1">
      <alignment horizontal="center" vertical="center"/>
      <protection hidden="1"/>
    </xf>
    <xf numFmtId="0" fontId="21" fillId="0" borderId="0" xfId="0" applyFont="1" applyAlignment="1" applyProtection="1">
      <alignment horizontal="center" vertical="center"/>
      <protection hidden="1"/>
    </xf>
    <xf numFmtId="0" fontId="22" fillId="0" borderId="0" xfId="0" applyFont="1" applyAlignment="1" applyProtection="1">
      <alignment vertical="center"/>
      <protection hidden="1"/>
    </xf>
    <xf numFmtId="0" fontId="22" fillId="0" borderId="0" xfId="0" applyFont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4" fillId="4" borderId="18" xfId="0" applyFont="1" applyFill="1" applyBorder="1" applyAlignment="1" applyProtection="1">
      <alignment horizontal="center" vertical="center" wrapText="1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0" fontId="1" fillId="4" borderId="14" xfId="0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77" fontId="6" fillId="0" borderId="14" xfId="0" applyNumberFormat="1" applyFont="1" applyBorder="1" applyAlignment="1" applyProtection="1">
      <alignment horizontal="center" vertical="center"/>
      <protection hidden="1"/>
    </xf>
    <xf numFmtId="17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168" fontId="4" fillId="4" borderId="14" xfId="0" applyNumberFormat="1" applyFont="1" applyFill="1" applyBorder="1" applyAlignment="1" applyProtection="1">
      <alignment horizontal="center" vertical="center" wrapText="1"/>
      <protection hidden="1"/>
    </xf>
    <xf numFmtId="171" fontId="15" fillId="0" borderId="0" xfId="0" applyNumberFormat="1" applyFont="1" applyAlignment="1" applyProtection="1">
      <alignment horizontal="center" vertical="center"/>
      <protection hidden="1"/>
    </xf>
    <xf numFmtId="14" fontId="6" fillId="0" borderId="63" xfId="0" applyNumberFormat="1" applyFont="1" applyBorder="1" applyAlignment="1" applyProtection="1">
      <alignment horizontal="center" vertical="center"/>
      <protection locked="0"/>
    </xf>
    <xf numFmtId="0" fontId="6" fillId="0" borderId="22" xfId="0" applyFont="1" applyBorder="1" applyAlignment="1" applyProtection="1">
      <alignment horizontal="center" vertical="center"/>
      <protection locked="0"/>
    </xf>
    <xf numFmtId="0" fontId="27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5" fillId="0" borderId="58" xfId="0" applyFont="1" applyBorder="1" applyAlignment="1">
      <alignment horizontal="center" vertical="center"/>
    </xf>
    <xf numFmtId="0" fontId="28" fillId="0" borderId="0" xfId="0" applyFont="1" applyAlignment="1">
      <alignment vertical="center"/>
    </xf>
    <xf numFmtId="170" fontId="6" fillId="5" borderId="15" xfId="0" applyNumberFormat="1" applyFont="1" applyFill="1" applyBorder="1" applyAlignment="1" applyProtection="1">
      <alignment horizontal="center" vertical="center" wrapText="1"/>
      <protection locked="0"/>
    </xf>
    <xf numFmtId="170" fontId="6" fillId="0" borderId="15" xfId="0" applyNumberFormat="1" applyFont="1" applyBorder="1" applyAlignment="1" applyProtection="1">
      <alignment horizontal="center" vertical="center"/>
      <protection locked="0"/>
    </xf>
    <xf numFmtId="178" fontId="6" fillId="0" borderId="14" xfId="0" quotePrefix="1" applyNumberFormat="1" applyFont="1" applyBorder="1" applyAlignment="1" applyProtection="1">
      <alignment horizontal="center" vertical="center"/>
      <protection locked="0"/>
    </xf>
    <xf numFmtId="178" fontId="8" fillId="0" borderId="14" xfId="0" applyNumberFormat="1" applyFont="1" applyBorder="1" applyAlignment="1" applyProtection="1">
      <alignment horizontal="center" vertical="center"/>
      <protection locked="0"/>
    </xf>
    <xf numFmtId="178" fontId="6" fillId="0" borderId="14" xfId="0" applyNumberFormat="1" applyFont="1" applyBorder="1" applyAlignment="1" applyProtection="1">
      <alignment horizontal="center" vertical="center"/>
      <protection locked="0"/>
    </xf>
    <xf numFmtId="14" fontId="8" fillId="5" borderId="14" xfId="0" applyNumberFormat="1" applyFont="1" applyFill="1" applyBorder="1" applyAlignment="1" applyProtection="1">
      <alignment horizontal="center" vertical="center"/>
      <protection locked="0"/>
    </xf>
    <xf numFmtId="14" fontId="6" fillId="0" borderId="0" xfId="0" applyNumberFormat="1" applyFont="1" applyAlignment="1">
      <alignment horizontal="center" vertical="center"/>
    </xf>
    <xf numFmtId="177" fontId="6" fillId="0" borderId="14" xfId="0" applyNumberFormat="1" applyFont="1" applyBorder="1" applyAlignment="1">
      <alignment horizontal="center" vertical="center"/>
    </xf>
    <xf numFmtId="178" fontId="6" fillId="0" borderId="14" xfId="0" applyNumberFormat="1" applyFont="1" applyBorder="1" applyAlignment="1">
      <alignment horizontal="center" vertical="center"/>
    </xf>
    <xf numFmtId="14" fontId="6" fillId="0" borderId="14" xfId="0" applyNumberFormat="1" applyFont="1" applyBorder="1" applyAlignment="1">
      <alignment horizontal="center" vertical="center"/>
    </xf>
    <xf numFmtId="0" fontId="7" fillId="0" borderId="14" xfId="1" applyBorder="1" applyAlignment="1" applyProtection="1">
      <alignment horizontal="center" vertical="center"/>
    </xf>
    <xf numFmtId="170" fontId="6" fillId="0" borderId="14" xfId="0" applyNumberFormat="1" applyFont="1" applyBorder="1" applyAlignment="1">
      <alignment horizontal="center" vertical="center"/>
    </xf>
    <xf numFmtId="0" fontId="6" fillId="10" borderId="14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8" fillId="0" borderId="14" xfId="0" applyNumberFormat="1" applyFont="1" applyBorder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13" fillId="0" borderId="24" xfId="0" applyFont="1" applyBorder="1" applyAlignment="1" applyProtection="1">
      <alignment vertical="center"/>
      <protection hidden="1"/>
    </xf>
    <xf numFmtId="0" fontId="13" fillId="0" borderId="25" xfId="0" applyFont="1" applyBorder="1" applyAlignment="1" applyProtection="1">
      <alignment horizontal="center" vertical="center"/>
      <protection hidden="1"/>
    </xf>
    <xf numFmtId="0" fontId="13" fillId="0" borderId="0" xfId="0" applyFont="1" applyAlignment="1" applyProtection="1">
      <alignment horizontal="center" vertical="center"/>
      <protection hidden="1"/>
    </xf>
    <xf numFmtId="0" fontId="0" fillId="0" borderId="61" xfId="0" applyBorder="1" applyAlignment="1" applyProtection="1">
      <alignment vertical="center"/>
      <protection hidden="1"/>
    </xf>
    <xf numFmtId="0" fontId="0" fillId="0" borderId="53" xfId="0" applyBorder="1" applyAlignment="1" applyProtection="1">
      <alignment horizontal="center" vertical="center"/>
      <protection hidden="1"/>
    </xf>
    <xf numFmtId="0" fontId="13" fillId="0" borderId="28" xfId="0" applyFont="1" applyBorder="1" applyAlignment="1" applyProtection="1">
      <alignment horizontal="center" vertical="center"/>
      <protection hidden="1"/>
    </xf>
    <xf numFmtId="0" fontId="13" fillId="0" borderId="44" xfId="0" applyFont="1" applyBorder="1" applyAlignment="1" applyProtection="1">
      <alignment horizontal="center" vertical="center"/>
      <protection hidden="1"/>
    </xf>
    <xf numFmtId="0" fontId="13" fillId="0" borderId="23" xfId="0" applyFont="1" applyBorder="1" applyAlignment="1" applyProtection="1">
      <alignment horizontal="center" vertical="center"/>
      <protection hidden="1"/>
    </xf>
    <xf numFmtId="14" fontId="8" fillId="0" borderId="14" xfId="0" applyNumberFormat="1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8" xfId="0" applyBorder="1" applyAlignment="1" applyProtection="1">
      <alignment horizontal="center" vertical="center"/>
      <protection hidden="1"/>
    </xf>
    <xf numFmtId="0" fontId="6" fillId="0" borderId="21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9" fillId="0" borderId="23" xfId="0" applyFont="1" applyBorder="1" applyAlignment="1" applyProtection="1">
      <alignment horizontal="center" vertical="center"/>
      <protection hidden="1"/>
    </xf>
    <xf numFmtId="0" fontId="18" fillId="0" borderId="28" xfId="0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horizontal="center" vertical="center"/>
      <protection hidden="1"/>
    </xf>
    <xf numFmtId="0" fontId="30" fillId="9" borderId="32" xfId="0" applyFont="1" applyFill="1" applyBorder="1" applyAlignment="1" applyProtection="1">
      <alignment horizontal="center" vertical="center"/>
      <protection hidden="1"/>
    </xf>
    <xf numFmtId="0" fontId="30" fillId="0" borderId="30" xfId="0" applyFont="1" applyBorder="1" applyAlignment="1" applyProtection="1">
      <alignment horizontal="center" vertical="center"/>
      <protection hidden="1"/>
    </xf>
    <xf numFmtId="0" fontId="32" fillId="0" borderId="0" xfId="0" applyFont="1" applyAlignment="1" applyProtection="1">
      <alignment horizontal="center" vertical="center"/>
      <protection hidden="1"/>
    </xf>
    <xf numFmtId="0" fontId="30" fillId="0" borderId="33" xfId="0" applyFont="1" applyBorder="1" applyAlignment="1" applyProtection="1">
      <alignment horizontal="center" vertical="center"/>
      <protection hidden="1"/>
    </xf>
    <xf numFmtId="1" fontId="30" fillId="0" borderId="29" xfId="0" applyNumberFormat="1" applyFont="1" applyBorder="1" applyAlignment="1" applyProtection="1">
      <alignment horizontal="center" vertical="center"/>
      <protection hidden="1"/>
    </xf>
    <xf numFmtId="171" fontId="30" fillId="0" borderId="0" xfId="0" applyNumberFormat="1" applyFont="1" applyAlignment="1" applyProtection="1">
      <alignment horizontal="center" vertical="center"/>
      <protection hidden="1"/>
    </xf>
    <xf numFmtId="171" fontId="32" fillId="0" borderId="28" xfId="0" applyNumberFormat="1" applyFont="1" applyBorder="1" applyAlignment="1" applyProtection="1">
      <alignment horizontal="center" vertical="center"/>
      <protection hidden="1"/>
    </xf>
    <xf numFmtId="0" fontId="32" fillId="0" borderId="28" xfId="0" applyFont="1" applyBorder="1" applyAlignment="1" applyProtection="1">
      <alignment horizontal="center" vertical="center"/>
      <protection hidden="1"/>
    </xf>
    <xf numFmtId="165" fontId="30" fillId="0" borderId="0" xfId="0" applyNumberFormat="1" applyFont="1" applyAlignment="1" applyProtection="1">
      <alignment horizontal="center" vertical="center"/>
      <protection hidden="1"/>
    </xf>
    <xf numFmtId="171" fontId="32" fillId="0" borderId="0" xfId="0" applyNumberFormat="1" applyFont="1" applyAlignment="1" applyProtection="1">
      <alignment horizontal="center" vertical="center"/>
      <protection hidden="1"/>
    </xf>
    <xf numFmtId="165" fontId="30" fillId="0" borderId="28" xfId="0" applyNumberFormat="1" applyFont="1" applyBorder="1" applyAlignment="1" applyProtection="1">
      <alignment horizontal="center" vertical="center"/>
      <protection hidden="1"/>
    </xf>
    <xf numFmtId="176" fontId="30" fillId="0" borderId="0" xfId="0" applyNumberFormat="1" applyFont="1" applyAlignment="1" applyProtection="1">
      <alignment horizontal="center" vertical="center"/>
      <protection hidden="1"/>
    </xf>
    <xf numFmtId="0" fontId="32" fillId="0" borderId="0" xfId="0" applyFont="1" applyAlignment="1" applyProtection="1">
      <alignment horizontal="left" vertical="center"/>
      <protection hidden="1"/>
    </xf>
    <xf numFmtId="2" fontId="32" fillId="0" borderId="0" xfId="0" applyNumberFormat="1" applyFont="1" applyAlignment="1" applyProtection="1">
      <alignment horizontal="left" vertical="center"/>
      <protection hidden="1"/>
    </xf>
    <xf numFmtId="175" fontId="32" fillId="0" borderId="0" xfId="0" applyNumberFormat="1" applyFont="1" applyAlignment="1" applyProtection="1">
      <alignment horizontal="left" vertical="center"/>
      <protection hidden="1"/>
    </xf>
    <xf numFmtId="14" fontId="0" fillId="0" borderId="0" xfId="0" applyNumberFormat="1" applyAlignment="1">
      <alignment vertical="center"/>
    </xf>
    <xf numFmtId="179" fontId="0" fillId="0" borderId="21" xfId="0" applyNumberFormat="1" applyBorder="1" applyAlignment="1">
      <alignment horizontal="center" vertical="center"/>
    </xf>
    <xf numFmtId="179" fontId="0" fillId="0" borderId="14" xfId="0" applyNumberForma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6" fillId="10" borderId="22" xfId="0" applyFont="1" applyFill="1" applyBorder="1" applyAlignment="1">
      <alignment horizontal="center" vertical="center"/>
    </xf>
    <xf numFmtId="0" fontId="6" fillId="0" borderId="71" xfId="0" applyFont="1" applyBorder="1" applyAlignment="1">
      <alignment horizontal="center" vertical="center"/>
    </xf>
    <xf numFmtId="169" fontId="5" fillId="0" borderId="14" xfId="0" applyNumberFormat="1" applyFont="1" applyBorder="1" applyAlignment="1" applyProtection="1">
      <alignment horizontal="center" vertical="center"/>
      <protection hidden="1"/>
    </xf>
    <xf numFmtId="0" fontId="20" fillId="0" borderId="14" xfId="0" applyFont="1" applyBorder="1"/>
    <xf numFmtId="0" fontId="7" fillId="0" borderId="0" xfId="1" applyFill="1" applyBorder="1" applyAlignment="1" applyProtection="1">
      <alignment horizontal="left"/>
    </xf>
    <xf numFmtId="0" fontId="20" fillId="0" borderId="0" xfId="0" applyFont="1" applyAlignment="1">
      <alignment horizontal="left" indent="1"/>
    </xf>
    <xf numFmtId="0" fontId="36" fillId="0" borderId="0" xfId="1" applyFont="1" applyFill="1" applyBorder="1" applyAlignment="1" applyProtection="1">
      <alignment horizontal="center" vertical="center" wrapText="1"/>
    </xf>
    <xf numFmtId="0" fontId="35" fillId="0" borderId="0" xfId="0" applyFont="1" applyAlignment="1">
      <alignment horizontal="center"/>
    </xf>
    <xf numFmtId="0" fontId="36" fillId="0" borderId="0" xfId="1" applyFont="1" applyFill="1" applyBorder="1" applyAlignment="1" applyProtection="1">
      <alignment horizontal="center" vertical="center"/>
    </xf>
    <xf numFmtId="0" fontId="20" fillId="0" borderId="0" xfId="0" applyFont="1" applyAlignment="1">
      <alignment horizontal="center"/>
    </xf>
    <xf numFmtId="0" fontId="39" fillId="0" borderId="0" xfId="1" applyFont="1" applyFill="1" applyBorder="1" applyAlignment="1" applyProtection="1">
      <alignment horizontal="center" vertical="center"/>
    </xf>
    <xf numFmtId="0" fontId="40" fillId="0" borderId="0" xfId="0" applyFont="1" applyAlignment="1">
      <alignment horizontal="center"/>
    </xf>
    <xf numFmtId="0" fontId="37" fillId="0" borderId="0" xfId="1" applyFont="1" applyFill="1" applyAlignment="1" applyProtection="1"/>
    <xf numFmtId="0" fontId="38" fillId="0" borderId="0" xfId="1" applyFont="1" applyFill="1" applyAlignment="1" applyProtection="1"/>
    <xf numFmtId="0" fontId="34" fillId="11" borderId="14" xfId="0" applyFont="1" applyFill="1" applyBorder="1" applyAlignment="1">
      <alignment horizontal="center"/>
    </xf>
    <xf numFmtId="0" fontId="34" fillId="11" borderId="14" xfId="0" applyFont="1" applyFill="1" applyBorder="1" applyAlignment="1">
      <alignment horizontal="center" vertical="center"/>
    </xf>
    <xf numFmtId="49" fontId="1" fillId="0" borderId="14" xfId="0" applyNumberFormat="1" applyFont="1" applyBorder="1" applyAlignment="1">
      <alignment horizontal="center" vertical="center"/>
    </xf>
    <xf numFmtId="171" fontId="6" fillId="0" borderId="0" xfId="0" applyNumberFormat="1" applyFont="1" applyAlignment="1">
      <alignment vertical="center"/>
    </xf>
    <xf numFmtId="0" fontId="8" fillId="0" borderId="14" xfId="0" applyFont="1" applyBorder="1" applyAlignment="1" applyProtection="1">
      <alignment horizontal="center" vertical="center"/>
      <protection locked="0"/>
    </xf>
    <xf numFmtId="0" fontId="0" fillId="0" borderId="67" xfId="0" applyBorder="1" applyAlignment="1">
      <alignment horizontal="center" vertical="center"/>
    </xf>
    <xf numFmtId="14" fontId="8" fillId="0" borderId="63" xfId="0" applyNumberFormat="1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 applyProtection="1">
      <alignment horizontal="center" vertical="center"/>
      <protection locked="0"/>
    </xf>
    <xf numFmtId="0" fontId="32" fillId="0" borderId="72" xfId="0" applyFont="1" applyBorder="1" applyAlignment="1" applyProtection="1">
      <alignment vertical="center"/>
      <protection hidden="1"/>
    </xf>
    <xf numFmtId="0" fontId="45" fillId="0" borderId="10" xfId="0" applyFont="1" applyBorder="1" applyAlignment="1" applyProtection="1">
      <alignment horizontal="center" vertical="center"/>
      <protection hidden="1"/>
    </xf>
    <xf numFmtId="2" fontId="46" fillId="0" borderId="4" xfId="0" applyNumberFormat="1" applyFont="1" applyBorder="1" applyAlignment="1" applyProtection="1">
      <alignment horizontal="center" vertical="center"/>
      <protection hidden="1"/>
    </xf>
    <xf numFmtId="176" fontId="0" fillId="0" borderId="0" xfId="0" quotePrefix="1" applyNumberFormat="1" applyAlignment="1" applyProtection="1">
      <alignment horizontal="left" vertical="center"/>
      <protection hidden="1"/>
    </xf>
    <xf numFmtId="0" fontId="0" fillId="0" borderId="25" xfId="0" applyBorder="1" applyAlignment="1" applyProtection="1">
      <alignment vertical="center"/>
      <protection hidden="1"/>
    </xf>
    <xf numFmtId="14" fontId="42" fillId="0" borderId="27" xfId="0" applyNumberFormat="1" applyFont="1" applyBorder="1" applyAlignment="1" applyProtection="1">
      <alignment horizontal="right" vertical="center"/>
      <protection hidden="1"/>
    </xf>
    <xf numFmtId="2" fontId="46" fillId="0" borderId="0" xfId="0" applyNumberFormat="1" applyFont="1" applyAlignment="1" applyProtection="1">
      <alignment horizontal="center" vertical="center"/>
      <protection hidden="1"/>
    </xf>
    <xf numFmtId="175" fontId="45" fillId="0" borderId="4" xfId="0" applyNumberFormat="1" applyFont="1" applyBorder="1" applyAlignment="1" applyProtection="1">
      <alignment horizontal="center" vertical="center"/>
      <protection hidden="1"/>
    </xf>
    <xf numFmtId="175" fontId="45" fillId="0" borderId="40" xfId="0" applyNumberFormat="1" applyFont="1" applyBorder="1" applyAlignment="1" applyProtection="1">
      <alignment horizontal="center" vertical="center"/>
      <protection hidden="1"/>
    </xf>
    <xf numFmtId="1" fontId="31" fillId="0" borderId="27" xfId="0" applyNumberFormat="1" applyFont="1" applyBorder="1" applyAlignment="1" applyProtection="1">
      <alignment vertical="center"/>
      <protection hidden="1"/>
    </xf>
    <xf numFmtId="1" fontId="31" fillId="0" borderId="0" xfId="0" applyNumberFormat="1" applyFont="1" applyAlignment="1" applyProtection="1">
      <alignment vertical="center"/>
      <protection hidden="1"/>
    </xf>
    <xf numFmtId="1" fontId="31" fillId="0" borderId="28" xfId="0" applyNumberFormat="1" applyFont="1" applyBorder="1" applyAlignment="1" applyProtection="1">
      <alignment vertical="center"/>
      <protection hidden="1"/>
    </xf>
    <xf numFmtId="1" fontId="31" fillId="0" borderId="61" xfId="0" applyNumberFormat="1" applyFont="1" applyBorder="1" applyAlignment="1" applyProtection="1">
      <alignment vertical="center"/>
      <protection hidden="1"/>
    </xf>
    <xf numFmtId="1" fontId="31" fillId="0" borderId="53" xfId="0" applyNumberFormat="1" applyFont="1" applyBorder="1" applyAlignment="1" applyProtection="1">
      <alignment vertical="center"/>
      <protection hidden="1"/>
    </xf>
    <xf numFmtId="1" fontId="31" fillId="0" borderId="62" xfId="0" applyNumberFormat="1" applyFont="1" applyBorder="1" applyAlignment="1" applyProtection="1">
      <alignment vertical="center"/>
      <protection hidden="1"/>
    </xf>
    <xf numFmtId="164" fontId="0" fillId="0" borderId="0" xfId="0" applyNumberFormat="1" applyAlignment="1" applyProtection="1">
      <alignment vertical="center"/>
      <protection hidden="1"/>
    </xf>
    <xf numFmtId="171" fontId="47" fillId="0" borderId="14" xfId="1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79" fontId="6" fillId="0" borderId="0" xfId="0" applyNumberFormat="1" applyFont="1" applyAlignment="1">
      <alignment horizontal="center" vertical="center"/>
    </xf>
    <xf numFmtId="180" fontId="6" fillId="0" borderId="14" xfId="0" applyNumberFormat="1" applyFont="1" applyBorder="1" applyAlignment="1">
      <alignment horizontal="center" vertical="center"/>
    </xf>
    <xf numFmtId="180" fontId="6" fillId="0" borderId="14" xfId="0" applyNumberFormat="1" applyFont="1" applyBorder="1" applyAlignment="1" applyProtection="1">
      <alignment horizontal="center" vertical="center"/>
      <protection locked="0"/>
    </xf>
    <xf numFmtId="180" fontId="6" fillId="5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73" xfId="0" applyBorder="1" applyAlignment="1">
      <alignment horizontal="center" vertical="center"/>
    </xf>
    <xf numFmtId="0" fontId="32" fillId="0" borderId="29" xfId="0" applyFont="1" applyBorder="1" applyAlignment="1" applyProtection="1">
      <alignment vertical="center"/>
      <protection hidden="1"/>
    </xf>
    <xf numFmtId="0" fontId="32" fillId="0" borderId="48" xfId="0" applyFont="1" applyBorder="1" applyAlignment="1" applyProtection="1">
      <alignment vertical="center"/>
      <protection hidden="1"/>
    </xf>
    <xf numFmtId="0" fontId="32" fillId="0" borderId="29" xfId="0" applyFont="1" applyBorder="1" applyAlignment="1" applyProtection="1">
      <alignment vertical="center" wrapText="1"/>
      <protection hidden="1"/>
    </xf>
    <xf numFmtId="0" fontId="32" fillId="0" borderId="48" xfId="0" applyFont="1" applyBorder="1" applyAlignment="1" applyProtection="1">
      <alignment vertical="center" wrapText="1"/>
      <protection hidden="1"/>
    </xf>
    <xf numFmtId="0" fontId="0" fillId="0" borderId="6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173" fontId="41" fillId="7" borderId="14" xfId="0" applyNumberFormat="1" applyFont="1" applyFill="1" applyBorder="1" applyAlignment="1">
      <alignment horizontal="center" vertical="center"/>
    </xf>
    <xf numFmtId="0" fontId="24" fillId="0" borderId="0" xfId="0" applyFont="1" applyAlignment="1" applyProtection="1">
      <alignment vertical="center"/>
      <protection hidden="1"/>
    </xf>
    <xf numFmtId="171" fontId="20" fillId="6" borderId="75" xfId="0" applyNumberFormat="1" applyFont="1" applyFill="1" applyBorder="1" applyAlignment="1">
      <alignment horizontal="center" vertical="center"/>
    </xf>
    <xf numFmtId="171" fontId="0" fillId="8" borderId="19" xfId="0" applyNumberFormat="1" applyFill="1" applyBorder="1" applyAlignment="1">
      <alignment horizontal="center" vertical="center"/>
    </xf>
    <xf numFmtId="171" fontId="20" fillId="6" borderId="17" xfId="0" applyNumberFormat="1" applyFont="1" applyFill="1" applyBorder="1" applyAlignment="1">
      <alignment horizontal="center" vertical="center"/>
    </xf>
    <xf numFmtId="171" fontId="0" fillId="8" borderId="16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71" fontId="10" fillId="0" borderId="8" xfId="0" applyNumberFormat="1" applyFont="1" applyBorder="1" applyAlignment="1">
      <alignment horizontal="center" vertical="center"/>
    </xf>
    <xf numFmtId="0" fontId="51" fillId="4" borderId="52" xfId="0" applyFont="1" applyFill="1" applyBorder="1" applyAlignment="1">
      <alignment horizontal="center" vertical="center"/>
    </xf>
    <xf numFmtId="0" fontId="54" fillId="0" borderId="14" xfId="1" applyFont="1" applyBorder="1" applyAlignment="1" applyProtection="1">
      <alignment horizontal="center" vertical="center"/>
      <protection locked="0"/>
    </xf>
    <xf numFmtId="0" fontId="7" fillId="5" borderId="14" xfId="1" applyFill="1" applyBorder="1" applyAlignment="1" applyProtection="1">
      <alignment horizontal="center" vertical="center"/>
      <protection locked="0"/>
    </xf>
    <xf numFmtId="0" fontId="7" fillId="0" borderId="14" xfId="1" applyBorder="1" applyAlignment="1" applyProtection="1">
      <alignment horizontal="center" vertical="center"/>
      <protection locked="0"/>
    </xf>
    <xf numFmtId="0" fontId="54" fillId="5" borderId="14" xfId="1" applyFont="1" applyFill="1" applyBorder="1" applyAlignment="1" applyProtection="1">
      <alignment horizontal="center" vertical="center"/>
      <protection locked="0"/>
    </xf>
    <xf numFmtId="0" fontId="7" fillId="0" borderId="0" xfId="1" applyBorder="1" applyAlignment="1" applyProtection="1">
      <alignment horizontal="center" vertical="center"/>
    </xf>
    <xf numFmtId="0" fontId="7" fillId="0" borderId="14" xfId="1" applyBorder="1" applyAlignment="1" applyProtection="1">
      <alignment horizontal="center" vertical="center" wrapText="1"/>
      <protection locked="0"/>
    </xf>
    <xf numFmtId="0" fontId="54" fillId="0" borderId="14" xfId="1" applyFont="1" applyBorder="1" applyAlignment="1" applyProtection="1">
      <alignment horizontal="center" vertical="center" wrapText="1"/>
      <protection locked="0"/>
    </xf>
    <xf numFmtId="0" fontId="7" fillId="0" borderId="14" xfId="1" applyFill="1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vertical="center"/>
      <protection hidden="1"/>
    </xf>
    <xf numFmtId="14" fontId="42" fillId="0" borderId="0" xfId="0" applyNumberFormat="1" applyFont="1" applyAlignment="1" applyProtection="1">
      <alignment horizontal="left" vertical="center"/>
      <protection hidden="1"/>
    </xf>
    <xf numFmtId="170" fontId="6" fillId="0" borderId="1" xfId="0" applyNumberFormat="1" applyFont="1" applyBorder="1" applyAlignment="1" applyProtection="1">
      <alignment horizontal="center" vertical="center" wrapText="1"/>
      <protection locked="0"/>
    </xf>
    <xf numFmtId="0" fontId="42" fillId="0" borderId="27" xfId="0" applyFont="1" applyBorder="1" applyAlignment="1" applyProtection="1">
      <alignment horizontal="right" vertical="center"/>
      <protection hidden="1"/>
    </xf>
    <xf numFmtId="164" fontId="16" fillId="0" borderId="0" xfId="0" quotePrefix="1" applyNumberFormat="1" applyFont="1" applyAlignment="1" applyProtection="1">
      <alignment horizontal="center" vertical="center"/>
      <protection hidden="1"/>
    </xf>
    <xf numFmtId="0" fontId="42" fillId="0" borderId="0" xfId="0" applyFont="1" applyAlignment="1" applyProtection="1">
      <alignment horizontal="center" vertical="center"/>
      <protection hidden="1"/>
    </xf>
    <xf numFmtId="171" fontId="44" fillId="0" borderId="0" xfId="1" applyNumberFormat="1" applyFont="1" applyFill="1" applyBorder="1" applyAlignment="1" applyProtection="1">
      <alignment horizontal="center" vertical="center"/>
      <protection hidden="1"/>
    </xf>
    <xf numFmtId="164" fontId="55" fillId="0" borderId="0" xfId="1" applyNumberFormat="1" applyFont="1" applyFill="1" applyBorder="1" applyAlignment="1" applyProtection="1">
      <alignment horizontal="center" vertical="center"/>
      <protection hidden="1"/>
    </xf>
    <xf numFmtId="171" fontId="42" fillId="0" borderId="41" xfId="0" applyNumberFormat="1" applyFont="1" applyBorder="1" applyAlignment="1" applyProtection="1">
      <alignment horizontal="center" vertical="center"/>
      <protection hidden="1"/>
    </xf>
    <xf numFmtId="0" fontId="42" fillId="0" borderId="0" xfId="0" applyFont="1" applyAlignment="1" applyProtection="1">
      <alignment vertical="center"/>
      <protection hidden="1"/>
    </xf>
    <xf numFmtId="14" fontId="42" fillId="0" borderId="0" xfId="0" applyNumberFormat="1" applyFont="1" applyAlignment="1" applyProtection="1">
      <alignment horizontal="center" vertical="center"/>
      <protection hidden="1"/>
    </xf>
    <xf numFmtId="171" fontId="42" fillId="0" borderId="0" xfId="0" applyNumberFormat="1" applyFont="1" applyAlignment="1" applyProtection="1">
      <alignment vertical="center"/>
      <protection hidden="1"/>
    </xf>
    <xf numFmtId="0" fontId="5" fillId="10" borderId="60" xfId="0" applyFont="1" applyFill="1" applyBorder="1" applyAlignment="1">
      <alignment horizontal="center" vertical="center"/>
    </xf>
    <xf numFmtId="176" fontId="30" fillId="4" borderId="39" xfId="1" applyNumberFormat="1" applyFont="1" applyFill="1" applyBorder="1" applyAlignment="1" applyProtection="1">
      <alignment horizontal="center" vertical="center"/>
      <protection hidden="1"/>
    </xf>
    <xf numFmtId="176" fontId="30" fillId="4" borderId="69" xfId="1" applyNumberFormat="1" applyFont="1" applyFill="1" applyBorder="1" applyAlignment="1" applyProtection="1">
      <alignment horizontal="center" vertical="center"/>
      <protection hidden="1"/>
    </xf>
    <xf numFmtId="0" fontId="30" fillId="0" borderId="28" xfId="0" applyFont="1" applyBorder="1" applyAlignment="1" applyProtection="1">
      <alignment horizontal="center" vertical="center"/>
      <protection hidden="1"/>
    </xf>
    <xf numFmtId="0" fontId="30" fillId="0" borderId="27" xfId="0" applyFont="1" applyBorder="1" applyAlignment="1" applyProtection="1">
      <alignment horizontal="center" vertical="center"/>
      <protection hidden="1"/>
    </xf>
    <xf numFmtId="0" fontId="32" fillId="0" borderId="65" xfId="0" applyFont="1" applyBorder="1" applyAlignment="1" applyProtection="1">
      <alignment vertical="center"/>
      <protection hidden="1"/>
    </xf>
    <xf numFmtId="0" fontId="32" fillId="0" borderId="13" xfId="0" applyFont="1" applyBorder="1" applyAlignment="1" applyProtection="1">
      <alignment vertical="center"/>
      <protection hidden="1"/>
    </xf>
    <xf numFmtId="176" fontId="30" fillId="4" borderId="83" xfId="1" applyNumberFormat="1" applyFont="1" applyFill="1" applyBorder="1" applyAlignment="1" applyProtection="1">
      <alignment horizontal="center" vertical="center"/>
      <protection hidden="1"/>
    </xf>
    <xf numFmtId="0" fontId="32" fillId="0" borderId="29" xfId="0" applyFont="1" applyBorder="1" applyAlignment="1" applyProtection="1">
      <alignment horizontal="left" vertical="center" wrapText="1"/>
      <protection hidden="1"/>
    </xf>
    <xf numFmtId="0" fontId="32" fillId="0" borderId="29" xfId="0" applyFont="1" applyBorder="1" applyAlignment="1" applyProtection="1">
      <alignment horizontal="left" vertical="center"/>
      <protection hidden="1"/>
    </xf>
    <xf numFmtId="1" fontId="30" fillId="0" borderId="65" xfId="0" applyNumberFormat="1" applyFont="1" applyBorder="1" applyAlignment="1" applyProtection="1">
      <alignment horizontal="center" vertical="center"/>
      <protection hidden="1"/>
    </xf>
    <xf numFmtId="1" fontId="30" fillId="5" borderId="29" xfId="0" applyNumberFormat="1" applyFont="1" applyFill="1" applyBorder="1" applyAlignment="1" applyProtection="1">
      <alignment horizontal="center" vertical="center"/>
      <protection hidden="1"/>
    </xf>
    <xf numFmtId="0" fontId="32" fillId="0" borderId="84" xfId="0" applyFont="1" applyBorder="1" applyAlignment="1" applyProtection="1">
      <alignment horizontal="left" vertical="center"/>
      <protection hidden="1"/>
    </xf>
    <xf numFmtId="0" fontId="30" fillId="0" borderId="29" xfId="0" applyFont="1" applyBorder="1" applyAlignment="1" applyProtection="1">
      <alignment horizontal="center" vertical="center"/>
      <protection hidden="1"/>
    </xf>
    <xf numFmtId="0" fontId="30" fillId="0" borderId="84" xfId="0" applyFont="1" applyBorder="1" applyAlignment="1" applyProtection="1">
      <alignment horizontal="center" vertical="center"/>
      <protection hidden="1"/>
    </xf>
    <xf numFmtId="176" fontId="30" fillId="8" borderId="39" xfId="1" applyNumberFormat="1" applyFont="1" applyFill="1" applyBorder="1" applyAlignment="1" applyProtection="1">
      <alignment horizontal="center" vertical="center"/>
      <protection hidden="1"/>
    </xf>
    <xf numFmtId="176" fontId="30" fillId="8" borderId="66" xfId="1" applyNumberFormat="1" applyFont="1" applyFill="1" applyBorder="1" applyAlignment="1" applyProtection="1">
      <alignment horizontal="center" vertical="center"/>
      <protection hidden="1"/>
    </xf>
    <xf numFmtId="178" fontId="60" fillId="0" borderId="14" xfId="0" applyNumberFormat="1" applyFont="1" applyBorder="1" applyAlignment="1" applyProtection="1">
      <alignment horizontal="center" vertical="center"/>
      <protection locked="0"/>
    </xf>
    <xf numFmtId="178" fontId="0" fillId="0" borderId="14" xfId="0" quotePrefix="1" applyNumberFormat="1" applyBorder="1" applyAlignment="1" applyProtection="1">
      <alignment horizontal="center" vertical="center"/>
      <protection locked="0"/>
    </xf>
    <xf numFmtId="178" fontId="0" fillId="0" borderId="14" xfId="0" applyNumberFormat="1" applyBorder="1" applyAlignment="1" applyProtection="1">
      <alignment horizontal="center" vertical="center"/>
      <protection locked="0"/>
    </xf>
    <xf numFmtId="178" fontId="0" fillId="0" borderId="14" xfId="0" applyNumberFormat="1" applyBorder="1" applyAlignment="1">
      <alignment horizontal="center" vertical="center"/>
    </xf>
    <xf numFmtId="178" fontId="0" fillId="5" borderId="14" xfId="0" applyNumberFormat="1" applyFill="1" applyBorder="1" applyAlignment="1" applyProtection="1">
      <alignment horizontal="center" vertical="center"/>
      <protection locked="0"/>
    </xf>
    <xf numFmtId="1" fontId="31" fillId="0" borderId="87" xfId="0" applyNumberFormat="1" applyFont="1" applyBorder="1" applyAlignment="1" applyProtection="1">
      <alignment horizontal="center" vertical="center"/>
      <protection hidden="1"/>
    </xf>
    <xf numFmtId="0" fontId="30" fillId="0" borderId="38" xfId="0" applyFont="1" applyBorder="1" applyAlignment="1" applyProtection="1">
      <alignment horizontal="center" vertical="center"/>
      <protection hidden="1"/>
    </xf>
    <xf numFmtId="0" fontId="61" fillId="10" borderId="14" xfId="0" applyFont="1" applyFill="1" applyBorder="1" applyAlignment="1">
      <alignment horizontal="center" vertical="center" wrapText="1"/>
    </xf>
    <xf numFmtId="1" fontId="31" fillId="0" borderId="38" xfId="0" applyNumberFormat="1" applyFont="1" applyBorder="1" applyAlignment="1" applyProtection="1">
      <alignment horizontal="center" vertical="center"/>
      <protection hidden="1"/>
    </xf>
    <xf numFmtId="0" fontId="42" fillId="3" borderId="27" xfId="0" applyFont="1" applyFill="1" applyBorder="1" applyAlignment="1" applyProtection="1">
      <alignment horizontal="right" vertical="center"/>
      <protection hidden="1"/>
    </xf>
    <xf numFmtId="0" fontId="42" fillId="3" borderId="0" xfId="0" applyFont="1" applyFill="1" applyAlignment="1" applyProtection="1">
      <alignment horizontal="center" vertical="center"/>
      <protection hidden="1"/>
    </xf>
    <xf numFmtId="171" fontId="44" fillId="3" borderId="0" xfId="1" applyNumberFormat="1" applyFont="1" applyFill="1" applyBorder="1" applyAlignment="1" applyProtection="1">
      <alignment horizontal="center" vertical="center"/>
      <protection hidden="1"/>
    </xf>
    <xf numFmtId="0" fontId="0" fillId="3" borderId="0" xfId="0" applyFill="1" applyAlignment="1" applyProtection="1">
      <alignment horizontal="center" vertical="center"/>
      <protection hidden="1"/>
    </xf>
    <xf numFmtId="0" fontId="32" fillId="3" borderId="0" xfId="0" applyFont="1" applyFill="1" applyAlignment="1" applyProtection="1">
      <alignment horizontal="center" vertical="center"/>
      <protection hidden="1"/>
    </xf>
    <xf numFmtId="0" fontId="32" fillId="3" borderId="28" xfId="0" applyFont="1" applyFill="1" applyBorder="1" applyAlignment="1" applyProtection="1">
      <alignment horizontal="center" vertical="center"/>
      <protection hidden="1"/>
    </xf>
    <xf numFmtId="0" fontId="14" fillId="0" borderId="0" xfId="0" applyFont="1" applyAlignment="1">
      <alignment horizontal="center" vertical="center"/>
    </xf>
    <xf numFmtId="0" fontId="23" fillId="0" borderId="0" xfId="0" applyFont="1" applyAlignment="1" applyProtection="1">
      <alignment horizontal="center" vertical="center"/>
      <protection hidden="1"/>
    </xf>
    <xf numFmtId="172" fontId="23" fillId="0" borderId="0" xfId="0" quotePrefix="1" applyNumberFormat="1" applyFont="1" applyAlignment="1" applyProtection="1">
      <alignment horizontal="center" vertical="center"/>
      <protection hidden="1"/>
    </xf>
    <xf numFmtId="2" fontId="23" fillId="0" borderId="0" xfId="0" applyNumberFormat="1" applyFont="1" applyAlignment="1" applyProtection="1">
      <alignment horizontal="center" vertical="center"/>
      <protection hidden="1"/>
    </xf>
    <xf numFmtId="0" fontId="15" fillId="0" borderId="28" xfId="0" applyFont="1" applyBorder="1" applyAlignment="1" applyProtection="1">
      <alignment horizontal="center" vertical="center"/>
      <protection hidden="1"/>
    </xf>
    <xf numFmtId="0" fontId="23" fillId="2" borderId="33" xfId="0" applyFont="1" applyFill="1" applyBorder="1" applyAlignment="1" applyProtection="1">
      <alignment horizontal="center" vertical="center"/>
      <protection hidden="1"/>
    </xf>
    <xf numFmtId="0" fontId="23" fillId="2" borderId="12" xfId="0" applyFont="1" applyFill="1" applyBorder="1" applyAlignment="1" applyProtection="1">
      <alignment horizontal="center" vertical="center"/>
      <protection hidden="1"/>
    </xf>
    <xf numFmtId="0" fontId="23" fillId="2" borderId="32" xfId="0" applyFont="1" applyFill="1" applyBorder="1" applyAlignment="1" applyProtection="1">
      <alignment horizontal="center" vertical="center"/>
      <protection hidden="1"/>
    </xf>
    <xf numFmtId="176" fontId="23" fillId="5" borderId="81" xfId="1" applyNumberFormat="1" applyFont="1" applyFill="1" applyBorder="1" applyAlignment="1" applyProtection="1">
      <alignment horizontal="center" vertical="center"/>
      <protection hidden="1"/>
    </xf>
    <xf numFmtId="2" fontId="15" fillId="0" borderId="90" xfId="0" applyNumberFormat="1" applyFont="1" applyBorder="1" applyAlignment="1" applyProtection="1">
      <alignment horizontal="center" vertical="center"/>
      <protection hidden="1"/>
    </xf>
    <xf numFmtId="176" fontId="29" fillId="5" borderId="38" xfId="0" applyNumberFormat="1" applyFont="1" applyFill="1" applyBorder="1" applyAlignment="1" applyProtection="1">
      <alignment horizontal="center" vertical="center"/>
      <protection hidden="1"/>
    </xf>
    <xf numFmtId="176" fontId="15" fillId="5" borderId="39" xfId="0" applyNumberFormat="1" applyFont="1" applyFill="1" applyBorder="1" applyAlignment="1" applyProtection="1">
      <alignment horizontal="center" vertical="center"/>
      <protection hidden="1"/>
    </xf>
    <xf numFmtId="0" fontId="15" fillId="0" borderId="27" xfId="0" applyFont="1" applyBorder="1" applyAlignment="1" applyProtection="1">
      <alignment horizontal="center" vertical="center"/>
      <protection hidden="1"/>
    </xf>
    <xf numFmtId="176" fontId="15" fillId="5" borderId="66" xfId="0" applyNumberFormat="1" applyFont="1" applyFill="1" applyBorder="1" applyAlignment="1" applyProtection="1">
      <alignment horizontal="center" vertical="center"/>
      <protection hidden="1"/>
    </xf>
    <xf numFmtId="165" fontId="23" fillId="0" borderId="0" xfId="0" applyNumberFormat="1" applyFont="1" applyAlignment="1" applyProtection="1">
      <alignment horizontal="center" vertical="center"/>
      <protection hidden="1"/>
    </xf>
    <xf numFmtId="0" fontId="23" fillId="5" borderId="31" xfId="0" applyFont="1" applyFill="1" applyBorder="1" applyAlignment="1" applyProtection="1">
      <alignment horizontal="right" vertical="center"/>
      <protection hidden="1"/>
    </xf>
    <xf numFmtId="0" fontId="23" fillId="5" borderId="4" xfId="0" applyFont="1" applyFill="1" applyBorder="1" applyAlignment="1" applyProtection="1">
      <alignment horizontal="right" vertical="center"/>
      <protection hidden="1"/>
    </xf>
    <xf numFmtId="176" fontId="23" fillId="5" borderId="31" xfId="1" applyNumberFormat="1" applyFont="1" applyFill="1" applyBorder="1" applyAlignment="1" applyProtection="1">
      <alignment horizontal="center" vertical="center"/>
      <protection hidden="1"/>
    </xf>
    <xf numFmtId="176" fontId="23" fillId="5" borderId="38" xfId="0" applyNumberFormat="1" applyFont="1" applyFill="1" applyBorder="1" applyAlignment="1" applyProtection="1">
      <alignment horizontal="center" vertical="center"/>
      <protection hidden="1"/>
    </xf>
    <xf numFmtId="176" fontId="23" fillId="5" borderId="82" xfId="0" applyNumberFormat="1" applyFont="1" applyFill="1" applyBorder="1" applyAlignment="1" applyProtection="1">
      <alignment horizontal="center" vertical="center"/>
      <protection hidden="1"/>
    </xf>
    <xf numFmtId="176" fontId="23" fillId="4" borderId="41" xfId="0" applyNumberFormat="1" applyFont="1" applyFill="1" applyBorder="1" applyAlignment="1" applyProtection="1">
      <alignment horizontal="center" vertical="center"/>
      <protection hidden="1"/>
    </xf>
    <xf numFmtId="0" fontId="11" fillId="0" borderId="0" xfId="0" applyFont="1" applyAlignment="1" applyProtection="1">
      <alignment horizontal="center" vertical="center"/>
      <protection hidden="1"/>
    </xf>
    <xf numFmtId="171" fontId="0" fillId="0" borderId="0" xfId="0" applyNumberFormat="1" applyAlignment="1" applyProtection="1">
      <alignment horizontal="center" vertical="center"/>
      <protection hidden="1"/>
    </xf>
    <xf numFmtId="181" fontId="0" fillId="0" borderId="0" xfId="0" applyNumberFormat="1" applyAlignment="1" applyProtection="1">
      <alignment horizontal="center" vertical="center"/>
      <protection hidden="1"/>
    </xf>
    <xf numFmtId="0" fontId="32" fillId="0" borderId="39" xfId="0" applyFont="1" applyBorder="1" applyAlignment="1">
      <alignment horizontal="left" vertical="center"/>
    </xf>
    <xf numFmtId="0" fontId="30" fillId="0" borderId="81" xfId="0" applyFont="1" applyBorder="1" applyAlignment="1" applyProtection="1">
      <alignment horizontal="center" vertical="center"/>
      <protection hidden="1"/>
    </xf>
    <xf numFmtId="0" fontId="32" fillId="0" borderId="59" xfId="0" applyFont="1" applyBorder="1" applyAlignment="1" applyProtection="1">
      <alignment vertical="center" wrapText="1"/>
      <protection hidden="1"/>
    </xf>
    <xf numFmtId="0" fontId="32" fillId="0" borderId="59" xfId="0" applyFont="1" applyBorder="1" applyAlignment="1" applyProtection="1">
      <alignment vertical="center"/>
      <protection hidden="1"/>
    </xf>
    <xf numFmtId="0" fontId="32" fillId="0" borderId="70" xfId="0" applyFont="1" applyBorder="1" applyAlignment="1" applyProtection="1">
      <alignment vertical="center"/>
      <protection hidden="1"/>
    </xf>
    <xf numFmtId="0" fontId="60" fillId="0" borderId="0" xfId="0" applyFont="1" applyAlignment="1" applyProtection="1">
      <alignment horizontal="center" vertical="center"/>
      <protection hidden="1"/>
    </xf>
    <xf numFmtId="14" fontId="0" fillId="0" borderId="21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75" fontId="0" fillId="0" borderId="5" xfId="0" applyNumberFormat="1" applyBorder="1" applyAlignment="1">
      <alignment horizontal="center" vertical="center"/>
    </xf>
    <xf numFmtId="175" fontId="0" fillId="0" borderId="15" xfId="0" applyNumberFormat="1" applyBorder="1" applyAlignment="1">
      <alignment horizontal="center" vertical="center"/>
    </xf>
    <xf numFmtId="175" fontId="0" fillId="0" borderId="21" xfId="0" applyNumberFormat="1" applyBorder="1" applyAlignment="1">
      <alignment horizontal="center" vertical="center"/>
    </xf>
    <xf numFmtId="175" fontId="0" fillId="0" borderId="14" xfId="0" applyNumberFormat="1" applyBorder="1" applyAlignment="1">
      <alignment horizontal="center" vertical="center"/>
    </xf>
    <xf numFmtId="0" fontId="52" fillId="0" borderId="0" xfId="0" applyFont="1" applyAlignment="1">
      <alignment vertical="center"/>
    </xf>
    <xf numFmtId="0" fontId="32" fillId="0" borderId="53" xfId="0" applyFont="1" applyBorder="1" applyAlignment="1" applyProtection="1">
      <alignment vertical="center"/>
      <protection hidden="1"/>
    </xf>
    <xf numFmtId="1" fontId="30" fillId="0" borderId="66" xfId="0" applyNumberFormat="1" applyFont="1" applyBorder="1" applyAlignment="1" applyProtection="1">
      <alignment horizontal="center" vertical="center"/>
      <protection hidden="1"/>
    </xf>
    <xf numFmtId="175" fontId="49" fillId="5" borderId="91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29" fillId="0" borderId="29" xfId="0" applyFont="1" applyBorder="1" applyAlignment="1" applyProtection="1">
      <alignment horizontal="center"/>
      <protection hidden="1"/>
    </xf>
    <xf numFmtId="0" fontId="29" fillId="12" borderId="54" xfId="0" applyFont="1" applyFill="1" applyBorder="1" applyAlignment="1" applyProtection="1">
      <alignment horizontal="center"/>
      <protection hidden="1"/>
    </xf>
    <xf numFmtId="176" fontId="58" fillId="5" borderId="59" xfId="1" applyNumberFormat="1" applyFont="1" applyFill="1" applyBorder="1" applyAlignment="1" applyProtection="1">
      <alignment horizontal="center"/>
      <protection hidden="1"/>
    </xf>
    <xf numFmtId="0" fontId="29" fillId="0" borderId="79" xfId="0" applyFont="1" applyBorder="1" applyAlignment="1" applyProtection="1">
      <alignment horizontal="center"/>
      <protection hidden="1"/>
    </xf>
    <xf numFmtId="0" fontId="29" fillId="12" borderId="76" xfId="0" applyFont="1" applyFill="1" applyBorder="1" applyAlignment="1" applyProtection="1">
      <alignment horizontal="center"/>
      <protection hidden="1"/>
    </xf>
    <xf numFmtId="1" fontId="15" fillId="5" borderId="27" xfId="0" applyNumberFormat="1" applyFont="1" applyFill="1" applyBorder="1" applyProtection="1">
      <protection hidden="1"/>
    </xf>
    <xf numFmtId="1" fontId="15" fillId="5" borderId="28" xfId="0" applyNumberFormat="1" applyFont="1" applyFill="1" applyBorder="1" applyProtection="1">
      <protection hidden="1"/>
    </xf>
    <xf numFmtId="2" fontId="0" fillId="0" borderId="0" xfId="0" applyNumberFormat="1" applyAlignment="1" applyProtection="1">
      <alignment horizontal="center"/>
      <protection hidden="1"/>
    </xf>
    <xf numFmtId="0" fontId="29" fillId="0" borderId="84" xfId="0" applyFont="1" applyBorder="1" applyAlignment="1" applyProtection="1">
      <alignment horizontal="center"/>
      <protection hidden="1"/>
    </xf>
    <xf numFmtId="0" fontId="29" fillId="12" borderId="77" xfId="0" applyFont="1" applyFill="1" applyBorder="1" applyAlignment="1" applyProtection="1">
      <alignment horizontal="center"/>
      <protection hidden="1"/>
    </xf>
    <xf numFmtId="1" fontId="15" fillId="5" borderId="61" xfId="0" applyNumberFormat="1" applyFont="1" applyFill="1" applyBorder="1" applyProtection="1">
      <protection hidden="1"/>
    </xf>
    <xf numFmtId="1" fontId="15" fillId="5" borderId="62" xfId="0" applyNumberFormat="1" applyFont="1" applyFill="1" applyBorder="1" applyProtection="1">
      <protection hidden="1"/>
    </xf>
    <xf numFmtId="0" fontId="29" fillId="0" borderId="80" xfId="0" applyFont="1" applyBorder="1" applyAlignment="1" applyProtection="1">
      <alignment horizontal="center"/>
      <protection hidden="1"/>
    </xf>
    <xf numFmtId="0" fontId="15" fillId="0" borderId="78" xfId="0" applyFont="1" applyBorder="1" applyAlignment="1" applyProtection="1">
      <alignment horizontal="center"/>
      <protection hidden="1"/>
    </xf>
    <xf numFmtId="0" fontId="15" fillId="5" borderId="3" xfId="0" applyFont="1" applyFill="1" applyBorder="1" applyProtection="1">
      <protection hidden="1"/>
    </xf>
    <xf numFmtId="0" fontId="15" fillId="5" borderId="40" xfId="0" applyFont="1" applyFill="1" applyBorder="1" applyProtection="1">
      <protection hidden="1"/>
    </xf>
    <xf numFmtId="0" fontId="15" fillId="12" borderId="78" xfId="0" applyFont="1" applyFill="1" applyBorder="1" applyAlignment="1" applyProtection="1">
      <alignment horizontal="center"/>
      <protection hidden="1"/>
    </xf>
    <xf numFmtId="175" fontId="63" fillId="5" borderId="36" xfId="1" applyNumberFormat="1" applyFont="1" applyFill="1" applyBorder="1" applyAlignment="1" applyProtection="1">
      <alignment horizontal="center"/>
      <protection hidden="1"/>
    </xf>
    <xf numFmtId="0" fontId="15" fillId="0" borderId="79" xfId="0" applyFont="1" applyBorder="1" applyAlignment="1" applyProtection="1">
      <alignment horizontal="center"/>
      <protection hidden="1"/>
    </xf>
    <xf numFmtId="0" fontId="15" fillId="5" borderId="7" xfId="0" applyFont="1" applyFill="1" applyBorder="1" applyProtection="1">
      <protection hidden="1"/>
    </xf>
    <xf numFmtId="0" fontId="15" fillId="5" borderId="28" xfId="0" applyFont="1" applyFill="1" applyBorder="1" applyProtection="1">
      <protection hidden="1"/>
    </xf>
    <xf numFmtId="0" fontId="15" fillId="12" borderId="79" xfId="0" applyFont="1" applyFill="1" applyBorder="1" applyAlignment="1" applyProtection="1">
      <alignment horizontal="center"/>
      <protection hidden="1"/>
    </xf>
    <xf numFmtId="175" fontId="63" fillId="5" borderId="35" xfId="1" applyNumberFormat="1" applyFont="1" applyFill="1" applyBorder="1" applyAlignment="1" applyProtection="1">
      <alignment horizontal="center"/>
      <protection hidden="1"/>
    </xf>
    <xf numFmtId="175" fontId="63" fillId="5" borderId="92" xfId="1" applyNumberFormat="1" applyFont="1" applyFill="1" applyBorder="1" applyAlignment="1" applyProtection="1">
      <alignment horizontal="center"/>
      <protection hidden="1"/>
    </xf>
    <xf numFmtId="0" fontId="15" fillId="0" borderId="86" xfId="0" applyFont="1" applyBorder="1" applyAlignment="1" applyProtection="1">
      <alignment horizontal="center"/>
      <protection hidden="1"/>
    </xf>
    <xf numFmtId="0" fontId="15" fillId="12" borderId="86" xfId="0" applyFont="1" applyFill="1" applyBorder="1" applyAlignment="1" applyProtection="1">
      <alignment horizontal="center"/>
      <protection hidden="1"/>
    </xf>
    <xf numFmtId="175" fontId="63" fillId="0" borderId="85" xfId="0" applyNumberFormat="1" applyFont="1" applyBorder="1" applyAlignment="1" applyProtection="1">
      <alignment horizontal="center"/>
      <protection locked="0" hidden="1"/>
    </xf>
    <xf numFmtId="0" fontId="23" fillId="2" borderId="33" xfId="0" applyFont="1" applyFill="1" applyBorder="1" applyAlignment="1" applyProtection="1">
      <alignment horizontal="center" vertical="top"/>
      <protection hidden="1"/>
    </xf>
    <xf numFmtId="176" fontId="58" fillId="5" borderId="92" xfId="1" applyNumberFormat="1" applyFont="1" applyFill="1" applyBorder="1" applyAlignment="1" applyProtection="1">
      <alignment horizontal="center"/>
      <protection hidden="1"/>
    </xf>
    <xf numFmtId="0" fontId="59" fillId="0" borderId="20" xfId="0" applyFont="1" applyBorder="1" applyAlignment="1">
      <alignment horizontal="center" vertical="center"/>
    </xf>
    <xf numFmtId="171" fontId="19" fillId="0" borderId="0" xfId="0" applyNumberFormat="1" applyFont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14" fillId="0" borderId="0" xfId="0" applyFont="1" applyAlignment="1" applyProtection="1">
      <alignment horizontal="left" vertical="center"/>
      <protection hidden="1"/>
    </xf>
    <xf numFmtId="0" fontId="9" fillId="0" borderId="23" xfId="0" applyFont="1" applyBorder="1" applyAlignment="1" applyProtection="1">
      <alignment vertical="center"/>
      <protection hidden="1"/>
    </xf>
    <xf numFmtId="0" fontId="60" fillId="0" borderId="0" xfId="0" applyFont="1" applyAlignment="1" applyProtection="1">
      <alignment vertical="center"/>
      <protection hidden="1"/>
    </xf>
    <xf numFmtId="171" fontId="6" fillId="0" borderId="28" xfId="0" applyNumberFormat="1" applyFont="1" applyBorder="1" applyAlignment="1" applyProtection="1">
      <alignment horizontal="center" vertical="center"/>
      <protection hidden="1"/>
    </xf>
    <xf numFmtId="176" fontId="6" fillId="0" borderId="28" xfId="0" applyNumberFormat="1" applyFont="1" applyBorder="1" applyAlignment="1" applyProtection="1">
      <alignment horizontal="center" vertical="center"/>
      <protection hidden="1"/>
    </xf>
    <xf numFmtId="176" fontId="0" fillId="0" borderId="14" xfId="0" applyNumberFormat="1" applyBorder="1" applyAlignment="1">
      <alignment horizontal="center" vertical="center"/>
    </xf>
    <xf numFmtId="176" fontId="0" fillId="0" borderId="93" xfId="0" applyNumberFormat="1" applyBorder="1" applyAlignment="1">
      <alignment horizontal="center" vertical="center"/>
    </xf>
    <xf numFmtId="176" fontId="0" fillId="0" borderId="17" xfId="0" applyNumberFormat="1" applyBorder="1" applyAlignment="1">
      <alignment horizontal="center" vertical="center"/>
    </xf>
    <xf numFmtId="0" fontId="64" fillId="0" borderId="0" xfId="0" applyFont="1" applyAlignment="1" applyProtection="1">
      <alignment vertical="center"/>
      <protection hidden="1"/>
    </xf>
    <xf numFmtId="0" fontId="64" fillId="0" borderId="0" xfId="0" applyFont="1" applyAlignment="1">
      <alignment vertical="center"/>
    </xf>
    <xf numFmtId="0" fontId="0" fillId="4" borderId="10" xfId="0" applyFill="1" applyBorder="1" applyAlignment="1">
      <alignment horizontal="center"/>
    </xf>
    <xf numFmtId="0" fontId="0" fillId="0" borderId="14" xfId="0" applyBorder="1" applyAlignment="1">
      <alignment horizontal="center"/>
    </xf>
    <xf numFmtId="176" fontId="60" fillId="0" borderId="21" xfId="0" applyNumberFormat="1" applyFont="1" applyBorder="1" applyAlignment="1">
      <alignment horizontal="center" vertical="center"/>
    </xf>
    <xf numFmtId="176" fontId="60" fillId="0" borderId="14" xfId="0" applyNumberFormat="1" applyFont="1" applyBorder="1" applyAlignment="1">
      <alignment horizontal="center" vertical="center"/>
    </xf>
    <xf numFmtId="0" fontId="32" fillId="0" borderId="88" xfId="0" applyFont="1" applyBorder="1" applyAlignment="1">
      <alignment horizontal="center" vertical="center"/>
    </xf>
    <xf numFmtId="0" fontId="32" fillId="0" borderId="61" xfId="0" applyFont="1" applyBorder="1" applyAlignment="1">
      <alignment horizontal="left" vertical="center"/>
    </xf>
    <xf numFmtId="0" fontId="15" fillId="0" borderId="29" xfId="0" applyFont="1" applyBorder="1" applyAlignment="1" applyProtection="1">
      <alignment horizontal="left" vertical="center"/>
      <protection hidden="1"/>
    </xf>
    <xf numFmtId="171" fontId="2" fillId="0" borderId="0" xfId="0" applyNumberFormat="1" applyFont="1" applyAlignment="1" applyProtection="1">
      <alignment horizontal="center"/>
      <protection hidden="1"/>
    </xf>
    <xf numFmtId="165" fontId="2" fillId="0" borderId="0" xfId="0" applyNumberFormat="1" applyFont="1" applyAlignment="1" applyProtection="1">
      <alignment horizontal="center"/>
      <protection hidden="1"/>
    </xf>
    <xf numFmtId="0" fontId="29" fillId="5" borderId="27" xfId="0" applyFont="1" applyFill="1" applyBorder="1" applyAlignment="1" applyProtection="1">
      <alignment horizontal="right" vertical="center"/>
      <protection hidden="1"/>
    </xf>
    <xf numFmtId="0" fontId="29" fillId="5" borderId="28" xfId="0" applyFont="1" applyFill="1" applyBorder="1" applyAlignment="1" applyProtection="1">
      <alignment horizontal="right" vertical="center"/>
      <protection hidden="1"/>
    </xf>
    <xf numFmtId="165" fontId="29" fillId="5" borderId="27" xfId="0" applyNumberFormat="1" applyFont="1" applyFill="1" applyBorder="1" applyAlignment="1" applyProtection="1">
      <alignment horizontal="right" vertical="center"/>
      <protection hidden="1"/>
    </xf>
    <xf numFmtId="165" fontId="29" fillId="5" borderId="28" xfId="0" applyNumberFormat="1" applyFont="1" applyFill="1" applyBorder="1" applyAlignment="1" applyProtection="1">
      <alignment horizontal="right" vertical="center"/>
      <protection hidden="1"/>
    </xf>
    <xf numFmtId="0" fontId="29" fillId="5" borderId="61" xfId="0" applyFont="1" applyFill="1" applyBorder="1" applyAlignment="1" applyProtection="1">
      <alignment horizontal="right" vertical="center"/>
      <protection hidden="1"/>
    </xf>
    <xf numFmtId="0" fontId="29" fillId="5" borderId="62" xfId="0" applyFont="1" applyFill="1" applyBorder="1" applyAlignment="1" applyProtection="1">
      <alignment horizontal="right" vertical="center"/>
      <protection hidden="1"/>
    </xf>
    <xf numFmtId="0" fontId="15" fillId="0" borderId="0" xfId="0" applyFont="1" applyAlignment="1" applyProtection="1">
      <alignment horizontal="center"/>
      <protection hidden="1"/>
    </xf>
    <xf numFmtId="0" fontId="23" fillId="0" borderId="4" xfId="0" applyFont="1" applyBorder="1" applyAlignment="1" applyProtection="1">
      <alignment horizontal="center" vertical="center"/>
      <protection hidden="1"/>
    </xf>
    <xf numFmtId="0" fontId="23" fillId="0" borderId="40" xfId="0" applyFont="1" applyBorder="1" applyAlignment="1" applyProtection="1">
      <alignment horizontal="center" vertical="center"/>
      <protection hidden="1"/>
    </xf>
    <xf numFmtId="0" fontId="29" fillId="12" borderId="56" xfId="0" applyFont="1" applyFill="1" applyBorder="1" applyAlignment="1" applyProtection="1">
      <alignment horizontal="center"/>
      <protection hidden="1"/>
    </xf>
    <xf numFmtId="0" fontId="23" fillId="0" borderId="37" xfId="0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vertical="center"/>
      <protection hidden="1"/>
    </xf>
    <xf numFmtId="171" fontId="0" fillId="0" borderId="0" xfId="0" applyNumberFormat="1" applyAlignment="1" applyProtection="1">
      <alignment vertical="center"/>
      <protection hidden="1"/>
    </xf>
    <xf numFmtId="0" fontId="29" fillId="0" borderId="95" xfId="0" applyFont="1" applyBorder="1" applyAlignment="1" applyProtection="1">
      <alignment horizontal="center"/>
      <protection hidden="1"/>
    </xf>
    <xf numFmtId="0" fontId="29" fillId="12" borderId="97" xfId="0" applyFont="1" applyFill="1" applyBorder="1" applyAlignment="1" applyProtection="1">
      <alignment horizontal="center"/>
      <protection hidden="1"/>
    </xf>
    <xf numFmtId="176" fontId="58" fillId="5" borderId="62" xfId="1" applyNumberFormat="1" applyFont="1" applyFill="1" applyBorder="1" applyAlignment="1" applyProtection="1">
      <alignment horizontal="center"/>
      <protection hidden="1"/>
    </xf>
    <xf numFmtId="0" fontId="32" fillId="0" borderId="29" xfId="0" applyFont="1" applyBorder="1" applyAlignment="1">
      <alignment horizontal="left" vertical="center"/>
    </xf>
    <xf numFmtId="176" fontId="58" fillId="5" borderId="96" xfId="1" applyNumberFormat="1" applyFont="1" applyFill="1" applyBorder="1" applyAlignment="1" applyProtection="1">
      <alignment horizontal="center"/>
      <protection hidden="1"/>
    </xf>
    <xf numFmtId="0" fontId="23" fillId="0" borderId="27" xfId="0" applyFont="1" applyBorder="1" applyAlignment="1" applyProtection="1">
      <alignment horizontal="right" vertical="center"/>
      <protection hidden="1"/>
    </xf>
    <xf numFmtId="0" fontId="23" fillId="0" borderId="28" xfId="0" applyFont="1" applyBorder="1" applyAlignment="1" applyProtection="1">
      <alignment horizontal="right" vertical="center"/>
      <protection hidden="1"/>
    </xf>
    <xf numFmtId="176" fontId="23" fillId="0" borderId="83" xfId="0" applyNumberFormat="1" applyFont="1" applyBorder="1" applyAlignment="1" applyProtection="1">
      <alignment horizontal="center" vertical="center"/>
      <protection hidden="1"/>
    </xf>
    <xf numFmtId="0" fontId="15" fillId="0" borderId="43" xfId="0" applyFont="1" applyBorder="1" applyAlignment="1" applyProtection="1">
      <alignment horizontal="center" vertical="center"/>
      <protection hidden="1"/>
    </xf>
    <xf numFmtId="0" fontId="15" fillId="0" borderId="23" xfId="0" applyFont="1" applyBorder="1" applyAlignment="1" applyProtection="1">
      <alignment horizontal="center" vertical="center"/>
      <protection hidden="1"/>
    </xf>
    <xf numFmtId="176" fontId="23" fillId="5" borderId="82" xfId="1" applyNumberFormat="1" applyFont="1" applyFill="1" applyBorder="1" applyAlignment="1" applyProtection="1">
      <alignment horizontal="center" vertical="center"/>
      <protection hidden="1"/>
    </xf>
    <xf numFmtId="2" fontId="15" fillId="0" borderId="43" xfId="0" applyNumberFormat="1" applyFont="1" applyBorder="1" applyAlignment="1" applyProtection="1">
      <alignment horizontal="center" vertical="center"/>
      <protection hidden="1"/>
    </xf>
    <xf numFmtId="175" fontId="49" fillId="5" borderId="98" xfId="1" applyNumberFormat="1" applyFont="1" applyFill="1" applyBorder="1" applyAlignment="1" applyProtection="1">
      <alignment horizontal="center" vertical="center"/>
      <protection hidden="1"/>
    </xf>
    <xf numFmtId="0" fontId="15" fillId="0" borderId="94" xfId="0" applyFont="1" applyBorder="1" applyAlignment="1" applyProtection="1">
      <alignment horizontal="center" vertical="center"/>
      <protection hidden="1"/>
    </xf>
    <xf numFmtId="0" fontId="15" fillId="0" borderId="99" xfId="0" applyFont="1" applyBorder="1" applyAlignment="1" applyProtection="1">
      <alignment horizontal="center" vertical="center"/>
      <protection hidden="1"/>
    </xf>
    <xf numFmtId="176" fontId="23" fillId="5" borderId="100" xfId="1" applyNumberFormat="1" applyFont="1" applyFill="1" applyBorder="1" applyAlignment="1" applyProtection="1">
      <alignment horizontal="center" vertical="center"/>
      <protection hidden="1"/>
    </xf>
    <xf numFmtId="175" fontId="63" fillId="5" borderId="85" xfId="1" applyNumberFormat="1" applyFont="1" applyFill="1" applyBorder="1" applyAlignment="1" applyProtection="1">
      <alignment horizontal="center"/>
      <protection hidden="1"/>
    </xf>
    <xf numFmtId="0" fontId="23" fillId="0" borderId="27" xfId="0" applyFont="1" applyBorder="1" applyAlignment="1" applyProtection="1">
      <alignment horizontal="center" vertical="center"/>
      <protection hidden="1"/>
    </xf>
    <xf numFmtId="0" fontId="32" fillId="0" borderId="95" xfId="0" applyFont="1" applyBorder="1" applyAlignment="1">
      <alignment horizontal="center"/>
    </xf>
    <xf numFmtId="0" fontId="29" fillId="0" borderId="65" xfId="0" applyFont="1" applyBorder="1" applyAlignment="1" applyProtection="1">
      <alignment horizontal="center"/>
      <protection hidden="1"/>
    </xf>
    <xf numFmtId="0" fontId="33" fillId="12" borderId="97" xfId="0" applyFont="1" applyFill="1" applyBorder="1" applyAlignment="1" applyProtection="1">
      <alignment horizontal="center"/>
      <protection hidden="1"/>
    </xf>
    <xf numFmtId="0" fontId="29" fillId="0" borderId="78" xfId="0" applyFont="1" applyBorder="1" applyAlignment="1" applyProtection="1">
      <alignment horizontal="center"/>
      <protection hidden="1"/>
    </xf>
    <xf numFmtId="0" fontId="15" fillId="0" borderId="80" xfId="0" applyFont="1" applyBorder="1" applyAlignment="1" applyProtection="1">
      <alignment horizontal="center"/>
      <protection hidden="1"/>
    </xf>
    <xf numFmtId="0" fontId="15" fillId="5" borderId="52" xfId="0" applyFont="1" applyFill="1" applyBorder="1" applyProtection="1">
      <protection hidden="1"/>
    </xf>
    <xf numFmtId="0" fontId="15" fillId="5" borderId="62" xfId="0" applyFont="1" applyFill="1" applyBorder="1" applyProtection="1">
      <protection hidden="1"/>
    </xf>
    <xf numFmtId="0" fontId="15" fillId="12" borderId="80" xfId="0" applyFont="1" applyFill="1" applyBorder="1" applyAlignment="1" applyProtection="1">
      <alignment horizontal="center"/>
      <protection hidden="1"/>
    </xf>
    <xf numFmtId="175" fontId="63" fillId="5" borderId="101" xfId="1" applyNumberFormat="1" applyFont="1" applyFill="1" applyBorder="1" applyAlignment="1" applyProtection="1">
      <alignment horizontal="center"/>
      <protection hidden="1"/>
    </xf>
    <xf numFmtId="0" fontId="51" fillId="4" borderId="12" xfId="0" applyFont="1" applyFill="1" applyBorder="1" applyAlignment="1">
      <alignment horizontal="center" vertical="center"/>
    </xf>
    <xf numFmtId="171" fontId="0" fillId="0" borderId="14" xfId="0" applyNumberFormat="1" applyBorder="1" applyAlignment="1">
      <alignment horizontal="center" vertical="center"/>
    </xf>
    <xf numFmtId="176" fontId="0" fillId="0" borderId="14" xfId="0" quotePrefix="1" applyNumberFormat="1" applyBorder="1" applyAlignment="1">
      <alignment horizontal="center" vertical="center"/>
    </xf>
    <xf numFmtId="0" fontId="66" fillId="0" borderId="21" xfId="0" applyFont="1" applyBorder="1" applyAlignment="1">
      <alignment horizontal="center" vertical="center"/>
    </xf>
    <xf numFmtId="0" fontId="66" fillId="0" borderId="14" xfId="0" applyFont="1" applyBorder="1" applyAlignment="1">
      <alignment horizontal="center" vertical="center"/>
    </xf>
    <xf numFmtId="180" fontId="6" fillId="0" borderId="15" xfId="0" applyNumberFormat="1" applyFont="1" applyBorder="1" applyAlignment="1" applyProtection="1">
      <alignment horizontal="center" vertical="center"/>
      <protection locked="0"/>
    </xf>
    <xf numFmtId="178" fontId="6" fillId="0" borderId="18" xfId="0" applyNumberFormat="1" applyFont="1" applyBorder="1" applyAlignment="1" applyProtection="1">
      <alignment horizontal="center" vertical="center"/>
      <protection locked="0"/>
    </xf>
    <xf numFmtId="0" fontId="54" fillId="0" borderId="21" xfId="1" applyFont="1" applyBorder="1" applyAlignment="1" applyProtection="1">
      <alignment horizontal="center" vertical="center" wrapText="1"/>
      <protection locked="0"/>
    </xf>
    <xf numFmtId="182" fontId="41" fillId="13" borderId="14" xfId="0" applyNumberFormat="1" applyFont="1" applyFill="1" applyBorder="1" applyAlignment="1">
      <alignment horizontal="center" vertical="center"/>
    </xf>
    <xf numFmtId="182" fontId="41" fillId="6" borderId="14" xfId="0" applyNumberFormat="1" applyFont="1" applyFill="1" applyBorder="1" applyAlignment="1">
      <alignment horizontal="center" vertical="center"/>
    </xf>
    <xf numFmtId="0" fontId="60" fillId="5" borderId="12" xfId="0" applyFont="1" applyFill="1" applyBorder="1" applyAlignment="1">
      <alignment horizontal="center" vertical="center"/>
    </xf>
    <xf numFmtId="171" fontId="47" fillId="0" borderId="14" xfId="0" applyNumberFormat="1" applyFont="1" applyBorder="1" applyAlignment="1" applyProtection="1">
      <alignment horizontal="center" vertical="center"/>
      <protection hidden="1"/>
    </xf>
    <xf numFmtId="0" fontId="0" fillId="0" borderId="103" xfId="0" applyBorder="1" applyAlignment="1">
      <alignment horizontal="center" vertical="center"/>
    </xf>
    <xf numFmtId="0" fontId="0" fillId="0" borderId="104" xfId="0" applyBorder="1" applyAlignment="1">
      <alignment horizontal="center" vertical="center"/>
    </xf>
    <xf numFmtId="0" fontId="0" fillId="0" borderId="105" xfId="0" applyBorder="1" applyAlignment="1">
      <alignment horizontal="center" vertical="center"/>
    </xf>
    <xf numFmtId="0" fontId="67" fillId="0" borderId="0" xfId="0" applyFont="1" applyAlignment="1">
      <alignment horizontal="center"/>
    </xf>
    <xf numFmtId="0" fontId="2" fillId="0" borderId="106" xfId="0" applyFont="1" applyBorder="1" applyAlignment="1">
      <alignment horizontal="center" vertical="center"/>
    </xf>
    <xf numFmtId="0" fontId="49" fillId="0" borderId="107" xfId="0" applyFont="1" applyBorder="1" applyAlignment="1">
      <alignment horizontal="center" vertical="center"/>
    </xf>
    <xf numFmtId="0" fontId="49" fillId="0" borderId="108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68" fillId="0" borderId="0" xfId="0" applyFont="1" applyAlignment="1">
      <alignment horizontal="center"/>
    </xf>
    <xf numFmtId="174" fontId="2" fillId="0" borderId="109" xfId="0" applyNumberFormat="1" applyFont="1" applyBorder="1" applyAlignment="1">
      <alignment horizontal="center" vertical="center"/>
    </xf>
    <xf numFmtId="166" fontId="2" fillId="0" borderId="109" xfId="0" applyNumberFormat="1" applyFont="1" applyBorder="1" applyAlignment="1">
      <alignment horizontal="center" vertical="center"/>
    </xf>
    <xf numFmtId="0" fontId="2" fillId="0" borderId="109" xfId="0" applyFont="1" applyBorder="1" applyAlignment="1">
      <alignment horizontal="center" vertical="center"/>
    </xf>
    <xf numFmtId="0" fontId="1" fillId="0" borderId="109" xfId="0" applyFont="1" applyBorder="1" applyAlignment="1">
      <alignment horizontal="center" vertical="center"/>
    </xf>
    <xf numFmtId="166" fontId="2" fillId="0" borderId="47" xfId="0" applyNumberFormat="1" applyFont="1" applyBorder="1" applyAlignment="1">
      <alignment horizontal="center" vertical="center"/>
    </xf>
    <xf numFmtId="166" fontId="15" fillId="3" borderId="6" xfId="0" applyNumberFormat="1" applyFont="1" applyFill="1" applyBorder="1" applyAlignment="1" applyProtection="1">
      <alignment horizontal="center" vertical="center"/>
      <protection hidden="1"/>
    </xf>
    <xf numFmtId="0" fontId="15" fillId="3" borderId="55" xfId="0" applyFont="1" applyFill="1" applyBorder="1" applyAlignment="1" applyProtection="1">
      <alignment horizontal="center" vertical="center"/>
      <protection hidden="1"/>
    </xf>
    <xf numFmtId="0" fontId="2" fillId="3" borderId="55" xfId="0" applyFont="1" applyFill="1" applyBorder="1" applyAlignment="1" applyProtection="1">
      <alignment vertical="center"/>
      <protection hidden="1"/>
    </xf>
    <xf numFmtId="0" fontId="2" fillId="3" borderId="7" xfId="0" applyFont="1" applyFill="1" applyBorder="1" applyAlignment="1" applyProtection="1">
      <alignment vertical="center"/>
      <protection hidden="1"/>
    </xf>
    <xf numFmtId="174" fontId="2" fillId="0" borderId="47" xfId="0" applyNumberFormat="1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2" fillId="0" borderId="110" xfId="0" applyFont="1" applyBorder="1" applyAlignment="1">
      <alignment horizontal="center" vertical="center"/>
    </xf>
    <xf numFmtId="0" fontId="49" fillId="0" borderId="111" xfId="0" applyFont="1" applyBorder="1" applyAlignment="1">
      <alignment horizontal="center" vertical="center"/>
    </xf>
    <xf numFmtId="0" fontId="49" fillId="0" borderId="112" xfId="0" applyFont="1" applyBorder="1" applyAlignment="1">
      <alignment horizontal="center" vertical="center"/>
    </xf>
    <xf numFmtId="183" fontId="19" fillId="0" borderId="113" xfId="0" applyNumberFormat="1" applyFont="1" applyBorder="1" applyAlignment="1" applyProtection="1">
      <alignment horizontal="center" vertical="center"/>
      <protection hidden="1"/>
    </xf>
    <xf numFmtId="166" fontId="15" fillId="3" borderId="9" xfId="0" applyNumberFormat="1" applyFont="1" applyFill="1" applyBorder="1" applyAlignment="1" applyProtection="1">
      <alignment horizontal="center" vertical="center"/>
      <protection locked="0" hidden="1"/>
    </xf>
    <xf numFmtId="0" fontId="15" fillId="3" borderId="55" xfId="0" applyFont="1" applyFill="1" applyBorder="1" applyAlignment="1" applyProtection="1">
      <alignment horizontal="center" vertical="center"/>
      <protection locked="0" hidden="1"/>
    </xf>
    <xf numFmtId="166" fontId="15" fillId="3" borderId="55" xfId="0" applyNumberFormat="1" applyFont="1" applyFill="1" applyBorder="1" applyAlignment="1" applyProtection="1">
      <alignment horizontal="center" vertical="center"/>
      <protection locked="0" hidden="1"/>
    </xf>
    <xf numFmtId="174" fontId="2" fillId="0" borderId="57" xfId="0" applyNumberFormat="1" applyFont="1" applyBorder="1" applyAlignment="1">
      <alignment horizontal="center" vertical="center"/>
    </xf>
    <xf numFmtId="167" fontId="15" fillId="0" borderId="51" xfId="0" applyNumberFormat="1" applyFont="1" applyBorder="1" applyAlignment="1" applyProtection="1">
      <alignment horizontal="center" vertical="center"/>
      <protection hidden="1"/>
    </xf>
    <xf numFmtId="0" fontId="15" fillId="0" borderId="54" xfId="0" applyFont="1" applyBorder="1" applyAlignment="1" applyProtection="1">
      <alignment horizontal="center" vertical="center"/>
      <protection hidden="1"/>
    </xf>
    <xf numFmtId="1" fontId="15" fillId="0" borderId="54" xfId="0" applyNumberFormat="1" applyFont="1" applyBorder="1" applyAlignment="1" applyProtection="1">
      <alignment horizontal="center" vertical="center"/>
      <protection hidden="1"/>
    </xf>
    <xf numFmtId="1" fontId="15" fillId="0" borderId="2" xfId="0" applyNumberFormat="1" applyFont="1" applyBorder="1" applyAlignment="1" applyProtection="1">
      <alignment horizontal="center" vertical="center"/>
      <protection hidden="1"/>
    </xf>
    <xf numFmtId="1" fontId="65" fillId="0" borderId="2" xfId="0" applyNumberFormat="1" applyFont="1" applyBorder="1" applyAlignment="1" applyProtection="1">
      <alignment horizontal="center" vertical="center"/>
      <protection hidden="1"/>
    </xf>
    <xf numFmtId="171" fontId="15" fillId="0" borderId="2" xfId="0" applyNumberFormat="1" applyFont="1" applyBorder="1" applyAlignment="1" applyProtection="1">
      <alignment horizontal="center" vertical="center"/>
      <protection locked="0" hidden="1"/>
    </xf>
    <xf numFmtId="173" fontId="15" fillId="0" borderId="51" xfId="0" applyNumberFormat="1" applyFont="1" applyBorder="1" applyAlignment="1" applyProtection="1">
      <alignment horizontal="center" vertical="center"/>
      <protection locked="0" hidden="1"/>
    </xf>
    <xf numFmtId="175" fontId="15" fillId="0" borderId="51" xfId="0" applyNumberFormat="1" applyFont="1" applyBorder="1" applyAlignment="1" applyProtection="1">
      <alignment horizontal="center" vertical="center"/>
      <protection locked="0" hidden="1"/>
    </xf>
    <xf numFmtId="167" fontId="15" fillId="0" borderId="117" xfId="0" applyNumberFormat="1" applyFont="1" applyBorder="1" applyAlignment="1" applyProtection="1">
      <alignment horizontal="center" vertical="center"/>
      <protection hidden="1"/>
    </xf>
    <xf numFmtId="1" fontId="29" fillId="0" borderId="54" xfId="0" applyNumberFormat="1" applyFont="1" applyBorder="1" applyAlignment="1" applyProtection="1">
      <alignment horizontal="center" vertical="center"/>
      <protection hidden="1"/>
    </xf>
    <xf numFmtId="1" fontId="65" fillId="0" borderId="54" xfId="0" applyNumberFormat="1" applyFont="1" applyBorder="1" applyAlignment="1" applyProtection="1">
      <alignment horizontal="center" vertical="center"/>
      <protection locked="0"/>
    </xf>
    <xf numFmtId="1" fontId="15" fillId="0" borderId="54" xfId="0" applyNumberFormat="1" applyFont="1" applyBorder="1" applyAlignment="1">
      <alignment horizontal="center" vertical="center"/>
    </xf>
    <xf numFmtId="1" fontId="15" fillId="0" borderId="54" xfId="0" applyNumberFormat="1" applyFont="1" applyBorder="1" applyAlignment="1" applyProtection="1">
      <alignment horizontal="center" vertical="center"/>
      <protection locked="0"/>
    </xf>
    <xf numFmtId="1" fontId="65" fillId="0" borderId="54" xfId="0" applyNumberFormat="1" applyFont="1" applyBorder="1" applyAlignment="1" applyProtection="1">
      <alignment horizontal="center" vertical="center"/>
      <protection hidden="1"/>
    </xf>
    <xf numFmtId="167" fontId="15" fillId="0" borderId="118" xfId="0" applyNumberFormat="1" applyFont="1" applyBorder="1" applyAlignment="1" applyProtection="1">
      <alignment horizontal="center" vertical="center"/>
      <protection locked="0" hidden="1"/>
    </xf>
    <xf numFmtId="0" fontId="15" fillId="0" borderId="119" xfId="0" applyFont="1" applyBorder="1" applyAlignment="1" applyProtection="1">
      <alignment horizontal="center" vertical="center"/>
      <protection hidden="1"/>
    </xf>
    <xf numFmtId="1" fontId="15" fillId="0" borderId="119" xfId="0" applyNumberFormat="1" applyFont="1" applyBorder="1" applyAlignment="1" applyProtection="1">
      <alignment horizontal="center" vertical="center"/>
      <protection locked="0"/>
    </xf>
    <xf numFmtId="1" fontId="65" fillId="0" borderId="119" xfId="0" applyNumberFormat="1" applyFont="1" applyBorder="1" applyAlignment="1" applyProtection="1">
      <alignment horizontal="center" vertical="center"/>
      <protection locked="0"/>
    </xf>
    <xf numFmtId="171" fontId="15" fillId="0" borderId="120" xfId="0" applyNumberFormat="1" applyFont="1" applyBorder="1" applyAlignment="1" applyProtection="1">
      <alignment horizontal="center" vertical="center"/>
      <protection locked="0" hidden="1"/>
    </xf>
    <xf numFmtId="173" fontId="15" fillId="0" borderId="121" xfId="0" applyNumberFormat="1" applyFont="1" applyBorder="1" applyAlignment="1" applyProtection="1">
      <alignment horizontal="center" vertical="center"/>
      <protection locked="0" hidden="1"/>
    </xf>
    <xf numFmtId="175" fontId="15" fillId="0" borderId="121" xfId="0" applyNumberFormat="1" applyFont="1" applyBorder="1" applyAlignment="1" applyProtection="1">
      <alignment horizontal="center" vertical="center"/>
      <protection locked="0" hidden="1"/>
    </xf>
    <xf numFmtId="0" fontId="15" fillId="0" borderId="122" xfId="0" applyFont="1" applyBorder="1" applyAlignment="1" applyProtection="1">
      <alignment horizontal="center" vertical="center"/>
      <protection hidden="1"/>
    </xf>
    <xf numFmtId="171" fontId="15" fillId="0" borderId="123" xfId="0" applyNumberFormat="1" applyFont="1" applyBorder="1" applyAlignment="1" applyProtection="1">
      <alignment horizontal="center" vertical="center"/>
      <protection locked="0" hidden="1"/>
    </xf>
    <xf numFmtId="173" fontId="15" fillId="0" borderId="124" xfId="0" applyNumberFormat="1" applyFont="1" applyBorder="1" applyAlignment="1" applyProtection="1">
      <alignment horizontal="center" vertical="center"/>
      <protection locked="0" hidden="1"/>
    </xf>
    <xf numFmtId="175" fontId="15" fillId="0" borderId="124" xfId="0" applyNumberFormat="1" applyFont="1" applyBorder="1" applyAlignment="1" applyProtection="1">
      <alignment horizontal="center" vertical="center"/>
      <protection locked="0" hidden="1"/>
    </xf>
    <xf numFmtId="167" fontId="15" fillId="0" borderId="121" xfId="0" applyNumberFormat="1" applyFont="1" applyBorder="1" applyAlignment="1" applyProtection="1">
      <alignment horizontal="center" vertical="center"/>
      <protection locked="0" hidden="1"/>
    </xf>
    <xf numFmtId="0" fontId="69" fillId="0" borderId="0" xfId="0" applyFont="1" applyAlignment="1" applyProtection="1">
      <alignment horizontal="center" vertical="center"/>
      <protection hidden="1"/>
    </xf>
    <xf numFmtId="166" fontId="15" fillId="3" borderId="125" xfId="0" applyNumberFormat="1" applyFont="1" applyFill="1" applyBorder="1" applyAlignment="1" applyProtection="1">
      <alignment horizontal="center" vertical="center"/>
      <protection hidden="1"/>
    </xf>
    <xf numFmtId="0" fontId="15" fillId="3" borderId="46" xfId="0" applyFont="1" applyFill="1" applyBorder="1" applyAlignment="1" applyProtection="1">
      <alignment horizontal="center" vertical="center"/>
      <protection hidden="1"/>
    </xf>
    <xf numFmtId="0" fontId="2" fillId="3" borderId="46" xfId="0" applyFont="1" applyFill="1" applyBorder="1" applyAlignment="1" applyProtection="1">
      <alignment vertical="center"/>
      <protection hidden="1"/>
    </xf>
    <xf numFmtId="0" fontId="70" fillId="3" borderId="46" xfId="0" applyFont="1" applyFill="1" applyBorder="1" applyAlignment="1" applyProtection="1">
      <alignment vertical="center"/>
      <protection hidden="1"/>
    </xf>
    <xf numFmtId="0" fontId="2" fillId="3" borderId="115" xfId="0" applyFont="1" applyFill="1" applyBorder="1" applyAlignment="1" applyProtection="1">
      <alignment horizontal="center" vertical="center"/>
      <protection hidden="1"/>
    </xf>
    <xf numFmtId="0" fontId="2" fillId="3" borderId="7" xfId="0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Alignment="1" applyProtection="1">
      <alignment horizontal="center" vertical="center"/>
      <protection hidden="1"/>
    </xf>
    <xf numFmtId="0" fontId="2" fillId="3" borderId="46" xfId="0" applyFont="1" applyFill="1" applyBorder="1" applyAlignment="1" applyProtection="1">
      <alignment horizontal="center" vertical="center"/>
      <protection hidden="1"/>
    </xf>
    <xf numFmtId="166" fontId="15" fillId="3" borderId="64" xfId="0" applyNumberFormat="1" applyFont="1" applyFill="1" applyBorder="1" applyAlignment="1" applyProtection="1">
      <alignment horizontal="center" vertical="center"/>
      <protection hidden="1"/>
    </xf>
    <xf numFmtId="0" fontId="2" fillId="3" borderId="55" xfId="0" applyFont="1" applyFill="1" applyBorder="1" applyAlignment="1" applyProtection="1">
      <alignment horizontal="center" vertical="center"/>
      <protection hidden="1"/>
    </xf>
    <xf numFmtId="166" fontId="15" fillId="3" borderId="64" xfId="0" applyNumberFormat="1" applyFont="1" applyFill="1" applyBorder="1" applyAlignment="1" applyProtection="1">
      <alignment horizontal="center" vertical="center"/>
      <protection locked="0" hidden="1"/>
    </xf>
    <xf numFmtId="0" fontId="15" fillId="3" borderId="46" xfId="0" applyFont="1" applyFill="1" applyBorder="1" applyAlignment="1" applyProtection="1">
      <alignment horizontal="center" vertical="center"/>
      <protection locked="0" hidden="1"/>
    </xf>
    <xf numFmtId="184" fontId="71" fillId="0" borderId="113" xfId="0" applyNumberFormat="1" applyFont="1" applyBorder="1" applyAlignment="1" applyProtection="1">
      <alignment horizontal="center" vertical="center"/>
      <protection hidden="1"/>
    </xf>
    <xf numFmtId="184" fontId="71" fillId="0" borderId="12" xfId="0" applyNumberFormat="1" applyFont="1" applyBorder="1" applyAlignment="1" applyProtection="1">
      <alignment horizontal="center" vertical="center"/>
      <protection hidden="1"/>
    </xf>
    <xf numFmtId="166" fontId="15" fillId="3" borderId="46" xfId="0" applyNumberFormat="1" applyFont="1" applyFill="1" applyBorder="1" applyAlignment="1" applyProtection="1">
      <alignment horizontal="center" vertical="center"/>
      <protection locked="0" hidden="1"/>
    </xf>
    <xf numFmtId="183" fontId="2" fillId="0" borderId="113" xfId="0" applyNumberFormat="1" applyFont="1" applyBorder="1" applyAlignment="1" applyProtection="1">
      <alignment horizontal="center" vertical="center"/>
      <protection hidden="1"/>
    </xf>
    <xf numFmtId="184" fontId="49" fillId="0" borderId="113" xfId="0" applyNumberFormat="1" applyFont="1" applyBorder="1" applyAlignment="1" applyProtection="1">
      <alignment horizontal="center" vertical="center"/>
      <protection hidden="1"/>
    </xf>
    <xf numFmtId="184" fontId="49" fillId="0" borderId="12" xfId="0" applyNumberFormat="1" applyFont="1" applyBorder="1" applyAlignment="1" applyProtection="1">
      <alignment horizontal="center" vertical="center"/>
      <protection hidden="1"/>
    </xf>
    <xf numFmtId="183" fontId="2" fillId="0" borderId="113" xfId="0" applyNumberFormat="1" applyFont="1" applyBorder="1" applyAlignment="1">
      <alignment horizontal="center" vertical="center"/>
    </xf>
    <xf numFmtId="184" fontId="49" fillId="0" borderId="113" xfId="0" applyNumberFormat="1" applyFont="1" applyBorder="1" applyAlignment="1">
      <alignment horizontal="center" vertical="center"/>
    </xf>
    <xf numFmtId="184" fontId="49" fillId="0" borderId="12" xfId="0" applyNumberFormat="1" applyFont="1" applyBorder="1" applyAlignment="1">
      <alignment horizontal="center" vertical="center"/>
    </xf>
    <xf numFmtId="0" fontId="60" fillId="0" borderId="0" xfId="0" applyFont="1" applyAlignment="1" applyProtection="1">
      <alignment horizontal="left" vertical="center"/>
      <protection hidden="1"/>
    </xf>
    <xf numFmtId="7" fontId="60" fillId="0" borderId="0" xfId="0" applyNumberFormat="1" applyFont="1" applyAlignment="1" applyProtection="1">
      <alignment horizontal="left" vertical="center"/>
      <protection hidden="1"/>
    </xf>
    <xf numFmtId="0" fontId="7" fillId="0" borderId="14" xfId="1" applyFill="1" applyBorder="1" applyAlignment="1" applyProtection="1">
      <alignment horizontal="center"/>
    </xf>
    <xf numFmtId="170" fontId="72" fillId="0" borderId="14" xfId="0" applyNumberFormat="1" applyFont="1" applyBorder="1" applyAlignment="1">
      <alignment horizontal="center"/>
    </xf>
    <xf numFmtId="1" fontId="15" fillId="0" borderId="122" xfId="0" applyNumberFormat="1" applyFont="1" applyBorder="1" applyAlignment="1" applyProtection="1">
      <alignment horizontal="center" vertical="center"/>
      <protection locked="0"/>
    </xf>
    <xf numFmtId="1" fontId="65" fillId="0" borderId="122" xfId="0" applyNumberFormat="1" applyFont="1" applyBorder="1" applyAlignment="1" applyProtection="1">
      <alignment horizontal="center" vertical="center"/>
      <protection locked="0"/>
    </xf>
    <xf numFmtId="167" fontId="15" fillId="0" borderId="124" xfId="0" applyNumberFormat="1" applyFont="1" applyBorder="1" applyAlignment="1" applyProtection="1">
      <alignment horizontal="center" vertical="center"/>
      <protection locked="0" hidden="1"/>
    </xf>
    <xf numFmtId="171" fontId="10" fillId="0" borderId="52" xfId="0" applyNumberFormat="1" applyFont="1" applyBorder="1" applyAlignment="1">
      <alignment vertical="center"/>
    </xf>
    <xf numFmtId="171" fontId="10" fillId="0" borderId="53" xfId="0" applyNumberFormat="1" applyFont="1" applyBorder="1" applyAlignment="1">
      <alignment horizontal="center" vertical="center"/>
    </xf>
    <xf numFmtId="171" fontId="10" fillId="0" borderId="57" xfId="0" applyNumberFormat="1" applyFont="1" applyBorder="1" applyAlignment="1">
      <alignment vertical="center"/>
    </xf>
    <xf numFmtId="171" fontId="10" fillId="0" borderId="53" xfId="0" applyNumberFormat="1" applyFont="1" applyBorder="1" applyAlignment="1">
      <alignment vertical="center"/>
    </xf>
    <xf numFmtId="171" fontId="20" fillId="6" borderId="126" xfId="0" applyNumberFormat="1" applyFont="1" applyFill="1" applyBorder="1" applyAlignment="1">
      <alignment horizontal="center" vertical="center"/>
    </xf>
    <xf numFmtId="0" fontId="0" fillId="0" borderId="127" xfId="0" applyBorder="1" applyAlignment="1">
      <alignment horizontal="center" vertical="center"/>
    </xf>
    <xf numFmtId="171" fontId="0" fillId="8" borderId="128" xfId="0" applyNumberFormat="1" applyFill="1" applyBorder="1" applyAlignment="1">
      <alignment horizontal="center" vertical="center"/>
    </xf>
    <xf numFmtId="176" fontId="29" fillId="5" borderId="69" xfId="0" applyNumberFormat="1" applyFont="1" applyFill="1" applyBorder="1" applyAlignment="1" applyProtection="1">
      <alignment horizontal="center" vertical="center"/>
      <protection hidden="1"/>
    </xf>
    <xf numFmtId="182" fontId="23" fillId="0" borderId="41" xfId="0" applyNumberFormat="1" applyFont="1" applyBorder="1" applyAlignment="1" applyProtection="1">
      <alignment horizontal="center" vertical="center"/>
      <protection hidden="1"/>
    </xf>
    <xf numFmtId="169" fontId="0" fillId="0" borderId="0" xfId="0" applyNumberFormat="1" applyAlignment="1">
      <alignment vertical="center"/>
    </xf>
    <xf numFmtId="169" fontId="6" fillId="0" borderId="18" xfId="0" applyNumberFormat="1" applyFont="1" applyBorder="1" applyAlignment="1">
      <alignment horizontal="center" vertical="center"/>
    </xf>
    <xf numFmtId="1" fontId="15" fillId="0" borderId="71" xfId="0" applyNumberFormat="1" applyFont="1" applyBorder="1" applyAlignment="1" applyProtection="1">
      <alignment horizontal="center" vertical="center"/>
      <protection locked="0"/>
    </xf>
    <xf numFmtId="0" fontId="74" fillId="0" borderId="0" xfId="0" applyFont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0" fontId="49" fillId="0" borderId="129" xfId="0" applyFont="1" applyBorder="1" applyAlignment="1">
      <alignment horizontal="center" vertical="center"/>
    </xf>
    <xf numFmtId="0" fontId="49" fillId="0" borderId="130" xfId="0" applyFont="1" applyBorder="1" applyAlignment="1">
      <alignment horizontal="center" vertical="center"/>
    </xf>
    <xf numFmtId="0" fontId="17" fillId="0" borderId="0" xfId="0" applyFont="1" applyAlignment="1" applyProtection="1">
      <alignment horizontal="center" vertical="center" wrapText="1"/>
      <protection hidden="1"/>
    </xf>
    <xf numFmtId="169" fontId="6" fillId="0" borderId="13" xfId="0" applyNumberFormat="1" applyFont="1" applyBorder="1" applyAlignment="1">
      <alignment horizontal="center" vertical="center"/>
    </xf>
    <xf numFmtId="0" fontId="48" fillId="0" borderId="0" xfId="0" applyFont="1" applyAlignment="1">
      <alignment horizontal="center" vertical="center"/>
    </xf>
    <xf numFmtId="186" fontId="70" fillId="3" borderId="46" xfId="0" applyNumberFormat="1" applyFont="1" applyFill="1" applyBorder="1" applyAlignment="1" applyProtection="1">
      <alignment vertical="center"/>
      <protection hidden="1"/>
    </xf>
    <xf numFmtId="183" fontId="19" fillId="0" borderId="115" xfId="0" applyNumberFormat="1" applyFont="1" applyBorder="1" applyAlignment="1" applyProtection="1">
      <alignment horizontal="centerContinuous" vertical="center"/>
      <protection hidden="1"/>
    </xf>
    <xf numFmtId="183" fontId="19" fillId="0" borderId="116" xfId="0" applyNumberFormat="1" applyFont="1" applyBorder="1" applyAlignment="1" applyProtection="1">
      <alignment horizontal="centerContinuous" vertical="center"/>
      <protection hidden="1"/>
    </xf>
    <xf numFmtId="175" fontId="76" fillId="8" borderId="29" xfId="0" applyNumberFormat="1" applyFont="1" applyFill="1" applyBorder="1" applyAlignment="1" applyProtection="1">
      <alignment horizontal="center" vertical="center"/>
      <protection hidden="1"/>
    </xf>
    <xf numFmtId="175" fontId="76" fillId="4" borderId="39" xfId="0" applyNumberFormat="1" applyFont="1" applyFill="1" applyBorder="1" applyAlignment="1" applyProtection="1">
      <alignment horizontal="center" vertical="center"/>
      <protection hidden="1"/>
    </xf>
    <xf numFmtId="175" fontId="76" fillId="8" borderId="39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/>
    <xf numFmtId="0" fontId="6" fillId="0" borderId="15" xfId="0" applyFont="1" applyBorder="1" applyAlignment="1">
      <alignment horizontal="center" vertical="center"/>
    </xf>
    <xf numFmtId="169" fontId="6" fillId="0" borderId="48" xfId="0" applyNumberFormat="1" applyFont="1" applyBorder="1" applyAlignment="1">
      <alignment horizontal="center" vertical="center"/>
    </xf>
    <xf numFmtId="0" fontId="72" fillId="0" borderId="15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169" fontId="6" fillId="0" borderId="13" xfId="0" applyNumberFormat="1" applyFont="1" applyBorder="1" applyAlignment="1">
      <alignment horizontal="left" vertical="center"/>
    </xf>
    <xf numFmtId="169" fontId="6" fillId="0" borderId="18" xfId="0" applyNumberFormat="1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8" fillId="0" borderId="0" xfId="0" applyFont="1" applyAlignment="1">
      <alignment horizontal="left" vertical="center"/>
    </xf>
    <xf numFmtId="0" fontId="5" fillId="10" borderId="15" xfId="0" applyFont="1" applyFill="1" applyBorder="1" applyAlignment="1">
      <alignment horizontal="right" vertical="center"/>
    </xf>
    <xf numFmtId="0" fontId="5" fillId="10" borderId="48" xfId="0" applyFont="1" applyFill="1" applyBorder="1" applyAlignment="1">
      <alignment horizontal="center" vertical="center"/>
    </xf>
    <xf numFmtId="0" fontId="5" fillId="10" borderId="18" xfId="0" applyFont="1" applyFill="1" applyBorder="1" applyAlignment="1">
      <alignment horizontal="left" vertical="center"/>
    </xf>
    <xf numFmtId="169" fontId="6" fillId="0" borderId="15" xfId="0" applyNumberFormat="1" applyFont="1" applyBorder="1" applyAlignment="1">
      <alignment horizontal="center" vertical="center"/>
    </xf>
    <xf numFmtId="0" fontId="72" fillId="0" borderId="18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14" fontId="73" fillId="0" borderId="17" xfId="0" applyNumberFormat="1" applyFont="1" applyBorder="1" applyAlignment="1" applyProtection="1">
      <alignment horizontal="center" vertical="center"/>
      <protection locked="0"/>
    </xf>
    <xf numFmtId="167" fontId="15" fillId="0" borderId="124" xfId="0" applyNumberFormat="1" applyFont="1" applyBorder="1" applyAlignment="1" applyProtection="1">
      <alignment horizontal="center" vertical="center"/>
      <protection hidden="1"/>
    </xf>
    <xf numFmtId="1" fontId="15" fillId="0" borderId="122" xfId="0" applyNumberFormat="1" applyFont="1" applyBorder="1" applyAlignment="1" applyProtection="1">
      <alignment horizontal="center" vertical="center"/>
      <protection hidden="1"/>
    </xf>
    <xf numFmtId="0" fontId="15" fillId="0" borderId="131" xfId="0" applyFont="1" applyBorder="1" applyAlignment="1" applyProtection="1">
      <alignment horizontal="center" vertical="center"/>
      <protection hidden="1"/>
    </xf>
    <xf numFmtId="1" fontId="65" fillId="0" borderId="123" xfId="0" applyNumberFormat="1" applyFont="1" applyBorder="1" applyAlignment="1" applyProtection="1">
      <alignment horizontal="center" vertical="center"/>
      <protection hidden="1"/>
    </xf>
    <xf numFmtId="171" fontId="15" fillId="0" borderId="132" xfId="0" applyNumberFormat="1" applyFont="1" applyBorder="1" applyAlignment="1" applyProtection="1">
      <alignment horizontal="center" vertical="center"/>
      <protection locked="0" hidden="1"/>
    </xf>
    <xf numFmtId="171" fontId="15" fillId="0" borderId="115" xfId="0" applyNumberFormat="1" applyFont="1" applyBorder="1" applyAlignment="1" applyProtection="1">
      <alignment horizontal="center" vertical="center"/>
      <protection locked="0" hidden="1"/>
    </xf>
    <xf numFmtId="171" fontId="15" fillId="0" borderId="17" xfId="0" applyNumberFormat="1" applyFont="1" applyBorder="1" applyAlignment="1" applyProtection="1">
      <alignment horizontal="center" vertical="center"/>
      <protection locked="0" hidden="1"/>
    </xf>
    <xf numFmtId="182" fontId="14" fillId="0" borderId="0" xfId="0" applyNumberFormat="1" applyFont="1" applyAlignment="1" applyProtection="1">
      <alignment horizontal="left" vertical="center"/>
      <protection hidden="1"/>
    </xf>
    <xf numFmtId="171" fontId="14" fillId="0" borderId="0" xfId="0" applyNumberFormat="1" applyFont="1" applyAlignment="1" applyProtection="1">
      <alignment horizontal="left" vertical="center"/>
      <protection hidden="1"/>
    </xf>
    <xf numFmtId="173" fontId="14" fillId="0" borderId="0" xfId="0" applyNumberFormat="1" applyFont="1" applyAlignment="1" applyProtection="1">
      <alignment horizontal="left" vertical="center"/>
      <protection hidden="1"/>
    </xf>
    <xf numFmtId="164" fontId="14" fillId="0" borderId="0" xfId="0" applyNumberFormat="1" applyFont="1" applyAlignment="1" applyProtection="1">
      <alignment horizontal="left" vertical="center"/>
      <protection hidden="1"/>
    </xf>
    <xf numFmtId="185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71" fontId="5" fillId="10" borderId="11" xfId="0" applyNumberFormat="1" applyFont="1" applyFill="1" applyBorder="1" applyAlignment="1">
      <alignment horizontal="center" vertical="center"/>
    </xf>
    <xf numFmtId="171" fontId="5" fillId="10" borderId="114" xfId="0" applyNumberFormat="1" applyFont="1" applyFill="1" applyBorder="1" applyAlignment="1">
      <alignment horizontal="center" vertical="center"/>
    </xf>
    <xf numFmtId="0" fontId="6" fillId="10" borderId="15" xfId="0" applyFont="1" applyFill="1" applyBorder="1" applyAlignment="1">
      <alignment horizontal="center" vertical="center"/>
    </xf>
    <xf numFmtId="0" fontId="6" fillId="10" borderId="18" xfId="0" applyFont="1" applyFill="1" applyBorder="1" applyAlignment="1">
      <alignment horizontal="center" vertical="center"/>
    </xf>
    <xf numFmtId="0" fontId="50" fillId="0" borderId="0" xfId="0" applyFont="1" applyAlignment="1">
      <alignment horizontal="center" vertical="top"/>
    </xf>
    <xf numFmtId="0" fontId="50" fillId="0" borderId="13" xfId="0" applyFont="1" applyBorder="1" applyAlignment="1">
      <alignment horizontal="center" vertical="top"/>
    </xf>
    <xf numFmtId="0" fontId="16" fillId="0" borderId="46" xfId="0" applyFont="1" applyBorder="1" applyAlignment="1" applyProtection="1">
      <alignment horizontal="center" vertical="center"/>
      <protection hidden="1"/>
    </xf>
    <xf numFmtId="0" fontId="16" fillId="0" borderId="47" xfId="0" applyFont="1" applyBorder="1" applyAlignment="1" applyProtection="1">
      <alignment horizontal="center" vertical="center"/>
      <protection hidden="1"/>
    </xf>
    <xf numFmtId="166" fontId="16" fillId="0" borderId="46" xfId="0" applyNumberFormat="1" applyFont="1" applyBorder="1" applyAlignment="1" applyProtection="1">
      <alignment horizontal="center" vertical="center"/>
      <protection hidden="1"/>
    </xf>
    <xf numFmtId="166" fontId="16" fillId="0" borderId="47" xfId="0" applyNumberFormat="1" applyFont="1" applyBorder="1" applyAlignment="1" applyProtection="1">
      <alignment horizontal="center" vertical="center"/>
      <protection hidden="1"/>
    </xf>
    <xf numFmtId="166" fontId="16" fillId="0" borderId="46" xfId="0" applyNumberFormat="1" applyFont="1" applyBorder="1" applyAlignment="1" applyProtection="1">
      <alignment horizontal="center" vertical="center" wrapText="1"/>
      <protection hidden="1"/>
    </xf>
    <xf numFmtId="0" fontId="1" fillId="0" borderId="46" xfId="0" applyFont="1" applyBorder="1" applyAlignment="1" applyProtection="1">
      <alignment horizontal="center" vertical="center"/>
      <protection hidden="1"/>
    </xf>
    <xf numFmtId="0" fontId="1" fillId="0" borderId="47" xfId="0" applyFont="1" applyBorder="1" applyAlignment="1" applyProtection="1">
      <alignment horizontal="center" vertical="center"/>
      <protection hidden="1"/>
    </xf>
    <xf numFmtId="183" fontId="19" fillId="0" borderId="115" xfId="0" applyNumberFormat="1" applyFont="1" applyBorder="1" applyAlignment="1" applyProtection="1">
      <alignment horizontal="center" vertical="center"/>
      <protection hidden="1"/>
    </xf>
    <xf numFmtId="183" fontId="19" fillId="0" borderId="116" xfId="0" applyNumberFormat="1" applyFont="1" applyBorder="1" applyAlignment="1" applyProtection="1">
      <alignment horizontal="center" vertical="center"/>
      <protection hidden="1"/>
    </xf>
    <xf numFmtId="0" fontId="16" fillId="0" borderId="52" xfId="0" applyFont="1" applyBorder="1" applyAlignment="1" applyProtection="1">
      <alignment horizontal="center" vertical="center"/>
      <protection hidden="1"/>
    </xf>
    <xf numFmtId="0" fontId="16" fillId="0" borderId="53" xfId="0" applyFont="1" applyBorder="1" applyAlignment="1" applyProtection="1">
      <alignment horizontal="center" vertical="center"/>
      <protection hidden="1"/>
    </xf>
    <xf numFmtId="0" fontId="16" fillId="0" borderId="45" xfId="0" applyFont="1" applyBorder="1" applyAlignment="1" applyProtection="1">
      <alignment horizontal="center" vertical="center"/>
      <protection hidden="1"/>
    </xf>
    <xf numFmtId="0" fontId="2" fillId="0" borderId="10" xfId="0" applyFont="1" applyBorder="1" applyAlignment="1" applyProtection="1">
      <alignment horizontal="center" vertical="center"/>
      <protection hidden="1"/>
    </xf>
    <xf numFmtId="0" fontId="2" fillId="0" borderId="31" xfId="0" applyFont="1" applyBorder="1" applyAlignment="1" applyProtection="1">
      <alignment horizontal="center" vertical="center"/>
      <protection hidden="1"/>
    </xf>
    <xf numFmtId="0" fontId="2" fillId="0" borderId="45" xfId="0" applyFont="1" applyBorder="1" applyAlignment="1" applyProtection="1">
      <alignment horizontal="center" vertical="center"/>
      <protection hidden="1"/>
    </xf>
    <xf numFmtId="183" fontId="19" fillId="0" borderId="113" xfId="0" applyNumberFormat="1" applyFont="1" applyBorder="1" applyAlignment="1" applyProtection="1">
      <alignment horizontal="center" vertical="center"/>
      <protection hidden="1"/>
    </xf>
    <xf numFmtId="183" fontId="19" fillId="0" borderId="114" xfId="0" applyNumberFormat="1" applyFont="1" applyBorder="1" applyAlignment="1" applyProtection="1">
      <alignment horizontal="center" vertical="center"/>
      <protection hidden="1"/>
    </xf>
    <xf numFmtId="183" fontId="23" fillId="0" borderId="115" xfId="0" applyNumberFormat="1" applyFont="1" applyBorder="1" applyAlignment="1" applyProtection="1">
      <alignment horizontal="center" vertical="center"/>
      <protection hidden="1"/>
    </xf>
    <xf numFmtId="183" fontId="23" fillId="0" borderId="116" xfId="0" applyNumberFormat="1" applyFont="1" applyBorder="1" applyAlignment="1" applyProtection="1">
      <alignment horizontal="center" vertical="center"/>
      <protection hidden="1"/>
    </xf>
    <xf numFmtId="183" fontId="2" fillId="0" borderId="115" xfId="0" applyNumberFormat="1" applyFont="1" applyBorder="1" applyAlignment="1" applyProtection="1">
      <alignment horizontal="center" vertical="center"/>
      <protection hidden="1"/>
    </xf>
    <xf numFmtId="183" fontId="2" fillId="0" borderId="116" xfId="0" applyNumberFormat="1" applyFont="1" applyBorder="1" applyAlignment="1" applyProtection="1">
      <alignment horizontal="center" vertical="center"/>
      <protection hidden="1"/>
    </xf>
    <xf numFmtId="183" fontId="23" fillId="0" borderId="113" xfId="0" applyNumberFormat="1" applyFont="1" applyBorder="1" applyAlignment="1" applyProtection="1">
      <alignment horizontal="center" vertical="center"/>
      <protection hidden="1"/>
    </xf>
    <xf numFmtId="183" fontId="23" fillId="0" borderId="114" xfId="0" applyNumberFormat="1" applyFont="1" applyBorder="1" applyAlignment="1" applyProtection="1">
      <alignment horizontal="center" vertical="center"/>
      <protection hidden="1"/>
    </xf>
    <xf numFmtId="183" fontId="2" fillId="0" borderId="113" xfId="0" applyNumberFormat="1" applyFont="1" applyBorder="1" applyAlignment="1" applyProtection="1">
      <alignment horizontal="center" vertical="center"/>
      <protection hidden="1"/>
    </xf>
    <xf numFmtId="183" fontId="2" fillId="0" borderId="114" xfId="0" applyNumberFormat="1" applyFont="1" applyBorder="1" applyAlignment="1" applyProtection="1">
      <alignment horizontal="center" vertical="center"/>
      <protection hidden="1"/>
    </xf>
    <xf numFmtId="183" fontId="23" fillId="0" borderId="115" xfId="0" applyNumberFormat="1" applyFont="1" applyBorder="1" applyAlignment="1">
      <alignment horizontal="center" vertical="center"/>
    </xf>
    <xf numFmtId="183" fontId="23" fillId="0" borderId="116" xfId="0" applyNumberFormat="1" applyFont="1" applyBorder="1" applyAlignment="1">
      <alignment horizontal="center" vertical="center"/>
    </xf>
    <xf numFmtId="183" fontId="2" fillId="0" borderId="115" xfId="0" applyNumberFormat="1" applyFont="1" applyBorder="1" applyAlignment="1">
      <alignment horizontal="center" vertical="center"/>
    </xf>
    <xf numFmtId="183" fontId="2" fillId="0" borderId="116" xfId="0" applyNumberFormat="1" applyFont="1" applyBorder="1" applyAlignment="1">
      <alignment horizontal="center" vertical="center"/>
    </xf>
    <xf numFmtId="183" fontId="23" fillId="0" borderId="113" xfId="0" applyNumberFormat="1" applyFont="1" applyBorder="1" applyAlignment="1">
      <alignment horizontal="center" vertical="center"/>
    </xf>
    <xf numFmtId="183" fontId="23" fillId="0" borderId="114" xfId="0" applyNumberFormat="1" applyFont="1" applyBorder="1" applyAlignment="1">
      <alignment horizontal="center" vertical="center"/>
    </xf>
    <xf numFmtId="183" fontId="2" fillId="0" borderId="113" xfId="0" applyNumberFormat="1" applyFont="1" applyBorder="1" applyAlignment="1">
      <alignment horizontal="center" vertical="center"/>
    </xf>
    <xf numFmtId="183" fontId="2" fillId="0" borderId="114" xfId="0" applyNumberFormat="1" applyFont="1" applyBorder="1" applyAlignment="1">
      <alignment horizontal="center" vertical="center"/>
    </xf>
    <xf numFmtId="182" fontId="0" fillId="0" borderId="10" xfId="0" applyNumberFormat="1" applyBorder="1" applyAlignment="1">
      <alignment horizontal="center" vertical="center"/>
    </xf>
    <xf numFmtId="182" fontId="0" fillId="0" borderId="45" xfId="0" applyNumberFormat="1" applyBorder="1" applyAlignment="1">
      <alignment horizontal="center" vertical="center"/>
    </xf>
    <xf numFmtId="173" fontId="0" fillId="0" borderId="10" xfId="0" applyNumberFormat="1" applyBorder="1" applyAlignment="1">
      <alignment horizontal="center" vertical="center"/>
    </xf>
    <xf numFmtId="173" fontId="0" fillId="0" borderId="45" xfId="0" applyNumberForma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15" fillId="0" borderId="52" xfId="0" applyFont="1" applyBorder="1" applyAlignment="1">
      <alignment horizontal="center" vertical="center"/>
    </xf>
    <xf numFmtId="0" fontId="15" fillId="0" borderId="53" xfId="0" applyFont="1" applyBorder="1" applyAlignment="1">
      <alignment horizontal="center" vertical="center"/>
    </xf>
    <xf numFmtId="0" fontId="15" fillId="0" borderId="45" xfId="0" applyFont="1" applyBorder="1" applyAlignment="1">
      <alignment horizontal="center" vertical="center"/>
    </xf>
    <xf numFmtId="166" fontId="2" fillId="0" borderId="46" xfId="0" applyNumberFormat="1" applyFont="1" applyBorder="1" applyAlignment="1">
      <alignment horizontal="center" vertical="center"/>
    </xf>
    <xf numFmtId="166" fontId="2" fillId="0" borderId="47" xfId="0" applyNumberFormat="1" applyFont="1" applyBorder="1" applyAlignment="1">
      <alignment horizontal="center" vertical="center"/>
    </xf>
    <xf numFmtId="0" fontId="2" fillId="0" borderId="46" xfId="0" applyFont="1" applyBorder="1" applyAlignment="1" applyProtection="1">
      <alignment horizontal="center" vertical="center"/>
      <protection hidden="1"/>
    </xf>
    <xf numFmtId="0" fontId="2" fillId="0" borderId="47" xfId="0" applyFont="1" applyBorder="1" applyAlignment="1" applyProtection="1">
      <alignment horizontal="center" vertical="center"/>
      <protection hidden="1"/>
    </xf>
    <xf numFmtId="14" fontId="42" fillId="0" borderId="0" xfId="0" applyNumberFormat="1" applyFont="1" applyAlignment="1" applyProtection="1">
      <alignment horizontal="center" vertical="center"/>
      <protection hidden="1"/>
    </xf>
    <xf numFmtId="14" fontId="42" fillId="0" borderId="23" xfId="0" applyNumberFormat="1" applyFont="1" applyBorder="1" applyAlignment="1" applyProtection="1">
      <alignment horizontal="center" vertical="center"/>
      <protection hidden="1"/>
    </xf>
    <xf numFmtId="0" fontId="42" fillId="0" borderId="27" xfId="0" applyFont="1" applyBorder="1" applyAlignment="1" applyProtection="1">
      <alignment horizontal="right" vertical="center"/>
      <protection hidden="1"/>
    </xf>
    <xf numFmtId="0" fontId="42" fillId="0" borderId="43" xfId="0" applyFont="1" applyBorder="1" applyAlignment="1" applyProtection="1">
      <alignment horizontal="right" vertical="center"/>
      <protection hidden="1"/>
    </xf>
    <xf numFmtId="171" fontId="43" fillId="0" borderId="24" xfId="0" applyNumberFormat="1" applyFont="1" applyBorder="1" applyAlignment="1" applyProtection="1">
      <alignment horizontal="center" vertical="center"/>
      <protection hidden="1"/>
    </xf>
    <xf numFmtId="171" fontId="43" fillId="0" borderId="26" xfId="0" applyNumberFormat="1" applyFont="1" applyBorder="1" applyAlignment="1" applyProtection="1">
      <alignment horizontal="center" vertical="center"/>
      <protection hidden="1"/>
    </xf>
    <xf numFmtId="171" fontId="43" fillId="0" borderId="43" xfId="0" applyNumberFormat="1" applyFont="1" applyBorder="1" applyAlignment="1" applyProtection="1">
      <alignment horizontal="center" vertical="center"/>
      <protection hidden="1"/>
    </xf>
    <xf numFmtId="171" fontId="43" fillId="0" borderId="44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right" vertical="center"/>
      <protection hidden="1"/>
    </xf>
    <xf numFmtId="171" fontId="16" fillId="0" borderId="49" xfId="0" quotePrefix="1" applyNumberFormat="1" applyFont="1" applyBorder="1" applyAlignment="1" applyProtection="1">
      <alignment horizontal="center" vertical="center"/>
      <protection hidden="1"/>
    </xf>
    <xf numFmtId="171" fontId="16" fillId="0" borderId="50" xfId="0" quotePrefix="1" applyNumberFormat="1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right" vertical="center"/>
      <protection hidden="1"/>
    </xf>
    <xf numFmtId="0" fontId="9" fillId="0" borderId="23" xfId="0" applyFont="1" applyBorder="1" applyAlignment="1" applyProtection="1">
      <alignment horizontal="right" vertical="center"/>
      <protection hidden="1"/>
    </xf>
    <xf numFmtId="173" fontId="71" fillId="12" borderId="10" xfId="0" applyNumberFormat="1" applyFont="1" applyFill="1" applyBorder="1" applyAlignment="1" applyProtection="1">
      <alignment horizontal="center" vertical="center"/>
      <protection hidden="1"/>
    </xf>
    <xf numFmtId="173" fontId="71" fillId="12" borderId="32" xfId="0" applyNumberFormat="1" applyFont="1" applyFill="1" applyBorder="1" applyAlignment="1" applyProtection="1">
      <alignment horizontal="center" vertical="center"/>
      <protection hidden="1"/>
    </xf>
    <xf numFmtId="171" fontId="19" fillId="12" borderId="10" xfId="1" applyNumberFormat="1" applyFont="1" applyFill="1" applyBorder="1" applyAlignment="1" applyProtection="1">
      <alignment horizontal="center" vertical="center"/>
      <protection hidden="1"/>
    </xf>
    <xf numFmtId="171" fontId="19" fillId="12" borderId="45" xfId="1" applyNumberFormat="1" applyFont="1" applyFill="1" applyBorder="1" applyAlignment="1" applyProtection="1">
      <alignment horizontal="center" vertical="center"/>
      <protection hidden="1"/>
    </xf>
    <xf numFmtId="0" fontId="30" fillId="0" borderId="31" xfId="0" applyFont="1" applyBorder="1" applyAlignment="1" applyProtection="1">
      <alignment horizontal="center" vertical="center"/>
      <protection hidden="1"/>
    </xf>
    <xf numFmtId="0" fontId="30" fillId="0" borderId="32" xfId="0" applyFont="1" applyBorder="1" applyAlignment="1" applyProtection="1">
      <alignment horizontal="center" vertical="center"/>
      <protection hidden="1"/>
    </xf>
    <xf numFmtId="0" fontId="30" fillId="0" borderId="11" xfId="0" applyFont="1" applyBorder="1" applyAlignment="1" applyProtection="1">
      <alignment horizontal="center" vertical="center"/>
      <protection hidden="1"/>
    </xf>
    <xf numFmtId="0" fontId="18" fillId="0" borderId="27" xfId="0" applyFont="1" applyBorder="1" applyAlignment="1" applyProtection="1">
      <alignment horizontal="center"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0" fontId="30" fillId="9" borderId="33" xfId="0" applyFont="1" applyFill="1" applyBorder="1" applyAlignment="1" applyProtection="1">
      <alignment horizontal="center" vertical="center"/>
      <protection hidden="1"/>
    </xf>
    <xf numFmtId="0" fontId="30" fillId="9" borderId="31" xfId="0" applyFont="1" applyFill="1" applyBorder="1" applyAlignment="1" applyProtection="1">
      <alignment horizontal="center" vertical="center"/>
      <protection hidden="1"/>
    </xf>
    <xf numFmtId="0" fontId="30" fillId="12" borderId="68" xfId="0" applyFont="1" applyFill="1" applyBorder="1" applyAlignment="1" applyProtection="1">
      <alignment horizontal="center" vertical="center"/>
      <protection hidden="1"/>
    </xf>
    <xf numFmtId="0" fontId="30" fillId="12" borderId="102" xfId="0" applyFont="1" applyFill="1" applyBorder="1" applyAlignment="1" applyProtection="1">
      <alignment horizontal="center" vertical="center"/>
      <protection hidden="1"/>
    </xf>
    <xf numFmtId="0" fontId="32" fillId="12" borderId="65" xfId="0" applyFont="1" applyFill="1" applyBorder="1" applyAlignment="1" applyProtection="1">
      <alignment horizontal="center" vertical="center"/>
      <protection hidden="1"/>
    </xf>
    <xf numFmtId="0" fontId="32" fillId="12" borderId="13" xfId="0" applyFont="1" applyFill="1" applyBorder="1" applyAlignment="1" applyProtection="1">
      <alignment horizontal="center" vertical="center"/>
      <protection hidden="1"/>
    </xf>
    <xf numFmtId="0" fontId="23" fillId="5" borderId="37" xfId="0" applyFont="1" applyFill="1" applyBorder="1" applyAlignment="1" applyProtection="1">
      <alignment horizontal="right" vertical="center"/>
      <protection hidden="1"/>
    </xf>
    <xf numFmtId="0" fontId="23" fillId="5" borderId="4" xfId="0" applyFont="1" applyFill="1" applyBorder="1" applyAlignment="1" applyProtection="1">
      <alignment horizontal="right" vertical="center"/>
      <protection hidden="1"/>
    </xf>
    <xf numFmtId="0" fontId="23" fillId="5" borderId="65" xfId="0" applyFont="1" applyFill="1" applyBorder="1" applyAlignment="1" applyProtection="1">
      <alignment horizontal="right" vertical="center"/>
      <protection hidden="1"/>
    </xf>
    <xf numFmtId="0" fontId="23" fillId="5" borderId="13" xfId="0" applyFont="1" applyFill="1" applyBorder="1" applyAlignment="1" applyProtection="1">
      <alignment horizontal="right" vertical="center"/>
      <protection hidden="1"/>
    </xf>
    <xf numFmtId="0" fontId="23" fillId="4" borderId="42" xfId="0" applyFont="1" applyFill="1" applyBorder="1" applyAlignment="1" applyProtection="1">
      <alignment horizontal="right" vertical="center"/>
      <protection hidden="1"/>
    </xf>
    <xf numFmtId="0" fontId="23" fillId="4" borderId="89" xfId="0" applyFont="1" applyFill="1" applyBorder="1" applyAlignment="1" applyProtection="1">
      <alignment horizontal="right" vertical="center"/>
      <protection hidden="1"/>
    </xf>
    <xf numFmtId="0" fontId="23" fillId="5" borderId="33" xfId="0" applyFont="1" applyFill="1" applyBorder="1" applyAlignment="1" applyProtection="1">
      <alignment horizontal="center" vertical="center"/>
      <protection hidden="1"/>
    </xf>
    <xf numFmtId="0" fontId="23" fillId="5" borderId="31" xfId="0" applyFont="1" applyFill="1" applyBorder="1" applyAlignment="1" applyProtection="1">
      <alignment horizontal="center" vertical="center"/>
      <protection hidden="1"/>
    </xf>
    <xf numFmtId="0" fontId="23" fillId="5" borderId="32" xfId="0" applyFont="1" applyFill="1" applyBorder="1" applyAlignment="1" applyProtection="1">
      <alignment horizontal="center" vertical="center"/>
      <protection hidden="1"/>
    </xf>
    <xf numFmtId="0" fontId="29" fillId="5" borderId="27" xfId="0" applyFont="1" applyFill="1" applyBorder="1" applyAlignment="1" applyProtection="1">
      <alignment horizontal="right" vertical="center"/>
      <protection hidden="1"/>
    </xf>
    <xf numFmtId="0" fontId="29" fillId="5" borderId="28" xfId="0" applyFont="1" applyFill="1" applyBorder="1" applyAlignment="1" applyProtection="1">
      <alignment horizontal="right" vertical="center"/>
      <protection hidden="1"/>
    </xf>
    <xf numFmtId="0" fontId="23" fillId="0" borderId="27" xfId="0" applyFont="1" applyBorder="1" applyAlignment="1" applyProtection="1">
      <alignment horizontal="right" vertical="center"/>
      <protection hidden="1"/>
    </xf>
    <xf numFmtId="0" fontId="23" fillId="0" borderId="28" xfId="0" applyFont="1" applyBorder="1" applyAlignment="1" applyProtection="1">
      <alignment horizontal="right" vertical="center"/>
      <protection hidden="1"/>
    </xf>
    <xf numFmtId="165" fontId="29" fillId="5" borderId="27" xfId="0" applyNumberFormat="1" applyFont="1" applyFill="1" applyBorder="1" applyAlignment="1" applyProtection="1">
      <alignment horizontal="right" vertical="center"/>
      <protection hidden="1"/>
    </xf>
    <xf numFmtId="165" fontId="29" fillId="5" borderId="28" xfId="0" applyNumberFormat="1" applyFont="1" applyFill="1" applyBorder="1" applyAlignment="1" applyProtection="1">
      <alignment horizontal="right" vertical="center"/>
      <protection hidden="1"/>
    </xf>
    <xf numFmtId="0" fontId="29" fillId="5" borderId="61" xfId="0" applyFont="1" applyFill="1" applyBorder="1" applyAlignment="1" applyProtection="1">
      <alignment horizontal="right" vertical="center"/>
      <protection hidden="1"/>
    </xf>
    <xf numFmtId="0" fontId="29" fillId="5" borderId="62" xfId="0" applyFont="1" applyFill="1" applyBorder="1" applyAlignment="1" applyProtection="1">
      <alignment horizontal="right" vertical="center"/>
      <protection hidden="1"/>
    </xf>
    <xf numFmtId="0" fontId="23" fillId="5" borderId="33" xfId="0" applyFont="1" applyFill="1" applyBorder="1" applyAlignment="1" applyProtection="1">
      <alignment horizontal="right" vertical="center"/>
      <protection hidden="1"/>
    </xf>
    <xf numFmtId="0" fontId="23" fillId="5" borderId="32" xfId="0" applyFont="1" applyFill="1" applyBorder="1" applyAlignment="1" applyProtection="1">
      <alignment horizontal="right" vertical="center"/>
      <protection hidden="1"/>
    </xf>
    <xf numFmtId="0" fontId="57" fillId="0" borderId="24" xfId="0" applyFont="1" applyBorder="1" applyAlignment="1" applyProtection="1">
      <alignment horizontal="center" vertical="center"/>
      <protection hidden="1"/>
    </xf>
    <xf numFmtId="0" fontId="57" fillId="0" borderId="25" xfId="0" applyFont="1" applyBorder="1" applyAlignment="1" applyProtection="1">
      <alignment horizontal="center" vertical="center"/>
      <protection hidden="1"/>
    </xf>
    <xf numFmtId="0" fontId="57" fillId="0" borderId="26" xfId="0" applyFont="1" applyBorder="1" applyAlignment="1" applyProtection="1">
      <alignment horizontal="center" vertical="center"/>
      <protection hidden="1"/>
    </xf>
    <xf numFmtId="0" fontId="57" fillId="0" borderId="27" xfId="0" applyFont="1" applyBorder="1" applyAlignment="1" applyProtection="1">
      <alignment horizontal="center" vertical="center"/>
      <protection hidden="1"/>
    </xf>
    <xf numFmtId="0" fontId="57" fillId="0" borderId="0" xfId="0" applyFont="1" applyAlignment="1" applyProtection="1">
      <alignment horizontal="center" vertical="center"/>
      <protection hidden="1"/>
    </xf>
    <xf numFmtId="0" fontId="57" fillId="0" borderId="28" xfId="0" applyFont="1" applyBorder="1" applyAlignment="1" applyProtection="1">
      <alignment horizontal="center" vertical="center"/>
      <protection hidden="1"/>
    </xf>
    <xf numFmtId="0" fontId="56" fillId="0" borderId="23" xfId="0" applyFont="1" applyBorder="1" applyAlignment="1" applyProtection="1">
      <alignment horizontal="center" vertical="center"/>
      <protection hidden="1"/>
    </xf>
    <xf numFmtId="0" fontId="23" fillId="0" borderId="27" xfId="0" applyFont="1" applyBorder="1" applyAlignment="1" applyProtection="1">
      <alignment horizontal="center" vertical="center"/>
      <protection hidden="1"/>
    </xf>
    <xf numFmtId="0" fontId="23" fillId="0" borderId="0" xfId="0" applyFont="1" applyAlignment="1" applyProtection="1">
      <alignment horizontal="center" vertical="center"/>
      <protection hidden="1"/>
    </xf>
    <xf numFmtId="171" fontId="10" fillId="4" borderId="53" xfId="0" applyNumberFormat="1" applyFont="1" applyFill="1" applyBorder="1" applyAlignment="1">
      <alignment horizontal="center" vertical="center"/>
    </xf>
    <xf numFmtId="171" fontId="10" fillId="4" borderId="57" xfId="0" applyNumberFormat="1" applyFont="1" applyFill="1" applyBorder="1" applyAlignment="1">
      <alignment horizontal="center" vertical="center"/>
    </xf>
    <xf numFmtId="0" fontId="52" fillId="0" borderId="53" xfId="0" applyFont="1" applyBorder="1" applyAlignment="1">
      <alignment horizontal="center" vertical="center"/>
    </xf>
    <xf numFmtId="0" fontId="53" fillId="0" borderId="53" xfId="0" applyFont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171" fontId="10" fillId="4" borderId="10" xfId="0" applyNumberFormat="1" applyFont="1" applyFill="1" applyBorder="1" applyAlignment="1">
      <alignment horizontal="center" vertical="center"/>
    </xf>
    <xf numFmtId="171" fontId="10" fillId="4" borderId="45" xfId="0" applyNumberFormat="1" applyFont="1" applyFill="1" applyBorder="1" applyAlignment="1">
      <alignment horizontal="center" vertical="center"/>
    </xf>
    <xf numFmtId="171" fontId="0" fillId="0" borderId="15" xfId="0" applyNumberFormat="1" applyBorder="1" applyAlignment="1">
      <alignment horizontal="center" vertical="center"/>
    </xf>
    <xf numFmtId="171" fontId="0" fillId="0" borderId="18" xfId="0" applyNumberFormat="1" applyBorder="1" applyAlignment="1">
      <alignment horizontal="center" vertical="center"/>
    </xf>
    <xf numFmtId="171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0" fillId="4" borderId="14" xfId="0" applyFont="1" applyFill="1" applyBorder="1" applyAlignment="1">
      <alignment horizontal="center"/>
    </xf>
    <xf numFmtId="171" fontId="15" fillId="0" borderId="71" xfId="0" applyNumberFormat="1" applyFont="1" applyBorder="1" applyAlignment="1" applyProtection="1">
      <alignment horizontal="center" vertical="center"/>
      <protection locked="0" hidden="1"/>
    </xf>
    <xf numFmtId="1" fontId="65" fillId="0" borderId="122" xfId="0" applyNumberFormat="1" applyFont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17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left" vertical="bottom" textRotation="0" wrapText="0" indent="0" justifyLastLine="0" shrinkToFit="0" readingOrder="0"/>
    </dxf>
    <dxf>
      <numFmt numFmtId="187" formatCode="d/mm/yyyy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left style="medium">
          <color indexed="64"/>
        </left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 diagonalUp="0" diagonalDown="0"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border diagonalUp="0" diagonalDown="0" outline="0"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strike val="0"/>
        <color theme="0"/>
      </font>
    </dxf>
    <dxf>
      <fill>
        <patternFill patternType="solid">
          <bgColor rgb="FFFFFF00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00CC66"/>
      <color rgb="FF080808"/>
      <color rgb="FFFFFF99"/>
      <color rgb="FFFFE4E1"/>
      <color rgb="FFEAEAEA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2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534975851282096E-2"/>
          <c:y val="0.13757443041513304"/>
          <c:w val="0.91847971594509892"/>
          <c:h val="0.7315249499138051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Graphique!$B$2</c:f>
              <c:strCache>
                <c:ptCount val="1"/>
                <c:pt idx="0">
                  <c:v>Recettes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dLbls>
            <c:dLbl>
              <c:idx val="4"/>
              <c:layout>
                <c:manualLayout>
                  <c:x val="-4.410143329658214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5681-4F62-8E1C-08F6E1874A58}"/>
                </c:ext>
              </c:extLst>
            </c:dLbl>
            <c:dLbl>
              <c:idx val="6"/>
              <c:layout>
                <c:manualLayout>
                  <c:x val="0"/>
                  <c:y val="-1.5779092702169768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5681-4F62-8E1C-08F6E1874A5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Graphique!$A$3:$A$15</c:f>
              <c:strCache>
                <c:ptCount val="13"/>
                <c:pt idx="0">
                  <c:v>NOVEMBRE 2025</c:v>
                </c:pt>
                <c:pt idx="1">
                  <c:v>DECEMBRE 2025</c:v>
                </c:pt>
                <c:pt idx="2">
                  <c:v>JANVIER 2026</c:v>
                </c:pt>
                <c:pt idx="3">
                  <c:v>FEVRIER 2026</c:v>
                </c:pt>
                <c:pt idx="4">
                  <c:v>MARS 2026</c:v>
                </c:pt>
                <c:pt idx="5">
                  <c:v>AVRIL2026</c:v>
                </c:pt>
                <c:pt idx="6">
                  <c:v>MAI 2026</c:v>
                </c:pt>
                <c:pt idx="7">
                  <c:v>JUIN 2026</c:v>
                </c:pt>
                <c:pt idx="8">
                  <c:v>JUILLET 2026</c:v>
                </c:pt>
                <c:pt idx="9">
                  <c:v>AOUT 2026</c:v>
                </c:pt>
                <c:pt idx="10">
                  <c:v>SEPTEMBRE 2026</c:v>
                </c:pt>
                <c:pt idx="11">
                  <c:v>OCTOBRE 2026</c:v>
                </c:pt>
                <c:pt idx="12">
                  <c:v>NOVEMBRE 2026</c:v>
                </c:pt>
              </c:strCache>
            </c:strRef>
          </c:cat>
          <c:val>
            <c:numRef>
              <c:f>Graphique!$B$3:$B$15</c:f>
              <c:numCache>
                <c:formatCode>0.00"€";\-0;;@</c:formatCode>
                <c:ptCount val="13"/>
                <c:pt idx="0">
                  <c:v>430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4B-40B3-8F14-5B9E96A09A05}"/>
            </c:ext>
          </c:extLst>
        </c:ser>
        <c:ser>
          <c:idx val="1"/>
          <c:order val="1"/>
          <c:tx>
            <c:strRef>
              <c:f>Graphique!$C$2</c:f>
              <c:strCache>
                <c:ptCount val="1"/>
                <c:pt idx="0">
                  <c:v>Dépenses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dPt>
            <c:idx val="0"/>
            <c:invertIfNegative val="0"/>
            <c:bubble3D val="0"/>
            <c:spPr>
              <a:pattFill prst="narHorz">
                <a:fgClr>
                  <a:schemeClr val="accent2"/>
                </a:fgClr>
                <a:bgClr>
                  <a:schemeClr val="accent2">
                    <a:lumMod val="20000"/>
                    <a:lumOff val="80000"/>
                  </a:schemeClr>
                </a:bgClr>
              </a:pattFill>
              <a:ln>
                <a:noFill/>
              </a:ln>
              <a:effectLst>
                <a:innerShdw blurRad="114300">
                  <a:schemeClr val="accent2"/>
                </a:innerShdw>
              </a:effectLst>
            </c:spPr>
            <c:extLst>
              <c:ext xmlns:c16="http://schemas.microsoft.com/office/drawing/2014/chart" uri="{C3380CC4-5D6E-409C-BE32-E72D297353CC}">
                <c16:uniqueId val="{00000001-2778-45C9-A99B-1C20C37CCB58}"/>
              </c:ext>
            </c:extLst>
          </c:dPt>
          <c:dLbls>
            <c:dLbl>
              <c:idx val="0"/>
              <c:layout>
                <c:manualLayout>
                  <c:x val="8.8202866593164279E-3"/>
                  <c:y val="-1.1834319526627364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2778-45C9-A99B-1C20C37CCB58}"/>
                </c:ext>
              </c:extLst>
            </c:dLbl>
            <c:dLbl>
              <c:idx val="2"/>
              <c:layout>
                <c:manualLayout>
                  <c:x val="1.3230429988974642E-2"/>
                  <c:y val="3.616000305236447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5681-4F62-8E1C-08F6E1874A58}"/>
                </c:ext>
              </c:extLst>
            </c:dLbl>
            <c:dLbl>
              <c:idx val="3"/>
              <c:layout>
                <c:manualLayout>
                  <c:x val="7.350238882763689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5681-4F62-8E1C-08F6E1874A58}"/>
                </c:ext>
              </c:extLst>
            </c:dLbl>
            <c:dLbl>
              <c:idx val="4"/>
              <c:layout>
                <c:manualLayout>
                  <c:x val="1.3230429988974642E-2"/>
                  <c:y val="-3.9447731755424065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5681-4F62-8E1C-08F6E1874A58}"/>
                </c:ext>
              </c:extLst>
            </c:dLbl>
            <c:dLbl>
              <c:idx val="5"/>
              <c:layout>
                <c:manualLayout>
                  <c:x val="1.1760382212421904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5681-4F62-8E1C-08F6E1874A58}"/>
                </c:ext>
              </c:extLst>
            </c:dLbl>
            <c:dLbl>
              <c:idx val="6"/>
              <c:layout>
                <c:manualLayout>
                  <c:x val="8.8202866593163204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5681-4F62-8E1C-08F6E1874A5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Graphique!$A$3:$A$15</c:f>
              <c:strCache>
                <c:ptCount val="13"/>
                <c:pt idx="0">
                  <c:v>NOVEMBRE 2025</c:v>
                </c:pt>
                <c:pt idx="1">
                  <c:v>DECEMBRE 2025</c:v>
                </c:pt>
                <c:pt idx="2">
                  <c:v>JANVIER 2026</c:v>
                </c:pt>
                <c:pt idx="3">
                  <c:v>FEVRIER 2026</c:v>
                </c:pt>
                <c:pt idx="4">
                  <c:v>MARS 2026</c:v>
                </c:pt>
                <c:pt idx="5">
                  <c:v>AVRIL2026</c:v>
                </c:pt>
                <c:pt idx="6">
                  <c:v>MAI 2026</c:v>
                </c:pt>
                <c:pt idx="7">
                  <c:v>JUIN 2026</c:v>
                </c:pt>
                <c:pt idx="8">
                  <c:v>JUILLET 2026</c:v>
                </c:pt>
                <c:pt idx="9">
                  <c:v>AOUT 2026</c:v>
                </c:pt>
                <c:pt idx="10">
                  <c:v>SEPTEMBRE 2026</c:v>
                </c:pt>
                <c:pt idx="11">
                  <c:v>OCTOBRE 2026</c:v>
                </c:pt>
                <c:pt idx="12">
                  <c:v>NOVEMBRE 2026</c:v>
                </c:pt>
              </c:strCache>
            </c:strRef>
          </c:cat>
          <c:val>
            <c:numRef>
              <c:f>Graphique!$C$3:$C$15</c:f>
              <c:numCache>
                <c:formatCode>0.00"€";\-0;;@</c:formatCode>
                <c:ptCount val="13"/>
                <c:pt idx="0">
                  <c:v>350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B4B-40B3-8F14-5B9E96A09A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255125760"/>
        <c:axId val="261668864"/>
      </c:barChart>
      <c:catAx>
        <c:axId val="25512576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668864"/>
        <c:crosses val="autoZero"/>
        <c:auto val="1"/>
        <c:lblAlgn val="ctr"/>
        <c:lblOffset val="100"/>
        <c:noMultiLvlLbl val="0"/>
      </c:catAx>
      <c:valAx>
        <c:axId val="261668864"/>
        <c:scaling>
          <c:orientation val="minMax"/>
        </c:scaling>
        <c:delete val="0"/>
        <c:axPos val="l"/>
        <c:numFmt formatCode="0.00&quot;€&quot;;\-0;;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5125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Graphique!$D$2</c:f>
              <c:strCache>
                <c:ptCount val="1"/>
                <c:pt idx="0">
                  <c:v>Trésorerie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dLbls>
            <c:spPr>
              <a:solidFill>
                <a:schemeClr val="lt1"/>
              </a:solidFill>
              <a:ln>
                <a:solidFill>
                  <a:schemeClr val="dk1">
                    <a:lumMod val="25000"/>
                    <a:lumOff val="75000"/>
                  </a:scheme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downArrow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Graphique!$A$3:$A$15</c:f>
              <c:strCache>
                <c:ptCount val="13"/>
                <c:pt idx="0">
                  <c:v>NOVEMBRE 2025</c:v>
                </c:pt>
                <c:pt idx="1">
                  <c:v>DECEMBRE 2025</c:v>
                </c:pt>
                <c:pt idx="2">
                  <c:v>JANVIER 2026</c:v>
                </c:pt>
                <c:pt idx="3">
                  <c:v>FEVRIER 2026</c:v>
                </c:pt>
                <c:pt idx="4">
                  <c:v>MARS 2026</c:v>
                </c:pt>
                <c:pt idx="5">
                  <c:v>AVRIL2026</c:v>
                </c:pt>
                <c:pt idx="6">
                  <c:v>MAI 2026</c:v>
                </c:pt>
                <c:pt idx="7">
                  <c:v>JUIN 2026</c:v>
                </c:pt>
                <c:pt idx="8">
                  <c:v>JUILLET 2026</c:v>
                </c:pt>
                <c:pt idx="9">
                  <c:v>AOUT 2026</c:v>
                </c:pt>
                <c:pt idx="10">
                  <c:v>SEPTEMBRE 2026</c:v>
                </c:pt>
                <c:pt idx="11">
                  <c:v>OCTOBRE 2026</c:v>
                </c:pt>
                <c:pt idx="12">
                  <c:v>NOVEMBRE 2026</c:v>
                </c:pt>
              </c:strCache>
            </c:strRef>
          </c:cat>
          <c:val>
            <c:numRef>
              <c:f>Graphique!$D$3:$D$15</c:f>
              <c:numCache>
                <c:formatCode>#\ ##0.00\ "€"</c:formatCode>
                <c:ptCount val="13"/>
                <c:pt idx="0">
                  <c:v>80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BDC-4BB9-BCCC-05B2CEFA48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262549504"/>
        <c:axId val="262551040"/>
      </c:barChart>
      <c:catAx>
        <c:axId val="26254950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2551040"/>
        <c:crosses val="autoZero"/>
        <c:auto val="1"/>
        <c:lblAlgn val="ctr"/>
        <c:lblOffset val="100"/>
        <c:noMultiLvlLbl val="0"/>
      </c:catAx>
      <c:valAx>
        <c:axId val="262551040"/>
        <c:scaling>
          <c:orientation val="minMax"/>
        </c:scaling>
        <c:delete val="0"/>
        <c:axPos val="l"/>
        <c:numFmt formatCode="0.00&quot;€&quot;;\-0;;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2549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uin 2026'!A1"/><Relationship Id="rId13" Type="http://schemas.openxmlformats.org/officeDocument/2006/relationships/hyperlink" Target="#'Novembre 2026'!A1"/><Relationship Id="rId18" Type="http://schemas.openxmlformats.org/officeDocument/2006/relationships/hyperlink" Target="#'Bilan 2026'!A1"/><Relationship Id="rId3" Type="http://schemas.openxmlformats.org/officeDocument/2006/relationships/hyperlink" Target="#'Janvier 2026'!A1"/><Relationship Id="rId7" Type="http://schemas.openxmlformats.org/officeDocument/2006/relationships/hyperlink" Target="#'Mai 2026'!A1"/><Relationship Id="rId12" Type="http://schemas.openxmlformats.org/officeDocument/2006/relationships/hyperlink" Target="#'Octobre 2026'!A1"/><Relationship Id="rId17" Type="http://schemas.openxmlformats.org/officeDocument/2006/relationships/hyperlink" Target="#Mail!A1"/><Relationship Id="rId2" Type="http://schemas.openxmlformats.org/officeDocument/2006/relationships/hyperlink" Target="#'D&#233;cembre 2025'!A1"/><Relationship Id="rId16" Type="http://schemas.openxmlformats.org/officeDocument/2006/relationships/hyperlink" Target="#Caisse!A1"/><Relationship Id="rId1" Type="http://schemas.openxmlformats.org/officeDocument/2006/relationships/hyperlink" Target="#'Novembre 2025'!A1"/><Relationship Id="rId6" Type="http://schemas.openxmlformats.org/officeDocument/2006/relationships/hyperlink" Target="#'Avril 2026'!A1"/><Relationship Id="rId11" Type="http://schemas.openxmlformats.org/officeDocument/2006/relationships/hyperlink" Target="#'Septembre 2026'!A1"/><Relationship Id="rId5" Type="http://schemas.openxmlformats.org/officeDocument/2006/relationships/hyperlink" Target="#'Mars 2026'!A1"/><Relationship Id="rId15" Type="http://schemas.openxmlformats.org/officeDocument/2006/relationships/hyperlink" Target="#'Bilan Financier 2026'!A1"/><Relationship Id="rId10" Type="http://schemas.openxmlformats.org/officeDocument/2006/relationships/hyperlink" Target="#'Ao&#251;t 2026'!A1"/><Relationship Id="rId19" Type="http://schemas.openxmlformats.org/officeDocument/2006/relationships/hyperlink" Target="#Graphique!A1"/><Relationship Id="rId4" Type="http://schemas.openxmlformats.org/officeDocument/2006/relationships/hyperlink" Target="#'F&#233;vrier 2026'!A1"/><Relationship Id="rId9" Type="http://schemas.openxmlformats.org/officeDocument/2006/relationships/hyperlink" Target="#'Juillet 2026'!A1"/><Relationship Id="rId14" Type="http://schemas.openxmlformats.org/officeDocument/2006/relationships/hyperlink" Target="#'Membres 2026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Menu!A1"/></Relationships>
</file>

<file path=xl/drawings/_rels/drawing1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hyperlink" Target="#Menu!A1"/></Relationships>
</file>

<file path=xl/drawings/_rels/drawing20.xml.rels><?xml version="1.0" encoding="UTF-8" standalone="yes"?>
<Relationships xmlns="http://schemas.openxmlformats.org/package/2006/relationships"><Relationship Id="rId3" Type="http://schemas.openxmlformats.org/officeDocument/2006/relationships/hyperlink" Target="#Menu!A1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533400</xdr:colOff>
      <xdr:row>5</xdr:row>
      <xdr:rowOff>142875</xdr:rowOff>
    </xdr:from>
    <xdr:to>
      <xdr:col>2</xdr:col>
      <xdr:colOff>314325</xdr:colOff>
      <xdr:row>7</xdr:row>
      <xdr:rowOff>171450</xdr:rowOff>
    </xdr:to>
    <xdr:sp macro="" textlink="">
      <xdr:nvSpPr>
        <xdr:cNvPr id="39937" name="CommandButton1" hidden="1">
          <a:extLst>
            <a:ext uri="{63B3BB69-23CF-44E3-9099-C40C66FF867C}">
              <a14:compatExt xmlns:a14="http://schemas.microsoft.com/office/drawing/2010/main" spid="_x0000_s39937"/>
            </a:ext>
            <a:ext uri="{FF2B5EF4-FFF2-40B4-BE49-F238E27FC236}">
              <a16:creationId xmlns:a16="http://schemas.microsoft.com/office/drawing/2014/main" id="{00000000-0008-0000-0000-000001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542925</xdr:colOff>
      <xdr:row>5</xdr:row>
      <xdr:rowOff>152400</xdr:rowOff>
    </xdr:from>
    <xdr:to>
      <xdr:col>6</xdr:col>
      <xdr:colOff>95250</xdr:colOff>
      <xdr:row>7</xdr:row>
      <xdr:rowOff>180975</xdr:rowOff>
    </xdr:to>
    <xdr:sp macro="" textlink="">
      <xdr:nvSpPr>
        <xdr:cNvPr id="39939" name="CommandButton3" hidden="1">
          <a:extLst>
            <a:ext uri="{63B3BB69-23CF-44E3-9099-C40C66FF867C}">
              <a14:compatExt xmlns:a14="http://schemas.microsoft.com/office/drawing/2010/main" spid="_x0000_s39939"/>
            </a:ext>
            <a:ext uri="{FF2B5EF4-FFF2-40B4-BE49-F238E27FC236}">
              <a16:creationId xmlns:a16="http://schemas.microsoft.com/office/drawing/2014/main" id="{00000000-0008-0000-0000-000003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542925</xdr:colOff>
      <xdr:row>8</xdr:row>
      <xdr:rowOff>152400</xdr:rowOff>
    </xdr:from>
    <xdr:to>
      <xdr:col>2</xdr:col>
      <xdr:colOff>314325</xdr:colOff>
      <xdr:row>10</xdr:row>
      <xdr:rowOff>180975</xdr:rowOff>
    </xdr:to>
    <xdr:sp macro="" textlink="">
      <xdr:nvSpPr>
        <xdr:cNvPr id="39940" name="CommandButton4" hidden="1">
          <a:extLst>
            <a:ext uri="{63B3BB69-23CF-44E3-9099-C40C66FF867C}">
              <a14:compatExt xmlns:a14="http://schemas.microsoft.com/office/drawing/2010/main" spid="_x0000_s39940"/>
            </a:ext>
            <a:ext uri="{FF2B5EF4-FFF2-40B4-BE49-F238E27FC236}">
              <a16:creationId xmlns:a16="http://schemas.microsoft.com/office/drawing/2014/main" id="{00000000-0008-0000-0000-000004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552450</xdr:colOff>
      <xdr:row>8</xdr:row>
      <xdr:rowOff>161925</xdr:rowOff>
    </xdr:from>
    <xdr:to>
      <xdr:col>4</xdr:col>
      <xdr:colOff>104775</xdr:colOff>
      <xdr:row>11</xdr:row>
      <xdr:rowOff>0</xdr:rowOff>
    </xdr:to>
    <xdr:sp macro="" textlink="">
      <xdr:nvSpPr>
        <xdr:cNvPr id="39941" name="CommandButton5" hidden="1">
          <a:extLst>
            <a:ext uri="{63B3BB69-23CF-44E3-9099-C40C66FF867C}">
              <a14:compatExt xmlns:a14="http://schemas.microsoft.com/office/drawing/2010/main" spid="_x0000_s39941"/>
            </a:ext>
            <a:ext uri="{FF2B5EF4-FFF2-40B4-BE49-F238E27FC236}">
              <a16:creationId xmlns:a16="http://schemas.microsoft.com/office/drawing/2014/main" id="{00000000-0008-0000-0000-000005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552450</xdr:colOff>
      <xdr:row>8</xdr:row>
      <xdr:rowOff>161925</xdr:rowOff>
    </xdr:from>
    <xdr:to>
      <xdr:col>6</xdr:col>
      <xdr:colOff>104775</xdr:colOff>
      <xdr:row>11</xdr:row>
      <xdr:rowOff>0</xdr:rowOff>
    </xdr:to>
    <xdr:sp macro="" textlink="">
      <xdr:nvSpPr>
        <xdr:cNvPr id="39942" name="CommandButton6" hidden="1">
          <a:extLst>
            <a:ext uri="{63B3BB69-23CF-44E3-9099-C40C66FF867C}">
              <a14:compatExt xmlns:a14="http://schemas.microsoft.com/office/drawing/2010/main" spid="_x0000_s39942"/>
            </a:ext>
            <a:ext uri="{FF2B5EF4-FFF2-40B4-BE49-F238E27FC236}">
              <a16:creationId xmlns:a16="http://schemas.microsoft.com/office/drawing/2014/main" id="{00000000-0008-0000-0000-000006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552450</xdr:colOff>
      <xdr:row>11</xdr:row>
      <xdr:rowOff>152400</xdr:rowOff>
    </xdr:from>
    <xdr:to>
      <xdr:col>2</xdr:col>
      <xdr:colOff>314325</xdr:colOff>
      <xdr:row>13</xdr:row>
      <xdr:rowOff>180975</xdr:rowOff>
    </xdr:to>
    <xdr:sp macro="" textlink="">
      <xdr:nvSpPr>
        <xdr:cNvPr id="39943" name="CommandButton7" hidden="1">
          <a:extLst>
            <a:ext uri="{63B3BB69-23CF-44E3-9099-C40C66FF867C}">
              <a14:compatExt xmlns:a14="http://schemas.microsoft.com/office/drawing/2010/main" spid="_x0000_s39943"/>
            </a:ext>
            <a:ext uri="{FF2B5EF4-FFF2-40B4-BE49-F238E27FC236}">
              <a16:creationId xmlns:a16="http://schemas.microsoft.com/office/drawing/2014/main" id="{00000000-0008-0000-0000-000007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561975</xdr:colOff>
      <xdr:row>11</xdr:row>
      <xdr:rowOff>161925</xdr:rowOff>
    </xdr:from>
    <xdr:to>
      <xdr:col>4</xdr:col>
      <xdr:colOff>114300</xdr:colOff>
      <xdr:row>14</xdr:row>
      <xdr:rowOff>0</xdr:rowOff>
    </xdr:to>
    <xdr:sp macro="" textlink="">
      <xdr:nvSpPr>
        <xdr:cNvPr id="39944" name="CommandButton8" hidden="1">
          <a:extLst>
            <a:ext uri="{63B3BB69-23CF-44E3-9099-C40C66FF867C}">
              <a14:compatExt xmlns:a14="http://schemas.microsoft.com/office/drawing/2010/main" spid="_x0000_s39944"/>
            </a:ext>
            <a:ext uri="{FF2B5EF4-FFF2-40B4-BE49-F238E27FC236}">
              <a16:creationId xmlns:a16="http://schemas.microsoft.com/office/drawing/2014/main" id="{00000000-0008-0000-0000-000008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561975</xdr:colOff>
      <xdr:row>11</xdr:row>
      <xdr:rowOff>161925</xdr:rowOff>
    </xdr:from>
    <xdr:to>
      <xdr:col>6</xdr:col>
      <xdr:colOff>114300</xdr:colOff>
      <xdr:row>14</xdr:row>
      <xdr:rowOff>0</xdr:rowOff>
    </xdr:to>
    <xdr:sp macro="" textlink="">
      <xdr:nvSpPr>
        <xdr:cNvPr id="39945" name="CommandButton9" hidden="1">
          <a:extLst>
            <a:ext uri="{63B3BB69-23CF-44E3-9099-C40C66FF867C}">
              <a14:compatExt xmlns:a14="http://schemas.microsoft.com/office/drawing/2010/main" spid="_x0000_s39945"/>
            </a:ext>
            <a:ext uri="{FF2B5EF4-FFF2-40B4-BE49-F238E27FC236}">
              <a16:creationId xmlns:a16="http://schemas.microsoft.com/office/drawing/2014/main" id="{00000000-0008-0000-0000-000009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561975</xdr:colOff>
      <xdr:row>14</xdr:row>
      <xdr:rowOff>161925</xdr:rowOff>
    </xdr:from>
    <xdr:to>
      <xdr:col>2</xdr:col>
      <xdr:colOff>314325</xdr:colOff>
      <xdr:row>17</xdr:row>
      <xdr:rowOff>0</xdr:rowOff>
    </xdr:to>
    <xdr:sp macro="" textlink="">
      <xdr:nvSpPr>
        <xdr:cNvPr id="39946" name="CommandButton10" hidden="1">
          <a:extLst>
            <a:ext uri="{63B3BB69-23CF-44E3-9099-C40C66FF867C}">
              <a14:compatExt xmlns:a14="http://schemas.microsoft.com/office/drawing/2010/main" spid="_x0000_s39946"/>
            </a:ext>
            <a:ext uri="{FF2B5EF4-FFF2-40B4-BE49-F238E27FC236}">
              <a16:creationId xmlns:a16="http://schemas.microsoft.com/office/drawing/2014/main" id="{00000000-0008-0000-0000-00000A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571500</xdr:colOff>
      <xdr:row>14</xdr:row>
      <xdr:rowOff>171450</xdr:rowOff>
    </xdr:from>
    <xdr:to>
      <xdr:col>4</xdr:col>
      <xdr:colOff>123825</xdr:colOff>
      <xdr:row>17</xdr:row>
      <xdr:rowOff>9525</xdr:rowOff>
    </xdr:to>
    <xdr:sp macro="" textlink="">
      <xdr:nvSpPr>
        <xdr:cNvPr id="39947" name="CommandButton11" hidden="1">
          <a:extLst>
            <a:ext uri="{63B3BB69-23CF-44E3-9099-C40C66FF867C}">
              <a14:compatExt xmlns:a14="http://schemas.microsoft.com/office/drawing/2010/main" spid="_x0000_s39947"/>
            </a:ext>
            <a:ext uri="{FF2B5EF4-FFF2-40B4-BE49-F238E27FC236}">
              <a16:creationId xmlns:a16="http://schemas.microsoft.com/office/drawing/2014/main" id="{00000000-0008-0000-0000-00000B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571500</xdr:colOff>
      <xdr:row>14</xdr:row>
      <xdr:rowOff>171450</xdr:rowOff>
    </xdr:from>
    <xdr:to>
      <xdr:col>6</xdr:col>
      <xdr:colOff>123825</xdr:colOff>
      <xdr:row>17</xdr:row>
      <xdr:rowOff>9525</xdr:rowOff>
    </xdr:to>
    <xdr:sp macro="" textlink="">
      <xdr:nvSpPr>
        <xdr:cNvPr id="39948" name="CommandButton12" hidden="1">
          <a:extLst>
            <a:ext uri="{63B3BB69-23CF-44E3-9099-C40C66FF867C}">
              <a14:compatExt xmlns:a14="http://schemas.microsoft.com/office/drawing/2010/main" spid="_x0000_s39948"/>
            </a:ext>
            <a:ext uri="{FF2B5EF4-FFF2-40B4-BE49-F238E27FC236}">
              <a16:creationId xmlns:a16="http://schemas.microsoft.com/office/drawing/2014/main" id="{00000000-0008-0000-0000-00000C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542925</xdr:colOff>
      <xdr:row>17</xdr:row>
      <xdr:rowOff>161925</xdr:rowOff>
    </xdr:from>
    <xdr:to>
      <xdr:col>2</xdr:col>
      <xdr:colOff>314325</xdr:colOff>
      <xdr:row>20</xdr:row>
      <xdr:rowOff>0</xdr:rowOff>
    </xdr:to>
    <xdr:sp macro="" textlink="">
      <xdr:nvSpPr>
        <xdr:cNvPr id="39949" name="CommandButton13" hidden="1">
          <a:extLst>
            <a:ext uri="{63B3BB69-23CF-44E3-9099-C40C66FF867C}">
              <a14:compatExt xmlns:a14="http://schemas.microsoft.com/office/drawing/2010/main" spid="_x0000_s39949"/>
            </a:ext>
            <a:ext uri="{FF2B5EF4-FFF2-40B4-BE49-F238E27FC236}">
              <a16:creationId xmlns:a16="http://schemas.microsoft.com/office/drawing/2014/main" id="{00000000-0008-0000-0000-00000D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552450</xdr:colOff>
      <xdr:row>17</xdr:row>
      <xdr:rowOff>171450</xdr:rowOff>
    </xdr:from>
    <xdr:to>
      <xdr:col>4</xdr:col>
      <xdr:colOff>104775</xdr:colOff>
      <xdr:row>20</xdr:row>
      <xdr:rowOff>9525</xdr:rowOff>
    </xdr:to>
    <xdr:sp macro="" textlink="">
      <xdr:nvSpPr>
        <xdr:cNvPr id="39950" name="CommandButton14" hidden="1">
          <a:extLst>
            <a:ext uri="{63B3BB69-23CF-44E3-9099-C40C66FF867C}">
              <a14:compatExt xmlns:a14="http://schemas.microsoft.com/office/drawing/2010/main" spid="_x0000_s39950"/>
            </a:ext>
            <a:ext uri="{FF2B5EF4-FFF2-40B4-BE49-F238E27FC236}">
              <a16:creationId xmlns:a16="http://schemas.microsoft.com/office/drawing/2014/main" id="{00000000-0008-0000-0000-00000E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552450</xdr:colOff>
      <xdr:row>17</xdr:row>
      <xdr:rowOff>171450</xdr:rowOff>
    </xdr:from>
    <xdr:to>
      <xdr:col>6</xdr:col>
      <xdr:colOff>104775</xdr:colOff>
      <xdr:row>20</xdr:row>
      <xdr:rowOff>9525</xdr:rowOff>
    </xdr:to>
    <xdr:sp macro="" textlink="">
      <xdr:nvSpPr>
        <xdr:cNvPr id="39951" name="CommandButton15" hidden="1">
          <a:extLst>
            <a:ext uri="{63B3BB69-23CF-44E3-9099-C40C66FF867C}">
              <a14:compatExt xmlns:a14="http://schemas.microsoft.com/office/drawing/2010/main" spid="_x0000_s39951"/>
            </a:ext>
            <a:ext uri="{FF2B5EF4-FFF2-40B4-BE49-F238E27FC236}">
              <a16:creationId xmlns:a16="http://schemas.microsoft.com/office/drawing/2014/main" id="{00000000-0008-0000-0000-00000F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552450</xdr:colOff>
      <xdr:row>20</xdr:row>
      <xdr:rowOff>171450</xdr:rowOff>
    </xdr:from>
    <xdr:to>
      <xdr:col>2</xdr:col>
      <xdr:colOff>314325</xdr:colOff>
      <xdr:row>23</xdr:row>
      <xdr:rowOff>9525</xdr:rowOff>
    </xdr:to>
    <xdr:sp macro="" textlink="">
      <xdr:nvSpPr>
        <xdr:cNvPr id="39952" name="CommandButton16" hidden="1">
          <a:extLst>
            <a:ext uri="{63B3BB69-23CF-44E3-9099-C40C66FF867C}">
              <a14:compatExt xmlns:a14="http://schemas.microsoft.com/office/drawing/2010/main" spid="_x0000_s39952"/>
            </a:ext>
            <a:ext uri="{FF2B5EF4-FFF2-40B4-BE49-F238E27FC236}">
              <a16:creationId xmlns:a16="http://schemas.microsoft.com/office/drawing/2014/main" id="{00000000-0008-0000-0000-000010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561975</xdr:colOff>
      <xdr:row>20</xdr:row>
      <xdr:rowOff>180975</xdr:rowOff>
    </xdr:from>
    <xdr:to>
      <xdr:col>4</xdr:col>
      <xdr:colOff>114300</xdr:colOff>
      <xdr:row>23</xdr:row>
      <xdr:rowOff>19050</xdr:rowOff>
    </xdr:to>
    <xdr:sp macro="" textlink="">
      <xdr:nvSpPr>
        <xdr:cNvPr id="39953" name="CommandButton17" hidden="1">
          <a:extLst>
            <a:ext uri="{63B3BB69-23CF-44E3-9099-C40C66FF867C}">
              <a14:compatExt xmlns:a14="http://schemas.microsoft.com/office/drawing/2010/main" spid="_x0000_s39953"/>
            </a:ext>
            <a:ext uri="{FF2B5EF4-FFF2-40B4-BE49-F238E27FC236}">
              <a16:creationId xmlns:a16="http://schemas.microsoft.com/office/drawing/2014/main" id="{00000000-0008-0000-0000-000011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561975</xdr:colOff>
      <xdr:row>20</xdr:row>
      <xdr:rowOff>180975</xdr:rowOff>
    </xdr:from>
    <xdr:to>
      <xdr:col>6</xdr:col>
      <xdr:colOff>114300</xdr:colOff>
      <xdr:row>23</xdr:row>
      <xdr:rowOff>19050</xdr:rowOff>
    </xdr:to>
    <xdr:sp macro="" textlink="">
      <xdr:nvSpPr>
        <xdr:cNvPr id="39954" name="CommandButton18" hidden="1">
          <a:extLst>
            <a:ext uri="{63B3BB69-23CF-44E3-9099-C40C66FF867C}">
              <a14:compatExt xmlns:a14="http://schemas.microsoft.com/office/drawing/2010/main" spid="_x0000_s39954"/>
            </a:ext>
            <a:ext uri="{FF2B5EF4-FFF2-40B4-BE49-F238E27FC236}">
              <a16:creationId xmlns:a16="http://schemas.microsoft.com/office/drawing/2014/main" id="{00000000-0008-0000-0000-000012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533400</xdr:colOff>
      <xdr:row>5</xdr:row>
      <xdr:rowOff>142875</xdr:rowOff>
    </xdr:from>
    <xdr:to>
      <xdr:col>4</xdr:col>
      <xdr:colOff>85725</xdr:colOff>
      <xdr:row>7</xdr:row>
      <xdr:rowOff>171450</xdr:rowOff>
    </xdr:to>
    <xdr:sp macro="" textlink="">
      <xdr:nvSpPr>
        <xdr:cNvPr id="39956" name="CommandButton19" hidden="1">
          <a:extLst>
            <a:ext uri="{63B3BB69-23CF-44E3-9099-C40C66FF867C}">
              <a14:compatExt xmlns:a14="http://schemas.microsoft.com/office/drawing/2010/main" spid="_x0000_s39956"/>
            </a:ext>
            <a:ext uri="{FF2B5EF4-FFF2-40B4-BE49-F238E27FC236}">
              <a16:creationId xmlns:a16="http://schemas.microsoft.com/office/drawing/2014/main" id="{00000000-0008-0000-0000-000014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19050</xdr:colOff>
      <xdr:row>8</xdr:row>
      <xdr:rowOff>19050</xdr:rowOff>
    </xdr:from>
    <xdr:to>
      <xdr:col>2</xdr:col>
      <xdr:colOff>697050</xdr:colOff>
      <xdr:row>10</xdr:row>
      <xdr:rowOff>178050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spect="1"/>
        </xdr:cNvSpPr>
      </xdr:nvSpPr>
      <xdr:spPr>
        <a:xfrm>
          <a:off x="781050" y="1543050"/>
          <a:ext cx="1440000" cy="54000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Novembre</a:t>
          </a:r>
          <a:r>
            <a:rPr lang="fr-FR" sz="1400" b="1" i="1" u="none"/>
            <a:t> </a:t>
          </a:r>
          <a:r>
            <a:rPr lang="fr-FR" sz="1400" b="1" i="1" u="none">
              <a:solidFill>
                <a:sysClr val="windowText" lastClr="000000"/>
              </a:solidFill>
            </a:rPr>
            <a:t>2025</a:t>
          </a:r>
        </a:p>
      </xdr:txBody>
    </xdr:sp>
    <xdr:clientData fPrintsWithSheet="0"/>
  </xdr:twoCellAnchor>
  <xdr:twoCellAnchor>
    <xdr:from>
      <xdr:col>3</xdr:col>
      <xdr:colOff>200025</xdr:colOff>
      <xdr:row>8</xdr:row>
      <xdr:rowOff>19050</xdr:rowOff>
    </xdr:from>
    <xdr:to>
      <xdr:col>5</xdr:col>
      <xdr:colOff>116025</xdr:colOff>
      <xdr:row>10</xdr:row>
      <xdr:rowOff>178050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/>
        </xdr:cNvSpPr>
      </xdr:nvSpPr>
      <xdr:spPr>
        <a:xfrm>
          <a:off x="2486025" y="1543050"/>
          <a:ext cx="1440000" cy="54000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Décembre</a:t>
          </a:r>
          <a:r>
            <a:rPr lang="fr-FR" sz="1400" b="1" i="1" u="none"/>
            <a:t> </a:t>
          </a:r>
          <a:r>
            <a:rPr lang="fr-FR" sz="1400" b="1" i="1" u="none">
              <a:solidFill>
                <a:sysClr val="windowText" lastClr="000000"/>
              </a:solidFill>
            </a:rPr>
            <a:t>2025</a:t>
          </a:r>
        </a:p>
      </xdr:txBody>
    </xdr:sp>
    <xdr:clientData fPrintsWithSheet="0"/>
  </xdr:twoCellAnchor>
  <xdr:twoCellAnchor>
    <xdr:from>
      <xdr:col>5</xdr:col>
      <xdr:colOff>352425</xdr:colOff>
      <xdr:row>8</xdr:row>
      <xdr:rowOff>19050</xdr:rowOff>
    </xdr:from>
    <xdr:to>
      <xdr:col>7</xdr:col>
      <xdr:colOff>268425</xdr:colOff>
      <xdr:row>10</xdr:row>
      <xdr:rowOff>178050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/>
        </xdr:cNvSpPr>
      </xdr:nvSpPr>
      <xdr:spPr>
        <a:xfrm>
          <a:off x="3714750" y="1543050"/>
          <a:ext cx="1440000" cy="54000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Janvier</a:t>
          </a:r>
          <a:r>
            <a:rPr lang="fr-FR" sz="1400" b="1" i="1" u="none" baseline="0">
              <a:solidFill>
                <a:sysClr val="windowText" lastClr="000000"/>
              </a:solidFill>
            </a:rPr>
            <a:t> 2026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1</xdr:col>
      <xdr:colOff>0</xdr:colOff>
      <xdr:row>12</xdr:row>
      <xdr:rowOff>19050</xdr:rowOff>
    </xdr:from>
    <xdr:to>
      <xdr:col>2</xdr:col>
      <xdr:colOff>678000</xdr:colOff>
      <xdr:row>14</xdr:row>
      <xdr:rowOff>178050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spect="1"/>
        </xdr:cNvSpPr>
      </xdr:nvSpPr>
      <xdr:spPr>
        <a:xfrm>
          <a:off x="762000" y="230505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Février</a:t>
          </a:r>
          <a:r>
            <a:rPr lang="fr-FR" sz="1400" b="1" i="1" u="none" baseline="0">
              <a:solidFill>
                <a:sysClr val="windowText" lastClr="000000"/>
              </a:solidFill>
            </a:rPr>
            <a:t> 2026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3</xdr:col>
      <xdr:colOff>190500</xdr:colOff>
      <xdr:row>12</xdr:row>
      <xdr:rowOff>9525</xdr:rowOff>
    </xdr:from>
    <xdr:to>
      <xdr:col>5</xdr:col>
      <xdr:colOff>106500</xdr:colOff>
      <xdr:row>14</xdr:row>
      <xdr:rowOff>168525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spect="1"/>
        </xdr:cNvSpPr>
      </xdr:nvSpPr>
      <xdr:spPr>
        <a:xfrm>
          <a:off x="2476500" y="2295525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Mars 2026</a:t>
          </a:r>
        </a:p>
      </xdr:txBody>
    </xdr:sp>
    <xdr:clientData fPrintsWithSheet="0"/>
  </xdr:twoCellAnchor>
  <xdr:twoCellAnchor>
    <xdr:from>
      <xdr:col>5</xdr:col>
      <xdr:colOff>361950</xdr:colOff>
      <xdr:row>12</xdr:row>
      <xdr:rowOff>9525</xdr:rowOff>
    </xdr:from>
    <xdr:to>
      <xdr:col>7</xdr:col>
      <xdr:colOff>277950</xdr:colOff>
      <xdr:row>14</xdr:row>
      <xdr:rowOff>168525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spect="1"/>
        </xdr:cNvSpPr>
      </xdr:nvSpPr>
      <xdr:spPr>
        <a:xfrm>
          <a:off x="4171950" y="2295525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Avril 2026</a:t>
          </a:r>
        </a:p>
      </xdr:txBody>
    </xdr:sp>
    <xdr:clientData fPrintsWithSheet="0"/>
  </xdr:twoCellAnchor>
  <xdr:twoCellAnchor>
    <xdr:from>
      <xdr:col>1</xdr:col>
      <xdr:colOff>9525</xdr:colOff>
      <xdr:row>16</xdr:row>
      <xdr:rowOff>19050</xdr:rowOff>
    </xdr:from>
    <xdr:to>
      <xdr:col>2</xdr:col>
      <xdr:colOff>687525</xdr:colOff>
      <xdr:row>18</xdr:row>
      <xdr:rowOff>178050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spect="1"/>
        </xdr:cNvSpPr>
      </xdr:nvSpPr>
      <xdr:spPr>
        <a:xfrm>
          <a:off x="771525" y="306705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Mai</a:t>
          </a:r>
          <a:r>
            <a:rPr lang="fr-FR" sz="1400" b="1" i="1" u="none" baseline="0">
              <a:solidFill>
                <a:sysClr val="windowText" lastClr="000000"/>
              </a:solidFill>
            </a:rPr>
            <a:t> 2026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3</xdr:col>
      <xdr:colOff>200025</xdr:colOff>
      <xdr:row>16</xdr:row>
      <xdr:rowOff>19050</xdr:rowOff>
    </xdr:from>
    <xdr:to>
      <xdr:col>5</xdr:col>
      <xdr:colOff>116025</xdr:colOff>
      <xdr:row>18</xdr:row>
      <xdr:rowOff>178050</xdr:rowOff>
    </xdr:to>
    <xdr:sp macro="" textlink="">
      <xdr:nvSpPr>
        <xdr:cNvPr id="9" name="Rectangle :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spect="1"/>
        </xdr:cNvSpPr>
      </xdr:nvSpPr>
      <xdr:spPr>
        <a:xfrm>
          <a:off x="2486025" y="306705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Juin</a:t>
          </a:r>
          <a:r>
            <a:rPr lang="fr-FR" sz="1400" b="1" i="1" u="none" baseline="0">
              <a:solidFill>
                <a:sysClr val="windowText" lastClr="000000"/>
              </a:solidFill>
            </a:rPr>
            <a:t> 2026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5</xdr:col>
      <xdr:colOff>361950</xdr:colOff>
      <xdr:row>16</xdr:row>
      <xdr:rowOff>0</xdr:rowOff>
    </xdr:from>
    <xdr:to>
      <xdr:col>7</xdr:col>
      <xdr:colOff>277950</xdr:colOff>
      <xdr:row>18</xdr:row>
      <xdr:rowOff>159000</xdr:rowOff>
    </xdr:to>
    <xdr:sp macro="" textlink="">
      <xdr:nvSpPr>
        <xdr:cNvPr id="10" name="Rectangle : coin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/>
        </xdr:cNvSpPr>
      </xdr:nvSpPr>
      <xdr:spPr>
        <a:xfrm>
          <a:off x="4171950" y="304800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Juillet</a:t>
          </a:r>
          <a:r>
            <a:rPr lang="fr-FR" sz="1400" b="1" i="1" u="none" baseline="0">
              <a:solidFill>
                <a:sysClr val="windowText" lastClr="000000"/>
              </a:solidFill>
            </a:rPr>
            <a:t> 2026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1</xdr:col>
      <xdr:colOff>0</xdr:colOff>
      <xdr:row>20</xdr:row>
      <xdr:rowOff>19050</xdr:rowOff>
    </xdr:from>
    <xdr:to>
      <xdr:col>2</xdr:col>
      <xdr:colOff>678000</xdr:colOff>
      <xdr:row>22</xdr:row>
      <xdr:rowOff>178050</xdr:rowOff>
    </xdr:to>
    <xdr:sp macro="" textlink="">
      <xdr:nvSpPr>
        <xdr:cNvPr id="11" name="Rectangle : coins arrondis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spect="1"/>
        </xdr:cNvSpPr>
      </xdr:nvSpPr>
      <xdr:spPr>
        <a:xfrm>
          <a:off x="762000" y="382905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Août</a:t>
          </a:r>
          <a:r>
            <a:rPr lang="fr-FR" sz="1400" b="1" i="1" u="none" baseline="0">
              <a:solidFill>
                <a:sysClr val="windowText" lastClr="000000"/>
              </a:solidFill>
            </a:rPr>
            <a:t> 2026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3</xdr:col>
      <xdr:colOff>209550</xdr:colOff>
      <xdr:row>20</xdr:row>
      <xdr:rowOff>19050</xdr:rowOff>
    </xdr:from>
    <xdr:to>
      <xdr:col>5</xdr:col>
      <xdr:colOff>125550</xdr:colOff>
      <xdr:row>22</xdr:row>
      <xdr:rowOff>178050</xdr:rowOff>
    </xdr:to>
    <xdr:sp macro="" textlink="">
      <xdr:nvSpPr>
        <xdr:cNvPr id="12" name="Rectangle : coins arrondis 1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>
          <a:spLocks noChangeAspect="1"/>
        </xdr:cNvSpPr>
      </xdr:nvSpPr>
      <xdr:spPr>
        <a:xfrm>
          <a:off x="2495550" y="382905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Septembre 2026</a:t>
          </a:r>
        </a:p>
      </xdr:txBody>
    </xdr:sp>
    <xdr:clientData fPrintsWithSheet="0"/>
  </xdr:twoCellAnchor>
  <xdr:twoCellAnchor>
    <xdr:from>
      <xdr:col>5</xdr:col>
      <xdr:colOff>352425</xdr:colOff>
      <xdr:row>20</xdr:row>
      <xdr:rowOff>0</xdr:rowOff>
    </xdr:from>
    <xdr:to>
      <xdr:col>7</xdr:col>
      <xdr:colOff>268425</xdr:colOff>
      <xdr:row>22</xdr:row>
      <xdr:rowOff>159000</xdr:rowOff>
    </xdr:to>
    <xdr:sp macro="" textlink="">
      <xdr:nvSpPr>
        <xdr:cNvPr id="13" name="Rectangle : coins arrondis 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spect="1"/>
        </xdr:cNvSpPr>
      </xdr:nvSpPr>
      <xdr:spPr>
        <a:xfrm>
          <a:off x="4162425" y="381000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Octobre 2026</a:t>
          </a:r>
        </a:p>
      </xdr:txBody>
    </xdr:sp>
    <xdr:clientData fPrintsWithSheet="0"/>
  </xdr:twoCellAnchor>
  <xdr:twoCellAnchor>
    <xdr:from>
      <xdr:col>0</xdr:col>
      <xdr:colOff>752475</xdr:colOff>
      <xdr:row>24</xdr:row>
      <xdr:rowOff>19050</xdr:rowOff>
    </xdr:from>
    <xdr:to>
      <xdr:col>2</xdr:col>
      <xdr:colOff>668475</xdr:colOff>
      <xdr:row>26</xdr:row>
      <xdr:rowOff>178050</xdr:rowOff>
    </xdr:to>
    <xdr:sp macro="" textlink="">
      <xdr:nvSpPr>
        <xdr:cNvPr id="14" name="Rectangle : coins arrondis 13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spect="1"/>
        </xdr:cNvSpPr>
      </xdr:nvSpPr>
      <xdr:spPr>
        <a:xfrm>
          <a:off x="752475" y="4591050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Novembre</a:t>
          </a:r>
          <a:r>
            <a:rPr lang="fr-FR" sz="1400" b="1" i="1" u="none" baseline="0">
              <a:solidFill>
                <a:sysClr val="windowText" lastClr="000000"/>
              </a:solidFill>
            </a:rPr>
            <a:t> 2026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4</xdr:col>
      <xdr:colOff>390525</xdr:colOff>
      <xdr:row>4</xdr:row>
      <xdr:rowOff>9525</xdr:rowOff>
    </xdr:from>
    <xdr:to>
      <xdr:col>6</xdr:col>
      <xdr:colOff>306525</xdr:colOff>
      <xdr:row>6</xdr:row>
      <xdr:rowOff>168525</xdr:rowOff>
    </xdr:to>
    <xdr:sp macro="" textlink="">
      <xdr:nvSpPr>
        <xdr:cNvPr id="15" name="Rectangle : coins arrondis 14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spect="1"/>
        </xdr:cNvSpPr>
      </xdr:nvSpPr>
      <xdr:spPr>
        <a:xfrm>
          <a:off x="3438525" y="771525"/>
          <a:ext cx="1440000" cy="540000"/>
        </a:xfrm>
        <a:prstGeom prst="roundRect">
          <a:avLst/>
        </a:prstGeom>
        <a:solidFill>
          <a:srgbClr val="FFFF00"/>
        </a:solidFill>
        <a:ln cmpd="tri">
          <a:solidFill>
            <a:srgbClr val="080808"/>
          </a:solidFill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Membres 2026</a:t>
          </a:r>
        </a:p>
      </xdr:txBody>
    </xdr:sp>
    <xdr:clientData fPrintsWithSheet="0"/>
  </xdr:twoCellAnchor>
  <xdr:twoCellAnchor>
    <xdr:from>
      <xdr:col>3</xdr:col>
      <xdr:colOff>209550</xdr:colOff>
      <xdr:row>24</xdr:row>
      <xdr:rowOff>9525</xdr:rowOff>
    </xdr:from>
    <xdr:to>
      <xdr:col>5</xdr:col>
      <xdr:colOff>125550</xdr:colOff>
      <xdr:row>26</xdr:row>
      <xdr:rowOff>168525</xdr:rowOff>
    </xdr:to>
    <xdr:sp macro="" textlink="">
      <xdr:nvSpPr>
        <xdr:cNvPr id="16" name="Rectangle : coins arrondis 15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spect="1"/>
        </xdr:cNvSpPr>
      </xdr:nvSpPr>
      <xdr:spPr>
        <a:xfrm>
          <a:off x="2495550" y="4581525"/>
          <a:ext cx="1440000" cy="540000"/>
        </a:xfrm>
        <a:prstGeom prst="roundRect">
          <a:avLst/>
        </a:prstGeom>
        <a:solidFill>
          <a:srgbClr val="FFFF00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Bilan financier</a:t>
          </a:r>
          <a:r>
            <a:rPr lang="fr-FR" sz="1400" b="1" i="1" u="none" baseline="0">
              <a:solidFill>
                <a:sysClr val="windowText" lastClr="000000"/>
              </a:solidFill>
            </a:rPr>
            <a:t> 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5</xdr:col>
      <xdr:colOff>381000</xdr:colOff>
      <xdr:row>24</xdr:row>
      <xdr:rowOff>19050</xdr:rowOff>
    </xdr:from>
    <xdr:to>
      <xdr:col>7</xdr:col>
      <xdr:colOff>297000</xdr:colOff>
      <xdr:row>26</xdr:row>
      <xdr:rowOff>178050</xdr:rowOff>
    </xdr:to>
    <xdr:sp macro="" textlink="">
      <xdr:nvSpPr>
        <xdr:cNvPr id="17" name="Rectangle : coins arrondis 16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>
          <a:spLocks noChangeAspect="1"/>
        </xdr:cNvSpPr>
      </xdr:nvSpPr>
      <xdr:spPr>
        <a:xfrm>
          <a:off x="4191000" y="4591050"/>
          <a:ext cx="1440000" cy="540000"/>
        </a:xfrm>
        <a:prstGeom prst="roundRect">
          <a:avLst/>
        </a:prstGeom>
        <a:solidFill>
          <a:srgbClr val="FFFF00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Caisse</a:t>
          </a:r>
        </a:p>
      </xdr:txBody>
    </xdr:sp>
    <xdr:clientData fPrintsWithSheet="0"/>
  </xdr:twoCellAnchor>
  <xdr:twoCellAnchor>
    <xdr:from>
      <xdr:col>1</xdr:col>
      <xdr:colOff>19050</xdr:colOff>
      <xdr:row>28</xdr:row>
      <xdr:rowOff>9525</xdr:rowOff>
    </xdr:from>
    <xdr:to>
      <xdr:col>2</xdr:col>
      <xdr:colOff>697050</xdr:colOff>
      <xdr:row>30</xdr:row>
      <xdr:rowOff>168525</xdr:rowOff>
    </xdr:to>
    <xdr:sp macro="" textlink="">
      <xdr:nvSpPr>
        <xdr:cNvPr id="18" name="Rectangle : coins arrondis 17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>
          <a:spLocks noChangeAspect="1"/>
        </xdr:cNvSpPr>
      </xdr:nvSpPr>
      <xdr:spPr>
        <a:xfrm>
          <a:off x="781050" y="5343525"/>
          <a:ext cx="1440000" cy="540000"/>
        </a:xfrm>
        <a:prstGeom prst="roundRect">
          <a:avLst/>
        </a:prstGeom>
        <a:solidFill>
          <a:srgbClr val="FFFF00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 baseline="0">
              <a:solidFill>
                <a:sysClr val="windowText" lastClr="000000"/>
              </a:solidFill>
            </a:rPr>
            <a:t>Adresses mail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3</xdr:col>
      <xdr:colOff>219075</xdr:colOff>
      <xdr:row>28</xdr:row>
      <xdr:rowOff>9525</xdr:rowOff>
    </xdr:from>
    <xdr:to>
      <xdr:col>5</xdr:col>
      <xdr:colOff>135075</xdr:colOff>
      <xdr:row>30</xdr:row>
      <xdr:rowOff>168525</xdr:rowOff>
    </xdr:to>
    <xdr:sp macro="" textlink="">
      <xdr:nvSpPr>
        <xdr:cNvPr id="20" name="Rectangle : coins arrondis 19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>
          <a:spLocks noChangeAspect="1"/>
        </xdr:cNvSpPr>
      </xdr:nvSpPr>
      <xdr:spPr>
        <a:xfrm>
          <a:off x="2505075" y="5343525"/>
          <a:ext cx="1440000" cy="540000"/>
        </a:xfrm>
        <a:prstGeom prst="roundRect">
          <a:avLst/>
        </a:prstGeom>
        <a:solidFill>
          <a:srgbClr val="FFFF00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Bilan 2026</a:t>
          </a:r>
        </a:p>
      </xdr:txBody>
    </xdr:sp>
    <xdr:clientData fPrintsWithSheet="0"/>
  </xdr:twoCellAnchor>
  <xdr:twoCellAnchor>
    <xdr:from>
      <xdr:col>5</xdr:col>
      <xdr:colOff>390525</xdr:colOff>
      <xdr:row>28</xdr:row>
      <xdr:rowOff>9525</xdr:rowOff>
    </xdr:from>
    <xdr:to>
      <xdr:col>7</xdr:col>
      <xdr:colOff>306525</xdr:colOff>
      <xdr:row>30</xdr:row>
      <xdr:rowOff>168525</xdr:rowOff>
    </xdr:to>
    <xdr:sp macro="" textlink="">
      <xdr:nvSpPr>
        <xdr:cNvPr id="33" name="Rectangle : coins arrondis 32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>
          <a:spLocks noChangeAspect="1"/>
        </xdr:cNvSpPr>
      </xdr:nvSpPr>
      <xdr:spPr>
        <a:xfrm>
          <a:off x="4200525" y="5343525"/>
          <a:ext cx="1440000" cy="540000"/>
        </a:xfrm>
        <a:prstGeom prst="roundRect">
          <a:avLst/>
        </a:prstGeom>
        <a:solidFill>
          <a:srgbClr val="FFFF00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 baseline="0">
              <a:solidFill>
                <a:sysClr val="windowText" lastClr="000000"/>
              </a:solidFill>
            </a:rPr>
            <a:t>Graphiques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</xdr:colOff>
      <xdr:row>1</xdr:row>
      <xdr:rowOff>19050</xdr:rowOff>
    </xdr:from>
    <xdr:ext cx="628650" cy="314325"/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25602"/>
            </a:ext>
            <a:ext uri="{FF2B5EF4-FFF2-40B4-BE49-F238E27FC236}">
              <a16:creationId xmlns:a16="http://schemas.microsoft.com/office/drawing/2014/main" id="{21ABC4C8-C1D9-41A8-8867-0D4D0861BFF8}"/>
            </a:ext>
          </a:extLst>
        </xdr:cNvPr>
        <xdr:cNvSpPr/>
      </xdr:nvSpPr>
      <xdr:spPr bwMode="auto">
        <a:xfrm>
          <a:off x="57150" y="209550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76200</xdr:colOff>
      <xdr:row>1</xdr:row>
      <xdr:rowOff>28576</xdr:rowOff>
    </xdr:from>
    <xdr:to>
      <xdr:col>0</xdr:col>
      <xdr:colOff>647700</xdr:colOff>
      <xdr:row>1</xdr:row>
      <xdr:rowOff>333376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1478AA9-96F2-439F-82A8-42D8730E3FB3}"/>
            </a:ext>
          </a:extLst>
        </xdr:cNvPr>
        <xdr:cNvSpPr/>
      </xdr:nvSpPr>
      <xdr:spPr>
        <a:xfrm>
          <a:off x="76200" y="219076"/>
          <a:ext cx="571500" cy="161925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32838" name="CommandButton1" hidden="1">
          <a:extLst>
            <a:ext uri="{63B3BB69-23CF-44E3-9099-C40C66FF867C}">
              <a14:compatExt xmlns:a14="http://schemas.microsoft.com/office/drawing/2010/main" spid="_x0000_s32838"/>
            </a:ext>
            <a:ext uri="{FF2B5EF4-FFF2-40B4-BE49-F238E27FC236}">
              <a16:creationId xmlns:a16="http://schemas.microsoft.com/office/drawing/2014/main" id="{00000000-0008-0000-0200-0000468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38100</xdr:rowOff>
    </xdr:from>
    <xdr:to>
      <xdr:col>0</xdr:col>
      <xdr:colOff>685800</xdr:colOff>
      <xdr:row>0</xdr:row>
      <xdr:rowOff>352425</xdr:rowOff>
    </xdr:to>
    <xdr:sp macro="" textlink="">
      <xdr:nvSpPr>
        <xdr:cNvPr id="40961" name="CommandButton1" hidden="1">
          <a:extLst>
            <a:ext uri="{63B3BB69-23CF-44E3-9099-C40C66FF867C}">
              <a14:compatExt xmlns:a14="http://schemas.microsoft.com/office/drawing/2010/main" spid="_x0000_s40961"/>
            </a:ext>
            <a:ext uri="{FF2B5EF4-FFF2-40B4-BE49-F238E27FC236}">
              <a16:creationId xmlns:a16="http://schemas.microsoft.com/office/drawing/2014/main" id="{00000000-0008-0000-0300-000001A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123825</xdr:colOff>
      <xdr:row>0</xdr:row>
      <xdr:rowOff>28575</xdr:rowOff>
    </xdr:from>
    <xdr:to>
      <xdr:col>0</xdr:col>
      <xdr:colOff>695325</xdr:colOff>
      <xdr:row>0</xdr:row>
      <xdr:rowOff>333375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23825" y="285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1985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:a16="http://schemas.microsoft.com/office/drawing/2014/main" id="{00000000-0008-0000-0400-000001A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85725</xdr:colOff>
      <xdr:row>0</xdr:row>
      <xdr:rowOff>66675</xdr:rowOff>
    </xdr:from>
    <xdr:to>
      <xdr:col>0</xdr:col>
      <xdr:colOff>657225</xdr:colOff>
      <xdr:row>0</xdr:row>
      <xdr:rowOff>371475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85725" y="666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3009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500-000001A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4033" name="CommandButton1" hidden="1">
          <a:extLst>
            <a:ext uri="{63B3BB69-23CF-44E3-9099-C40C66FF867C}">
              <a14:compatExt xmlns:a14="http://schemas.microsoft.com/office/drawing/2010/main" spid="_x0000_s44033"/>
            </a:ext>
            <a:ext uri="{FF2B5EF4-FFF2-40B4-BE49-F238E27FC236}">
              <a16:creationId xmlns:a16="http://schemas.microsoft.com/office/drawing/2014/main" id="{00000000-0008-0000-0600-000001A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5057" name="CommandButton1" hidden="1">
          <a:extLst>
            <a:ext uri="{63B3BB69-23CF-44E3-9099-C40C66FF867C}">
              <a14:compatExt xmlns:a14="http://schemas.microsoft.com/office/drawing/2010/main" spid="_x0000_s45057"/>
            </a:ext>
            <a:ext uri="{FF2B5EF4-FFF2-40B4-BE49-F238E27FC236}">
              <a16:creationId xmlns:a16="http://schemas.microsoft.com/office/drawing/2014/main" id="{00000000-0008-0000-0700-000001B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6081" name="CommandButton1" hidden="1">
          <a:extLst>
            <a:ext uri="{63B3BB69-23CF-44E3-9099-C40C66FF867C}">
              <a14:compatExt xmlns:a14="http://schemas.microsoft.com/office/drawing/2010/main" spid="_x0000_s46081"/>
            </a:ext>
            <a:ext uri="{FF2B5EF4-FFF2-40B4-BE49-F238E27FC236}">
              <a16:creationId xmlns:a16="http://schemas.microsoft.com/office/drawing/2014/main" id="{00000000-0008-0000-0800-000001B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47105" name="CommandButton1" hidden="1">
          <a:extLst>
            <a:ext uri="{63B3BB69-23CF-44E3-9099-C40C66FF867C}">
              <a14:compatExt xmlns:a14="http://schemas.microsoft.com/office/drawing/2010/main" spid="_x0000_s47105"/>
            </a:ext>
            <a:ext uri="{FF2B5EF4-FFF2-40B4-BE49-F238E27FC236}">
              <a16:creationId xmlns:a16="http://schemas.microsoft.com/office/drawing/2014/main" id="{00000000-0008-0000-0900-000001B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352425</xdr:rowOff>
    </xdr:to>
    <xdr:sp macro="" textlink="">
      <xdr:nvSpPr>
        <xdr:cNvPr id="48129" name="CommandButton1" hidden="1">
          <a:extLst>
            <a:ext uri="{63B3BB69-23CF-44E3-9099-C40C66FF867C}">
              <a14:compatExt xmlns:a14="http://schemas.microsoft.com/office/drawing/2010/main" spid="_x0000_s48129"/>
            </a:ext>
            <a:ext uri="{FF2B5EF4-FFF2-40B4-BE49-F238E27FC236}">
              <a16:creationId xmlns:a16="http://schemas.microsoft.com/office/drawing/2014/main" id="{00000000-0008-0000-0A00-000001B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352425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49153" name="CommandButton1" hidden="1">
          <a:extLst>
            <a:ext uri="{63B3BB69-23CF-44E3-9099-C40C66FF867C}">
              <a14:compatExt xmlns:a14="http://schemas.microsoft.com/office/drawing/2010/main" spid="_x0000_s49153"/>
            </a:ext>
            <a:ext uri="{FF2B5EF4-FFF2-40B4-BE49-F238E27FC236}">
              <a16:creationId xmlns:a16="http://schemas.microsoft.com/office/drawing/2014/main" id="{00000000-0008-0000-0B00-000001C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50177" name="CommandButton1" hidden="1">
          <a:extLst>
            <a:ext uri="{63B3BB69-23CF-44E3-9099-C40C66FF867C}">
              <a14:compatExt xmlns:a14="http://schemas.microsoft.com/office/drawing/2010/main" spid="_x0000_s50177"/>
            </a:ext>
            <a:ext uri="{FF2B5EF4-FFF2-40B4-BE49-F238E27FC236}">
              <a16:creationId xmlns:a16="http://schemas.microsoft.com/office/drawing/2014/main" id="{00000000-0008-0000-0C00-000001C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51201" name="CommandButton1" hidden="1">
          <a:extLst>
            <a:ext uri="{63B3BB69-23CF-44E3-9099-C40C66FF867C}">
              <a14:compatExt xmlns:a14="http://schemas.microsoft.com/office/drawing/2010/main" spid="_x0000_s51201"/>
            </a:ext>
            <a:ext uri="{FF2B5EF4-FFF2-40B4-BE49-F238E27FC236}">
              <a16:creationId xmlns:a16="http://schemas.microsoft.com/office/drawing/2014/main" id="{00000000-0008-0000-0D00-000001C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52225" name="CommandButton1" hidden="1">
          <a:extLst>
            <a:ext uri="{63B3BB69-23CF-44E3-9099-C40C66FF867C}">
              <a14:compatExt xmlns:a14="http://schemas.microsoft.com/office/drawing/2010/main" spid="_x0000_s52225"/>
            </a:ext>
            <a:ext uri="{FF2B5EF4-FFF2-40B4-BE49-F238E27FC236}">
              <a16:creationId xmlns:a16="http://schemas.microsoft.com/office/drawing/2014/main" id="{00000000-0008-0000-0E00-000001C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3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4" name="Flèche : gauch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2</xdr:row>
          <xdr:rowOff>104775</xdr:rowOff>
        </xdr:from>
        <xdr:to>
          <xdr:col>11</xdr:col>
          <xdr:colOff>400050</xdr:colOff>
          <xdr:row>4</xdr:row>
          <xdr:rowOff>9525</xdr:rowOff>
        </xdr:to>
        <xdr:sp macro="" textlink="">
          <xdr:nvSpPr>
            <xdr:cNvPr id="63490" name="Button 2" hidden="1">
              <a:extLst>
                <a:ext uri="{63B3BB69-23CF-44E3-9099-C40C66FF867C}">
                  <a14:compatExt spid="_x0000_s63490"/>
                </a:ext>
                <a:ext uri="{FF2B5EF4-FFF2-40B4-BE49-F238E27FC236}">
                  <a16:creationId xmlns:a16="http://schemas.microsoft.com/office/drawing/2014/main" id="{00000000-0008-0000-0F00-000002F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0</xdr:row>
          <xdr:rowOff>161925</xdr:rowOff>
        </xdr:from>
        <xdr:to>
          <xdr:col>10</xdr:col>
          <xdr:colOff>752475</xdr:colOff>
          <xdr:row>2</xdr:row>
          <xdr:rowOff>9525</xdr:rowOff>
        </xdr:to>
        <xdr:sp macro="" textlink="">
          <xdr:nvSpPr>
            <xdr:cNvPr id="63491" name="Button 3" hidden="1">
              <a:extLst>
                <a:ext uri="{63B3BB69-23CF-44E3-9099-C40C66FF867C}">
                  <a14:compatExt spid="_x0000_s63491"/>
                </a:ext>
                <a:ext uri="{FF2B5EF4-FFF2-40B4-BE49-F238E27FC236}">
                  <a16:creationId xmlns:a16="http://schemas.microsoft.com/office/drawing/2014/main" id="{00000000-0008-0000-0F00-000003F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0</xdr:row>
      <xdr:rowOff>66675</xdr:rowOff>
    </xdr:from>
    <xdr:to>
      <xdr:col>1</xdr:col>
      <xdr:colOff>685800</xdr:colOff>
      <xdr:row>0</xdr:row>
      <xdr:rowOff>381000</xdr:rowOff>
    </xdr:to>
    <xdr:sp macro="" textlink="">
      <xdr:nvSpPr>
        <xdr:cNvPr id="55297" name="CommandButton1" hidden="1">
          <a:extLst>
            <a:ext uri="{63B3BB69-23CF-44E3-9099-C40C66FF867C}">
              <a14:compatExt xmlns:a14="http://schemas.microsoft.com/office/drawing/2010/main" spid="_x0000_s55297"/>
            </a:ext>
            <a:ext uri="{FF2B5EF4-FFF2-40B4-BE49-F238E27FC236}">
              <a16:creationId xmlns:a16="http://schemas.microsoft.com/office/drawing/2014/main" id="{00000000-0008-0000-1000-000001D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1</xdr:col>
      <xdr:colOff>57150</xdr:colOff>
      <xdr:row>0</xdr:row>
      <xdr:rowOff>66675</xdr:rowOff>
    </xdr:from>
    <xdr:to>
      <xdr:col>1</xdr:col>
      <xdr:colOff>685800</xdr:colOff>
      <xdr:row>0</xdr:row>
      <xdr:rowOff>381000</xdr:rowOff>
    </xdr:to>
    <xdr:sp macro="" textlink="">
      <xdr:nvSpPr>
        <xdr:cNvPr id="6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104775</xdr:colOff>
      <xdr:row>0</xdr:row>
      <xdr:rowOff>38100</xdr:rowOff>
    </xdr:from>
    <xdr:to>
      <xdr:col>1</xdr:col>
      <xdr:colOff>676275</xdr:colOff>
      <xdr:row>0</xdr:row>
      <xdr:rowOff>342900</xdr:rowOff>
    </xdr:to>
    <xdr:sp macro="" textlink="">
      <xdr:nvSpPr>
        <xdr:cNvPr id="7" name="Flèche : gauch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0</xdr:rowOff>
    </xdr:from>
    <xdr:to>
      <xdr:col>1</xdr:col>
      <xdr:colOff>447675</xdr:colOff>
      <xdr:row>0</xdr:row>
      <xdr:rowOff>314325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0</xdr:rowOff>
    </xdr:from>
    <xdr:to>
      <xdr:col>1</xdr:col>
      <xdr:colOff>447675</xdr:colOff>
      <xdr:row>0</xdr:row>
      <xdr:rowOff>314325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57345"/>
            </a:ex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0</xdr:rowOff>
    </xdr:from>
    <xdr:to>
      <xdr:col>1</xdr:col>
      <xdr:colOff>447675</xdr:colOff>
      <xdr:row>0</xdr:row>
      <xdr:rowOff>314325</xdr:rowOff>
    </xdr:to>
    <xdr:sp macro="" textlink="">
      <xdr:nvSpPr>
        <xdr:cNvPr id="5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1200-000005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66675</xdr:colOff>
      <xdr:row>0</xdr:row>
      <xdr:rowOff>123825</xdr:rowOff>
    </xdr:from>
    <xdr:to>
      <xdr:col>1</xdr:col>
      <xdr:colOff>419100</xdr:colOff>
      <xdr:row>0</xdr:row>
      <xdr:rowOff>476250</xdr:rowOff>
    </xdr:to>
    <xdr:sp macro="" textlink="">
      <xdr:nvSpPr>
        <xdr:cNvPr id="6" name="Flèche : gauch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200-000006000000}"/>
            </a:ext>
          </a:extLst>
        </xdr:cNvPr>
        <xdr:cNvSpPr/>
      </xdr:nvSpPr>
      <xdr:spPr>
        <a:xfrm>
          <a:off x="66675" y="123825"/>
          <a:ext cx="590550" cy="352425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oneCell">
    <xdr:from>
      <xdr:col>4</xdr:col>
      <xdr:colOff>190502</xdr:colOff>
      <xdr:row>0</xdr:row>
      <xdr:rowOff>0</xdr:rowOff>
    </xdr:from>
    <xdr:to>
      <xdr:col>5</xdr:col>
      <xdr:colOff>514351</xdr:colOff>
      <xdr:row>0</xdr:row>
      <xdr:rowOff>620081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2" y="0"/>
          <a:ext cx="1038224" cy="620081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28575</xdr:rowOff>
    </xdr:from>
    <xdr:to>
      <xdr:col>5</xdr:col>
      <xdr:colOff>76200</xdr:colOff>
      <xdr:row>0</xdr:row>
      <xdr:rowOff>342900</xdr:rowOff>
    </xdr:to>
    <xdr:sp macro="" textlink="">
      <xdr:nvSpPr>
        <xdr:cNvPr id="61441" name="CommandButton1" hidden="1">
          <a:extLst>
            <a:ext uri="{63B3BB69-23CF-44E3-9099-C40C66FF867C}">
              <a14:compatExt xmlns:a14="http://schemas.microsoft.com/office/drawing/2010/main" spid="_x0000_s61441"/>
            </a:ext>
            <a:ext uri="{FF2B5EF4-FFF2-40B4-BE49-F238E27FC236}">
              <a16:creationId xmlns:a16="http://schemas.microsoft.com/office/drawing/2014/main" id="{00000000-0008-0000-1300-000001F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</xdr:colOff>
      <xdr:row>0</xdr:row>
      <xdr:rowOff>66675</xdr:rowOff>
    </xdr:from>
    <xdr:to>
      <xdr:col>5</xdr:col>
      <xdr:colOff>285750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57345"/>
            </a:ex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</xdr:colOff>
      <xdr:row>0</xdr:row>
      <xdr:rowOff>66675</xdr:rowOff>
    </xdr:from>
    <xdr:to>
      <xdr:col>5</xdr:col>
      <xdr:colOff>285750</xdr:colOff>
      <xdr:row>0</xdr:row>
      <xdr:rowOff>381000</xdr:rowOff>
    </xdr:to>
    <xdr:sp macro="" textlink="">
      <xdr:nvSpPr>
        <xdr:cNvPr id="3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133350</xdr:colOff>
      <xdr:row>0</xdr:row>
      <xdr:rowOff>38100</xdr:rowOff>
    </xdr:from>
    <xdr:to>
      <xdr:col>5</xdr:col>
      <xdr:colOff>247650</xdr:colOff>
      <xdr:row>0</xdr:row>
      <xdr:rowOff>400050</xdr:rowOff>
    </xdr:to>
    <xdr:sp macro="" textlink="">
      <xdr:nvSpPr>
        <xdr:cNvPr id="4" name="Flèche : gauch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/>
      </xdr:nvSpPr>
      <xdr:spPr>
        <a:xfrm>
          <a:off x="133350" y="38100"/>
          <a:ext cx="733425" cy="36195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381000</xdr:colOff>
      <xdr:row>11</xdr:row>
      <xdr:rowOff>26171</xdr:rowOff>
    </xdr:from>
    <xdr:to>
      <xdr:col>6</xdr:col>
      <xdr:colOff>657225</xdr:colOff>
      <xdr:row>11</xdr:row>
      <xdr:rowOff>333375</xdr:rowOff>
    </xdr:to>
    <xdr:pic macro="[0]!AugmenterValeur">
      <xdr:nvPicPr>
        <xdr:cNvPr id="6" name="Image 5">
          <a:extLst>
            <a:ext uri="{FF2B5EF4-FFF2-40B4-BE49-F238E27FC236}">
              <a16:creationId xmlns:a16="http://schemas.microsoft.com/office/drawing/2014/main" id="{3D191221-A2E0-AFBA-9153-564085258D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62125" y="3902846"/>
          <a:ext cx="276225" cy="307204"/>
        </a:xfrm>
        <a:prstGeom prst="rect">
          <a:avLst/>
        </a:prstGeom>
      </xdr:spPr>
    </xdr:pic>
    <xdr:clientData/>
  </xdr:twoCellAnchor>
  <xdr:twoCellAnchor editAs="oneCell">
    <xdr:from>
      <xdr:col>8</xdr:col>
      <xdr:colOff>323850</xdr:colOff>
      <xdr:row>11</xdr:row>
      <xdr:rowOff>19050</xdr:rowOff>
    </xdr:from>
    <xdr:to>
      <xdr:col>8</xdr:col>
      <xdr:colOff>605695</xdr:colOff>
      <xdr:row>11</xdr:row>
      <xdr:rowOff>323850</xdr:rowOff>
    </xdr:to>
    <xdr:pic macro="[0]!DiminuerValeur">
      <xdr:nvPicPr>
        <xdr:cNvPr id="8" name="Image 7">
          <a:extLst>
            <a:ext uri="{FF2B5EF4-FFF2-40B4-BE49-F238E27FC236}">
              <a16:creationId xmlns:a16="http://schemas.microsoft.com/office/drawing/2014/main" id="{D5CE8771-5ACF-D06E-0D5A-B13187C191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5" y="3648075"/>
          <a:ext cx="281845" cy="304800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36</xdr:row>
      <xdr:rowOff>1</xdr:rowOff>
    </xdr:from>
    <xdr:to>
      <xdr:col>7</xdr:col>
      <xdr:colOff>66675</xdr:colOff>
      <xdr:row>52</xdr:row>
      <xdr:rowOff>171451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9525</xdr:colOff>
      <xdr:row>18</xdr:row>
      <xdr:rowOff>190499</xdr:rowOff>
    </xdr:from>
    <xdr:to>
      <xdr:col>7</xdr:col>
      <xdr:colOff>38100</xdr:colOff>
      <xdr:row>35</xdr:row>
      <xdr:rowOff>85724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7345" name="CommandButton1" hidden="1">
          <a:extLst>
            <a:ext uri="{63B3BB69-23CF-44E3-9099-C40C66FF867C}">
              <a14:compatExt xmlns:a14="http://schemas.microsoft.com/office/drawing/2010/main" spid="_x0000_s57345"/>
            </a:ext>
            <a:ext uri="{FF2B5EF4-FFF2-40B4-BE49-F238E27FC236}">
              <a16:creationId xmlns:a16="http://schemas.microsoft.com/office/drawing/2014/main" id="{00000000-0008-0000-1100-000001E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5" name="Flèche : gauch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100-000005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comptabilite_association_nv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J-Charles/Desktop/AMCB_V4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mbre"/>
      <sheetName val="Membres"/>
      <sheetName val="Novembre 2021"/>
      <sheetName val="Décembre 2021"/>
      <sheetName val="Janvier 2022"/>
      <sheetName val="Février 2022"/>
      <sheetName val="Mars 2022"/>
      <sheetName val="Avril 2022"/>
      <sheetName val="Mai 2022"/>
      <sheetName val="Juin 2022"/>
      <sheetName val="Juillet 2022"/>
      <sheetName val="Août 2022"/>
      <sheetName val="Septembre 2022"/>
      <sheetName val="Octobre 2022"/>
      <sheetName val="Novembre 2022"/>
      <sheetName val="Bilan Financier 2022"/>
      <sheetName val="Bilan Financier"/>
      <sheetName val="Attestation"/>
      <sheetName val="Fiche membres"/>
      <sheetName val="Data"/>
      <sheetName val="Data2"/>
      <sheetName val="Feuil2"/>
      <sheetName val="Bilan Financier 2021_2022"/>
      <sheetName val="AMCB_V4.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6D467F-434D-41B9-AECD-0EDDC183DABB}" name="Tabel5" displayName="Tabel5" ref="A9:I16" totalsRowShown="0" headerRowBorderDxfId="171" tableBorderDxfId="170">
  <tableColumns count="9">
    <tableColumn id="1" xr3:uid="{BAB7B831-49A3-4805-B7A1-E2889E2286C2}" name="DATES" dataDxfId="169"/>
    <tableColumn id="2" xr3:uid="{9AA0FE71-3C32-454F-9B04-1A5151F7C4B6}" name="CODES" dataDxfId="168">
      <calculatedColumnFormula>IFERROR(INDEX(t_Comptes[CODES],MATCH(C10,t_Comptes[LIBELLES],0)),"")</calculatedColumnFormula>
    </tableColumn>
    <tableColumn id="3" xr3:uid="{4735ED9B-1F19-4997-9EB4-A134BAF0907F}" name="LIBELLES" dataDxfId="167"/>
    <tableColumn id="4" xr3:uid="{907BB6FA-F746-400D-A399-668A4EEC639D}" name="Désignations" dataDxfId="166"/>
    <tableColumn id="5" xr3:uid="{D612CFEF-F53A-44A4-AF15-6E4F90F5B73E}" name="P" dataDxfId="165"/>
    <tableColumn id="6" xr3:uid="{44EF540C-E793-490D-BE7E-A10E68F161EF}" name="Banque +" dataDxfId="164"/>
    <tableColumn id="7" xr3:uid="{63D256CD-8C3C-42A5-A6F3-392EE66B484C}" name="Banque -" dataDxfId="163"/>
    <tableColumn id="8" xr3:uid="{D72C44A3-A1A5-496F-83ED-5FA8CDFEACCB}" name="Caisse +" dataDxfId="162"/>
    <tableColumn id="9" xr3:uid="{9AA05412-4015-49CD-ADFC-49EECE19CC4F}" name="Caisse -" dataDxfId="16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C2018C3-6C26-47FB-AC32-7262988D5AE8}" name="Tabel6" displayName="Tabel6" ref="A9:I10" totalsRowShown="0" headerRowBorderDxfId="159" tableBorderDxfId="158">
  <tableColumns count="9">
    <tableColumn id="1" xr3:uid="{947C0FFD-942F-44D3-B517-F51B5C10F9ED}" name="DATES" dataDxfId="157"/>
    <tableColumn id="2" xr3:uid="{B09AF93D-133A-4E48-86AA-02C5B6C7091C}" name="CODES" dataDxfId="156">
      <calculatedColumnFormula>IFERROR(INDEX(t_Comptes[CODES],MATCH(C10,t_Comptes[LIBELLES],0)),"")</calculatedColumnFormula>
    </tableColumn>
    <tableColumn id="3" xr3:uid="{8F198D19-B605-48D6-A257-1A3D8C9E198B}" name="LIBELLES" dataDxfId="155"/>
    <tableColumn id="4" xr3:uid="{72F3544A-E9E5-49F3-91E4-6485E7E6E53F}" name="Désignations" dataDxfId="154"/>
    <tableColumn id="5" xr3:uid="{6E3185FD-1E43-4613-94AB-01CABA2ABB6D}" name="P" dataDxfId="153"/>
    <tableColumn id="6" xr3:uid="{B44FEF85-A58D-4C0F-9CAA-5A80435AA87E}" name="Banque +" dataDxfId="152"/>
    <tableColumn id="7" xr3:uid="{99FDBCA8-7C71-48C8-B04F-DADF3E08991C}" name="Banque -" dataDxfId="151"/>
    <tableColumn id="8" xr3:uid="{1DCE4E53-64B7-4EC4-854A-7FCAA7E7D987}" name="Caisse +" dataDxfId="150"/>
    <tableColumn id="9" xr3:uid="{65809D61-AC47-4AAE-8D27-F002972AD259}" name="Caisse -" dataDxfId="14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7812D5C-EEF5-4444-85E4-264C3DE6C2F2}" name="Tabel7" displayName="Tabel7" ref="A9:I10" totalsRowShown="0" headerRowBorderDxfId="147" tableBorderDxfId="146">
  <tableColumns count="9">
    <tableColumn id="1" xr3:uid="{9C60D0EE-AB05-49B4-A227-BDC3EB15B9B4}" name="DATES" dataDxfId="145"/>
    <tableColumn id="2" xr3:uid="{4BA23522-8AF9-4E29-9A0E-6D1F6E6E9E62}" name="CODES" dataDxfId="144">
      <calculatedColumnFormula>IFERROR(INDEX(t_Comptes[CODES],MATCH(C10,t_Comptes[LIBELLES],0)),"")</calculatedColumnFormula>
    </tableColumn>
    <tableColumn id="3" xr3:uid="{CE569ECB-00DA-4BA3-9C2C-30DD2F71B254}" name="LIBELLES" dataDxfId="143"/>
    <tableColumn id="4" xr3:uid="{C29F51F0-326E-4ED9-A562-F7097152C007}" name="Désignations" dataDxfId="142"/>
    <tableColumn id="5" xr3:uid="{CF1E1CC6-E5E2-4B53-B362-CF773DEE9C73}" name="P" dataDxfId="141"/>
    <tableColumn id="6" xr3:uid="{1977C594-4FA1-4FE8-8C27-F7923A0C3610}" name="Banque +" dataDxfId="140"/>
    <tableColumn id="7" xr3:uid="{9FCA7652-F8AD-4083-8CA3-EA87F19B6089}" name="Banque -" dataDxfId="139"/>
    <tableColumn id="8" xr3:uid="{68767755-2822-4DB7-AB53-AC7BAA17B9AC}" name="Caisse +" dataDxfId="138"/>
    <tableColumn id="9" xr3:uid="{76B5E2A4-FFBE-46FE-BF4E-C5D8723E9683}" name="Caisse -" dataDxfId="13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DBC5FCD-64BB-4E2E-B265-8C750A424D9E}" name="Tabel8" displayName="Tabel8" ref="A9:I10" totalsRowShown="0" headerRowBorderDxfId="135" tableBorderDxfId="134">
  <sortState xmlns:xlrd2="http://schemas.microsoft.com/office/spreadsheetml/2017/richdata2" ref="A10:I10">
    <sortCondition ref="A10"/>
  </sortState>
  <tableColumns count="9">
    <tableColumn id="1" xr3:uid="{40E8A749-7908-4287-86CC-7276ACE1E335}" name="DATES" dataDxfId="133"/>
    <tableColumn id="2" xr3:uid="{56A40A91-F17A-4CEE-851D-6A058D0CFE5E}" name="CODES" dataDxfId="132">
      <calculatedColumnFormula>IFERROR(INDEX(t_Comptes[CODES],MATCH(C10,t_Comptes[LIBELLES],0)),"")</calculatedColumnFormula>
    </tableColumn>
    <tableColumn id="3" xr3:uid="{03802690-7F2C-4764-BB57-2F31D77B5007}" name="LIBELLES" dataDxfId="131"/>
    <tableColumn id="4" xr3:uid="{1FEB2766-AF94-4F0A-8D1B-FE8538A87D7F}" name="Désignations" dataDxfId="130"/>
    <tableColumn id="5" xr3:uid="{53B40C4A-65D9-42FF-A032-8B552AB52039}" name="P" dataDxfId="129"/>
    <tableColumn id="6" xr3:uid="{C771AB49-9AE8-42BD-9A0C-7A0732842BE5}" name="Banque +" dataDxfId="128"/>
    <tableColumn id="7" xr3:uid="{22BAD88C-56A6-4209-ADBF-674B048E3B52}" name="Banque -" dataDxfId="127"/>
    <tableColumn id="8" xr3:uid="{FCA7EB95-56CE-409F-B29B-E74DF05FA1D4}" name="Caisse +" dataDxfId="126"/>
    <tableColumn id="9" xr3:uid="{F0F0E6CA-3FDD-487F-8C99-F159B7C3276B}" name="Caisse -" dataDxfId="12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46A7FB7-1BCA-4A75-80A8-208612E70E9F}" name="Tabel9" displayName="Tabel9" ref="A9:I10" totalsRowShown="0" headerRowBorderDxfId="122" tableBorderDxfId="121">
  <sortState xmlns:xlrd2="http://schemas.microsoft.com/office/spreadsheetml/2017/richdata2" ref="A10:I10">
    <sortCondition ref="A10"/>
  </sortState>
  <tableColumns count="9">
    <tableColumn id="1" xr3:uid="{022BE3ED-B3B5-41F5-8A54-5F89ADC4E803}" name="DATES" dataDxfId="120"/>
    <tableColumn id="2" xr3:uid="{0D78E5EE-E4C7-4BE8-B3D3-A5B230B73633}" name="CODES" dataDxfId="119">
      <calculatedColumnFormula>IFERROR(INDEX(t_Comptes[CODES],MATCH(C10,t_Comptes[LIBELLES],0)),"")</calculatedColumnFormula>
    </tableColumn>
    <tableColumn id="3" xr3:uid="{11CE8B84-935E-4425-A6E1-34090AF7FBD4}" name="LIBELLES" dataDxfId="118"/>
    <tableColumn id="4" xr3:uid="{C86C4E11-0ED0-46FB-A606-BA33716ADE95}" name="Désignations" dataDxfId="117"/>
    <tableColumn id="5" xr3:uid="{36B1B574-32D2-4ECD-B7EB-2038DFFBDE52}" name="P" dataDxfId="116"/>
    <tableColumn id="6" xr3:uid="{D3452AD2-AD85-4885-9C18-65C7867B32C4}" name="Banque +" dataDxfId="115"/>
    <tableColumn id="7" xr3:uid="{16619732-420A-4026-B7D2-6B30082B797D}" name="Banque -" dataDxfId="114"/>
    <tableColumn id="8" xr3:uid="{BC66EAD3-9C1E-42D9-ADEA-5DF45A394901}" name="Caisse +" dataDxfId="113"/>
    <tableColumn id="9" xr3:uid="{57A2F8E6-327E-4295-A388-E8DFD78F50E5}" name="Caisse -" dataDxfId="11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069E84A-D6B0-4ACE-AE7F-9D9B6B1F05D7}" name="Tabel10" displayName="Tabel10" ref="A9:I10" totalsRowShown="0" headerRowBorderDxfId="110" tableBorderDxfId="109">
  <sortState xmlns:xlrd2="http://schemas.microsoft.com/office/spreadsheetml/2017/richdata2" ref="A10:I10">
    <sortCondition ref="A10"/>
  </sortState>
  <tableColumns count="9">
    <tableColumn id="1" xr3:uid="{4580C470-3AD6-4D47-A926-D0D3AC29B730}" name="DATES" dataDxfId="108"/>
    <tableColumn id="2" xr3:uid="{F92343F2-05E7-4016-81C8-CC693CC39A3E}" name="CODES" dataDxfId="107">
      <calculatedColumnFormula>IFERROR(INDEX(t_Comptes[CODES],MATCH(C10,t_Comptes[LIBELLES],0)),"")</calculatedColumnFormula>
    </tableColumn>
    <tableColumn id="3" xr3:uid="{39C1DB68-2601-46DF-A42F-B29D3D8F89BE}" name="LIBELLES" dataDxfId="106"/>
    <tableColumn id="4" xr3:uid="{94A13ABE-AF82-41B9-AB50-BA95ADE8F599}" name="Désignations" dataDxfId="105"/>
    <tableColumn id="5" xr3:uid="{4A2B66E7-965B-40D5-9161-F714081A37A9}" name="P" dataDxfId="104"/>
    <tableColumn id="6" xr3:uid="{D22CC193-9259-41D6-8EDD-895D584AC727}" name="Banque +" dataDxfId="103"/>
    <tableColumn id="7" xr3:uid="{2EF5601C-887A-4ECF-88A8-16C3674E3B7F}" name="Banque -" dataDxfId="102"/>
    <tableColumn id="8" xr3:uid="{9C9D4254-8342-45D0-86CC-67ECBD288768}" name="Caisse +" dataDxfId="101"/>
    <tableColumn id="9" xr3:uid="{218857CB-7EEE-4317-98C9-3D4FB3DA590F}" name="Caisse -" dataDxfId="10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8315CFF-BAEF-4004-A37A-C148EF7E4BF5}" name="Tabel11" displayName="Tabel11" ref="A9:I10" totalsRowShown="0" headerRowBorderDxfId="98" tableBorderDxfId="97">
  <tableColumns count="9">
    <tableColumn id="1" xr3:uid="{7D853887-2228-4E3E-8DAD-6045243F3F18}" name="DATES" dataDxfId="96"/>
    <tableColumn id="2" xr3:uid="{C1BCFD65-0AFF-49F8-88CD-D88571CE232B}" name="CODES" dataDxfId="95">
      <calculatedColumnFormula>IFERROR(INDEX(t_Comptes[CODES],MATCH(C10,t_Comptes[LIBELLES],0)),"")</calculatedColumnFormula>
    </tableColumn>
    <tableColumn id="3" xr3:uid="{E37192A1-C1A5-4F48-8F21-3453EE212E9A}" name="LIBELLES" dataDxfId="94"/>
    <tableColumn id="4" xr3:uid="{488770C9-58CB-4BA4-8214-48A6EF191B13}" name="Désignations" dataDxfId="93"/>
    <tableColumn id="5" xr3:uid="{67D85C70-EA1E-4F61-B5DE-337287A407A5}" name="P" dataDxfId="92"/>
    <tableColumn id="6" xr3:uid="{C886B68B-5920-4BAA-AE06-E165B1ABE188}" name="Banque +" dataDxfId="91"/>
    <tableColumn id="7" xr3:uid="{E947C7C2-DD16-428D-B6E5-4258BCD3B997}" name="Banque -" dataDxfId="90"/>
    <tableColumn id="8" xr3:uid="{ADA92DB1-EDD9-468E-9BD3-4987B4DBBD80}" name="Caisse +" dataDxfId="89"/>
    <tableColumn id="9" xr3:uid="{B04C0778-08EB-49D5-8957-C732DE1B75EF}" name="Caisse -" dataDxfId="8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35359B2-0372-4940-A065-53DCC8371487}" name="Tabel12" displayName="Tabel12" ref="A9:I10" totalsRowShown="0" headerRowBorderDxfId="86" tableBorderDxfId="85">
  <tableColumns count="9">
    <tableColumn id="1" xr3:uid="{98B891FB-541C-47AA-AD81-4EF8D8BBA000}" name="DATES" dataDxfId="84"/>
    <tableColumn id="2" xr3:uid="{A9B284FE-6657-4DA6-8DC7-05A99DDB266D}" name="CODES" dataDxfId="83">
      <calculatedColumnFormula>IFERROR(INDEX(t_Comptes[CODES],MATCH(C10,t_Comptes[LIBELLES],0)),"")</calculatedColumnFormula>
    </tableColumn>
    <tableColumn id="3" xr3:uid="{9BB95B35-9826-4B92-8C29-B90AE45A2ACF}" name="LIBELLES" dataDxfId="82"/>
    <tableColumn id="4" xr3:uid="{1FC322FB-672F-4F08-BE25-23C7DE60BE2C}" name="Désignations" dataDxfId="81"/>
    <tableColumn id="5" xr3:uid="{3B520179-F03B-415C-A207-DB300A93647D}" name="P" dataDxfId="80"/>
    <tableColumn id="6" xr3:uid="{99394ABA-3D7A-4703-85C5-D221DC726EE5}" name="Banque +" dataDxfId="79"/>
    <tableColumn id="7" xr3:uid="{E9A6A358-9047-4C83-A881-EFF4974FC879}" name="Banque -" dataDxfId="78"/>
    <tableColumn id="8" xr3:uid="{9493AB08-4FB4-4B96-B98B-DB7494F21583}" name="Caisse +" dataDxfId="77"/>
    <tableColumn id="9" xr3:uid="{2CED479A-3DBB-4DA8-A25A-621349C58317}" name="Caisse -" dataDxfId="7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11CF6F36-8A99-4F4C-BA7E-B8D22E5423D1}" name="Tabel13" displayName="Tabel13" ref="A9:I10" totalsRowShown="0" headerRowBorderDxfId="74" tableBorderDxfId="73">
  <tableColumns count="9">
    <tableColumn id="1" xr3:uid="{314516C8-7ECC-4EF7-A880-1CEAA3B4C0C6}" name="DATES" dataDxfId="72"/>
    <tableColumn id="2" xr3:uid="{7E0242BC-21AF-4FF0-8C6B-FC341001BCF7}" name="CODES" dataDxfId="71">
      <calculatedColumnFormula>IFERROR(INDEX(t_Comptes[CODES],MATCH(C10,t_Comptes[LIBELLES],0)),"")</calculatedColumnFormula>
    </tableColumn>
    <tableColumn id="3" xr3:uid="{5658C01B-BA28-453C-9388-970A998C3FEF}" name="LIBELLES" dataDxfId="70"/>
    <tableColumn id="4" xr3:uid="{461EEE99-D65B-415F-87BA-4734EED34F9F}" name="Désignations" dataDxfId="69"/>
    <tableColumn id="5" xr3:uid="{CA3D15A1-2245-4237-A2CA-5DB853220CAF}" name="P" dataDxfId="68"/>
    <tableColumn id="6" xr3:uid="{CA1A52A9-36AF-4043-B829-BC2AC8C818B2}" name="Banque +" dataDxfId="67"/>
    <tableColumn id="7" xr3:uid="{E5AA83AE-AB84-4EE1-BEFE-3504F2790FA1}" name="Banque -" dataDxfId="66"/>
    <tableColumn id="8" xr3:uid="{E67866F3-2A8B-46BA-8975-F51050E49606}" name="Caisse +" dataDxfId="65"/>
    <tableColumn id="9" xr3:uid="{D92E4275-3C72-4247-8280-C4D3EC00088F}" name="Caisse -" dataDxfId="6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FDA14263-56EA-4E42-8E8E-5F33E17E91EB}" name="Tabel14" displayName="Tabel14" ref="A9:I10" totalsRowShown="0" headerRowBorderDxfId="62" tableBorderDxfId="61">
  <tableColumns count="9">
    <tableColumn id="1" xr3:uid="{D5984A35-9753-4837-86ED-1568F00FABE8}" name="DATES" dataDxfId="60"/>
    <tableColumn id="2" xr3:uid="{66B99BC0-51E0-4AE8-A848-56B7301CC8A6}" name="CODES" dataDxfId="59">
      <calculatedColumnFormula>IFERROR(INDEX(t_Comptes[CODES],MATCH(C10,t_Comptes[LIBELLES],0)),"")</calculatedColumnFormula>
    </tableColumn>
    <tableColumn id="3" xr3:uid="{CD33BA22-048C-4F0C-B2C9-06BA98FD569A}" name="LIBELLES" dataDxfId="58"/>
    <tableColumn id="4" xr3:uid="{AFDC62F6-9177-4B23-8800-5353431DFB8E}" name="Désignations" dataDxfId="57"/>
    <tableColumn id="5" xr3:uid="{28A7F726-E4B8-4BC3-8E47-BCB8BEC55B48}" name="P" dataDxfId="56"/>
    <tableColumn id="6" xr3:uid="{488E8C48-2C14-400B-A715-263E55DEB9E5}" name="Banque +" dataDxfId="55"/>
    <tableColumn id="7" xr3:uid="{CE3C30BA-A155-407C-99BC-FB652811C618}" name="Banque -" dataDxfId="54"/>
    <tableColumn id="8" xr3:uid="{F00CCF69-C43B-4254-A4E5-A1AB13A4046F}" name="Caisse +" dataDxfId="53"/>
    <tableColumn id="9" xr3:uid="{C37791AB-F977-4CD2-883E-4D6C37ECAF72}" name="Caisse -" dataDxfId="5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D9AE0C03-B24E-4FA4-A361-05E1208DBA57}" name="Tabel15" displayName="Tabel15" ref="A9:I10" totalsRowShown="0" headerRowBorderDxfId="50" tableBorderDxfId="49">
  <tableColumns count="9">
    <tableColumn id="1" xr3:uid="{181E3847-D175-4123-A61D-7E39D973BDC5}" name="DATES" dataDxfId="48"/>
    <tableColumn id="2" xr3:uid="{F7E0E40C-A932-4C3A-8A5E-522F27F6E7E7}" name="CODES" dataDxfId="47">
      <calculatedColumnFormula>IFERROR(INDEX(t_Comptes[CODES],MATCH(C10,t_Comptes[LIBELLES],0)),"")</calculatedColumnFormula>
    </tableColumn>
    <tableColumn id="3" xr3:uid="{7F49D1D2-556C-4417-9A31-87DDC966AC9C}" name="LIBELLES" dataDxfId="46"/>
    <tableColumn id="4" xr3:uid="{E2AF214B-E646-4F27-B6F2-5A871BBAE579}" name="Désignations" dataDxfId="45"/>
    <tableColumn id="5" xr3:uid="{F1BB4FD1-3989-469E-975E-923884266343}" name="P" dataDxfId="44"/>
    <tableColumn id="6" xr3:uid="{75507198-8D44-4545-A023-FCC413C6B6FF}" name="Banque +" dataDxfId="43"/>
    <tableColumn id="7" xr3:uid="{562444D8-8EF2-4F2F-B14D-62DD784AD0D6}" name="Banque -" dataDxfId="42"/>
    <tableColumn id="8" xr3:uid="{DB9765A9-0AB6-465C-A62E-1162A763FECD}" name="Caisse +" dataDxfId="41"/>
    <tableColumn id="9" xr3:uid="{E0C3A280-2359-4EC2-988F-161D718A44C9}" name="Caisse -" dataDxfId="40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278350A-013F-4059-B6F1-17A92620A4F6}" name="Tabel16" displayName="Tabel16" ref="A9:I10" totalsRowShown="0" headerRowBorderDxfId="38" tableBorderDxfId="37">
  <tableColumns count="9">
    <tableColumn id="1" xr3:uid="{803C9574-BA37-4942-96B4-5959BF5789BB}" name="DATES" dataDxfId="36"/>
    <tableColumn id="2" xr3:uid="{A683A758-2208-475B-A86A-C72E8CBA5700}" name="CODES" dataDxfId="35">
      <calculatedColumnFormula>IFERROR(INDEX(t_Comptes[CODES],MATCH(C10,t_Comptes[LIBELLES],0)),"")</calculatedColumnFormula>
    </tableColumn>
    <tableColumn id="3" xr3:uid="{EEB1229C-3BD2-4FB8-AAC5-523C0DECE90C}" name="LIBELLES" dataDxfId="34"/>
    <tableColumn id="4" xr3:uid="{4A14BE27-5C96-4D1C-91D5-7FBF0EE1EB51}" name="Désignations" dataDxfId="33"/>
    <tableColumn id="5" xr3:uid="{B5F72FF0-B358-4B8B-8624-FCAD19DF5A24}" name="P" dataDxfId="32"/>
    <tableColumn id="6" xr3:uid="{9013DCBF-3E8C-4279-8FE2-E3ED2FD4529B}" name="Banque +" dataDxfId="31"/>
    <tableColumn id="7" xr3:uid="{CFF28E65-9205-41FA-A3C6-17C2848AD93D}" name="Banque -" dataDxfId="30"/>
    <tableColumn id="8" xr3:uid="{28373650-ECF8-47C8-9FF6-60413F72FA3E}" name="Caisse +" dataDxfId="29"/>
    <tableColumn id="9" xr3:uid="{A93CAEC7-781F-46F3-8BFC-706FBB73ED74}" name="Caisse -" dataDxfId="28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2FFF9146-3424-4A52-9C6C-A334BF9E0E19}" name="Tabel17" displayName="Tabel17" ref="A9:I10" totalsRowShown="0" headerRowBorderDxfId="26" tableBorderDxfId="25">
  <tableColumns count="9">
    <tableColumn id="1" xr3:uid="{33A11BB7-F42A-48DC-8714-79DE974F74D6}" name="DATES" dataDxfId="24"/>
    <tableColumn id="2" xr3:uid="{917B712C-4CE7-43C3-A079-D33F3C86489E}" name="CODES" dataDxfId="23">
      <calculatedColumnFormula>IFERROR(INDEX(t_Comptes[CODES],MATCH(C10,t_Comptes[LIBELLES],0)),"")</calculatedColumnFormula>
    </tableColumn>
    <tableColumn id="3" xr3:uid="{8A13B15C-7BD0-46F1-80E0-A3884D09A5ED}" name="LIBELLES" dataDxfId="22"/>
    <tableColumn id="4" xr3:uid="{346FE9D1-9150-410E-BC4A-30C100F3C4C0}" name="Désignations" dataDxfId="21"/>
    <tableColumn id="5" xr3:uid="{F2F65E2E-48DD-40FA-B444-6644E9317B8D}" name="P" dataDxfId="20"/>
    <tableColumn id="6" xr3:uid="{63334174-9C24-404E-AC57-D3B0089DB62D}" name="Banque +" dataDxfId="19"/>
    <tableColumn id="7" xr3:uid="{D7CF032A-E8C1-452D-B043-A8C7B9854E7E}" name="Banque -" dataDxfId="18"/>
    <tableColumn id="8" xr3:uid="{271B7573-E63F-4861-B147-749178A66899}" name="Caisse +" dataDxfId="17"/>
    <tableColumn id="9" xr3:uid="{EDFC8B42-FB6F-4072-B221-3A37A465954F}" name="Caisse -" dataDxfId="1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5CFE6A-84EE-4981-AC96-F2C74C8BDAF1}" name="t_Comptes3" displayName="t_Comptes3" ref="M4:N33" totalsRowShown="0" headerRowDxfId="15" headerRowBorderDxfId="14" tableBorderDxfId="13">
  <autoFilter ref="M4:N33" xr:uid="{375CFE6A-84EE-4981-AC96-F2C74C8BDAF1}"/>
  <sortState xmlns:xlrd2="http://schemas.microsoft.com/office/spreadsheetml/2017/richdata2" ref="M5:N37">
    <sortCondition ref="M5:M37"/>
  </sortState>
  <tableColumns count="2">
    <tableColumn id="1" xr3:uid="{F70FF9A8-E19F-4C36-9539-4F6C28EEBA68}" name="LIBELLES" dataDxfId="12"/>
    <tableColumn id="2" xr3:uid="{ED1B40C6-D7DD-4454-B2D9-9ACC3B8658E6}" name="CODES" dataDxfId="11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37F2C2-7B52-4589-A61E-3793A3F15EF7}" name="tbl_Mois" displayName="tbl_Mois" ref="P6:U38" totalsRowShown="0" headerRowDxfId="10" dataDxfId="9">
  <autoFilter ref="P6:U38" xr:uid="{3137F2C2-7B52-4589-A61E-3793A3F15EF7}"/>
  <tableColumns count="6">
    <tableColumn id="6" xr3:uid="{464AF82A-E5B7-45BA-946B-B9D2F3D6988D}" name="date" dataDxfId="8">
      <calculatedColumnFormula>IF(ROW()-ROW(tbl_Mois[[#Headers],[date]])=1,$P$5,EDATE(P6,1))</calculatedColumnFormula>
    </tableColumn>
    <tableColumn id="1" xr3:uid="{D59BDB8E-1171-4960-8B35-2C4E8221F11B}" name="Feuille" dataDxfId="7">
      <calculatedColumnFormula>PROPER(TEXT(P7,"[$-fr-fr]"&amp;$Q$5))</calculatedColumnFormula>
    </tableColumn>
    <tableColumn id="2" xr3:uid="{D1684E14-4BEF-41B0-96BD-CB3664B02A5D}" name="Banque +" dataDxfId="6">
      <calculatedColumnFormula array="1">IFERROR(INDIRECT("'"&amp;$Q7&amp;"'!" &amp; R$5),"???")</calculatedColumnFormula>
    </tableColumn>
    <tableColumn id="3" xr3:uid="{217A01B1-D647-4453-8C18-41CA4432CAEA}" name="Banque -" dataDxfId="5">
      <calculatedColumnFormula array="1">IFERROR(INDIRECT("'"&amp;$Q7&amp;"'!" &amp; S$5),"???")</calculatedColumnFormula>
    </tableColumn>
    <tableColumn id="4" xr3:uid="{C864BF5B-FF02-48A7-999E-7CA701535666}" name="Caisse +" dataDxfId="4">
      <calculatedColumnFormula array="1">IFERROR(INDIRECT("'"&amp;$Q7&amp;"'!" &amp; T$5),"???")</calculatedColumnFormula>
    </tableColumn>
    <tableColumn id="5" xr3:uid="{1ED95F81-0DEE-495B-A178-9CB3C1AD5ADB}" name="Caisse -" dataDxfId="3">
      <calculatedColumnFormula array="1">IFERROR(INDIRECT("'"&amp;$Q7&amp;"'!" &amp; U$5),"???")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30" totalsRowShown="0" headerRowDxfId="2">
  <autoFilter ref="A1:B30" xr:uid="{00000000-0009-0000-0100-000001000000}"/>
  <sortState xmlns:xlrd2="http://schemas.microsoft.com/office/spreadsheetml/2017/richdata2" ref="A2:B30">
    <sortCondition ref="A2:A30"/>
  </sortState>
  <tableColumns count="2">
    <tableColumn id="1" xr3:uid="{00000000-0010-0000-0000-000001000000}" name="LIBELLES" dataDxfId="1"/>
    <tableColumn id="2" xr3:uid="{00000000-0010-0000-0000-000002000000}" name="COD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5.x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6" Type="http://schemas.openxmlformats.org/officeDocument/2006/relationships/table" Target="../tables/table1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2B842-097A-47D2-A54B-A25AD4097150}">
  <sheetPr codeName="Feuil1"/>
  <dimension ref="A1:E1"/>
  <sheetViews>
    <sheetView showGridLines="0" workbookViewId="0">
      <pane ySplit="32" topLeftCell="A33" activePane="bottomLeft" state="frozen"/>
      <selection pane="bottomLeft" activeCell="M19" sqref="M19"/>
    </sheetView>
  </sheetViews>
  <sheetFormatPr baseColWidth="10" defaultColWidth="11.42578125" defaultRowHeight="15" x14ac:dyDescent="0.25"/>
  <cols>
    <col min="1" max="1" width="4.7109375" customWidth="1"/>
    <col min="5" max="5" width="11.42578125" customWidth="1"/>
    <col min="7" max="7" width="11.42578125" customWidth="1"/>
  </cols>
  <sheetData>
    <row r="1" spans="1:5" x14ac:dyDescent="0.25">
      <c r="A1" s="514" t="s">
        <v>117</v>
      </c>
      <c r="B1" s="514"/>
      <c r="C1" s="514"/>
      <c r="D1" s="513">
        <v>45722.612500000003</v>
      </c>
      <c r="E1" s="513"/>
    </row>
  </sheetData>
  <mergeCells count="2">
    <mergeCell ref="D1:E1"/>
    <mergeCell ref="A1:C1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B770B-F034-482B-A433-85CF2B977B4A}">
  <sheetPr codeName="Feuil22">
    <tabColor rgb="FFFFFF00"/>
  </sheetPr>
  <dimension ref="A1:Y52"/>
  <sheetViews>
    <sheetView showGridLines="0" zoomScaleNormal="100" workbookViewId="0">
      <pane ySplit="3" topLeftCell="A4" activePane="bottomLeft" state="frozen"/>
      <selection pane="bottomLeft" activeCell="W4" sqref="W4"/>
    </sheetView>
  </sheetViews>
  <sheetFormatPr baseColWidth="10" defaultColWidth="11.42578125" defaultRowHeight="15" x14ac:dyDescent="0.25"/>
  <cols>
    <col min="1" max="1" width="8.85546875" style="9" bestFit="1" customWidth="1"/>
    <col min="2" max="2" width="17.42578125" style="9" customWidth="1"/>
    <col min="3" max="3" width="11.85546875" style="493" bestFit="1" customWidth="1"/>
    <col min="4" max="4" width="32" style="9" customWidth="1"/>
    <col min="5" max="5" width="24" style="9" customWidth="1"/>
    <col min="6" max="6" width="6.140625" style="9" customWidth="1"/>
    <col min="7" max="7" width="35" style="9" customWidth="1"/>
    <col min="8" max="8" width="9.5703125" style="9" customWidth="1"/>
    <col min="9" max="9" width="20.28515625" style="9" customWidth="1"/>
    <col min="10" max="10" width="5.140625" style="9" customWidth="1"/>
    <col min="11" max="11" width="13.140625" style="9" customWidth="1"/>
    <col min="12" max="12" width="14.7109375" style="9" customWidth="1"/>
    <col min="13" max="13" width="10.7109375" style="9" customWidth="1"/>
    <col min="14" max="14" width="6.42578125" style="9" customWidth="1"/>
    <col min="15" max="15" width="6.7109375" style="9" customWidth="1"/>
    <col min="16" max="16" width="8.28515625" style="9" bestFit="1" customWidth="1"/>
    <col min="17" max="17" width="10.7109375" style="9" bestFit="1" customWidth="1"/>
    <col min="18" max="18" width="9" style="9" bestFit="1" customWidth="1"/>
    <col min="19" max="19" width="9.5703125" style="9" customWidth="1"/>
    <col min="20" max="20" width="8.5703125" style="9" hidden="1" customWidth="1"/>
    <col min="21" max="21" width="10.7109375" style="9" hidden="1" customWidth="1"/>
    <col min="22" max="22" width="5" style="2" hidden="1" customWidth="1"/>
    <col min="23" max="23" width="4.85546875" style="2" customWidth="1"/>
    <col min="24" max="24" width="30.7109375" style="26" bestFit="1" customWidth="1"/>
    <col min="25" max="25" width="11.42578125" hidden="1" customWidth="1"/>
  </cols>
  <sheetData>
    <row r="1" spans="1:25" s="231" customFormat="1" ht="10.5" customHeight="1" x14ac:dyDescent="0.25">
      <c r="A1" s="1" t="s">
        <v>14</v>
      </c>
      <c r="B1" s="476" t="s">
        <v>15</v>
      </c>
      <c r="C1" s="489" t="s">
        <v>48</v>
      </c>
      <c r="D1" s="1" t="s">
        <v>61</v>
      </c>
      <c r="E1" s="519" t="s">
        <v>45</v>
      </c>
      <c r="F1" s="519"/>
      <c r="G1" s="519"/>
      <c r="I1" s="1" t="s">
        <v>16</v>
      </c>
      <c r="J1" s="1" t="s">
        <v>60</v>
      </c>
      <c r="K1" s="231" t="s">
        <v>61</v>
      </c>
      <c r="L1" s="1"/>
      <c r="M1" s="53">
        <f ca="1">TODAY()</f>
        <v>45885</v>
      </c>
      <c r="N1" s="54"/>
      <c r="O1" s="54"/>
      <c r="P1" s="1"/>
      <c r="Q1" s="1"/>
      <c r="R1" s="1"/>
      <c r="S1" s="1"/>
      <c r="T1" s="1"/>
      <c r="W1" s="117">
        <v>46023</v>
      </c>
    </row>
    <row r="2" spans="1:25" s="2" customFormat="1" ht="30" customHeight="1" x14ac:dyDescent="0.25">
      <c r="A2" s="9"/>
      <c r="B2" s="477"/>
      <c r="C2" s="490"/>
      <c r="D2" s="55"/>
      <c r="E2" s="520"/>
      <c r="F2" s="520"/>
      <c r="G2" s="520"/>
      <c r="H2" s="56" t="s">
        <v>28</v>
      </c>
      <c r="I2" s="56" t="s">
        <v>28</v>
      </c>
      <c r="J2" s="56" t="s">
        <v>28</v>
      </c>
      <c r="K2" s="485"/>
      <c r="L2" s="56" t="s">
        <v>28</v>
      </c>
      <c r="M2" s="72" t="s">
        <v>28</v>
      </c>
      <c r="N2" s="9"/>
      <c r="O2" s="9"/>
      <c r="P2" s="9" t="s">
        <v>28</v>
      </c>
      <c r="Q2" s="9"/>
      <c r="R2" s="9"/>
      <c r="S2" s="9"/>
      <c r="T2" s="9"/>
      <c r="U2" s="9"/>
      <c r="W2" s="50"/>
      <c r="X2" s="114"/>
    </row>
    <row r="3" spans="1:25" s="2" customFormat="1" ht="25.5" customHeight="1" x14ac:dyDescent="0.25">
      <c r="A3" s="3" t="s">
        <v>111</v>
      </c>
      <c r="B3" s="46" t="s">
        <v>165</v>
      </c>
      <c r="C3" s="46" t="s">
        <v>166</v>
      </c>
      <c r="D3" s="3" t="s">
        <v>18</v>
      </c>
      <c r="E3" s="3" t="s">
        <v>19</v>
      </c>
      <c r="F3" s="3" t="s">
        <v>20</v>
      </c>
      <c r="G3" s="3" t="s">
        <v>21</v>
      </c>
      <c r="H3" s="4" t="s">
        <v>22</v>
      </c>
      <c r="I3" s="4" t="s">
        <v>105</v>
      </c>
      <c r="J3" s="5" t="s">
        <v>62</v>
      </c>
      <c r="K3" s="3" t="s">
        <v>23</v>
      </c>
      <c r="L3" s="3" t="s">
        <v>24</v>
      </c>
      <c r="M3" s="6" t="s">
        <v>25</v>
      </c>
      <c r="N3" s="6" t="s">
        <v>31</v>
      </c>
      <c r="O3" s="6" t="s">
        <v>43</v>
      </c>
      <c r="P3" s="6" t="s">
        <v>26</v>
      </c>
      <c r="Q3" s="7" t="s">
        <v>27</v>
      </c>
      <c r="R3" s="57" t="s">
        <v>78</v>
      </c>
      <c r="S3" s="3" t="s">
        <v>46</v>
      </c>
      <c r="T3" s="3" t="s">
        <v>46</v>
      </c>
      <c r="U3" s="3" t="s">
        <v>17</v>
      </c>
      <c r="V3" s="9"/>
      <c r="W3" s="63">
        <f>COUNTA(W4:W47)</f>
        <v>0</v>
      </c>
      <c r="X3" s="65"/>
    </row>
    <row r="4" spans="1:25" ht="15" customHeight="1" x14ac:dyDescent="0.25">
      <c r="A4" s="73" t="s">
        <v>47</v>
      </c>
      <c r="B4" s="486"/>
      <c r="C4" s="500"/>
      <c r="D4" s="34"/>
      <c r="E4" s="34"/>
      <c r="F4" s="159"/>
      <c r="G4" s="76"/>
      <c r="H4" s="74"/>
      <c r="I4" s="29"/>
      <c r="J4" s="34" t="str">
        <f t="shared" ref="J4:J47" si="0">IF(ISBLANK(B4),"",IF(LEFT(B4,2)="M.","M","F"))</f>
        <v/>
      </c>
      <c r="K4" s="77"/>
      <c r="L4" s="77"/>
      <c r="M4" s="91" t="str">
        <f t="shared" ref="M4:M47" si="1">IF(ISBLANK($Q4),"",$Y4)</f>
        <v/>
      </c>
      <c r="N4" s="10" t="str">
        <f t="shared" ref="N4:N47" si="2">IF(ISBLANK($Q4),"",ROUNDDOWN(($M$1-M4)/365,0))</f>
        <v/>
      </c>
      <c r="O4" s="34" t="str">
        <f>IF(ISBLANK($Q4),"",IF(N4&gt;=18,"Majeur","mineur"))</f>
        <v/>
      </c>
      <c r="P4" s="14"/>
      <c r="Q4" s="15"/>
      <c r="R4" s="16" t="str">
        <f>IF(P4&lt;&gt;"Aéro","",IF(N4="","",IF(N4&gt;=18,45,IF(N4&lt;=18,20))))</f>
        <v/>
      </c>
      <c r="S4" s="17"/>
      <c r="T4" s="34" t="str">
        <f t="shared" ref="T4:T11" si="3">IF(ISBLANK(S4),"",S4)</f>
        <v/>
      </c>
      <c r="U4" s="25">
        <v>1</v>
      </c>
      <c r="W4" s="472"/>
      <c r="X4" t="str">
        <f t="shared" ref="X4:X14" si="4">IF(P4&lt;&gt;"Aéro","",IF(ISBLANK(Q4),B4,""))</f>
        <v/>
      </c>
      <c r="Y4" s="91">
        <v>22120</v>
      </c>
    </row>
    <row r="5" spans="1:25" ht="15" customHeight="1" x14ac:dyDescent="0.25">
      <c r="A5" s="52">
        <v>3</v>
      </c>
      <c r="B5" s="487"/>
      <c r="C5" s="470"/>
      <c r="D5" s="11"/>
      <c r="E5" s="11"/>
      <c r="F5" s="160"/>
      <c r="G5" s="179"/>
      <c r="H5" s="69"/>
      <c r="I5" s="216"/>
      <c r="J5" s="34" t="str">
        <f t="shared" si="0"/>
        <v/>
      </c>
      <c r="K5" s="12"/>
      <c r="L5" s="13"/>
      <c r="M5" s="91" t="str">
        <f t="shared" si="1"/>
        <v/>
      </c>
      <c r="N5" s="10" t="str">
        <f t="shared" si="2"/>
        <v/>
      </c>
      <c r="O5" s="34" t="str">
        <f t="shared" ref="O5:O47" si="5">IF(ISBLANK($Q5),"",IF(N5&gt;=18,"Majeur","mineur"))</f>
        <v/>
      </c>
      <c r="P5" s="14"/>
      <c r="Q5" s="501"/>
      <c r="R5" s="16" t="str">
        <f t="shared" ref="R5:R47" si="6">IF(P5&lt;&gt;"Aéro","",IF(N5="","",IF(N5&gt;=18,45,IF(N5&lt;=18,20))))</f>
        <v/>
      </c>
      <c r="S5" s="17"/>
      <c r="T5" s="34" t="str">
        <f t="shared" si="3"/>
        <v/>
      </c>
      <c r="U5" s="25">
        <v>3</v>
      </c>
      <c r="W5" s="472"/>
      <c r="X5" t="str">
        <f t="shared" si="4"/>
        <v/>
      </c>
      <c r="Y5" s="80">
        <v>30961</v>
      </c>
    </row>
    <row r="6" spans="1:25" ht="15" customHeight="1" x14ac:dyDescent="0.25">
      <c r="A6" s="52">
        <v>4</v>
      </c>
      <c r="B6" s="487"/>
      <c r="C6" s="470"/>
      <c r="D6" s="18"/>
      <c r="E6" s="11"/>
      <c r="F6" s="160"/>
      <c r="G6" s="179"/>
      <c r="H6" s="68"/>
      <c r="I6" s="217"/>
      <c r="J6" s="34" t="str">
        <f t="shared" si="0"/>
        <v/>
      </c>
      <c r="K6" s="19"/>
      <c r="L6" s="22"/>
      <c r="M6" s="91" t="str">
        <f t="shared" si="1"/>
        <v/>
      </c>
      <c r="N6" s="10" t="str">
        <f t="shared" si="2"/>
        <v/>
      </c>
      <c r="O6" s="34" t="str">
        <f t="shared" si="5"/>
        <v/>
      </c>
      <c r="P6" s="14"/>
      <c r="Q6" s="15"/>
      <c r="R6" s="16" t="str">
        <f t="shared" si="6"/>
        <v/>
      </c>
      <c r="S6" s="17"/>
      <c r="T6" s="34" t="str">
        <f t="shared" si="3"/>
        <v/>
      </c>
      <c r="U6" s="25">
        <v>4</v>
      </c>
      <c r="W6" s="472"/>
      <c r="X6" t="str">
        <f t="shared" si="4"/>
        <v/>
      </c>
      <c r="Y6" s="80">
        <v>23646</v>
      </c>
    </row>
    <row r="7" spans="1:25" s="8" customFormat="1" ht="15" customHeight="1" x14ac:dyDescent="0.25">
      <c r="A7" s="52">
        <v>5</v>
      </c>
      <c r="B7" s="487"/>
      <c r="C7" s="470"/>
      <c r="D7" s="11"/>
      <c r="E7" s="17"/>
      <c r="F7" s="160"/>
      <c r="G7" s="186"/>
      <c r="H7" s="68"/>
      <c r="I7" s="217"/>
      <c r="J7" s="34" t="str">
        <f t="shared" si="0"/>
        <v/>
      </c>
      <c r="K7" s="12"/>
      <c r="L7" s="189"/>
      <c r="M7" s="91" t="str">
        <f t="shared" si="1"/>
        <v/>
      </c>
      <c r="N7" s="10" t="str">
        <f t="shared" si="2"/>
        <v/>
      </c>
      <c r="O7" s="34" t="str">
        <f t="shared" si="5"/>
        <v/>
      </c>
      <c r="P7" s="14"/>
      <c r="Q7" s="59"/>
      <c r="R7" s="16" t="str">
        <f t="shared" si="6"/>
        <v/>
      </c>
      <c r="S7" s="60"/>
      <c r="T7" s="34" t="str">
        <f t="shared" si="3"/>
        <v/>
      </c>
      <c r="U7" s="25">
        <v>65</v>
      </c>
      <c r="V7" s="2"/>
      <c r="W7" s="472"/>
      <c r="X7" t="str">
        <f t="shared" si="4"/>
        <v/>
      </c>
      <c r="Y7" s="80">
        <v>40383</v>
      </c>
    </row>
    <row r="8" spans="1:25" ht="15" customHeight="1" x14ac:dyDescent="0.25">
      <c r="A8" s="52">
        <v>7</v>
      </c>
      <c r="B8" s="487"/>
      <c r="C8" s="470"/>
      <c r="D8" s="11"/>
      <c r="E8" s="17"/>
      <c r="F8" s="160"/>
      <c r="G8" s="179"/>
      <c r="H8" s="70"/>
      <c r="I8" s="218"/>
      <c r="J8" s="34" t="str">
        <f t="shared" si="0"/>
        <v/>
      </c>
      <c r="K8" s="12"/>
      <c r="L8" s="22"/>
      <c r="M8" s="91" t="str">
        <f t="shared" si="1"/>
        <v/>
      </c>
      <c r="N8" s="10" t="str">
        <f t="shared" si="2"/>
        <v/>
      </c>
      <c r="O8" s="34" t="str">
        <f t="shared" si="5"/>
        <v/>
      </c>
      <c r="P8" s="14"/>
      <c r="Q8" s="15"/>
      <c r="R8" s="16" t="str">
        <f t="shared" si="6"/>
        <v/>
      </c>
      <c r="S8" s="17"/>
      <c r="T8" s="34" t="str">
        <f t="shared" si="3"/>
        <v/>
      </c>
      <c r="U8" s="25">
        <v>7</v>
      </c>
      <c r="W8" s="472"/>
      <c r="X8" t="str">
        <f t="shared" si="4"/>
        <v/>
      </c>
      <c r="Y8" s="80">
        <v>12509</v>
      </c>
    </row>
    <row r="9" spans="1:25" ht="15" customHeight="1" x14ac:dyDescent="0.25">
      <c r="A9" s="52">
        <v>8</v>
      </c>
      <c r="B9" s="487"/>
      <c r="C9" s="470"/>
      <c r="D9" s="11"/>
      <c r="E9" s="17"/>
      <c r="F9" s="160"/>
      <c r="G9" s="181"/>
      <c r="H9" s="70"/>
      <c r="I9" s="218"/>
      <c r="J9" s="34" t="str">
        <f t="shared" si="0"/>
        <v/>
      </c>
      <c r="K9" s="12"/>
      <c r="L9" s="22"/>
      <c r="M9" s="91" t="str">
        <f t="shared" si="1"/>
        <v/>
      </c>
      <c r="N9" s="10" t="str">
        <f t="shared" si="2"/>
        <v/>
      </c>
      <c r="O9" s="34" t="str">
        <f t="shared" si="5"/>
        <v/>
      </c>
      <c r="P9" s="14"/>
      <c r="Q9" s="15"/>
      <c r="R9" s="16" t="str">
        <f t="shared" si="6"/>
        <v/>
      </c>
      <c r="S9" s="17"/>
      <c r="T9" s="34" t="str">
        <f t="shared" si="3"/>
        <v/>
      </c>
      <c r="U9" s="25">
        <v>8</v>
      </c>
      <c r="W9" s="472"/>
      <c r="X9" t="str">
        <f t="shared" si="4"/>
        <v/>
      </c>
      <c r="Y9" s="80">
        <v>23822</v>
      </c>
    </row>
    <row r="10" spans="1:25" ht="15" customHeight="1" x14ac:dyDescent="0.25">
      <c r="A10" s="52">
        <v>9</v>
      </c>
      <c r="B10" s="487"/>
      <c r="C10" s="470"/>
      <c r="D10" s="20"/>
      <c r="E10" s="20"/>
      <c r="F10" s="161"/>
      <c r="G10" s="182"/>
      <c r="H10" s="68"/>
      <c r="I10" s="217"/>
      <c r="J10" s="34" t="str">
        <f t="shared" si="0"/>
        <v/>
      </c>
      <c r="K10" s="21"/>
      <c r="L10" s="66"/>
      <c r="M10" s="91" t="str">
        <f t="shared" si="1"/>
        <v/>
      </c>
      <c r="N10" s="10" t="str">
        <f t="shared" si="2"/>
        <v/>
      </c>
      <c r="O10" s="34" t="str">
        <f t="shared" si="5"/>
        <v/>
      </c>
      <c r="P10" s="14"/>
      <c r="Q10" s="15"/>
      <c r="R10" s="16" t="str">
        <f t="shared" si="6"/>
        <v/>
      </c>
      <c r="S10" s="17"/>
      <c r="T10" s="34" t="str">
        <f t="shared" si="3"/>
        <v/>
      </c>
      <c r="U10" s="25">
        <v>9</v>
      </c>
      <c r="W10" s="472"/>
      <c r="X10" t="str">
        <f t="shared" si="4"/>
        <v/>
      </c>
      <c r="Y10" s="71">
        <v>19929</v>
      </c>
    </row>
    <row r="11" spans="1:25" ht="15" customHeight="1" x14ac:dyDescent="0.25">
      <c r="A11" s="52">
        <v>13</v>
      </c>
      <c r="B11" s="487"/>
      <c r="C11" s="470"/>
      <c r="D11" s="11"/>
      <c r="E11" s="11"/>
      <c r="F11" s="160"/>
      <c r="G11" s="179"/>
      <c r="H11" s="68"/>
      <c r="I11" s="51"/>
      <c r="J11" s="34" t="str">
        <f t="shared" si="0"/>
        <v/>
      </c>
      <c r="K11" s="12"/>
      <c r="L11" s="22"/>
      <c r="M11" s="91" t="str">
        <f t="shared" si="1"/>
        <v/>
      </c>
      <c r="N11" s="10" t="str">
        <f t="shared" si="2"/>
        <v/>
      </c>
      <c r="O11" s="34" t="str">
        <f t="shared" si="5"/>
        <v/>
      </c>
      <c r="P11" s="14"/>
      <c r="Q11" s="15"/>
      <c r="R11" s="16" t="str">
        <f t="shared" si="6"/>
        <v/>
      </c>
      <c r="S11" s="17"/>
      <c r="T11" s="34" t="str">
        <f t="shared" si="3"/>
        <v/>
      </c>
      <c r="U11" s="25">
        <v>13</v>
      </c>
      <c r="W11" s="472"/>
      <c r="X11" t="str">
        <f t="shared" si="4"/>
        <v/>
      </c>
      <c r="Y11" s="80">
        <v>23878</v>
      </c>
    </row>
    <row r="12" spans="1:25" ht="15" customHeight="1" x14ac:dyDescent="0.25">
      <c r="A12" s="52">
        <v>15</v>
      </c>
      <c r="B12" s="487"/>
      <c r="C12" s="470"/>
      <c r="D12" s="20"/>
      <c r="E12" s="20"/>
      <c r="F12" s="161"/>
      <c r="G12" s="182"/>
      <c r="H12" s="68"/>
      <c r="I12" s="217"/>
      <c r="J12" s="34" t="str">
        <f t="shared" si="0"/>
        <v/>
      </c>
      <c r="K12" s="21"/>
      <c r="L12" s="66"/>
      <c r="M12" s="91" t="str">
        <f t="shared" si="1"/>
        <v/>
      </c>
      <c r="N12" s="10" t="str">
        <f t="shared" si="2"/>
        <v/>
      </c>
      <c r="O12" s="34" t="str">
        <f t="shared" si="5"/>
        <v/>
      </c>
      <c r="P12" s="14"/>
      <c r="Q12" s="15"/>
      <c r="R12" s="16" t="str">
        <f t="shared" si="6"/>
        <v/>
      </c>
      <c r="S12" s="17"/>
      <c r="T12" s="34" t="str">
        <f>IF(ISBLANK(S12),"",S12)</f>
        <v/>
      </c>
      <c r="U12" s="25">
        <v>15</v>
      </c>
      <c r="W12" s="472"/>
      <c r="X12" t="str">
        <f t="shared" si="4"/>
        <v/>
      </c>
      <c r="Y12" s="71">
        <v>23916</v>
      </c>
    </row>
    <row r="13" spans="1:25" ht="15" customHeight="1" x14ac:dyDescent="0.25">
      <c r="A13" s="52">
        <v>16</v>
      </c>
      <c r="B13" s="487"/>
      <c r="C13" s="470"/>
      <c r="D13" s="20"/>
      <c r="E13" s="20"/>
      <c r="F13" s="161"/>
      <c r="G13" s="180"/>
      <c r="H13" s="70"/>
      <c r="I13" s="218"/>
      <c r="J13" s="34" t="str">
        <f t="shared" si="0"/>
        <v/>
      </c>
      <c r="K13" s="21"/>
      <c r="L13" s="66"/>
      <c r="M13" s="91" t="str">
        <f t="shared" si="1"/>
        <v/>
      </c>
      <c r="N13" s="10" t="str">
        <f t="shared" si="2"/>
        <v/>
      </c>
      <c r="O13" s="34" t="str">
        <f t="shared" si="5"/>
        <v/>
      </c>
      <c r="P13" s="14"/>
      <c r="Q13" s="15"/>
      <c r="R13" s="16" t="str">
        <f t="shared" si="6"/>
        <v/>
      </c>
      <c r="S13" s="17"/>
      <c r="T13" s="34" t="str">
        <f>IF(ISBLANK(S13),"",S13)</f>
        <v/>
      </c>
      <c r="U13" s="25">
        <v>16</v>
      </c>
      <c r="W13" s="472"/>
      <c r="X13" t="str">
        <f t="shared" si="4"/>
        <v/>
      </c>
      <c r="Y13" s="80">
        <v>37057</v>
      </c>
    </row>
    <row r="14" spans="1:25" ht="15" customHeight="1" x14ac:dyDescent="0.25">
      <c r="A14" s="52">
        <v>17</v>
      </c>
      <c r="B14" s="487"/>
      <c r="C14" s="470"/>
      <c r="D14" s="20"/>
      <c r="E14" s="20"/>
      <c r="F14" s="161"/>
      <c r="G14" s="182"/>
      <c r="H14" s="68"/>
      <c r="I14" s="217"/>
      <c r="J14" s="34" t="str">
        <f t="shared" si="0"/>
        <v/>
      </c>
      <c r="K14" s="21"/>
      <c r="L14" s="66"/>
      <c r="M14" s="91" t="str">
        <f t="shared" si="1"/>
        <v/>
      </c>
      <c r="N14" s="10" t="str">
        <f t="shared" si="2"/>
        <v/>
      </c>
      <c r="O14" s="34" t="str">
        <f t="shared" si="5"/>
        <v/>
      </c>
      <c r="P14" s="14"/>
      <c r="Q14" s="15"/>
      <c r="R14" s="16" t="str">
        <f t="shared" si="6"/>
        <v/>
      </c>
      <c r="S14" s="17"/>
      <c r="T14" s="34" t="str">
        <f>IF(ISBLANK(S14),"",S14)</f>
        <v/>
      </c>
      <c r="U14" s="25">
        <v>17</v>
      </c>
      <c r="W14" s="472"/>
      <c r="X14" t="str">
        <f t="shared" si="4"/>
        <v/>
      </c>
      <c r="Y14" s="71">
        <v>26232</v>
      </c>
    </row>
    <row r="15" spans="1:25" ht="15" customHeight="1" x14ac:dyDescent="0.25">
      <c r="A15" s="52">
        <v>18</v>
      </c>
      <c r="B15" s="487"/>
      <c r="C15" s="470"/>
      <c r="D15" s="20"/>
      <c r="E15" s="20"/>
      <c r="F15" s="161"/>
      <c r="G15" s="180"/>
      <c r="H15" s="68"/>
      <c r="I15" s="217"/>
      <c r="J15" s="34" t="str">
        <f t="shared" si="0"/>
        <v/>
      </c>
      <c r="K15" s="21"/>
      <c r="L15" s="66"/>
      <c r="M15" s="91" t="str">
        <f t="shared" si="1"/>
        <v/>
      </c>
      <c r="N15" s="10" t="str">
        <f t="shared" si="2"/>
        <v/>
      </c>
      <c r="O15" s="34" t="str">
        <f t="shared" si="5"/>
        <v/>
      </c>
      <c r="P15" s="14"/>
      <c r="Q15" s="15"/>
      <c r="R15" s="16" t="str">
        <f t="shared" si="6"/>
        <v/>
      </c>
      <c r="S15" s="17"/>
      <c r="T15" s="34"/>
      <c r="U15" s="25"/>
      <c r="W15" s="472"/>
      <c r="X15" s="469" t="str">
        <f>IF(P15&lt;&gt;"Aéro","",IF(ISBLANK(Q15),B15,""))</f>
        <v/>
      </c>
      <c r="Y15" s="71">
        <v>30517</v>
      </c>
    </row>
    <row r="16" spans="1:25" ht="15" customHeight="1" x14ac:dyDescent="0.25">
      <c r="A16" s="52">
        <v>19</v>
      </c>
      <c r="B16" s="487"/>
      <c r="C16" s="470"/>
      <c r="D16" s="18"/>
      <c r="E16" s="11"/>
      <c r="F16" s="160"/>
      <c r="G16" s="179"/>
      <c r="H16" s="68"/>
      <c r="I16" s="217"/>
      <c r="J16" s="34" t="str">
        <f t="shared" si="0"/>
        <v/>
      </c>
      <c r="K16" s="12"/>
      <c r="L16" s="22"/>
      <c r="M16" s="91" t="str">
        <f t="shared" si="1"/>
        <v/>
      </c>
      <c r="N16" s="10" t="str">
        <f t="shared" si="2"/>
        <v/>
      </c>
      <c r="O16" s="34" t="str">
        <f t="shared" si="5"/>
        <v/>
      </c>
      <c r="P16" s="14"/>
      <c r="Q16" s="15"/>
      <c r="R16" s="16" t="str">
        <f t="shared" si="6"/>
        <v/>
      </c>
      <c r="S16" s="17"/>
      <c r="T16" s="34" t="str">
        <f t="shared" ref="T16:T29" si="7">IF(ISBLANK(S16),"",S16)</f>
        <v/>
      </c>
      <c r="U16" s="25">
        <v>19</v>
      </c>
      <c r="W16" s="472"/>
      <c r="X16" t="str">
        <f t="shared" ref="X16:X30" si="8">IF(P16&lt;&gt;"Aéro","",IF(ISBLANK(Q16),B16,""))</f>
        <v/>
      </c>
      <c r="Y16" s="80">
        <v>23940</v>
      </c>
    </row>
    <row r="17" spans="1:25" ht="15" customHeight="1" x14ac:dyDescent="0.25">
      <c r="A17" s="52">
        <v>20</v>
      </c>
      <c r="B17" s="487"/>
      <c r="C17" s="470"/>
      <c r="D17" s="11"/>
      <c r="E17" s="11"/>
      <c r="F17" s="160"/>
      <c r="G17" s="181"/>
      <c r="H17" s="70"/>
      <c r="I17" s="218"/>
      <c r="J17" s="34" t="str">
        <f t="shared" si="0"/>
        <v/>
      </c>
      <c r="K17" s="12"/>
      <c r="L17" s="22"/>
      <c r="M17" s="91" t="str">
        <f t="shared" si="1"/>
        <v/>
      </c>
      <c r="N17" s="10" t="str">
        <f t="shared" si="2"/>
        <v/>
      </c>
      <c r="O17" s="34" t="str">
        <f t="shared" si="5"/>
        <v/>
      </c>
      <c r="P17" s="14"/>
      <c r="Q17" s="15"/>
      <c r="R17" s="16" t="str">
        <f t="shared" si="6"/>
        <v/>
      </c>
      <c r="S17" s="17"/>
      <c r="T17" s="34" t="str">
        <f t="shared" si="7"/>
        <v/>
      </c>
      <c r="U17" s="25">
        <v>20</v>
      </c>
      <c r="W17" s="472"/>
      <c r="X17" t="str">
        <f t="shared" si="8"/>
        <v/>
      </c>
      <c r="Y17" s="80">
        <v>26361</v>
      </c>
    </row>
    <row r="18" spans="1:25" ht="15" customHeight="1" x14ac:dyDescent="0.25">
      <c r="A18" s="52">
        <v>21</v>
      </c>
      <c r="B18" s="487"/>
      <c r="C18" s="470"/>
      <c r="D18" s="17"/>
      <c r="E18" s="11"/>
      <c r="F18" s="160"/>
      <c r="G18" s="179"/>
      <c r="H18" s="70"/>
      <c r="I18" s="218"/>
      <c r="J18" s="34" t="str">
        <f t="shared" si="0"/>
        <v/>
      </c>
      <c r="K18" s="12"/>
      <c r="L18" s="22"/>
      <c r="M18" s="91" t="str">
        <f t="shared" si="1"/>
        <v/>
      </c>
      <c r="N18" s="10" t="str">
        <f t="shared" si="2"/>
        <v/>
      </c>
      <c r="O18" s="34" t="str">
        <f t="shared" si="5"/>
        <v/>
      </c>
      <c r="P18" s="14"/>
      <c r="Q18" s="15"/>
      <c r="R18" s="16" t="str">
        <f t="shared" si="6"/>
        <v/>
      </c>
      <c r="S18" s="17"/>
      <c r="T18" s="34" t="str">
        <f t="shared" si="7"/>
        <v/>
      </c>
      <c r="U18" s="25">
        <v>21</v>
      </c>
      <c r="W18" s="472"/>
      <c r="X18" t="str">
        <f t="shared" si="8"/>
        <v/>
      </c>
      <c r="Y18" s="80">
        <v>18589</v>
      </c>
    </row>
    <row r="19" spans="1:25" ht="15" customHeight="1" x14ac:dyDescent="0.25">
      <c r="A19" s="52">
        <v>22</v>
      </c>
      <c r="B19" s="487"/>
      <c r="C19" s="470"/>
      <c r="D19" s="17"/>
      <c r="E19" s="17"/>
      <c r="F19" s="160"/>
      <c r="G19" s="76"/>
      <c r="H19" s="70"/>
      <c r="I19" s="218"/>
      <c r="J19" s="34" t="str">
        <f t="shared" si="0"/>
        <v/>
      </c>
      <c r="K19" s="12"/>
      <c r="L19" s="22"/>
      <c r="M19" s="91" t="str">
        <f t="shared" si="1"/>
        <v/>
      </c>
      <c r="N19" s="10" t="str">
        <f t="shared" si="2"/>
        <v/>
      </c>
      <c r="O19" s="34" t="str">
        <f t="shared" si="5"/>
        <v/>
      </c>
      <c r="P19" s="14"/>
      <c r="Q19" s="15"/>
      <c r="R19" s="16" t="str">
        <f t="shared" si="6"/>
        <v/>
      </c>
      <c r="S19" s="17"/>
      <c r="T19" s="34" t="str">
        <f t="shared" si="7"/>
        <v/>
      </c>
      <c r="U19" s="25">
        <v>22</v>
      </c>
      <c r="W19" s="472"/>
      <c r="X19" t="str">
        <f t="shared" si="8"/>
        <v/>
      </c>
      <c r="Y19" s="80">
        <v>26471</v>
      </c>
    </row>
    <row r="20" spans="1:25" ht="15" customHeight="1" x14ac:dyDescent="0.25">
      <c r="A20" s="52">
        <v>23</v>
      </c>
      <c r="B20" s="488"/>
      <c r="C20" s="499"/>
      <c r="D20" s="20"/>
      <c r="E20" s="20"/>
      <c r="F20" s="161"/>
      <c r="G20" s="455"/>
      <c r="H20" s="68"/>
      <c r="I20" s="217"/>
      <c r="J20" s="34" t="str">
        <f>IF(ISBLANK(B20),"",IF(LEFT(B20,2)="M.","M","F"))</f>
        <v/>
      </c>
      <c r="K20" s="21"/>
      <c r="L20" s="456"/>
      <c r="M20" s="91" t="str">
        <f t="shared" si="1"/>
        <v/>
      </c>
      <c r="N20" s="10" t="str">
        <f t="shared" si="2"/>
        <v/>
      </c>
      <c r="O20" s="34" t="str">
        <f t="shared" si="5"/>
        <v/>
      </c>
      <c r="P20" s="14"/>
      <c r="Q20" s="15"/>
      <c r="R20" s="16" t="str">
        <f t="shared" si="6"/>
        <v/>
      </c>
      <c r="S20" s="17"/>
      <c r="T20" s="34"/>
      <c r="U20" s="25"/>
      <c r="W20" s="472"/>
      <c r="X20" t="str">
        <f>IF(P20&lt;&gt;"Aéro","",IF(ISBLANK(Q20),B20,""))</f>
        <v/>
      </c>
      <c r="Y20" s="71">
        <v>23504</v>
      </c>
    </row>
    <row r="21" spans="1:25" ht="15" customHeight="1" x14ac:dyDescent="0.25">
      <c r="A21" s="52">
        <v>25</v>
      </c>
      <c r="B21" s="487"/>
      <c r="C21" s="470"/>
      <c r="D21" s="34"/>
      <c r="E21" s="34"/>
      <c r="F21" s="159"/>
      <c r="G21" s="184"/>
      <c r="H21" s="70"/>
      <c r="I21" s="218"/>
      <c r="J21" s="34" t="str">
        <f t="shared" si="0"/>
        <v/>
      </c>
      <c r="K21" s="12"/>
      <c r="L21" s="22"/>
      <c r="M21" s="91" t="str">
        <f t="shared" si="1"/>
        <v/>
      </c>
      <c r="N21" s="10" t="str">
        <f t="shared" si="2"/>
        <v/>
      </c>
      <c r="O21" s="34" t="str">
        <f t="shared" si="5"/>
        <v/>
      </c>
      <c r="P21" s="14"/>
      <c r="Q21" s="15"/>
      <c r="R21" s="16" t="str">
        <f t="shared" si="6"/>
        <v/>
      </c>
      <c r="S21" s="17"/>
      <c r="T21" s="34" t="str">
        <f t="shared" si="7"/>
        <v/>
      </c>
      <c r="U21" s="25">
        <v>25</v>
      </c>
      <c r="W21" s="472"/>
      <c r="X21" t="str">
        <f t="shared" si="8"/>
        <v/>
      </c>
      <c r="Y21" s="80">
        <v>27494</v>
      </c>
    </row>
    <row r="22" spans="1:25" ht="15" customHeight="1" x14ac:dyDescent="0.25">
      <c r="A22" s="52">
        <v>26</v>
      </c>
      <c r="B22" s="487"/>
      <c r="C22" s="470"/>
      <c r="D22" s="17"/>
      <c r="E22" s="17"/>
      <c r="F22" s="160"/>
      <c r="G22" s="184"/>
      <c r="H22" s="70"/>
      <c r="I22" s="218"/>
      <c r="J22" s="34" t="str">
        <f t="shared" si="0"/>
        <v/>
      </c>
      <c r="K22" s="12"/>
      <c r="L22" s="22"/>
      <c r="M22" s="91" t="str">
        <f t="shared" si="1"/>
        <v/>
      </c>
      <c r="N22" s="10" t="str">
        <f t="shared" si="2"/>
        <v/>
      </c>
      <c r="O22" s="34" t="str">
        <f t="shared" si="5"/>
        <v/>
      </c>
      <c r="P22" s="14"/>
      <c r="Q22" s="15"/>
      <c r="R22" s="16" t="str">
        <f t="shared" si="6"/>
        <v/>
      </c>
      <c r="S22" s="17"/>
      <c r="T22" s="34" t="str">
        <f t="shared" si="7"/>
        <v/>
      </c>
      <c r="U22" s="25">
        <v>26</v>
      </c>
      <c r="W22" s="472"/>
      <c r="X22" t="str">
        <f t="shared" si="8"/>
        <v/>
      </c>
      <c r="Y22" s="80">
        <v>21615</v>
      </c>
    </row>
    <row r="23" spans="1:25" ht="15" customHeight="1" x14ac:dyDescent="0.25">
      <c r="A23" s="52">
        <v>27</v>
      </c>
      <c r="B23" s="487"/>
      <c r="C23" s="470"/>
      <c r="D23" s="17"/>
      <c r="E23" s="17"/>
      <c r="F23" s="160"/>
      <c r="G23" s="184"/>
      <c r="H23" s="70"/>
      <c r="I23" s="218"/>
      <c r="J23" s="34" t="str">
        <f t="shared" si="0"/>
        <v/>
      </c>
      <c r="K23" s="12"/>
      <c r="L23" s="22"/>
      <c r="M23" s="91" t="str">
        <f t="shared" si="1"/>
        <v/>
      </c>
      <c r="N23" s="10" t="str">
        <f t="shared" si="2"/>
        <v/>
      </c>
      <c r="O23" s="34" t="str">
        <f t="shared" si="5"/>
        <v/>
      </c>
      <c r="P23" s="14"/>
      <c r="Q23" s="15"/>
      <c r="R23" s="16" t="str">
        <f t="shared" si="6"/>
        <v/>
      </c>
      <c r="S23" s="17"/>
      <c r="T23" s="34" t="str">
        <f t="shared" si="7"/>
        <v/>
      </c>
      <c r="U23" s="25">
        <v>27</v>
      </c>
      <c r="W23" s="472"/>
      <c r="X23" t="str">
        <f t="shared" si="8"/>
        <v/>
      </c>
      <c r="Y23" s="80">
        <v>21963</v>
      </c>
    </row>
    <row r="24" spans="1:25" ht="15" customHeight="1" x14ac:dyDescent="0.25">
      <c r="A24" s="52">
        <v>28</v>
      </c>
      <c r="B24" s="487"/>
      <c r="C24" s="470"/>
      <c r="D24" s="17"/>
      <c r="E24" s="17"/>
      <c r="F24" s="160"/>
      <c r="G24" s="184"/>
      <c r="H24" s="70"/>
      <c r="I24" s="218"/>
      <c r="J24" s="34" t="str">
        <f t="shared" si="0"/>
        <v/>
      </c>
      <c r="K24" s="12"/>
      <c r="L24" s="22"/>
      <c r="M24" s="91" t="str">
        <f t="shared" si="1"/>
        <v/>
      </c>
      <c r="N24" s="10" t="str">
        <f t="shared" si="2"/>
        <v/>
      </c>
      <c r="O24" s="34" t="str">
        <f t="shared" si="5"/>
        <v/>
      </c>
      <c r="P24" s="14"/>
      <c r="Q24" s="15"/>
      <c r="R24" s="16" t="str">
        <f t="shared" si="6"/>
        <v/>
      </c>
      <c r="S24" s="136"/>
      <c r="T24" s="34" t="str">
        <f t="shared" si="7"/>
        <v/>
      </c>
      <c r="U24" s="25">
        <v>28</v>
      </c>
      <c r="W24" s="472"/>
      <c r="X24" t="str">
        <f t="shared" si="8"/>
        <v/>
      </c>
      <c r="Y24" s="80">
        <v>30130</v>
      </c>
    </row>
    <row r="25" spans="1:25" s="8" customFormat="1" ht="15" customHeight="1" x14ac:dyDescent="0.25">
      <c r="A25" s="52">
        <v>30</v>
      </c>
      <c r="B25" s="487"/>
      <c r="C25" s="470"/>
      <c r="D25" s="11"/>
      <c r="E25" s="17"/>
      <c r="F25" s="160"/>
      <c r="G25" s="186"/>
      <c r="H25" s="68"/>
      <c r="I25" s="217"/>
      <c r="J25" s="34" t="str">
        <f t="shared" ref="J25" si="9">IF(ISBLANK(B25),"",IF(LEFT(B25,2)="M.","M","F"))</f>
        <v/>
      </c>
      <c r="K25" s="12"/>
      <c r="L25" s="189"/>
      <c r="M25" s="91" t="str">
        <f t="shared" si="1"/>
        <v/>
      </c>
      <c r="N25" s="10" t="str">
        <f t="shared" si="2"/>
        <v/>
      </c>
      <c r="O25" s="34" t="str">
        <f t="shared" si="5"/>
        <v/>
      </c>
      <c r="P25" s="14"/>
      <c r="Q25" s="59"/>
      <c r="R25" s="16" t="str">
        <f t="shared" si="6"/>
        <v/>
      </c>
      <c r="S25" s="60"/>
      <c r="T25" s="34"/>
      <c r="U25" s="25"/>
      <c r="V25" s="2"/>
      <c r="W25" s="472"/>
      <c r="X25" t="str">
        <f t="shared" si="8"/>
        <v/>
      </c>
      <c r="Y25" s="80">
        <v>27413</v>
      </c>
    </row>
    <row r="26" spans="1:25" ht="15" customHeight="1" x14ac:dyDescent="0.25">
      <c r="A26" s="52">
        <v>31</v>
      </c>
      <c r="B26" s="487"/>
      <c r="C26" s="470"/>
      <c r="D26" s="17"/>
      <c r="E26" s="17"/>
      <c r="F26" s="368"/>
      <c r="G26" s="184"/>
      <c r="H26" s="369"/>
      <c r="I26" s="220"/>
      <c r="J26" s="34" t="str">
        <f t="shared" si="0"/>
        <v/>
      </c>
      <c r="K26" s="12"/>
      <c r="L26" s="22"/>
      <c r="M26" s="91" t="str">
        <f t="shared" si="1"/>
        <v/>
      </c>
      <c r="N26" s="10" t="str">
        <f t="shared" si="2"/>
        <v/>
      </c>
      <c r="O26" s="34" t="str">
        <f t="shared" si="5"/>
        <v/>
      </c>
      <c r="P26" s="14"/>
      <c r="Q26" s="15"/>
      <c r="R26" s="16" t="str">
        <f t="shared" si="6"/>
        <v/>
      </c>
      <c r="S26" s="17"/>
      <c r="T26" s="34" t="str">
        <f t="shared" si="7"/>
        <v/>
      </c>
      <c r="U26" s="25">
        <v>31</v>
      </c>
      <c r="W26" s="472"/>
      <c r="X26" t="str">
        <f t="shared" si="8"/>
        <v/>
      </c>
      <c r="Y26" s="80">
        <v>21512</v>
      </c>
    </row>
    <row r="27" spans="1:25" ht="15" customHeight="1" x14ac:dyDescent="0.25">
      <c r="A27" s="52">
        <v>32</v>
      </c>
      <c r="B27" s="487"/>
      <c r="C27" s="470"/>
      <c r="D27" s="17"/>
      <c r="E27" s="17"/>
      <c r="F27" s="160"/>
      <c r="G27" s="370"/>
      <c r="H27" s="70"/>
      <c r="I27" s="218"/>
      <c r="J27" s="34" t="str">
        <f t="shared" si="0"/>
        <v/>
      </c>
      <c r="K27" s="12"/>
      <c r="L27" s="22"/>
      <c r="M27" s="91" t="str">
        <f t="shared" si="1"/>
        <v/>
      </c>
      <c r="N27" s="10" t="str">
        <f t="shared" si="2"/>
        <v/>
      </c>
      <c r="O27" s="34" t="str">
        <f t="shared" si="5"/>
        <v/>
      </c>
      <c r="P27" s="14"/>
      <c r="Q27" s="15"/>
      <c r="R27" s="16" t="str">
        <f t="shared" si="6"/>
        <v/>
      </c>
      <c r="S27" s="17"/>
      <c r="T27" s="34" t="str">
        <f t="shared" si="7"/>
        <v/>
      </c>
      <c r="U27" s="25">
        <v>32</v>
      </c>
      <c r="W27" s="472"/>
      <c r="X27" t="str">
        <f t="shared" si="8"/>
        <v/>
      </c>
      <c r="Y27" s="80">
        <v>27899</v>
      </c>
    </row>
    <row r="28" spans="1:25" ht="15" customHeight="1" x14ac:dyDescent="0.25">
      <c r="A28" s="52">
        <v>35</v>
      </c>
      <c r="B28" s="487"/>
      <c r="C28" s="470"/>
      <c r="D28" s="17"/>
      <c r="E28" s="17"/>
      <c r="F28" s="160"/>
      <c r="G28" s="184"/>
      <c r="H28" s="70"/>
      <c r="I28" s="218"/>
      <c r="J28" s="34" t="str">
        <f t="shared" si="0"/>
        <v/>
      </c>
      <c r="K28" s="12"/>
      <c r="L28" s="13"/>
      <c r="M28" s="91" t="str">
        <f t="shared" si="1"/>
        <v/>
      </c>
      <c r="N28" s="10" t="str">
        <f t="shared" si="2"/>
        <v/>
      </c>
      <c r="O28" s="34" t="str">
        <f t="shared" si="5"/>
        <v/>
      </c>
      <c r="P28" s="14"/>
      <c r="Q28" s="15"/>
      <c r="R28" s="16" t="str">
        <f t="shared" si="6"/>
        <v/>
      </c>
      <c r="S28" s="17"/>
      <c r="T28" s="34" t="str">
        <f t="shared" si="7"/>
        <v/>
      </c>
      <c r="U28" s="25">
        <v>35</v>
      </c>
      <c r="W28" s="472"/>
      <c r="X28" t="str">
        <f t="shared" si="8"/>
        <v/>
      </c>
      <c r="Y28" s="80">
        <v>21617</v>
      </c>
    </row>
    <row r="29" spans="1:25" ht="15" customHeight="1" x14ac:dyDescent="0.25">
      <c r="A29" s="52">
        <v>38</v>
      </c>
      <c r="B29" s="487"/>
      <c r="C29" s="470"/>
      <c r="D29" s="24"/>
      <c r="E29" s="17"/>
      <c r="F29" s="160"/>
      <c r="G29" s="185"/>
      <c r="H29" s="70"/>
      <c r="I29" s="218"/>
      <c r="J29" s="34" t="str">
        <f t="shared" si="0"/>
        <v/>
      </c>
      <c r="K29" s="12"/>
      <c r="L29" s="22"/>
      <c r="M29" s="91" t="str">
        <f t="shared" si="1"/>
        <v/>
      </c>
      <c r="N29" s="10" t="str">
        <f t="shared" si="2"/>
        <v/>
      </c>
      <c r="O29" s="34" t="str">
        <f t="shared" si="5"/>
        <v/>
      </c>
      <c r="P29" s="14"/>
      <c r="Q29" s="15"/>
      <c r="R29" s="16" t="str">
        <f t="shared" si="6"/>
        <v/>
      </c>
      <c r="S29" s="17"/>
      <c r="T29" s="34" t="str">
        <f t="shared" si="7"/>
        <v/>
      </c>
      <c r="U29" s="25">
        <v>38</v>
      </c>
      <c r="W29" s="472"/>
      <c r="X29" t="str">
        <f t="shared" si="8"/>
        <v/>
      </c>
      <c r="Y29" s="80">
        <v>22938</v>
      </c>
    </row>
    <row r="30" spans="1:25" ht="15" customHeight="1" x14ac:dyDescent="0.25">
      <c r="A30" s="52">
        <v>39</v>
      </c>
      <c r="B30" s="498"/>
      <c r="C30" s="470"/>
      <c r="D30" s="24"/>
      <c r="E30" s="17"/>
      <c r="F30" s="160"/>
      <c r="G30" s="184"/>
      <c r="H30" s="70"/>
      <c r="I30" s="218"/>
      <c r="J30" s="34"/>
      <c r="K30" s="12"/>
      <c r="L30" s="22"/>
      <c r="M30" s="91" t="str">
        <f t="shared" si="1"/>
        <v/>
      </c>
      <c r="N30" s="10" t="str">
        <f t="shared" si="2"/>
        <v/>
      </c>
      <c r="O30" s="34" t="str">
        <f t="shared" ref="O30" si="10">IF(ISBLANK($Q30),"",IF(N30&gt;=18,"Majeur","mineur"))</f>
        <v/>
      </c>
      <c r="P30" s="14"/>
      <c r="Q30" s="15"/>
      <c r="R30" s="16" t="str">
        <f t="shared" si="6"/>
        <v/>
      </c>
      <c r="S30" s="17"/>
      <c r="T30" s="34"/>
      <c r="U30" s="25"/>
      <c r="W30" s="472"/>
      <c r="X30" t="str">
        <f t="shared" si="8"/>
        <v/>
      </c>
      <c r="Y30" s="80">
        <v>30995</v>
      </c>
    </row>
    <row r="31" spans="1:25" ht="15" customHeight="1" x14ac:dyDescent="0.25">
      <c r="A31" s="52">
        <v>40</v>
      </c>
      <c r="B31" s="487"/>
      <c r="C31" s="470"/>
      <c r="D31" s="17"/>
      <c r="E31" s="17"/>
      <c r="F31" s="160"/>
      <c r="G31" s="186"/>
      <c r="H31" s="70"/>
      <c r="I31" s="218"/>
      <c r="J31" s="34" t="str">
        <f t="shared" si="0"/>
        <v/>
      </c>
      <c r="K31" s="12"/>
      <c r="L31" s="67"/>
      <c r="M31" s="91" t="str">
        <f t="shared" si="1"/>
        <v/>
      </c>
      <c r="N31" s="10" t="str">
        <f t="shared" si="2"/>
        <v/>
      </c>
      <c r="O31" s="34" t="str">
        <f t="shared" si="5"/>
        <v/>
      </c>
      <c r="P31" s="14"/>
      <c r="Q31" s="15"/>
      <c r="R31" s="16" t="str">
        <f t="shared" si="6"/>
        <v/>
      </c>
      <c r="S31" s="17"/>
      <c r="T31" s="34" t="e">
        <f>IF(ISBLANK(#REF!),"",#REF!)</f>
        <v>#REF!</v>
      </c>
      <c r="U31" s="25">
        <v>40</v>
      </c>
      <c r="W31" s="472"/>
      <c r="X31" t="str">
        <f>IF(P31&lt;&gt;"Aéro","",IF(ISBLANK(Q31),B31,""))</f>
        <v/>
      </c>
      <c r="Y31" s="80">
        <v>34751</v>
      </c>
    </row>
    <row r="32" spans="1:25" x14ac:dyDescent="0.25">
      <c r="A32" s="52">
        <v>50</v>
      </c>
      <c r="B32" s="486"/>
      <c r="C32" s="500"/>
      <c r="D32" s="34"/>
      <c r="E32" s="34"/>
      <c r="F32" s="159"/>
      <c r="G32" s="76"/>
      <c r="H32" s="74"/>
      <c r="I32" s="219"/>
      <c r="J32" s="34" t="str">
        <f t="shared" si="0"/>
        <v/>
      </c>
      <c r="K32" s="77"/>
      <c r="L32" s="77"/>
      <c r="M32" s="91" t="str">
        <f t="shared" si="1"/>
        <v/>
      </c>
      <c r="N32" s="10" t="str">
        <f t="shared" si="2"/>
        <v/>
      </c>
      <c r="O32" s="34" t="str">
        <f t="shared" si="5"/>
        <v/>
      </c>
      <c r="P32" s="14"/>
      <c r="Q32" s="15"/>
      <c r="R32" s="16" t="str">
        <f t="shared" si="6"/>
        <v/>
      </c>
      <c r="S32" s="17"/>
      <c r="T32" s="34" t="str">
        <f t="shared" ref="T32:T44" si="11">IF(ISBLANK(S32),"",S32)</f>
        <v/>
      </c>
      <c r="U32" s="25">
        <v>48</v>
      </c>
      <c r="W32" s="472"/>
      <c r="X32" t="str">
        <f t="shared" ref="X32:X47" si="12">IF(P32&lt;&gt;"Aéro","",IF(ISBLANK(Q32),B32,""))</f>
        <v/>
      </c>
      <c r="Y32" s="91">
        <v>24930</v>
      </c>
    </row>
    <row r="33" spans="1:25" x14ac:dyDescent="0.25">
      <c r="A33" s="52">
        <v>51</v>
      </c>
      <c r="B33" s="486"/>
      <c r="C33" s="500"/>
      <c r="D33" s="34"/>
      <c r="E33" s="34"/>
      <c r="F33" s="159"/>
      <c r="G33" s="76"/>
      <c r="H33" s="74"/>
      <c r="I33" s="219"/>
      <c r="J33" s="34" t="str">
        <f t="shared" si="0"/>
        <v/>
      </c>
      <c r="K33" s="77"/>
      <c r="L33" s="77"/>
      <c r="M33" s="91" t="str">
        <f t="shared" si="1"/>
        <v/>
      </c>
      <c r="N33" s="10" t="str">
        <f t="shared" si="2"/>
        <v/>
      </c>
      <c r="O33" s="34" t="str">
        <f t="shared" si="5"/>
        <v/>
      </c>
      <c r="P33" s="14"/>
      <c r="Q33" s="15"/>
      <c r="R33" s="16" t="str">
        <f t="shared" si="6"/>
        <v/>
      </c>
      <c r="S33" s="17"/>
      <c r="T33" s="34" t="str">
        <f t="shared" si="11"/>
        <v/>
      </c>
      <c r="U33" s="25">
        <v>50</v>
      </c>
      <c r="W33" s="472"/>
      <c r="X33" t="str">
        <f t="shared" si="12"/>
        <v/>
      </c>
      <c r="Y33" s="91">
        <v>24528</v>
      </c>
    </row>
    <row r="34" spans="1:25" x14ac:dyDescent="0.25">
      <c r="A34" s="52">
        <v>53</v>
      </c>
      <c r="B34" s="486"/>
      <c r="C34" s="500"/>
      <c r="D34" s="11"/>
      <c r="E34" s="11"/>
      <c r="F34" s="160"/>
      <c r="G34" s="179"/>
      <c r="H34" s="68"/>
      <c r="I34" s="217"/>
      <c r="J34" s="34" t="str">
        <f t="shared" si="0"/>
        <v/>
      </c>
      <c r="K34" s="12"/>
      <c r="L34" s="22"/>
      <c r="M34" s="91" t="str">
        <f t="shared" si="1"/>
        <v/>
      </c>
      <c r="N34" s="10" t="str">
        <f t="shared" si="2"/>
        <v/>
      </c>
      <c r="O34" s="34" t="str">
        <f t="shared" si="5"/>
        <v/>
      </c>
      <c r="P34" s="14"/>
      <c r="Q34" s="59"/>
      <c r="R34" s="16" t="str">
        <f t="shared" si="6"/>
        <v/>
      </c>
      <c r="S34" s="60"/>
      <c r="T34" s="34" t="str">
        <f t="shared" si="11"/>
        <v/>
      </c>
      <c r="U34" s="25">
        <v>52</v>
      </c>
      <c r="W34" s="472"/>
      <c r="X34" t="str">
        <f t="shared" si="12"/>
        <v/>
      </c>
      <c r="Y34" s="75">
        <v>41685</v>
      </c>
    </row>
    <row r="35" spans="1:25" x14ac:dyDescent="0.25">
      <c r="A35" s="52">
        <v>54</v>
      </c>
      <c r="B35" s="487"/>
      <c r="C35" s="470"/>
      <c r="D35" s="17"/>
      <c r="E35" s="17"/>
      <c r="F35" s="160"/>
      <c r="G35" s="183"/>
      <c r="H35" s="70"/>
      <c r="I35" s="218"/>
      <c r="J35" s="34" t="str">
        <f t="shared" si="0"/>
        <v/>
      </c>
      <c r="K35" s="12"/>
      <c r="L35" s="22"/>
      <c r="M35" s="91" t="str">
        <f t="shared" si="1"/>
        <v/>
      </c>
      <c r="N35" s="10" t="str">
        <f t="shared" si="2"/>
        <v/>
      </c>
      <c r="O35" s="34" t="str">
        <f t="shared" si="5"/>
        <v/>
      </c>
      <c r="P35" s="14"/>
      <c r="Q35" s="138"/>
      <c r="R35" s="16" t="str">
        <f t="shared" si="6"/>
        <v/>
      </c>
      <c r="S35" s="139"/>
      <c r="T35" s="34" t="str">
        <f t="shared" si="11"/>
        <v/>
      </c>
      <c r="U35" s="120">
        <v>53</v>
      </c>
      <c r="W35" s="472"/>
      <c r="X35" t="str">
        <f t="shared" si="12"/>
        <v/>
      </c>
      <c r="Y35" s="80">
        <v>22476</v>
      </c>
    </row>
    <row r="36" spans="1:25" x14ac:dyDescent="0.25">
      <c r="A36" s="52">
        <v>55</v>
      </c>
      <c r="B36" s="486"/>
      <c r="C36" s="500"/>
      <c r="D36" s="34"/>
      <c r="E36" s="34"/>
      <c r="F36" s="159"/>
      <c r="G36" s="76"/>
      <c r="H36" s="74"/>
      <c r="I36" s="219"/>
      <c r="J36" s="34" t="str">
        <f t="shared" si="0"/>
        <v/>
      </c>
      <c r="K36" s="77"/>
      <c r="L36" s="77"/>
      <c r="M36" s="91" t="str">
        <f t="shared" si="1"/>
        <v/>
      </c>
      <c r="N36" s="10" t="str">
        <f t="shared" si="2"/>
        <v/>
      </c>
      <c r="O36" s="34" t="str">
        <f t="shared" si="5"/>
        <v/>
      </c>
      <c r="P36" s="14"/>
      <c r="Q36" s="59"/>
      <c r="R36" s="16" t="str">
        <f t="shared" si="6"/>
        <v/>
      </c>
      <c r="S36" s="60"/>
      <c r="T36" s="34" t="str">
        <f t="shared" si="11"/>
        <v/>
      </c>
      <c r="U36" s="25">
        <v>54</v>
      </c>
      <c r="W36" s="472"/>
      <c r="X36" t="str">
        <f t="shared" si="12"/>
        <v/>
      </c>
      <c r="Y36" s="80">
        <v>24262</v>
      </c>
    </row>
    <row r="37" spans="1:25" s="8" customFormat="1" ht="15" customHeight="1" x14ac:dyDescent="0.25">
      <c r="A37" s="52">
        <v>58</v>
      </c>
      <c r="B37" s="487"/>
      <c r="C37" s="470"/>
      <c r="D37" s="23"/>
      <c r="E37" s="20"/>
      <c r="F37" s="161"/>
      <c r="G37" s="180"/>
      <c r="H37" s="68"/>
      <c r="I37" s="217"/>
      <c r="J37" s="34" t="str">
        <f t="shared" si="0"/>
        <v/>
      </c>
      <c r="K37" s="21"/>
      <c r="L37" s="66"/>
      <c r="M37" s="91" t="str">
        <f t="shared" si="1"/>
        <v/>
      </c>
      <c r="N37" s="10" t="str">
        <f t="shared" si="2"/>
        <v/>
      </c>
      <c r="O37" s="34" t="str">
        <f t="shared" si="5"/>
        <v/>
      </c>
      <c r="P37" s="14"/>
      <c r="Q37" s="15"/>
      <c r="R37" s="16" t="str">
        <f t="shared" si="6"/>
        <v/>
      </c>
      <c r="S37" s="17"/>
      <c r="T37" s="34" t="str">
        <f t="shared" si="11"/>
        <v/>
      </c>
      <c r="U37" s="25">
        <v>57</v>
      </c>
      <c r="V37" s="2"/>
      <c r="W37" s="472"/>
      <c r="X37" t="str">
        <f t="shared" si="12"/>
        <v/>
      </c>
      <c r="Y37" s="71">
        <v>27181</v>
      </c>
    </row>
    <row r="38" spans="1:25" s="8" customFormat="1" x14ac:dyDescent="0.25">
      <c r="A38" s="52">
        <v>59</v>
      </c>
      <c r="B38" s="487"/>
      <c r="C38" s="470"/>
      <c r="D38" s="11"/>
      <c r="E38" s="17"/>
      <c r="F38" s="160"/>
      <c r="G38" s="186"/>
      <c r="H38" s="68"/>
      <c r="I38" s="217"/>
      <c r="J38" s="34" t="str">
        <f t="shared" si="0"/>
        <v/>
      </c>
      <c r="K38" s="12"/>
      <c r="L38" s="22"/>
      <c r="M38" s="91" t="str">
        <f t="shared" si="1"/>
        <v/>
      </c>
      <c r="N38" s="10" t="str">
        <f t="shared" si="2"/>
        <v/>
      </c>
      <c r="O38" s="34" t="str">
        <f t="shared" si="5"/>
        <v/>
      </c>
      <c r="P38" s="14"/>
      <c r="Q38" s="15"/>
      <c r="R38" s="16" t="str">
        <f t="shared" si="6"/>
        <v/>
      </c>
      <c r="S38" s="17"/>
      <c r="T38" s="34" t="str">
        <f t="shared" si="11"/>
        <v/>
      </c>
      <c r="U38" s="25">
        <v>58</v>
      </c>
      <c r="V38" s="2"/>
      <c r="W38" s="472"/>
      <c r="X38" t="str">
        <f t="shared" si="12"/>
        <v/>
      </c>
      <c r="Y38" s="80">
        <v>26299</v>
      </c>
    </row>
    <row r="39" spans="1:25" s="8" customFormat="1" ht="15" customHeight="1" x14ac:dyDescent="0.25">
      <c r="A39" s="52">
        <v>60</v>
      </c>
      <c r="B39" s="487"/>
      <c r="C39" s="470"/>
      <c r="D39" s="11"/>
      <c r="E39" s="17"/>
      <c r="F39" s="160"/>
      <c r="G39" s="186"/>
      <c r="H39" s="68"/>
      <c r="I39" s="217"/>
      <c r="J39" s="34" t="str">
        <f t="shared" si="0"/>
        <v/>
      </c>
      <c r="K39" s="12"/>
      <c r="L39" s="189"/>
      <c r="M39" s="91" t="str">
        <f t="shared" si="1"/>
        <v/>
      </c>
      <c r="N39" s="10" t="str">
        <f t="shared" si="2"/>
        <v/>
      </c>
      <c r="O39" s="34" t="str">
        <f t="shared" si="5"/>
        <v/>
      </c>
      <c r="P39" s="14"/>
      <c r="Q39" s="15"/>
      <c r="R39" s="16" t="str">
        <f t="shared" si="6"/>
        <v/>
      </c>
      <c r="S39" s="17"/>
      <c r="T39" s="34" t="str">
        <f t="shared" si="11"/>
        <v/>
      </c>
      <c r="U39" s="25">
        <v>59</v>
      </c>
      <c r="V39" s="2"/>
      <c r="W39" s="472"/>
      <c r="X39" t="str">
        <f t="shared" si="12"/>
        <v/>
      </c>
      <c r="Y39" s="80">
        <v>21228</v>
      </c>
    </row>
    <row r="40" spans="1:25" s="8" customFormat="1" ht="15" customHeight="1" x14ac:dyDescent="0.25">
      <c r="A40" s="52">
        <v>61</v>
      </c>
      <c r="B40" s="487"/>
      <c r="C40" s="470"/>
      <c r="D40" s="11"/>
      <c r="E40" s="17"/>
      <c r="F40" s="160"/>
      <c r="G40" s="186"/>
      <c r="H40" s="68"/>
      <c r="I40" s="217"/>
      <c r="J40" s="34" t="str">
        <f t="shared" si="0"/>
        <v/>
      </c>
      <c r="K40" s="12"/>
      <c r="L40" s="189"/>
      <c r="M40" s="91" t="str">
        <f t="shared" si="1"/>
        <v/>
      </c>
      <c r="N40" s="10" t="str">
        <f t="shared" si="2"/>
        <v/>
      </c>
      <c r="O40" s="34" t="str">
        <f t="shared" si="5"/>
        <v/>
      </c>
      <c r="P40" s="14"/>
      <c r="Q40" s="15"/>
      <c r="R40" s="16" t="str">
        <f t="shared" si="6"/>
        <v/>
      </c>
      <c r="S40" s="17"/>
      <c r="T40" s="34" t="str">
        <f t="shared" si="11"/>
        <v/>
      </c>
      <c r="U40" s="25">
        <v>60</v>
      </c>
      <c r="V40" s="2"/>
      <c r="W40" s="472"/>
      <c r="X40" t="str">
        <f t="shared" si="12"/>
        <v/>
      </c>
      <c r="Y40" s="80">
        <v>38471</v>
      </c>
    </row>
    <row r="41" spans="1:25" s="8" customFormat="1" ht="15" customHeight="1" x14ac:dyDescent="0.25">
      <c r="A41" s="52">
        <v>62</v>
      </c>
      <c r="B41" s="487"/>
      <c r="C41" s="470"/>
      <c r="D41" s="11"/>
      <c r="E41" s="17"/>
      <c r="F41" s="160"/>
      <c r="G41" s="186"/>
      <c r="H41" s="68"/>
      <c r="I41" s="217"/>
      <c r="J41" s="34" t="str">
        <f t="shared" si="0"/>
        <v/>
      </c>
      <c r="K41" s="12"/>
      <c r="L41" s="189"/>
      <c r="M41" s="91" t="str">
        <f t="shared" si="1"/>
        <v/>
      </c>
      <c r="N41" s="10" t="str">
        <f t="shared" si="2"/>
        <v/>
      </c>
      <c r="O41" s="34" t="str">
        <f t="shared" si="5"/>
        <v/>
      </c>
      <c r="P41" s="14"/>
      <c r="Q41" s="15"/>
      <c r="R41" s="16" t="str">
        <f t="shared" si="6"/>
        <v/>
      </c>
      <c r="S41" s="17"/>
      <c r="T41" s="34" t="str">
        <f t="shared" si="11"/>
        <v/>
      </c>
      <c r="U41" s="25">
        <v>61</v>
      </c>
      <c r="V41" s="2"/>
      <c r="W41" s="472"/>
      <c r="X41" t="str">
        <f t="shared" si="12"/>
        <v/>
      </c>
      <c r="Y41" s="80">
        <v>19150</v>
      </c>
    </row>
    <row r="42" spans="1:25" s="8" customFormat="1" ht="15" customHeight="1" x14ac:dyDescent="0.25">
      <c r="A42" s="52">
        <v>63</v>
      </c>
      <c r="B42" s="487"/>
      <c r="C42" s="470"/>
      <c r="D42" s="11"/>
      <c r="E42" s="17"/>
      <c r="F42" s="160"/>
      <c r="G42" s="186"/>
      <c r="H42" s="68"/>
      <c r="I42" s="217"/>
      <c r="J42" s="34" t="str">
        <f t="shared" si="0"/>
        <v/>
      </c>
      <c r="K42" s="12"/>
      <c r="L42" s="189"/>
      <c r="M42" s="91" t="str">
        <f t="shared" si="1"/>
        <v/>
      </c>
      <c r="N42" s="10" t="str">
        <f t="shared" si="2"/>
        <v/>
      </c>
      <c r="O42" s="34" t="str">
        <f t="shared" si="5"/>
        <v/>
      </c>
      <c r="P42" s="14"/>
      <c r="Q42" s="15"/>
      <c r="R42" s="16" t="str">
        <f t="shared" si="6"/>
        <v/>
      </c>
      <c r="S42" s="17"/>
      <c r="T42" s="34" t="str">
        <f t="shared" si="11"/>
        <v/>
      </c>
      <c r="U42" s="25">
        <v>62</v>
      </c>
      <c r="V42" s="2"/>
      <c r="W42" s="472"/>
      <c r="X42" t="str">
        <f t="shared" si="12"/>
        <v/>
      </c>
      <c r="Y42" s="80">
        <v>26844</v>
      </c>
    </row>
    <row r="43" spans="1:25" s="8" customFormat="1" ht="15" customHeight="1" x14ac:dyDescent="0.25">
      <c r="A43" s="52">
        <v>64</v>
      </c>
      <c r="B43" s="487"/>
      <c r="C43" s="491"/>
      <c r="D43" s="11"/>
      <c r="E43" s="17"/>
      <c r="F43" s="160"/>
      <c r="G43" s="186"/>
      <c r="H43" s="68"/>
      <c r="I43" s="217"/>
      <c r="J43" s="34"/>
      <c r="K43" s="12"/>
      <c r="L43" s="189"/>
      <c r="M43" s="91" t="str">
        <f t="shared" si="1"/>
        <v/>
      </c>
      <c r="N43" s="10" t="str">
        <f t="shared" si="2"/>
        <v/>
      </c>
      <c r="O43" s="34" t="str">
        <f t="shared" si="5"/>
        <v/>
      </c>
      <c r="P43" s="14"/>
      <c r="Q43" s="15"/>
      <c r="R43" s="16" t="str">
        <f t="shared" si="6"/>
        <v/>
      </c>
      <c r="S43" s="17"/>
      <c r="T43" s="34" t="str">
        <f t="shared" si="11"/>
        <v/>
      </c>
      <c r="U43" s="25">
        <v>63</v>
      </c>
      <c r="V43" s="2"/>
      <c r="W43" s="472"/>
      <c r="X43" t="str">
        <f t="shared" si="12"/>
        <v/>
      </c>
      <c r="Y43" s="80"/>
    </row>
    <row r="44" spans="1:25" s="8" customFormat="1" ht="15" customHeight="1" x14ac:dyDescent="0.25">
      <c r="A44" s="52">
        <v>65</v>
      </c>
      <c r="B44" s="487"/>
      <c r="C44" s="491"/>
      <c r="D44" s="11"/>
      <c r="E44" s="17"/>
      <c r="F44" s="160"/>
      <c r="G44" s="186"/>
      <c r="H44" s="68"/>
      <c r="I44" s="217"/>
      <c r="J44" s="34"/>
      <c r="K44" s="12"/>
      <c r="L44" s="189"/>
      <c r="M44" s="91" t="str">
        <f t="shared" si="1"/>
        <v/>
      </c>
      <c r="N44" s="10" t="str">
        <f t="shared" si="2"/>
        <v/>
      </c>
      <c r="O44" s="34" t="str">
        <f t="shared" si="5"/>
        <v/>
      </c>
      <c r="P44" s="14"/>
      <c r="Q44" s="15"/>
      <c r="R44" s="16" t="str">
        <f t="shared" si="6"/>
        <v/>
      </c>
      <c r="S44" s="17"/>
      <c r="T44" s="34" t="str">
        <f t="shared" si="11"/>
        <v/>
      </c>
      <c r="U44" s="25">
        <v>64</v>
      </c>
      <c r="V44" s="2"/>
      <c r="W44" s="472"/>
      <c r="X44" t="str">
        <f t="shared" si="12"/>
        <v/>
      </c>
      <c r="Y44" s="80"/>
    </row>
    <row r="45" spans="1:25" s="8" customFormat="1" ht="15" customHeight="1" x14ac:dyDescent="0.25">
      <c r="A45" s="52">
        <v>66</v>
      </c>
      <c r="B45" s="487"/>
      <c r="C45" s="491"/>
      <c r="D45" s="11"/>
      <c r="E45" s="17"/>
      <c r="F45" s="160"/>
      <c r="G45" s="186"/>
      <c r="H45" s="68"/>
      <c r="I45" s="217"/>
      <c r="J45" s="34" t="str">
        <f t="shared" si="0"/>
        <v/>
      </c>
      <c r="K45" s="12"/>
      <c r="L45" s="189"/>
      <c r="M45" s="91" t="str">
        <f t="shared" si="1"/>
        <v/>
      </c>
      <c r="N45" s="10" t="str">
        <f t="shared" si="2"/>
        <v/>
      </c>
      <c r="O45" s="34" t="str">
        <f t="shared" si="5"/>
        <v/>
      </c>
      <c r="P45" s="14"/>
      <c r="Q45" s="59"/>
      <c r="R45" s="16" t="str">
        <f t="shared" si="6"/>
        <v/>
      </c>
      <c r="S45" s="60"/>
      <c r="T45" s="34"/>
      <c r="U45" s="25"/>
      <c r="V45" s="2"/>
      <c r="W45" s="472"/>
      <c r="X45" t="str">
        <f t="shared" si="12"/>
        <v/>
      </c>
      <c r="Y45" s="80"/>
    </row>
    <row r="46" spans="1:25" s="8" customFormat="1" ht="15" customHeight="1" x14ac:dyDescent="0.25">
      <c r="A46" s="52">
        <v>67</v>
      </c>
      <c r="B46" s="487"/>
      <c r="C46" s="491"/>
      <c r="D46" s="11"/>
      <c r="E46" s="17"/>
      <c r="F46" s="160"/>
      <c r="G46" s="186"/>
      <c r="H46" s="68"/>
      <c r="I46" s="217"/>
      <c r="J46" s="34" t="str">
        <f t="shared" si="0"/>
        <v/>
      </c>
      <c r="K46" s="12"/>
      <c r="L46" s="189"/>
      <c r="M46" s="91" t="str">
        <f t="shared" si="1"/>
        <v/>
      </c>
      <c r="N46" s="10" t="str">
        <f t="shared" si="2"/>
        <v/>
      </c>
      <c r="O46" s="34" t="str">
        <f t="shared" si="5"/>
        <v/>
      </c>
      <c r="P46" s="14"/>
      <c r="Q46" s="15"/>
      <c r="R46" s="16" t="str">
        <f t="shared" si="6"/>
        <v/>
      </c>
      <c r="S46" s="17"/>
      <c r="T46" s="34" t="str">
        <f>IF(ISBLANK(S46),"",S46)</f>
        <v/>
      </c>
      <c r="U46" s="25">
        <v>64</v>
      </c>
      <c r="V46" s="2"/>
      <c r="W46" s="472"/>
      <c r="X46" t="str">
        <f t="shared" si="12"/>
        <v/>
      </c>
      <c r="Y46" s="80"/>
    </row>
    <row r="47" spans="1:25" s="8" customFormat="1" ht="15" customHeight="1" thickBot="1" x14ac:dyDescent="0.3">
      <c r="A47" s="52">
        <v>68</v>
      </c>
      <c r="B47" s="487"/>
      <c r="C47" s="491"/>
      <c r="D47" s="11"/>
      <c r="E47" s="17"/>
      <c r="F47" s="160"/>
      <c r="G47" s="186"/>
      <c r="H47" s="68"/>
      <c r="I47" s="217"/>
      <c r="J47" s="34" t="str">
        <f t="shared" si="0"/>
        <v/>
      </c>
      <c r="K47" s="12"/>
      <c r="L47" s="189"/>
      <c r="M47" s="91" t="str">
        <f t="shared" si="1"/>
        <v/>
      </c>
      <c r="N47" s="10" t="str">
        <f t="shared" si="2"/>
        <v/>
      </c>
      <c r="O47" s="34" t="str">
        <f t="shared" si="5"/>
        <v/>
      </c>
      <c r="P47" s="14"/>
      <c r="Q47" s="59"/>
      <c r="R47" s="16" t="str">
        <f t="shared" si="6"/>
        <v/>
      </c>
      <c r="S47" s="60"/>
      <c r="T47" s="34" t="str">
        <f>IF(ISBLANK(S47),"",S47)</f>
        <v/>
      </c>
      <c r="U47" s="25">
        <v>65</v>
      </c>
      <c r="V47" s="2"/>
      <c r="W47" s="472"/>
      <c r="X47" t="str">
        <f t="shared" si="12"/>
        <v/>
      </c>
      <c r="Y47" s="80"/>
    </row>
    <row r="48" spans="1:25" ht="23.25" customHeight="1" thickBot="1" x14ac:dyDescent="0.3">
      <c r="A48" s="78"/>
      <c r="B48" s="517"/>
      <c r="C48" s="518"/>
      <c r="D48" s="78"/>
      <c r="E48" s="78"/>
      <c r="F48" s="78"/>
      <c r="G48" s="78"/>
      <c r="H48" s="78"/>
      <c r="I48" s="495">
        <f>COUNTIF(J4:J47,"M")</f>
        <v>0</v>
      </c>
      <c r="J48" s="496" t="s">
        <v>218</v>
      </c>
      <c r="K48" s="497">
        <f>COUNTIF(J4:J47,"F")</f>
        <v>0</v>
      </c>
      <c r="L48" s="118"/>
      <c r="M48" s="223" t="s">
        <v>106</v>
      </c>
      <c r="N48" s="49" t="str" cm="1">
        <f t="array" ref="N48">IFERROR(AVERAGE(_xlfn._xlws.FILTER(N4:N47,ISNUMBER(N4:N47))),"")</f>
        <v/>
      </c>
      <c r="O48" s="78"/>
      <c r="P48" s="49">
        <f>SUBTOTAL(103,P4:P47)</f>
        <v>0</v>
      </c>
      <c r="Q48" s="199" t="s">
        <v>29</v>
      </c>
      <c r="R48" s="515">
        <f>SUM(R4:R47)</f>
        <v>0</v>
      </c>
      <c r="S48" s="516"/>
      <c r="T48" s="64"/>
      <c r="V48" s="79"/>
      <c r="W48" s="135"/>
      <c r="X48" s="2" cm="1">
        <f t="array" ref="X48">SUMPRODUCT((X4:X47&lt;&gt;"")*1)</f>
        <v>0</v>
      </c>
    </row>
    <row r="49" spans="2:24" x14ac:dyDescent="0.25">
      <c r="B49" s="2"/>
      <c r="C49" s="492"/>
      <c r="L49" s="119"/>
      <c r="Q49" s="94" t="s">
        <v>15</v>
      </c>
      <c r="R49" s="95">
        <f>COUNTIF(S4:S47,"Espèces")</f>
        <v>0</v>
      </c>
      <c r="S49" s="115">
        <f>SUMIF(S4:S47,"Espèces",R4:R47)</f>
        <v>0</v>
      </c>
    </row>
    <row r="50" spans="2:24" ht="15" customHeight="1" x14ac:dyDescent="0.25">
      <c r="D50" s="61"/>
      <c r="Q50" s="34" t="s">
        <v>54</v>
      </c>
      <c r="R50" s="51">
        <f>COUNTIF(S4:S47,"Chèque")</f>
        <v>0</v>
      </c>
      <c r="S50" s="116">
        <f>SUMIF(S4:S47,"Chèque",R4:R47)</f>
        <v>0</v>
      </c>
      <c r="X50" s="2"/>
    </row>
    <row r="51" spans="2:24" ht="15" customHeight="1" x14ac:dyDescent="0.25">
      <c r="E51" s="62"/>
      <c r="F51" s="62"/>
      <c r="G51" s="62"/>
      <c r="Q51" s="34" t="s">
        <v>55</v>
      </c>
      <c r="R51" s="51">
        <f>COUNTIF(S5:S47,"Virement")</f>
        <v>0</v>
      </c>
      <c r="S51" s="116">
        <f>SUMIF(S4:S47,"Virement",R4:R47)</f>
        <v>0</v>
      </c>
    </row>
    <row r="52" spans="2:24" ht="15.75" x14ac:dyDescent="0.25">
      <c r="B52" s="478"/>
      <c r="C52" s="494"/>
      <c r="R52" s="9">
        <f>SUM(R49:R51)</f>
        <v>0</v>
      </c>
      <c r="S52" s="158">
        <f>SUM(S49:S51)</f>
        <v>0</v>
      </c>
    </row>
  </sheetData>
  <mergeCells count="3">
    <mergeCell ref="R48:S48"/>
    <mergeCell ref="B48:C48"/>
    <mergeCell ref="E1:G2"/>
  </mergeCells>
  <conditionalFormatting sqref="A4:S28 A32:S47 C30 Q30 N30:O30 A31:L31 N31:S31 A29:L29 N29:Q29 M29:M31 R29:S30 J30">
    <cfRule type="expression" dxfId="178" priority="10">
      <formula>INT(ROW()/2)=ROW()/2</formula>
    </cfRule>
  </conditionalFormatting>
  <conditionalFormatting sqref="M4:M47">
    <cfRule type="expression" dxfId="177" priority="9">
      <formula>IF($M4="","",(MONTH(TODAY())=MONTH($M4)))</formula>
    </cfRule>
  </conditionalFormatting>
  <conditionalFormatting sqref="V4:V47">
    <cfRule type="expression" dxfId="176" priority="8">
      <formula>$S4&lt;&gt;""</formula>
    </cfRule>
  </conditionalFormatting>
  <conditionalFormatting sqref="X15">
    <cfRule type="expression" dxfId="175" priority="4">
      <formula>INT(ROW()/2)=ROW()/2</formula>
    </cfRule>
  </conditionalFormatting>
  <conditionalFormatting sqref="A30:B30">
    <cfRule type="expression" dxfId="174" priority="3">
      <formula>INT(ROW()/2)=ROW()/2</formula>
    </cfRule>
  </conditionalFormatting>
  <conditionalFormatting sqref="D30:I30 P30 K30:L30">
    <cfRule type="expression" dxfId="173" priority="2">
      <formula>INT(ROW()/2)=ROW()/2</formula>
    </cfRule>
  </conditionalFormatting>
  <dataValidations count="3">
    <dataValidation type="list" allowBlank="1" showInputMessage="1" showErrorMessage="1" sqref="S4:S47" xr:uid="{62FB803E-472A-4C00-BC64-DA768D500FF8}">
      <formula1>$A$1:$D$1</formula1>
    </dataValidation>
    <dataValidation type="list" allowBlank="1" showInputMessage="1" showErrorMessage="1" sqref="P4:P29 P31:P47" xr:uid="{E2251C14-C46A-4073-B757-4D90A5157613}">
      <formula1>$I$1:$K$1</formula1>
    </dataValidation>
    <dataValidation type="list" allowBlank="1" showInputMessage="1" showErrorMessage="1" sqref="P30" xr:uid="{0EFC986C-EA68-4F1D-B283-2E05C0794CA2}">
      <formula1>$E$1:$J$1</formula1>
    </dataValidation>
  </dataValidations>
  <pageMargins left="0.37" right="0.21" top="0.44" bottom="0.43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I30"/>
  <sheetViews>
    <sheetView showGridLines="0" zoomScaleNormal="100" workbookViewId="0">
      <pane ySplit="9" topLeftCell="A10" activePane="bottomLeft" state="frozen"/>
      <selection activeCell="D18" sqref="D18"/>
      <selection pane="bottomLeft" activeCell="E16" sqref="E16"/>
    </sheetView>
  </sheetViews>
  <sheetFormatPr baseColWidth="10" defaultColWidth="11.42578125" defaultRowHeight="15.75" x14ac:dyDescent="0.25"/>
  <cols>
    <col min="1" max="1" width="15.7109375" style="35" customWidth="1"/>
    <col min="2" max="2" width="15.7109375" style="36" customWidth="1"/>
    <col min="3" max="3" width="40.7109375" style="32" customWidth="1"/>
    <col min="4" max="4" width="80.7109375" style="32" customWidth="1"/>
    <col min="5" max="5" width="8.7109375" style="32" customWidth="1"/>
    <col min="6" max="9" width="15.7109375" style="36" customWidth="1"/>
    <col min="10" max="16384" width="11.42578125" style="31"/>
  </cols>
  <sheetData>
    <row r="1" spans="1:9" ht="30" customHeight="1" x14ac:dyDescent="0.25">
      <c r="A1" s="41"/>
      <c r="B1" s="32"/>
      <c r="F1" s="32"/>
      <c r="G1" s="32"/>
      <c r="H1" s="32"/>
      <c r="I1" s="32"/>
    </row>
    <row r="2" spans="1:9" ht="31.5" customHeight="1" thickBot="1" x14ac:dyDescent="0.3">
      <c r="A2" s="41"/>
      <c r="B2" s="42" t="s">
        <v>7</v>
      </c>
      <c r="C2" s="312" t="str">
        <f ca="1">MID(CELL("filename",A1),FIND("]",CELL("filename",A1))+1,32)</f>
        <v>Novembre 2025</v>
      </c>
      <c r="D2" s="44"/>
      <c r="E2" s="43"/>
      <c r="F2" s="43"/>
      <c r="G2" s="43"/>
      <c r="H2" s="44"/>
      <c r="I2" s="44"/>
    </row>
    <row r="3" spans="1:9" ht="16.5" customHeight="1" thickBot="1" x14ac:dyDescent="0.3">
      <c r="A3" s="41"/>
      <c r="B3" s="32"/>
      <c r="F3" s="32"/>
      <c r="G3" s="32"/>
      <c r="H3" s="32"/>
      <c r="I3" s="32"/>
    </row>
    <row r="4" spans="1:9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9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</row>
    <row r="6" spans="1:9" ht="15.75" customHeight="1" thickBot="1" x14ac:dyDescent="0.3">
      <c r="A6" s="432"/>
      <c r="B6" s="433"/>
      <c r="C6" s="434"/>
      <c r="D6" s="436" t="s">
        <v>216</v>
      </c>
      <c r="E6" s="435" t="s">
        <v>149</v>
      </c>
      <c r="F6" s="536">
        <v>501.2</v>
      </c>
      <c r="G6" s="537"/>
      <c r="H6" s="536">
        <v>410.11</v>
      </c>
      <c r="I6" s="537"/>
    </row>
    <row r="7" spans="1:9" ht="15.75" customHeight="1" thickBot="1" x14ac:dyDescent="0.3">
      <c r="A7" s="390"/>
      <c r="B7" s="391"/>
      <c r="C7" s="392"/>
      <c r="D7" s="437" t="s">
        <v>167</v>
      </c>
      <c r="E7" s="393"/>
      <c r="F7" s="400">
        <f>SUMIF($E$10:$E$24,"P",F10:F24)</f>
        <v>145</v>
      </c>
      <c r="G7" s="444">
        <f>SUMIF($E$10:$E$24,"P",G10:G24)</f>
        <v>300</v>
      </c>
      <c r="H7" s="400">
        <f>SUMIF($E$10:$E$24,"P",H10:H24)</f>
        <v>285</v>
      </c>
      <c r="I7" s="445">
        <f>SUMIF($E$10:$E$24,"P",I10:I24)</f>
        <v>50</v>
      </c>
    </row>
    <row r="8" spans="1:9" ht="15.75" customHeight="1" x14ac:dyDescent="0.25">
      <c r="A8" s="390"/>
      <c r="B8" s="391"/>
      <c r="C8" s="392"/>
      <c r="D8" s="437" t="s">
        <v>217</v>
      </c>
      <c r="E8" s="393"/>
      <c r="F8" s="480">
        <f>MAX(0,SUM(F6,F7)-SUM(G6,G7))</f>
        <v>346.20000000000005</v>
      </c>
      <c r="G8" s="481"/>
      <c r="H8" s="528">
        <f>MAX(0,SUM(H6,H7)-SUM(I6,I7))</f>
        <v>645.11</v>
      </c>
      <c r="I8" s="529"/>
    </row>
    <row r="9" spans="1:9" ht="15.7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</row>
    <row r="10" spans="1:9" ht="15.75" customHeight="1" x14ac:dyDescent="0.25">
      <c r="A10" s="405">
        <v>45884</v>
      </c>
      <c r="B10" s="406">
        <f>IFERROR(INDEX(t_Comptes[CODES],MATCH(C10,t_Comptes[LIBELLES],0)),"")</f>
        <v>6160</v>
      </c>
      <c r="C10" s="407" t="s">
        <v>52</v>
      </c>
      <c r="D10" s="408" t="s">
        <v>221</v>
      </c>
      <c r="E10" s="409" t="s">
        <v>125</v>
      </c>
      <c r="F10" s="507"/>
      <c r="G10" s="411">
        <v>200</v>
      </c>
      <c r="H10" s="410"/>
      <c r="I10" s="412"/>
    </row>
    <row r="11" spans="1:9" ht="15.75" customHeight="1" x14ac:dyDescent="0.25">
      <c r="A11" s="502">
        <v>45891</v>
      </c>
      <c r="B11" s="426">
        <f>IFERROR(INDEX(t_Comptes[CODES],MATCH(C11,t_Comptes[LIBELLES],0)),"")</f>
        <v>6010</v>
      </c>
      <c r="C11" s="503" t="s">
        <v>93</v>
      </c>
      <c r="D11" s="504" t="s">
        <v>222</v>
      </c>
      <c r="E11" s="505" t="s">
        <v>125</v>
      </c>
      <c r="F11" s="508"/>
      <c r="G11" s="428">
        <v>100</v>
      </c>
      <c r="H11" s="427"/>
      <c r="I11" s="429"/>
    </row>
    <row r="12" spans="1:9" ht="15.75" customHeight="1" x14ac:dyDescent="0.25">
      <c r="A12" s="502">
        <v>45897</v>
      </c>
      <c r="B12" s="426">
        <f>IFERROR(INDEX(t_Comptes[CODES],MATCH(C12,t_Comptes[LIBELLES],0)),"")</f>
        <v>6010</v>
      </c>
      <c r="C12" s="503" t="s">
        <v>93</v>
      </c>
      <c r="D12" s="504" t="s">
        <v>223</v>
      </c>
      <c r="E12" s="505" t="s">
        <v>125</v>
      </c>
      <c r="F12" s="506"/>
      <c r="G12" s="428"/>
      <c r="H12" s="427"/>
      <c r="I12" s="429">
        <v>50</v>
      </c>
    </row>
    <row r="13" spans="1:9" ht="15.75" customHeight="1" x14ac:dyDescent="0.25">
      <c r="A13" s="502">
        <v>45871</v>
      </c>
      <c r="B13" s="426">
        <f>IFERROR(INDEX(t_Comptes[CODES],MATCH(C13,t_Comptes[LIBELLES],0)),"")</f>
        <v>7511</v>
      </c>
      <c r="C13" s="503" t="s">
        <v>104</v>
      </c>
      <c r="D13" s="504" t="s">
        <v>224</v>
      </c>
      <c r="E13" s="505" t="s">
        <v>125</v>
      </c>
      <c r="F13" s="506">
        <v>100</v>
      </c>
      <c r="G13" s="428"/>
      <c r="H13" s="427"/>
      <c r="I13" s="429"/>
    </row>
    <row r="14" spans="1:9" ht="15.75" customHeight="1" x14ac:dyDescent="0.25">
      <c r="A14" s="502">
        <v>45871</v>
      </c>
      <c r="B14" s="426">
        <f>IFERROR(INDEX(t_Comptes[CODES],MATCH(C14,t_Comptes[LIBELLES],0)),"")</f>
        <v>7511</v>
      </c>
      <c r="C14" s="503" t="s">
        <v>104</v>
      </c>
      <c r="D14" s="504" t="s">
        <v>225</v>
      </c>
      <c r="E14" s="505" t="s">
        <v>125</v>
      </c>
      <c r="F14" s="506"/>
      <c r="G14" s="428"/>
      <c r="H14" s="427">
        <v>150</v>
      </c>
      <c r="I14" s="429"/>
    </row>
    <row r="15" spans="1:9" ht="15.75" customHeight="1" x14ac:dyDescent="0.25">
      <c r="A15" s="502">
        <v>45885</v>
      </c>
      <c r="B15" s="426">
        <f>IFERROR(INDEX(t_Comptes[CODES],MATCH(C15,t_Comptes[LIBELLES],0)),"")</f>
        <v>7560</v>
      </c>
      <c r="C15" s="503" t="s">
        <v>96</v>
      </c>
      <c r="D15" s="504" t="s">
        <v>226</v>
      </c>
      <c r="E15" s="638" t="s">
        <v>125</v>
      </c>
      <c r="F15" s="637">
        <v>45</v>
      </c>
      <c r="G15" s="428"/>
      <c r="H15" s="427"/>
      <c r="I15" s="429"/>
    </row>
    <row r="16" spans="1:9" ht="15.75" customHeight="1" x14ac:dyDescent="0.25">
      <c r="A16" s="502">
        <v>45885</v>
      </c>
      <c r="B16" s="426">
        <f>IFERROR(INDEX(t_Comptes[CODES],MATCH(C16,t_Comptes[LIBELLES],0)),"")</f>
        <v>7560</v>
      </c>
      <c r="C16" s="503" t="s">
        <v>96</v>
      </c>
      <c r="D16" s="504" t="s">
        <v>227</v>
      </c>
      <c r="E16" s="638" t="s">
        <v>125</v>
      </c>
      <c r="F16" s="637"/>
      <c r="G16" s="428"/>
      <c r="H16" s="427">
        <v>135</v>
      </c>
      <c r="I16" s="429"/>
    </row>
    <row r="17" spans="5:5" ht="15.75" customHeight="1" x14ac:dyDescent="0.25">
      <c r="E17" s="431"/>
    </row>
    <row r="18" spans="5:5" ht="15.75" customHeight="1" x14ac:dyDescent="0.25">
      <c r="E18" s="431"/>
    </row>
    <row r="19" spans="5:5" ht="15.75" customHeight="1" x14ac:dyDescent="0.25">
      <c r="E19" s="431"/>
    </row>
    <row r="20" spans="5:5" ht="15.75" customHeight="1" x14ac:dyDescent="0.25">
      <c r="E20" s="431"/>
    </row>
    <row r="21" spans="5:5" ht="15.75" customHeight="1" x14ac:dyDescent="0.25">
      <c r="E21" s="431"/>
    </row>
    <row r="22" spans="5:5" ht="15.75" customHeight="1" x14ac:dyDescent="0.25">
      <c r="E22" s="431"/>
    </row>
    <row r="23" spans="5:5" ht="15.75" customHeight="1" x14ac:dyDescent="0.25">
      <c r="E23" s="431"/>
    </row>
    <row r="24" spans="5:5" ht="15.75" customHeight="1" x14ac:dyDescent="0.25">
      <c r="E24" s="431"/>
    </row>
    <row r="25" spans="5:5" ht="15.75" customHeight="1" x14ac:dyDescent="0.25">
      <c r="E25" s="431"/>
    </row>
    <row r="26" spans="5:5" ht="15.75" customHeight="1" x14ac:dyDescent="0.25">
      <c r="E26" s="431"/>
    </row>
    <row r="27" spans="5:5" ht="15.75" customHeight="1" x14ac:dyDescent="0.25">
      <c r="E27" s="431"/>
    </row>
    <row r="28" spans="5:5" ht="15.75" customHeight="1" x14ac:dyDescent="0.25">
      <c r="E28" s="431"/>
    </row>
    <row r="29" spans="5:5" ht="15.75" customHeight="1" x14ac:dyDescent="0.25">
      <c r="E29" s="431"/>
    </row>
    <row r="30" spans="5:5" ht="15.75" customHeight="1" x14ac:dyDescent="0.25">
      <c r="E30" s="431"/>
    </row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10:I10">
    <sortCondition ref="A10"/>
  </sortState>
  <mergeCells count="11">
    <mergeCell ref="H8:I8"/>
    <mergeCell ref="F5:G5"/>
    <mergeCell ref="H5:I5"/>
    <mergeCell ref="F4:I4"/>
    <mergeCell ref="H6:I6"/>
    <mergeCell ref="F6:G6"/>
    <mergeCell ref="C4:C5"/>
    <mergeCell ref="B4:B5"/>
    <mergeCell ref="A4:A5"/>
    <mergeCell ref="E4:E5"/>
    <mergeCell ref="D4:D5"/>
  </mergeCells>
  <conditionalFormatting sqref="A10:I16">
    <cfRule type="expression" dxfId="172" priority="13">
      <formula>INT(ROW()/2)=ROW()/2</formula>
    </cfRule>
  </conditionalFormatting>
  <dataValidations count="3">
    <dataValidation type="list" allowBlank="1" showInputMessage="1" showErrorMessage="1" sqref="C10:C16" xr:uid="{00000000-0002-0000-0100-000000000000}">
      <formula1>d.comptes</formula1>
    </dataValidation>
    <dataValidation type="custom" allowBlank="1" showInputMessage="1" showErrorMessage="1" sqref="H10:H16 F10:F16" xr:uid="{CB409E34-F47F-402E-A34D-E452DA572FA7}">
      <formula1>$B10&gt;=7000</formula1>
    </dataValidation>
    <dataValidation type="custom" allowBlank="1" showInputMessage="1" showErrorMessage="1" sqref="I10:I16 G10:G16" xr:uid="{3794FB76-2646-48A2-BFE5-6471180C6841}">
      <formula1>$B10&lt;=7000</formula1>
    </dataValidation>
  </dataValidations>
  <pageMargins left="0.7" right="0.7" top="0.75" bottom="0.75" header="0.3" footer="0.3"/>
  <pageSetup paperSize="9" scale="59" fitToHeight="0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I30"/>
  <sheetViews>
    <sheetView showGridLines="0" zoomScaleNormal="100" workbookViewId="0">
      <pane ySplit="9" topLeftCell="A10" activePane="bottomLeft" state="frozen"/>
      <selection activeCell="C10" sqref="C10"/>
      <selection pane="bottomLeft" activeCell="D17" sqref="D17"/>
    </sheetView>
  </sheetViews>
  <sheetFormatPr baseColWidth="10" defaultColWidth="11.42578125" defaultRowHeight="15.75" x14ac:dyDescent="0.25"/>
  <cols>
    <col min="1" max="1" width="15.7109375" style="41" customWidth="1"/>
    <col min="2" max="2" width="15.7109375" style="32" customWidth="1"/>
    <col min="3" max="3" width="40.7109375" style="32" customWidth="1"/>
    <col min="4" max="4" width="80.7109375" style="32" customWidth="1"/>
    <col min="5" max="5" width="8.7109375" style="32" customWidth="1"/>
    <col min="6" max="9" width="15.7109375" style="32" customWidth="1"/>
    <col min="10" max="16384" width="11.42578125" style="40"/>
  </cols>
  <sheetData>
    <row r="1" spans="1:9" s="31" customFormat="1" ht="30" customHeight="1" x14ac:dyDescent="0.25">
      <c r="A1" s="41"/>
      <c r="B1" s="32"/>
      <c r="C1" s="32"/>
      <c r="D1" s="32"/>
      <c r="E1" s="32"/>
      <c r="F1" s="32"/>
      <c r="G1" s="32"/>
      <c r="H1" s="32"/>
      <c r="I1" s="32"/>
    </row>
    <row r="2" spans="1:9" s="31" customFormat="1" ht="31.5" customHeight="1" x14ac:dyDescent="0.25">
      <c r="A2" s="41"/>
      <c r="B2" s="42" t="s">
        <v>7</v>
      </c>
      <c r="C2" s="312" t="str">
        <f ca="1">MID(CELL("filename",A1),FIND("]",CELL("filename",A1))+1,32)</f>
        <v>Décembre 2025</v>
      </c>
      <c r="D2" s="44"/>
      <c r="E2" s="43"/>
      <c r="F2" s="43"/>
      <c r="G2" s="43"/>
      <c r="H2" s="44"/>
      <c r="I2" s="44"/>
    </row>
    <row r="3" spans="1:9" s="31" customFormat="1" ht="16.5" customHeight="1" thickBot="1" x14ac:dyDescent="0.3">
      <c r="A3" s="41"/>
      <c r="B3" s="32"/>
      <c r="C3" s="32"/>
      <c r="D3" s="32"/>
      <c r="E3" s="32"/>
      <c r="F3" s="32"/>
      <c r="G3" s="32"/>
      <c r="H3" s="32"/>
      <c r="I3" s="32"/>
    </row>
    <row r="4" spans="1:9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9" s="32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</row>
    <row r="6" spans="1:9" ht="15.75" customHeight="1" thickBot="1" x14ac:dyDescent="0.3">
      <c r="A6" s="432"/>
      <c r="B6" s="433"/>
      <c r="C6" s="434"/>
      <c r="D6" s="439" t="s">
        <v>168</v>
      </c>
      <c r="E6" s="479">
        <v>45962</v>
      </c>
      <c r="F6" s="544">
        <f>'Novembre 2025'!F8</f>
        <v>346.20000000000005</v>
      </c>
      <c r="G6" s="545"/>
      <c r="H6" s="542">
        <f>'Novembre 2025'!H8</f>
        <v>645.11</v>
      </c>
      <c r="I6" s="543"/>
    </row>
    <row r="7" spans="1:9" ht="15.75" customHeight="1" thickBot="1" x14ac:dyDescent="0.3">
      <c r="A7" s="390"/>
      <c r="B7" s="391"/>
      <c r="C7" s="392"/>
      <c r="D7" s="438" t="s">
        <v>169</v>
      </c>
      <c r="E7" s="392"/>
      <c r="F7" s="447">
        <f>SUMIF($E$10:$E$32,"P",F10:F32)</f>
        <v>0</v>
      </c>
      <c r="G7" s="448">
        <f>SUMIF($E$10:$E$32,"P",G10:G32)</f>
        <v>0</v>
      </c>
      <c r="H7" s="447">
        <f>SUMIF($E$10:$E$32,"P",H10:H32)</f>
        <v>0</v>
      </c>
      <c r="I7" s="449">
        <f>SUMIF($E$10:$E$32,"P",I10:I32)</f>
        <v>0</v>
      </c>
    </row>
    <row r="8" spans="1:9" ht="15.75" customHeight="1" x14ac:dyDescent="0.25">
      <c r="A8" s="390"/>
      <c r="B8" s="391"/>
      <c r="C8" s="392"/>
      <c r="D8" s="438" t="s">
        <v>170</v>
      </c>
      <c r="E8" s="392"/>
      <c r="F8" s="540">
        <f>MAX(0,SUM(F6,F7)-SUM(G6,G7))</f>
        <v>346.20000000000005</v>
      </c>
      <c r="G8" s="541"/>
      <c r="H8" s="538">
        <f>MAX(0,SUM(H6,H7)-SUM(I6,I7))</f>
        <v>645.11</v>
      </c>
      <c r="I8" s="539"/>
    </row>
    <row r="9" spans="1:9" ht="15.7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</row>
    <row r="10" spans="1:9" ht="15.75" customHeight="1" x14ac:dyDescent="0.25">
      <c r="A10" s="413"/>
      <c r="B10" s="406" t="str">
        <f>IFERROR(INDEX(t_Comptes[CODES],MATCH(C10,t_Comptes[LIBELLES],0)),"")</f>
        <v/>
      </c>
      <c r="C10" s="414"/>
      <c r="D10" s="407"/>
      <c r="E10" s="415"/>
      <c r="F10" s="410"/>
      <c r="G10" s="411"/>
      <c r="H10" s="410"/>
      <c r="I10" s="412"/>
    </row>
    <row r="11" spans="1:9" ht="15.75" customHeight="1" x14ac:dyDescent="0.25">
      <c r="E11" s="431"/>
    </row>
    <row r="12" spans="1:9" ht="15.75" customHeight="1" x14ac:dyDescent="0.25">
      <c r="E12" s="431"/>
    </row>
    <row r="13" spans="1:9" ht="15.75" customHeight="1" x14ac:dyDescent="0.25">
      <c r="E13" s="431"/>
    </row>
    <row r="14" spans="1:9" ht="15.75" customHeight="1" x14ac:dyDescent="0.25">
      <c r="E14" s="431"/>
    </row>
    <row r="15" spans="1:9" ht="15.75" customHeight="1" x14ac:dyDescent="0.25">
      <c r="E15" s="431"/>
    </row>
    <row r="16" spans="1:9" ht="15.75" customHeight="1" x14ac:dyDescent="0.25">
      <c r="E16" s="431"/>
    </row>
    <row r="17" spans="5:5" ht="15.75" customHeight="1" x14ac:dyDescent="0.25">
      <c r="E17" s="431"/>
    </row>
    <row r="18" spans="5:5" ht="15.75" customHeight="1" x14ac:dyDescent="0.25">
      <c r="E18" s="431"/>
    </row>
    <row r="19" spans="5:5" ht="15.75" customHeight="1" x14ac:dyDescent="0.25">
      <c r="E19" s="431"/>
    </row>
    <row r="20" spans="5:5" ht="15.75" customHeight="1" x14ac:dyDescent="0.25">
      <c r="E20" s="431"/>
    </row>
    <row r="21" spans="5:5" ht="15.75" customHeight="1" x14ac:dyDescent="0.25">
      <c r="E21" s="431"/>
    </row>
    <row r="22" spans="5:5" ht="15.75" customHeight="1" x14ac:dyDescent="0.25">
      <c r="E22" s="431"/>
    </row>
    <row r="23" spans="5:5" ht="15.75" customHeight="1" x14ac:dyDescent="0.25">
      <c r="E23" s="431"/>
    </row>
    <row r="24" spans="5:5" ht="15.75" customHeight="1" x14ac:dyDescent="0.25">
      <c r="E24" s="431"/>
    </row>
    <row r="25" spans="5:5" ht="15.75" customHeight="1" x14ac:dyDescent="0.25">
      <c r="E25" s="431"/>
    </row>
    <row r="26" spans="5:5" ht="15.75" customHeight="1" x14ac:dyDescent="0.25">
      <c r="E26" s="431"/>
    </row>
    <row r="27" spans="5:5" ht="15.75" customHeight="1" x14ac:dyDescent="0.25">
      <c r="E27" s="431"/>
    </row>
    <row r="28" spans="5:5" ht="15.75" customHeight="1" x14ac:dyDescent="0.25">
      <c r="E28" s="431"/>
    </row>
    <row r="29" spans="5:5" ht="15.75" customHeight="1" x14ac:dyDescent="0.25">
      <c r="E29" s="431"/>
    </row>
    <row r="30" spans="5:5" ht="15.7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10:I10">
    <sortCondition ref="A10"/>
  </sortState>
  <mergeCells count="12">
    <mergeCell ref="H8:I8"/>
    <mergeCell ref="F8:G8"/>
    <mergeCell ref="H6:I6"/>
    <mergeCell ref="F6:G6"/>
    <mergeCell ref="F5:G5"/>
    <mergeCell ref="H5:I5"/>
    <mergeCell ref="C4:C5"/>
    <mergeCell ref="B4:B5"/>
    <mergeCell ref="A4:A5"/>
    <mergeCell ref="D4:D5"/>
    <mergeCell ref="F4:I4"/>
    <mergeCell ref="E4:E5"/>
  </mergeCells>
  <conditionalFormatting sqref="A10:I10">
    <cfRule type="expression" dxfId="160" priority="42">
      <formula>INT(ROW()/2)=ROW()/2</formula>
    </cfRule>
  </conditionalFormatting>
  <dataValidations count="3">
    <dataValidation type="list" allowBlank="1" showInputMessage="1" showErrorMessage="1" sqref="C10" xr:uid="{00000000-0002-0000-0200-000000000000}">
      <formula1>d.comptes</formula1>
    </dataValidation>
    <dataValidation type="custom" allowBlank="1" showInputMessage="1" showErrorMessage="1" sqref="G10 I10" xr:uid="{F15D3D64-F61C-488C-B25E-A63B4F7C6131}">
      <formula1>$B10&lt;=7000</formula1>
    </dataValidation>
    <dataValidation type="custom" allowBlank="1" showInputMessage="1" showErrorMessage="1" sqref="F10 H10" xr:uid="{DF621F92-7B47-4E49-A4AF-C047BF0BDF25}">
      <formula1>$B10&gt;=7000</formula1>
    </dataValidation>
  </dataValidations>
  <pageMargins left="0.7" right="0.7" top="0.75" bottom="0.75" header="0.3" footer="0.3"/>
  <pageSetup paperSize="9" scale="44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K30"/>
  <sheetViews>
    <sheetView showGridLines="0" zoomScaleNormal="100" workbookViewId="0">
      <pane ySplit="9" topLeftCell="A10" activePane="bottomLeft" state="frozen"/>
      <selection activeCell="G19" sqref="G19"/>
      <selection pane="bottomLeft" activeCell="G19" sqref="G19"/>
    </sheetView>
  </sheetViews>
  <sheetFormatPr baseColWidth="10" defaultColWidth="11.42578125" defaultRowHeight="15.75" x14ac:dyDescent="0.25"/>
  <cols>
    <col min="1" max="1" width="15.7109375" style="39" customWidth="1"/>
    <col min="2" max="2" width="15.7109375" style="31" customWidth="1"/>
    <col min="3" max="3" width="40.7109375" style="40" customWidth="1"/>
    <col min="4" max="4" width="80.7109375" style="31" customWidth="1"/>
    <col min="5" max="5" width="8.7109375" style="32" customWidth="1"/>
    <col min="6" max="9" width="15.7109375" style="31" customWidth="1"/>
    <col min="10" max="11" width="11.42578125" style="40"/>
    <col min="12" max="16384" width="11.42578125" style="31"/>
  </cols>
  <sheetData>
    <row r="1" spans="1:11" ht="30" customHeight="1" x14ac:dyDescent="0.25">
      <c r="A1" s="35"/>
      <c r="B1" s="36"/>
      <c r="C1" s="32"/>
      <c r="D1" s="32"/>
      <c r="F1" s="36"/>
      <c r="G1" s="36"/>
      <c r="H1" s="36"/>
      <c r="I1" s="36"/>
    </row>
    <row r="2" spans="1:11" ht="31.5" x14ac:dyDescent="0.25">
      <c r="A2" s="35"/>
      <c r="B2" s="37" t="s">
        <v>7</v>
      </c>
      <c r="C2" s="313" t="str">
        <f ca="1">MID(CELL("filename",A1),FIND("]",CELL("filename",A1))+1,32)</f>
        <v>Janvier 2026</v>
      </c>
      <c r="D2" s="30"/>
      <c r="E2" s="43"/>
      <c r="F2" s="30"/>
      <c r="G2" s="30"/>
      <c r="H2" s="38"/>
      <c r="I2" s="38"/>
    </row>
    <row r="3" spans="1:11" ht="16.5" thickBot="1" x14ac:dyDescent="0.3">
      <c r="A3" s="35"/>
      <c r="B3" s="36"/>
      <c r="C3" s="32"/>
      <c r="D3" s="32"/>
      <c r="F3" s="36"/>
      <c r="G3" s="36"/>
      <c r="H3" s="36"/>
      <c r="I3" s="36"/>
    </row>
    <row r="4" spans="1:11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11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  <c r="J5" s="32"/>
      <c r="K5" s="32"/>
    </row>
    <row r="6" spans="1:11" ht="15.75" customHeight="1" thickBot="1" x14ac:dyDescent="0.3">
      <c r="A6" s="440"/>
      <c r="B6" s="433"/>
      <c r="C6" s="434"/>
      <c r="D6" s="439" t="s">
        <v>171</v>
      </c>
      <c r="E6" s="435" t="s">
        <v>150</v>
      </c>
      <c r="F6" s="552">
        <f>'Décembre 2025'!F8</f>
        <v>346.20000000000005</v>
      </c>
      <c r="G6" s="553"/>
      <c r="H6" s="550">
        <f>'Décembre 2025'!H8</f>
        <v>645.11</v>
      </c>
      <c r="I6" s="551"/>
    </row>
    <row r="7" spans="1:11" ht="15.75" customHeight="1" thickBot="1" x14ac:dyDescent="0.3">
      <c r="A7" s="390"/>
      <c r="B7" s="391"/>
      <c r="C7" s="392"/>
      <c r="D7" s="441" t="s">
        <v>172</v>
      </c>
      <c r="E7" s="392"/>
      <c r="F7" s="450">
        <f>SUMIF($E$10:$E$18,"P",F10:F18)</f>
        <v>0</v>
      </c>
      <c r="G7" s="451">
        <f>SUMIF($E$10:$E$18,"P",G10:G18)</f>
        <v>0</v>
      </c>
      <c r="H7" s="450">
        <f>SUMIF($E$10:$E$18,"P",H10:H18)</f>
        <v>0</v>
      </c>
      <c r="I7" s="452">
        <f>SUMIF($E$10:$E$18,"P",I10:I18)</f>
        <v>0</v>
      </c>
    </row>
    <row r="8" spans="1:11" ht="15.75" customHeight="1" x14ac:dyDescent="0.25">
      <c r="A8" s="390"/>
      <c r="B8" s="391"/>
      <c r="C8" s="392"/>
      <c r="D8" s="441" t="s">
        <v>173</v>
      </c>
      <c r="E8" s="392"/>
      <c r="F8" s="548">
        <f>MAX(0,SUM(F6,F7)-SUM(G6,G7))</f>
        <v>346.20000000000005</v>
      </c>
      <c r="G8" s="549"/>
      <c r="H8" s="546">
        <f>MAX(0,SUM(H6,H7)-SUM(I6,I7))</f>
        <v>645.11</v>
      </c>
      <c r="I8" s="547"/>
    </row>
    <row r="9" spans="1:11" ht="15.7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</row>
    <row r="10" spans="1:11" s="40" customFormat="1" ht="15.75" customHeight="1" x14ac:dyDescent="0.25">
      <c r="A10" s="413"/>
      <c r="B10" s="406" t="str">
        <f>IFERROR(INDEX(t_Comptes[CODES],MATCH(C10,t_Comptes[LIBELLES],0)),"")</f>
        <v/>
      </c>
      <c r="C10" s="416"/>
      <c r="D10" s="417"/>
      <c r="E10" s="418"/>
      <c r="F10" s="410"/>
      <c r="G10" s="411"/>
      <c r="H10" s="410"/>
      <c r="I10" s="412"/>
    </row>
    <row r="11" spans="1:11" ht="15.75" customHeight="1" x14ac:dyDescent="0.25">
      <c r="E11" s="431"/>
    </row>
    <row r="12" spans="1:11" ht="15.75" customHeight="1" x14ac:dyDescent="0.25">
      <c r="E12" s="431"/>
    </row>
    <row r="13" spans="1:11" ht="15.75" customHeight="1" x14ac:dyDescent="0.25">
      <c r="E13" s="431"/>
    </row>
    <row r="14" spans="1:11" ht="15.75" customHeight="1" x14ac:dyDescent="0.25">
      <c r="E14" s="431"/>
    </row>
    <row r="15" spans="1:11" ht="15.75" customHeight="1" x14ac:dyDescent="0.25">
      <c r="E15" s="431"/>
    </row>
    <row r="16" spans="1:11" ht="15.75" customHeight="1" x14ac:dyDescent="0.25">
      <c r="E16" s="431"/>
    </row>
    <row r="17" spans="5:5" ht="15.75" customHeight="1" x14ac:dyDescent="0.25">
      <c r="E17" s="431"/>
    </row>
    <row r="18" spans="5:5" ht="15.75" customHeight="1" x14ac:dyDescent="0.25">
      <c r="E18" s="431"/>
    </row>
    <row r="19" spans="5:5" ht="15.75" customHeight="1" x14ac:dyDescent="0.25"/>
    <row r="20" spans="5:5" ht="15.75" customHeight="1" x14ac:dyDescent="0.25"/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10:I10">
    <sortCondition ref="A10"/>
  </sortState>
  <mergeCells count="12">
    <mergeCell ref="A4:A5"/>
    <mergeCell ref="B4:B5"/>
    <mergeCell ref="C4:C5"/>
    <mergeCell ref="D4:D5"/>
    <mergeCell ref="H8:I8"/>
    <mergeCell ref="F8:G8"/>
    <mergeCell ref="H6:I6"/>
    <mergeCell ref="F6:G6"/>
    <mergeCell ref="E4:E5"/>
    <mergeCell ref="F4:I4"/>
    <mergeCell ref="F5:G5"/>
    <mergeCell ref="H5:I5"/>
  </mergeCells>
  <conditionalFormatting sqref="A10:I10">
    <cfRule type="expression" dxfId="148" priority="34">
      <formula>INT(ROW()/2)=ROW()/2</formula>
    </cfRule>
  </conditionalFormatting>
  <dataValidations count="3">
    <dataValidation type="list" allowBlank="1" showInputMessage="1" showErrorMessage="1" sqref="C10" xr:uid="{00000000-0002-0000-0300-000000000000}">
      <formula1>d.comptes</formula1>
    </dataValidation>
    <dataValidation type="custom" allowBlank="1" showInputMessage="1" showErrorMessage="1" sqref="H10 F10" xr:uid="{8313DC11-6778-4551-BC91-FD0D77424133}">
      <formula1>$B10&gt;=7000</formula1>
    </dataValidation>
    <dataValidation type="custom" allowBlank="1" showInputMessage="1" showErrorMessage="1" sqref="G10 I10" xr:uid="{7852E31F-960C-46F9-9F7A-2B5C74DE9D50}">
      <formula1>$B10&lt;=7000</formula1>
    </dataValidation>
  </dataValidations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N30"/>
  <sheetViews>
    <sheetView showGridLines="0" workbookViewId="0">
      <pane ySplit="9" topLeftCell="A10" activePane="bottomLeft" state="frozen"/>
      <selection activeCell="G19" sqref="G19"/>
      <selection pane="bottomLeft" activeCell="G19" sqref="G19"/>
    </sheetView>
  </sheetViews>
  <sheetFormatPr baseColWidth="10" defaultColWidth="11.42578125" defaultRowHeight="15.75" x14ac:dyDescent="0.25"/>
  <cols>
    <col min="1" max="1" width="15.7109375" style="39" customWidth="1"/>
    <col min="2" max="2" width="15.7109375" style="31" customWidth="1"/>
    <col min="3" max="3" width="40.7109375" style="40" customWidth="1"/>
    <col min="4" max="4" width="80.7109375" style="31" customWidth="1"/>
    <col min="5" max="5" width="8.7109375" style="32" customWidth="1"/>
    <col min="6" max="9" width="15.7109375" style="31" customWidth="1"/>
    <col min="10" max="14" width="11.42578125" style="40"/>
    <col min="15" max="16384" width="11.42578125" style="31"/>
  </cols>
  <sheetData>
    <row r="1" spans="1:14" ht="30" customHeight="1" x14ac:dyDescent="0.25">
      <c r="A1" s="35"/>
      <c r="B1" s="36"/>
      <c r="C1" s="32"/>
      <c r="D1" s="32"/>
      <c r="F1" s="36"/>
      <c r="G1" s="36"/>
      <c r="H1" s="36"/>
      <c r="I1" s="36"/>
    </row>
    <row r="2" spans="1:14" ht="31.5" x14ac:dyDescent="0.25">
      <c r="A2" s="35"/>
      <c r="B2" s="37" t="s">
        <v>7</v>
      </c>
      <c r="C2" s="313" t="str">
        <f ca="1">MID(CELL("filename",A1),FIND("]",CELL("filename",A1))+1,32)</f>
        <v>Février 2026</v>
      </c>
      <c r="D2" s="30"/>
      <c r="E2" s="43"/>
      <c r="F2" s="30"/>
      <c r="G2" s="30"/>
      <c r="H2" s="38"/>
      <c r="I2" s="38"/>
    </row>
    <row r="3" spans="1:14" ht="16.5" thickBot="1" x14ac:dyDescent="0.3">
      <c r="A3" s="35"/>
      <c r="B3" s="36"/>
      <c r="C3" s="32"/>
      <c r="D3" s="32"/>
      <c r="F3" s="36"/>
      <c r="G3" s="36"/>
      <c r="H3" s="36"/>
      <c r="I3" s="36"/>
    </row>
    <row r="4" spans="1:14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14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  <c r="J5" s="32"/>
      <c r="K5" s="32"/>
      <c r="L5" s="32"/>
      <c r="M5" s="32"/>
      <c r="N5" s="32"/>
    </row>
    <row r="6" spans="1:14" ht="15.75" customHeight="1" thickBot="1" x14ac:dyDescent="0.3">
      <c r="A6" s="442"/>
      <c r="B6" s="443"/>
      <c r="C6" s="434"/>
      <c r="D6" s="439" t="s">
        <v>174</v>
      </c>
      <c r="E6" s="435" t="s">
        <v>151</v>
      </c>
      <c r="F6" s="552">
        <f>'Janvier 2026'!F8</f>
        <v>346.20000000000005</v>
      </c>
      <c r="G6" s="553"/>
      <c r="H6" s="550">
        <f>'Janvier 2026'!H8</f>
        <v>645.11</v>
      </c>
      <c r="I6" s="551"/>
    </row>
    <row r="7" spans="1:14" ht="15.75" customHeight="1" thickBot="1" x14ac:dyDescent="0.3">
      <c r="A7" s="401"/>
      <c r="B7" s="402"/>
      <c r="C7" s="392"/>
      <c r="D7" s="441" t="s">
        <v>175</v>
      </c>
      <c r="E7" s="392"/>
      <c r="F7" s="450">
        <f>SUMIF($E$10:$E$22,"P",F10:F22)</f>
        <v>0</v>
      </c>
      <c r="G7" s="451">
        <f>SUMIF($E$10:$E$22,"P",G10:G22)</f>
        <v>0</v>
      </c>
      <c r="H7" s="450">
        <f>SUMIF($E$10:$E$22,"P",H10:H22)</f>
        <v>0</v>
      </c>
      <c r="I7" s="452">
        <f>SUMIF($E$10:$E$22,"P",I10:I22)</f>
        <v>0</v>
      </c>
    </row>
    <row r="8" spans="1:14" ht="15.75" customHeight="1" x14ac:dyDescent="0.25">
      <c r="A8" s="401"/>
      <c r="B8" s="402"/>
      <c r="C8" s="392"/>
      <c r="D8" s="441" t="s">
        <v>176</v>
      </c>
      <c r="E8" s="392"/>
      <c r="F8" s="548">
        <f>MAX(0,SUM(F6,F7)-SUM(G6,G7))</f>
        <v>346.20000000000005</v>
      </c>
      <c r="G8" s="549"/>
      <c r="H8" s="546">
        <f>MAX(0,SUM(H6,H7)-SUM(I6,I7))</f>
        <v>645.11</v>
      </c>
      <c r="I8" s="547"/>
    </row>
    <row r="9" spans="1:14" ht="15.7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</row>
    <row r="10" spans="1:14" ht="15.75" customHeight="1" x14ac:dyDescent="0.25">
      <c r="A10" s="405"/>
      <c r="B10" s="406" t="str">
        <f>IFERROR(INDEX(t_Comptes[CODES],MATCH(C10,t_Comptes[LIBELLES],0)),"")</f>
        <v/>
      </c>
      <c r="C10" s="407"/>
      <c r="D10" s="416"/>
      <c r="E10" s="418"/>
      <c r="F10" s="410"/>
      <c r="G10" s="411"/>
      <c r="H10" s="410"/>
      <c r="I10" s="412"/>
      <c r="L10" s="31"/>
      <c r="M10" s="31"/>
      <c r="N10" s="31"/>
    </row>
    <row r="11" spans="1:14" ht="15.75" customHeight="1" x14ac:dyDescent="0.25">
      <c r="E11" s="431"/>
    </row>
    <row r="12" spans="1:14" ht="15.75" customHeight="1" x14ac:dyDescent="0.25">
      <c r="E12" s="431"/>
    </row>
    <row r="13" spans="1:14" ht="15.75" customHeight="1" x14ac:dyDescent="0.25">
      <c r="E13" s="431"/>
    </row>
    <row r="14" spans="1:14" ht="15.75" customHeight="1" x14ac:dyDescent="0.25">
      <c r="E14" s="431"/>
    </row>
    <row r="15" spans="1:14" ht="15.75" customHeight="1" x14ac:dyDescent="0.25">
      <c r="E15" s="431"/>
    </row>
    <row r="16" spans="1:14" ht="15.75" customHeight="1" x14ac:dyDescent="0.25">
      <c r="E16" s="431"/>
    </row>
    <row r="17" spans="5:5" ht="15.75" customHeight="1" x14ac:dyDescent="0.25">
      <c r="E17" s="431"/>
    </row>
    <row r="18" spans="5:5" ht="15.75" customHeight="1" x14ac:dyDescent="0.25">
      <c r="E18" s="431"/>
    </row>
    <row r="19" spans="5:5" ht="15.75" customHeight="1" x14ac:dyDescent="0.25">
      <c r="E19" s="431"/>
    </row>
    <row r="20" spans="5:5" ht="15.75" customHeight="1" x14ac:dyDescent="0.25">
      <c r="E20" s="431"/>
    </row>
    <row r="21" spans="5:5" ht="15.75" customHeight="1" x14ac:dyDescent="0.25">
      <c r="E21" s="431"/>
    </row>
    <row r="22" spans="5:5" ht="15.75" customHeight="1" x14ac:dyDescent="0.25">
      <c r="E22" s="431"/>
    </row>
    <row r="23" spans="5:5" ht="15.75" customHeight="1" x14ac:dyDescent="0.25">
      <c r="E23" s="431"/>
    </row>
    <row r="24" spans="5:5" ht="15.75" customHeight="1" x14ac:dyDescent="0.25">
      <c r="E24" s="431"/>
    </row>
    <row r="25" spans="5:5" ht="15.75" customHeight="1" x14ac:dyDescent="0.25">
      <c r="E25" s="431"/>
    </row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</sheetData>
  <sortState xmlns:xlrd2="http://schemas.microsoft.com/office/spreadsheetml/2017/richdata2" ref="A10:I10">
    <sortCondition ref="A10"/>
  </sortState>
  <mergeCells count="12">
    <mergeCell ref="H8:I8"/>
    <mergeCell ref="H6:I6"/>
    <mergeCell ref="F6:G6"/>
    <mergeCell ref="E4:E5"/>
    <mergeCell ref="F5:G5"/>
    <mergeCell ref="H5:I5"/>
    <mergeCell ref="F4:I4"/>
    <mergeCell ref="A4:A5"/>
    <mergeCell ref="B4:B5"/>
    <mergeCell ref="C4:C5"/>
    <mergeCell ref="D4:D5"/>
    <mergeCell ref="F8:G8"/>
  </mergeCells>
  <conditionalFormatting sqref="A10:I10">
    <cfRule type="expression" dxfId="136" priority="4">
      <formula>INT(ROW()/2)=ROW()/2</formula>
    </cfRule>
  </conditionalFormatting>
  <dataValidations count="3">
    <dataValidation type="list" allowBlank="1" showInputMessage="1" showErrorMessage="1" sqref="C10" xr:uid="{00000000-0002-0000-0400-000000000000}">
      <formula1>d.comptes</formula1>
    </dataValidation>
    <dataValidation type="custom" allowBlank="1" showInputMessage="1" showErrorMessage="1" sqref="H10 F10" xr:uid="{1C19216D-26CE-47A6-96A5-CA32AEFFE019}">
      <formula1>$B10&gt;=7000</formula1>
    </dataValidation>
    <dataValidation type="custom" allowBlank="1" showInputMessage="1" showErrorMessage="1" sqref="I10 G10" xr:uid="{983AC6F5-5A50-488A-89F1-249AA01DD17E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N30"/>
  <sheetViews>
    <sheetView showGridLines="0" workbookViewId="0">
      <pane ySplit="9" topLeftCell="A10" activePane="bottomLeft" state="frozen"/>
      <selection activeCell="G19" sqref="G19"/>
      <selection pane="bottomLeft" activeCell="G19" sqref="G19"/>
    </sheetView>
  </sheetViews>
  <sheetFormatPr baseColWidth="10" defaultColWidth="11.42578125" defaultRowHeight="15.75" x14ac:dyDescent="0.25"/>
  <cols>
    <col min="1" max="1" width="15.7109375" style="39" customWidth="1"/>
    <col min="2" max="2" width="15.7109375" style="31" customWidth="1"/>
    <col min="3" max="3" width="40.7109375" style="40" customWidth="1"/>
    <col min="4" max="4" width="80.7109375" style="31" customWidth="1"/>
    <col min="5" max="5" width="8.7109375" style="32" customWidth="1"/>
    <col min="6" max="9" width="15.7109375" style="31" customWidth="1"/>
    <col min="10" max="14" width="11.42578125" style="40"/>
    <col min="15" max="16384" width="11.42578125" style="31"/>
  </cols>
  <sheetData>
    <row r="1" spans="1:14" ht="30" customHeight="1" x14ac:dyDescent="0.25">
      <c r="A1" s="35"/>
      <c r="B1" s="36"/>
      <c r="C1" s="32"/>
      <c r="D1" s="32"/>
      <c r="F1" s="36"/>
      <c r="G1" s="36"/>
      <c r="H1" s="36"/>
      <c r="I1" s="36"/>
    </row>
    <row r="2" spans="1:14" ht="31.5" x14ac:dyDescent="0.25">
      <c r="A2" s="35"/>
      <c r="B2" s="37" t="s">
        <v>7</v>
      </c>
      <c r="C2" s="313" t="str">
        <f ca="1">MID(CELL("filename",A1),FIND("]",CELL("filename",A1))+1,32)</f>
        <v>Mars 2026</v>
      </c>
      <c r="D2" s="30"/>
      <c r="E2" s="43"/>
      <c r="F2" s="30"/>
      <c r="G2" s="30"/>
      <c r="H2" s="38"/>
      <c r="I2" s="38"/>
    </row>
    <row r="3" spans="1:14" ht="16.5" thickBot="1" x14ac:dyDescent="0.3">
      <c r="A3" s="35"/>
      <c r="B3" s="36"/>
      <c r="C3" s="32"/>
      <c r="D3" s="32"/>
      <c r="F3" s="36"/>
      <c r="G3" s="36"/>
      <c r="H3" s="36"/>
      <c r="I3" s="36"/>
    </row>
    <row r="4" spans="1:14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14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  <c r="J5" s="32"/>
      <c r="K5" s="32"/>
      <c r="L5" s="32"/>
      <c r="M5" s="32"/>
      <c r="N5" s="32"/>
    </row>
    <row r="6" spans="1:14" ht="15.75" customHeight="1" thickBot="1" x14ac:dyDescent="0.3">
      <c r="A6" s="446"/>
      <c r="B6" s="443"/>
      <c r="C6" s="434"/>
      <c r="D6" s="439" t="s">
        <v>177</v>
      </c>
      <c r="E6" s="435" t="s">
        <v>152</v>
      </c>
      <c r="F6" s="552">
        <f>'Février 2026'!F8</f>
        <v>346.20000000000005</v>
      </c>
      <c r="G6" s="553"/>
      <c r="H6" s="552">
        <f>'Février 2026'!H8</f>
        <v>645.11</v>
      </c>
      <c r="I6" s="553"/>
    </row>
    <row r="7" spans="1:14" ht="15.75" customHeight="1" thickBot="1" x14ac:dyDescent="0.3">
      <c r="A7" s="403"/>
      <c r="B7" s="402"/>
      <c r="C7" s="392"/>
      <c r="D7" s="441" t="s">
        <v>178</v>
      </c>
      <c r="E7" s="392"/>
      <c r="F7" s="450">
        <f>SUMIF($E$10:$E$24,"P",F10:F24)</f>
        <v>0</v>
      </c>
      <c r="G7" s="451">
        <f>SUMIF($E$10:$E$24,"P",G10:G24)</f>
        <v>0</v>
      </c>
      <c r="H7" s="450">
        <f>SUMIF($E$10:$E$24,"P",H10:H24)</f>
        <v>0</v>
      </c>
      <c r="I7" s="452">
        <f>SUMIF($E$10:$E$24,"P",I10:I24)</f>
        <v>0</v>
      </c>
    </row>
    <row r="8" spans="1:14" ht="15.75" customHeight="1" x14ac:dyDescent="0.25">
      <c r="A8" s="403"/>
      <c r="B8" s="402"/>
      <c r="C8" s="392"/>
      <c r="D8" s="441" t="s">
        <v>179</v>
      </c>
      <c r="E8" s="392"/>
      <c r="F8" s="548">
        <f>MAX(0,SUM(F6,F7)-SUM(G6,G7))</f>
        <v>346.20000000000005</v>
      </c>
      <c r="G8" s="549"/>
      <c r="H8" s="546">
        <f>MAX(0,SUM(H6,H7)-SUM(I6,I7))</f>
        <v>645.11</v>
      </c>
      <c r="I8" s="547"/>
    </row>
    <row r="9" spans="1:14" ht="15.75" customHeight="1" thickBot="1" x14ac:dyDescent="0.3">
      <c r="A9" s="40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</row>
    <row r="10" spans="1:14" ht="15.75" customHeight="1" x14ac:dyDescent="0.25">
      <c r="A10" s="419"/>
      <c r="B10" s="420" t="str">
        <f>IFERROR(INDEX(t_Comptes[CODES],MATCH(C10,t_Comptes[LIBELLES],0)),"")</f>
        <v/>
      </c>
      <c r="C10" s="421"/>
      <c r="D10" s="408"/>
      <c r="E10" s="422"/>
      <c r="F10" s="423"/>
      <c r="G10" s="424"/>
      <c r="H10" s="423"/>
      <c r="I10" s="425"/>
    </row>
    <row r="11" spans="1:14" ht="15.75" customHeight="1" x14ac:dyDescent="0.25">
      <c r="E11" s="431"/>
    </row>
    <row r="12" spans="1:14" ht="15.75" customHeight="1" x14ac:dyDescent="0.25">
      <c r="E12" s="431"/>
    </row>
    <row r="13" spans="1:14" ht="15.75" customHeight="1" x14ac:dyDescent="0.25">
      <c r="E13" s="431"/>
    </row>
    <row r="14" spans="1:14" ht="15.75" customHeight="1" x14ac:dyDescent="0.25">
      <c r="E14" s="431"/>
    </row>
    <row r="15" spans="1:14" ht="15.75" customHeight="1" x14ac:dyDescent="0.25">
      <c r="E15" s="431"/>
    </row>
    <row r="16" spans="1:14" ht="15.75" customHeight="1" x14ac:dyDescent="0.25">
      <c r="E16" s="431"/>
    </row>
    <row r="17" spans="5:5" ht="15.75" customHeight="1" x14ac:dyDescent="0.25">
      <c r="E17" s="431"/>
    </row>
    <row r="18" spans="5:5" ht="15.75" customHeight="1" x14ac:dyDescent="0.25">
      <c r="E18" s="431"/>
    </row>
    <row r="19" spans="5:5" ht="15.75" customHeight="1" x14ac:dyDescent="0.25">
      <c r="E19" s="431"/>
    </row>
    <row r="20" spans="5:5" ht="15.75" customHeight="1" x14ac:dyDescent="0.25">
      <c r="E20" s="431"/>
    </row>
    <row r="21" spans="5:5" ht="15.75" customHeight="1" x14ac:dyDescent="0.25">
      <c r="E21" s="431"/>
    </row>
    <row r="22" spans="5:5" ht="15.75" customHeight="1" x14ac:dyDescent="0.25">
      <c r="E22" s="431"/>
    </row>
    <row r="23" spans="5:5" ht="15.75" customHeight="1" x14ac:dyDescent="0.25">
      <c r="E23" s="431"/>
    </row>
    <row r="24" spans="5:5" ht="15.75" customHeight="1" x14ac:dyDescent="0.25">
      <c r="E24" s="431"/>
    </row>
    <row r="25" spans="5:5" ht="15.75" customHeight="1" x14ac:dyDescent="0.25">
      <c r="E25" s="431"/>
    </row>
    <row r="26" spans="5:5" ht="15.75" customHeight="1" x14ac:dyDescent="0.25">
      <c r="E26" s="431"/>
    </row>
    <row r="27" spans="5:5" ht="15.75" customHeight="1" x14ac:dyDescent="0.25">
      <c r="E27" s="431"/>
    </row>
    <row r="28" spans="5:5" ht="15.75" customHeight="1" x14ac:dyDescent="0.25"/>
    <row r="29" spans="5:5" ht="15.75" customHeight="1" x14ac:dyDescent="0.25"/>
    <row r="30" spans="5:5" ht="15.75" customHeight="1" x14ac:dyDescent="0.25"/>
  </sheetData>
  <sortState xmlns:xlrd2="http://schemas.microsoft.com/office/spreadsheetml/2017/richdata2" ref="A10:I10">
    <sortCondition ref="A10"/>
  </sortState>
  <mergeCells count="12">
    <mergeCell ref="H8:I8"/>
    <mergeCell ref="F8:G8"/>
    <mergeCell ref="H6:I6"/>
    <mergeCell ref="F6:G6"/>
    <mergeCell ref="H5:I5"/>
    <mergeCell ref="F4:I4"/>
    <mergeCell ref="E4:E5"/>
    <mergeCell ref="A4:A5"/>
    <mergeCell ref="B4:B5"/>
    <mergeCell ref="C4:C5"/>
    <mergeCell ref="D4:D5"/>
    <mergeCell ref="F5:G5"/>
  </mergeCells>
  <conditionalFormatting sqref="A10:C10 E10:I10">
    <cfRule type="expression" dxfId="124" priority="30">
      <formula>INT(ROW()/2)=ROW()/2</formula>
    </cfRule>
  </conditionalFormatting>
  <conditionalFormatting sqref="D10">
    <cfRule type="expression" dxfId="123" priority="2">
      <formula>INT(ROW()/2)=ROW()/2</formula>
    </cfRule>
  </conditionalFormatting>
  <dataValidations count="3">
    <dataValidation type="list" allowBlank="1" showInputMessage="1" showErrorMessage="1" sqref="C10" xr:uid="{00000000-0002-0000-0500-000000000000}">
      <formula1>d.comptes</formula1>
    </dataValidation>
    <dataValidation type="custom" allowBlank="1" showInputMessage="1" showErrorMessage="1" sqref="F10 H10" xr:uid="{4F12ED2B-4FAA-4D75-B04E-E837D819AA5F}">
      <formula1>$B10&gt;=7000</formula1>
    </dataValidation>
    <dataValidation type="custom" allowBlank="1" showInputMessage="1" showErrorMessage="1" sqref="G10 I10" xr:uid="{14CE17F1-8D37-42AF-8552-1E3628FE7B50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L30"/>
  <sheetViews>
    <sheetView showGridLines="0" workbookViewId="0">
      <pane ySplit="9" topLeftCell="A10" activePane="bottomLeft" state="frozen"/>
      <selection activeCell="G19" sqref="G19"/>
      <selection pane="bottomLeft" activeCell="G19" sqref="G19"/>
    </sheetView>
  </sheetViews>
  <sheetFormatPr baseColWidth="10" defaultColWidth="11.42578125" defaultRowHeight="15.75" x14ac:dyDescent="0.25"/>
  <cols>
    <col min="1" max="1" width="15.7109375" style="39" customWidth="1"/>
    <col min="2" max="2" width="15.7109375" style="31" customWidth="1"/>
    <col min="3" max="3" width="40.7109375" style="40" customWidth="1"/>
    <col min="4" max="4" width="80.7109375" style="31" customWidth="1"/>
    <col min="5" max="5" width="8.7109375" style="32" customWidth="1"/>
    <col min="6" max="9" width="15.7109375" style="31" customWidth="1"/>
    <col min="10" max="12" width="11.42578125" style="40"/>
    <col min="13" max="16384" width="11.42578125" style="31"/>
  </cols>
  <sheetData>
    <row r="1" spans="1:12" ht="30" customHeight="1" x14ac:dyDescent="0.25">
      <c r="A1" s="35"/>
      <c r="B1" s="36"/>
      <c r="C1" s="32"/>
      <c r="D1" s="32"/>
      <c r="F1" s="36"/>
      <c r="G1" s="36"/>
      <c r="H1" s="36"/>
      <c r="I1" s="36"/>
    </row>
    <row r="2" spans="1:12" ht="31.5" x14ac:dyDescent="0.25">
      <c r="A2" s="35"/>
      <c r="B2" s="37" t="s">
        <v>7</v>
      </c>
      <c r="C2" s="313" t="str">
        <f ca="1">MID(CELL("filename",A1),FIND("]",CELL("filename",A1))+1,32)</f>
        <v>Avril 2026</v>
      </c>
      <c r="D2" s="30"/>
      <c r="E2" s="43"/>
      <c r="F2" s="30"/>
      <c r="G2" s="30"/>
      <c r="H2" s="38"/>
      <c r="I2" s="38"/>
    </row>
    <row r="3" spans="1:12" ht="16.5" thickBot="1" x14ac:dyDescent="0.3">
      <c r="A3" s="35"/>
      <c r="B3" s="36"/>
      <c r="C3" s="32"/>
      <c r="D3" s="32"/>
      <c r="F3" s="36"/>
      <c r="G3" s="36"/>
      <c r="H3" s="36"/>
      <c r="I3" s="36"/>
    </row>
    <row r="4" spans="1:12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  <c r="J4" s="31"/>
      <c r="K4" s="31"/>
      <c r="L4" s="31"/>
    </row>
    <row r="5" spans="1:12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</row>
    <row r="6" spans="1:12" ht="15.75" customHeight="1" thickBot="1" x14ac:dyDescent="0.3">
      <c r="A6" s="442"/>
      <c r="B6" s="443"/>
      <c r="C6" s="434"/>
      <c r="D6" s="439" t="s">
        <v>215</v>
      </c>
      <c r="E6" s="435" t="s">
        <v>153</v>
      </c>
      <c r="F6" s="552">
        <f>'Mars 2026'!F8</f>
        <v>346.20000000000005</v>
      </c>
      <c r="G6" s="553"/>
      <c r="H6" s="550">
        <f>'Mars 2026'!H8</f>
        <v>645.11</v>
      </c>
      <c r="I6" s="551"/>
    </row>
    <row r="7" spans="1:12" ht="15.75" customHeight="1" thickBot="1" x14ac:dyDescent="0.3">
      <c r="A7" s="401"/>
      <c r="B7" s="402"/>
      <c r="C7" s="392"/>
      <c r="D7" s="441" t="s">
        <v>180</v>
      </c>
      <c r="E7" s="392"/>
      <c r="F7" s="450">
        <f>SUMIF($E$10:$E$13,"P",F10:F13)</f>
        <v>0</v>
      </c>
      <c r="G7" s="451">
        <f>SUMIF($E$10:$E$13,"P",G10:G13)</f>
        <v>0</v>
      </c>
      <c r="H7" s="450">
        <f>SUMIF($E$10:$E$13,"P",H10:H13)</f>
        <v>0</v>
      </c>
      <c r="I7" s="452">
        <f>SUMIF($E$10:$E$13,"P",I10:I13)</f>
        <v>0</v>
      </c>
    </row>
    <row r="8" spans="1:12" ht="15.75" customHeight="1" x14ac:dyDescent="0.25">
      <c r="A8" s="401"/>
      <c r="B8" s="402"/>
      <c r="C8" s="392"/>
      <c r="D8" s="441" t="s">
        <v>181</v>
      </c>
      <c r="E8" s="392"/>
      <c r="F8" s="548">
        <f>MAX(0,SUM(F6,F7)-SUM(G6,G7))</f>
        <v>346.20000000000005</v>
      </c>
      <c r="G8" s="549"/>
      <c r="H8" s="546">
        <f>MAX(0,SUM(H6,H7)-SUM(I6,I7))</f>
        <v>645.11</v>
      </c>
      <c r="I8" s="547"/>
    </row>
    <row r="9" spans="1:12" ht="15.7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</row>
    <row r="10" spans="1:12" ht="15.75" customHeight="1" x14ac:dyDescent="0.25">
      <c r="A10" s="430"/>
      <c r="B10" s="420" t="str">
        <f>IFERROR(INDEX(t_Comptes[CODES],MATCH(C10,t_Comptes[LIBELLES],0)),"")</f>
        <v/>
      </c>
      <c r="C10" s="421"/>
      <c r="D10" s="421"/>
      <c r="E10" s="422"/>
      <c r="F10" s="423"/>
      <c r="G10" s="424"/>
      <c r="H10" s="423"/>
      <c r="I10" s="425"/>
    </row>
    <row r="11" spans="1:12" ht="15.75" customHeight="1" x14ac:dyDescent="0.25">
      <c r="E11" s="431"/>
    </row>
    <row r="12" spans="1:12" ht="15.75" customHeight="1" x14ac:dyDescent="0.25">
      <c r="E12" s="431"/>
    </row>
    <row r="13" spans="1:12" ht="15.75" customHeight="1" x14ac:dyDescent="0.25">
      <c r="E13" s="431"/>
    </row>
    <row r="14" spans="1:12" ht="15.75" customHeight="1" x14ac:dyDescent="0.25">
      <c r="E14" s="431"/>
    </row>
    <row r="15" spans="1:12" ht="15.75" customHeight="1" x14ac:dyDescent="0.25">
      <c r="E15" s="431"/>
    </row>
    <row r="16" spans="1:12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</sheetData>
  <sortState xmlns:xlrd2="http://schemas.microsoft.com/office/spreadsheetml/2017/richdata2" ref="A10:L10">
    <sortCondition ref="A10"/>
  </sortState>
  <mergeCells count="12">
    <mergeCell ref="F8:G8"/>
    <mergeCell ref="H8:I8"/>
    <mergeCell ref="H6:I6"/>
    <mergeCell ref="F6:G6"/>
    <mergeCell ref="F5:G5"/>
    <mergeCell ref="H5:I5"/>
    <mergeCell ref="A4:A5"/>
    <mergeCell ref="B4:B5"/>
    <mergeCell ref="C4:C5"/>
    <mergeCell ref="D4:D5"/>
    <mergeCell ref="F4:I4"/>
    <mergeCell ref="E4:E5"/>
  </mergeCells>
  <conditionalFormatting sqref="A10:I10">
    <cfRule type="expression" dxfId="111" priority="34">
      <formula>INT(ROW()/2)=ROW()/2</formula>
    </cfRule>
  </conditionalFormatting>
  <dataValidations count="3">
    <dataValidation type="list" allowBlank="1" showInputMessage="1" showErrorMessage="1" sqref="C10" xr:uid="{00000000-0002-0000-0600-000000000000}">
      <formula1>d.comptes</formula1>
    </dataValidation>
    <dataValidation type="custom" allowBlank="1" showInputMessage="1" showErrorMessage="1" sqref="H10 F10" xr:uid="{CE8B8B0D-6E48-4770-98BA-E24C9032B5F3}">
      <formula1>$B10&gt;=7000</formula1>
    </dataValidation>
    <dataValidation type="custom" allowBlank="1" showInputMessage="1" showErrorMessage="1" sqref="I10 G10" xr:uid="{E2C5C890-898B-4D8D-A08A-7A8BCCB569D1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M30"/>
  <sheetViews>
    <sheetView showGridLines="0" zoomScaleNormal="100" workbookViewId="0">
      <pane ySplit="9" topLeftCell="A10" activePane="bottomLeft" state="frozen"/>
      <selection activeCell="G19" sqref="G19"/>
      <selection pane="bottomLeft" activeCell="G19" sqref="G19"/>
    </sheetView>
  </sheetViews>
  <sheetFormatPr baseColWidth="10" defaultColWidth="11.42578125" defaultRowHeight="15.75" x14ac:dyDescent="0.25"/>
  <cols>
    <col min="1" max="1" width="15.7109375" style="39" customWidth="1"/>
    <col min="2" max="2" width="15.7109375" style="31" customWidth="1"/>
    <col min="3" max="3" width="40.7109375" style="40" customWidth="1"/>
    <col min="4" max="4" width="80.7109375" style="31" customWidth="1"/>
    <col min="5" max="5" width="8.7109375" style="32" customWidth="1"/>
    <col min="6" max="9" width="15.7109375" style="31" customWidth="1"/>
    <col min="10" max="13" width="11.42578125" style="40"/>
    <col min="14" max="16384" width="11.42578125" style="31"/>
  </cols>
  <sheetData>
    <row r="1" spans="1:13" ht="30" customHeight="1" x14ac:dyDescent="0.25">
      <c r="A1" s="41"/>
      <c r="B1" s="32"/>
      <c r="C1" s="32"/>
      <c r="D1" s="32"/>
      <c r="F1" s="32"/>
      <c r="G1" s="32"/>
      <c r="H1" s="32"/>
      <c r="I1" s="32"/>
      <c r="J1" s="31"/>
      <c r="K1" s="31"/>
      <c r="L1" s="31"/>
      <c r="M1" s="31"/>
    </row>
    <row r="2" spans="1:13" ht="31.5" customHeight="1" x14ac:dyDescent="0.25">
      <c r="A2" s="41"/>
      <c r="B2" s="42" t="s">
        <v>7</v>
      </c>
      <c r="C2" s="312" t="str">
        <f ca="1">MID(CELL("filename",A1),FIND("]",CELL("filename",A1))+1,32)</f>
        <v>Mai 2026</v>
      </c>
      <c r="D2" s="44"/>
      <c r="E2" s="43"/>
      <c r="F2" s="43"/>
      <c r="G2" s="43"/>
      <c r="H2" s="44"/>
      <c r="I2" s="44"/>
      <c r="J2" s="31"/>
      <c r="K2" s="31"/>
      <c r="L2" s="31"/>
      <c r="M2" s="31"/>
    </row>
    <row r="3" spans="1:13" ht="16.5" customHeight="1" thickBot="1" x14ac:dyDescent="0.3">
      <c r="A3" s="41"/>
      <c r="B3" s="32"/>
      <c r="C3" s="32"/>
      <c r="D3" s="32"/>
      <c r="F3" s="32"/>
      <c r="G3" s="32"/>
      <c r="H3" s="32"/>
      <c r="I3" s="32"/>
      <c r="J3" s="31"/>
      <c r="K3" s="31"/>
      <c r="L3" s="31"/>
      <c r="M3" s="31"/>
    </row>
    <row r="4" spans="1:13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13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  <c r="J5" s="32"/>
      <c r="K5" s="32"/>
      <c r="L5" s="32"/>
      <c r="M5" s="32"/>
    </row>
    <row r="6" spans="1:13" ht="15.75" customHeight="1" thickBot="1" x14ac:dyDescent="0.3">
      <c r="A6" s="442"/>
      <c r="B6" s="443"/>
      <c r="C6" s="434"/>
      <c r="D6" s="439" t="s">
        <v>182</v>
      </c>
      <c r="E6" s="435" t="s">
        <v>154</v>
      </c>
      <c r="F6" s="552">
        <f>'Avril 2026'!F8</f>
        <v>346.20000000000005</v>
      </c>
      <c r="G6" s="553"/>
      <c r="H6" s="550">
        <f>'Avril 2026'!H8</f>
        <v>645.11</v>
      </c>
      <c r="I6" s="551"/>
    </row>
    <row r="7" spans="1:13" ht="15.75" customHeight="1" thickBot="1" x14ac:dyDescent="0.3">
      <c r="A7" s="401"/>
      <c r="B7" s="402"/>
      <c r="C7" s="392"/>
      <c r="D7" s="441" t="s">
        <v>183</v>
      </c>
      <c r="E7" s="392"/>
      <c r="F7" s="450">
        <f>SUMIF($E$10:$E$25,"P",F10:F25)</f>
        <v>0</v>
      </c>
      <c r="G7" s="451">
        <f>SUMIF($E$10:$E$25,"P",G10:G25)</f>
        <v>0</v>
      </c>
      <c r="H7" s="450">
        <f>SUMIF($E$10:$E$25,"P",H10:H25)</f>
        <v>0</v>
      </c>
      <c r="I7" s="452">
        <f>SUMIF($E$10:$E$25,"P",I10:I25)</f>
        <v>0</v>
      </c>
    </row>
    <row r="8" spans="1:13" ht="15.75" customHeight="1" x14ac:dyDescent="0.25">
      <c r="A8" s="401"/>
      <c r="B8" s="402"/>
      <c r="C8" s="392"/>
      <c r="D8" s="441" t="s">
        <v>184</v>
      </c>
      <c r="E8" s="392"/>
      <c r="F8" s="548">
        <f>MAX(0,SUM(F6,F7)-SUM(G6,G7))</f>
        <v>346.20000000000005</v>
      </c>
      <c r="G8" s="549"/>
      <c r="H8" s="546">
        <f>MAX(0,SUM(H6,H7)-SUM(I6,I7))</f>
        <v>645.11</v>
      </c>
      <c r="I8" s="547"/>
    </row>
    <row r="9" spans="1:13" ht="15.7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473" t="s">
        <v>141</v>
      </c>
      <c r="G9" s="474" t="s">
        <v>142</v>
      </c>
      <c r="H9" s="473" t="s">
        <v>143</v>
      </c>
      <c r="I9" s="475" t="s">
        <v>144</v>
      </c>
    </row>
    <row r="10" spans="1:13" ht="15.75" customHeight="1" x14ac:dyDescent="0.25">
      <c r="A10" s="459"/>
      <c r="B10" s="426" t="str">
        <f>IFERROR(INDEX(t_Comptes[CODES],MATCH(C10,t_Comptes[LIBELLES],0)),"")</f>
        <v/>
      </c>
      <c r="C10" s="457"/>
      <c r="D10" s="471"/>
      <c r="E10" s="458"/>
      <c r="F10" s="427"/>
      <c r="G10" s="428"/>
      <c r="H10" s="427"/>
      <c r="I10" s="429"/>
    </row>
    <row r="11" spans="1:13" ht="15.75" customHeight="1" x14ac:dyDescent="0.25">
      <c r="E11" s="431"/>
    </row>
    <row r="12" spans="1:13" ht="15.75" customHeight="1" x14ac:dyDescent="0.25">
      <c r="E12" s="431"/>
    </row>
    <row r="13" spans="1:13" ht="15.75" customHeight="1" x14ac:dyDescent="0.25">
      <c r="E13" s="431"/>
    </row>
    <row r="14" spans="1:13" ht="15.75" customHeight="1" x14ac:dyDescent="0.25">
      <c r="E14" s="431"/>
    </row>
    <row r="15" spans="1:13" ht="15.75" customHeight="1" x14ac:dyDescent="0.25">
      <c r="E15" s="431"/>
    </row>
    <row r="16" spans="1:13" ht="15.75" customHeight="1" x14ac:dyDescent="0.25">
      <c r="E16" s="431"/>
    </row>
    <row r="17" spans="5:5" ht="15.75" customHeight="1" x14ac:dyDescent="0.25">
      <c r="E17" s="431"/>
    </row>
    <row r="18" spans="5:5" ht="15.75" customHeight="1" x14ac:dyDescent="0.25">
      <c r="E18" s="431"/>
    </row>
    <row r="19" spans="5:5" ht="15.75" customHeight="1" x14ac:dyDescent="0.25">
      <c r="E19" s="431"/>
    </row>
    <row r="20" spans="5:5" ht="15.75" customHeight="1" x14ac:dyDescent="0.25">
      <c r="E20" s="431"/>
    </row>
    <row r="21" spans="5:5" ht="15.75" customHeight="1" x14ac:dyDescent="0.25">
      <c r="E21" s="431"/>
    </row>
    <row r="22" spans="5:5" ht="15.75" customHeight="1" x14ac:dyDescent="0.25">
      <c r="E22" s="431"/>
    </row>
    <row r="23" spans="5:5" ht="15.75" customHeight="1" x14ac:dyDescent="0.25">
      <c r="E23" s="431"/>
    </row>
    <row r="24" spans="5:5" ht="15.75" customHeight="1" x14ac:dyDescent="0.25">
      <c r="E24" s="431"/>
    </row>
    <row r="25" spans="5:5" ht="15.75" customHeight="1" x14ac:dyDescent="0.25">
      <c r="E25" s="431"/>
    </row>
    <row r="26" spans="5:5" ht="15.75" customHeight="1" x14ac:dyDescent="0.25">
      <c r="E26" s="431"/>
    </row>
    <row r="27" spans="5:5" ht="15.75" customHeight="1" x14ac:dyDescent="0.25">
      <c r="E27" s="431"/>
    </row>
    <row r="28" spans="5:5" ht="15.75" customHeight="1" x14ac:dyDescent="0.25"/>
    <row r="29" spans="5:5" ht="15.75" customHeight="1" x14ac:dyDescent="0.25"/>
    <row r="30" spans="5:5" ht="15.75" customHeight="1" x14ac:dyDescent="0.25"/>
  </sheetData>
  <mergeCells count="12">
    <mergeCell ref="H8:I8"/>
    <mergeCell ref="H6:I6"/>
    <mergeCell ref="F8:G8"/>
    <mergeCell ref="F6:G6"/>
    <mergeCell ref="H5:I5"/>
    <mergeCell ref="F4:I4"/>
    <mergeCell ref="E4:E5"/>
    <mergeCell ref="A4:A5"/>
    <mergeCell ref="B4:B5"/>
    <mergeCell ref="C4:C5"/>
    <mergeCell ref="D4:D5"/>
    <mergeCell ref="F5:G5"/>
  </mergeCells>
  <conditionalFormatting sqref="A10:C10 E10:I10">
    <cfRule type="expression" dxfId="99" priority="26">
      <formula>INT(ROW()/2)=ROW()/2</formula>
    </cfRule>
  </conditionalFormatting>
  <dataValidations count="3">
    <dataValidation type="list" allowBlank="1" showInputMessage="1" showErrorMessage="1" sqref="C10" xr:uid="{00000000-0002-0000-0700-000000000000}">
      <formula1>d.comptes</formula1>
    </dataValidation>
    <dataValidation type="custom" allowBlank="1" showInputMessage="1" showErrorMessage="1" sqref="H10 F10" xr:uid="{18D6E21C-ECE4-408A-B1D0-E64741022514}">
      <formula1>$B10&gt;=7000</formula1>
    </dataValidation>
    <dataValidation type="custom" allowBlank="1" showInputMessage="1" showErrorMessage="1" sqref="I10 G10" xr:uid="{EEC70CAE-6454-4AB8-AE6B-C96C628196FE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N30"/>
  <sheetViews>
    <sheetView showGridLines="0" workbookViewId="0">
      <pane ySplit="9" topLeftCell="A10" activePane="bottomLeft" state="frozen"/>
      <selection activeCell="G19" sqref="G19"/>
      <selection pane="bottomLeft" activeCell="G19" sqref="G19"/>
    </sheetView>
  </sheetViews>
  <sheetFormatPr baseColWidth="10" defaultColWidth="11.42578125" defaultRowHeight="15.75" x14ac:dyDescent="0.25"/>
  <cols>
    <col min="1" max="1" width="15.7109375" style="39" customWidth="1"/>
    <col min="2" max="2" width="15.7109375" style="31" customWidth="1"/>
    <col min="3" max="3" width="40.7109375" style="40" customWidth="1"/>
    <col min="4" max="4" width="80.7109375" style="31" customWidth="1"/>
    <col min="5" max="5" width="8.7109375" style="32" customWidth="1"/>
    <col min="6" max="9" width="15.7109375" style="31" customWidth="1"/>
    <col min="10" max="14" width="11.42578125" style="40"/>
    <col min="15" max="16384" width="11.42578125" style="31"/>
  </cols>
  <sheetData>
    <row r="1" spans="1:14" ht="30" customHeight="1" x14ac:dyDescent="0.25">
      <c r="A1" s="41"/>
      <c r="B1" s="32"/>
      <c r="C1" s="32"/>
      <c r="D1" s="32"/>
      <c r="F1" s="32"/>
      <c r="G1" s="32"/>
      <c r="H1" s="32"/>
      <c r="I1" s="32"/>
      <c r="J1" s="31"/>
      <c r="K1" s="31"/>
      <c r="L1" s="31"/>
      <c r="M1" s="31"/>
      <c r="N1" s="31"/>
    </row>
    <row r="2" spans="1:14" ht="31.5" customHeight="1" x14ac:dyDescent="0.25">
      <c r="A2" s="41"/>
      <c r="B2" s="42" t="s">
        <v>7</v>
      </c>
      <c r="C2" s="312" t="str">
        <f ca="1">MID(CELL("filename",A1),FIND("]",CELL("filename",A1))+1,32)</f>
        <v>Juin 2026</v>
      </c>
      <c r="D2" s="44"/>
      <c r="E2" s="43"/>
      <c r="F2" s="43"/>
      <c r="G2" s="43"/>
      <c r="H2" s="44"/>
      <c r="I2" s="44"/>
      <c r="J2" s="31"/>
      <c r="K2" s="31"/>
      <c r="L2" s="31"/>
      <c r="M2" s="31"/>
      <c r="N2" s="31"/>
    </row>
    <row r="3" spans="1:14" ht="16.5" customHeight="1" thickBot="1" x14ac:dyDescent="0.3">
      <c r="A3" s="41"/>
      <c r="B3" s="32"/>
      <c r="C3" s="32"/>
      <c r="D3" s="32"/>
      <c r="F3" s="32"/>
      <c r="G3" s="32"/>
      <c r="H3" s="32"/>
      <c r="I3" s="32"/>
      <c r="J3" s="31"/>
      <c r="K3" s="31"/>
      <c r="L3" s="31"/>
      <c r="M3" s="31"/>
      <c r="N3" s="31"/>
    </row>
    <row r="4" spans="1:14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14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  <c r="J5" s="32"/>
      <c r="K5" s="32"/>
      <c r="L5" s="32"/>
      <c r="M5" s="32"/>
      <c r="N5" s="32"/>
    </row>
    <row r="6" spans="1:14" ht="15.95" customHeight="1" thickBot="1" x14ac:dyDescent="0.3">
      <c r="A6" s="442"/>
      <c r="B6" s="443"/>
      <c r="C6" s="434"/>
      <c r="D6" s="436" t="s">
        <v>185</v>
      </c>
      <c r="E6" s="435" t="s">
        <v>155</v>
      </c>
      <c r="F6" s="552">
        <f>'Mai 2026'!F8</f>
        <v>346.20000000000005</v>
      </c>
      <c r="G6" s="553"/>
      <c r="H6" s="550">
        <f>'Mai 2026'!H8</f>
        <v>645.11</v>
      </c>
      <c r="I6" s="551"/>
    </row>
    <row r="7" spans="1:14" ht="15.95" customHeight="1" thickBot="1" x14ac:dyDescent="0.3">
      <c r="A7" s="401"/>
      <c r="B7" s="402"/>
      <c r="C7" s="392"/>
      <c r="D7" s="437" t="s">
        <v>186</v>
      </c>
      <c r="E7" s="392"/>
      <c r="F7" s="450">
        <f>SUMIF($E$10:$E$29,"P",F10:F29)</f>
        <v>0</v>
      </c>
      <c r="G7" s="451">
        <f>SUMIF($E$10:$E$29,"P",G10:G29)</f>
        <v>0</v>
      </c>
      <c r="H7" s="450">
        <f>SUMIF($E$10:$E$29,"P",H10:H29)</f>
        <v>0</v>
      </c>
      <c r="I7" s="452">
        <f>SUMIF($E$10:$E$29,"P",I10:I29)</f>
        <v>0</v>
      </c>
    </row>
    <row r="8" spans="1:14" ht="15.95" customHeight="1" x14ac:dyDescent="0.25">
      <c r="A8" s="401"/>
      <c r="B8" s="402"/>
      <c r="C8" s="392"/>
      <c r="D8" s="437" t="s">
        <v>187</v>
      </c>
      <c r="E8" s="392"/>
      <c r="F8" s="548">
        <f>MAX(0,SUM(F6,F7)-SUM(G6,G7))</f>
        <v>346.20000000000005</v>
      </c>
      <c r="G8" s="549"/>
      <c r="H8" s="546">
        <f>MAX(0,SUM(H6,H7)-SUM(I6,I7))</f>
        <v>645.11</v>
      </c>
      <c r="I8" s="547"/>
    </row>
    <row r="9" spans="1:14" ht="15.9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</row>
    <row r="10" spans="1:14" ht="15.75" customHeight="1" x14ac:dyDescent="0.25">
      <c r="A10" s="430"/>
      <c r="B10" s="420" t="str">
        <f>IFERROR(INDEX(t_Comptes[CODES],MATCH(C10,t_Comptes[LIBELLES],0)),"")</f>
        <v/>
      </c>
      <c r="C10" s="421"/>
      <c r="D10" s="421"/>
      <c r="E10" s="422"/>
      <c r="F10" s="423"/>
      <c r="G10" s="424"/>
      <c r="H10" s="423"/>
      <c r="I10" s="425"/>
    </row>
    <row r="11" spans="1:14" x14ac:dyDescent="0.25">
      <c r="E11" s="431"/>
    </row>
    <row r="12" spans="1:14" x14ac:dyDescent="0.25">
      <c r="E12" s="431"/>
    </row>
    <row r="13" spans="1:14" x14ac:dyDescent="0.25">
      <c r="E13" s="431"/>
    </row>
    <row r="14" spans="1:14" x14ac:dyDescent="0.25">
      <c r="E14" s="431"/>
    </row>
    <row r="15" spans="1:14" x14ac:dyDescent="0.25">
      <c r="E15" s="431"/>
    </row>
    <row r="16" spans="1:14" x14ac:dyDescent="0.25">
      <c r="E16" s="431"/>
    </row>
    <row r="17" spans="5:5" x14ac:dyDescent="0.25">
      <c r="E17" s="431"/>
    </row>
    <row r="18" spans="5:5" x14ac:dyDescent="0.25">
      <c r="E18" s="431"/>
    </row>
    <row r="19" spans="5:5" x14ac:dyDescent="0.25">
      <c r="E19" s="431"/>
    </row>
    <row r="20" spans="5:5" x14ac:dyDescent="0.25">
      <c r="E20" s="431"/>
    </row>
    <row r="21" spans="5:5" x14ac:dyDescent="0.25">
      <c r="E21" s="431"/>
    </row>
    <row r="22" spans="5:5" x14ac:dyDescent="0.25">
      <c r="E22" s="431"/>
    </row>
    <row r="23" spans="5:5" x14ac:dyDescent="0.25">
      <c r="E23" s="431"/>
    </row>
    <row r="24" spans="5:5" x14ac:dyDescent="0.25">
      <c r="E24" s="431"/>
    </row>
    <row r="25" spans="5:5" x14ac:dyDescent="0.25">
      <c r="E25" s="431"/>
    </row>
    <row r="26" spans="5:5" x14ac:dyDescent="0.25">
      <c r="E26" s="431"/>
    </row>
    <row r="27" spans="5:5" x14ac:dyDescent="0.25">
      <c r="E27" s="431"/>
    </row>
    <row r="28" spans="5:5" x14ac:dyDescent="0.25">
      <c r="E28" s="431"/>
    </row>
    <row r="29" spans="5:5" x14ac:dyDescent="0.25">
      <c r="E29" s="431"/>
    </row>
    <row r="30" spans="5:5" x14ac:dyDescent="0.25">
      <c r="E30" s="431"/>
    </row>
  </sheetData>
  <mergeCells count="12">
    <mergeCell ref="F8:G8"/>
    <mergeCell ref="H8:I8"/>
    <mergeCell ref="H6:I6"/>
    <mergeCell ref="F6:G6"/>
    <mergeCell ref="H5:I5"/>
    <mergeCell ref="F4:I4"/>
    <mergeCell ref="E4:E5"/>
    <mergeCell ref="A4:A5"/>
    <mergeCell ref="B4:B5"/>
    <mergeCell ref="C4:C5"/>
    <mergeCell ref="D4:D5"/>
    <mergeCell ref="F5:G5"/>
  </mergeCells>
  <conditionalFormatting sqref="A10:I10">
    <cfRule type="expression" dxfId="87" priority="22">
      <formula>INT(ROW()/2)=ROW()/2</formula>
    </cfRule>
  </conditionalFormatting>
  <dataValidations count="3">
    <dataValidation type="list" allowBlank="1" showInputMessage="1" showErrorMessage="1" sqref="C10" xr:uid="{00000000-0002-0000-0800-000000000000}">
      <formula1>d.comptes</formula1>
    </dataValidation>
    <dataValidation type="custom" allowBlank="1" showInputMessage="1" showErrorMessage="1" sqref="H10 F10" xr:uid="{FAEA6BA5-C8FD-42D3-8E8D-0CB9116FD03D}">
      <formula1>$B10&gt;=7000</formula1>
    </dataValidation>
    <dataValidation type="custom" allowBlank="1" showInputMessage="1" showErrorMessage="1" sqref="I10 G10" xr:uid="{3BC016A3-019D-4D63-A286-3A31F6C115D0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N30"/>
  <sheetViews>
    <sheetView showGridLines="0" workbookViewId="0">
      <pane ySplit="9" topLeftCell="A10" activePane="bottomLeft" state="frozen"/>
      <selection activeCell="G19" sqref="G19"/>
      <selection pane="bottomLeft" activeCell="G19" sqref="G19"/>
    </sheetView>
  </sheetViews>
  <sheetFormatPr baseColWidth="10" defaultColWidth="11.42578125" defaultRowHeight="15.75" x14ac:dyDescent="0.25"/>
  <cols>
    <col min="1" max="1" width="15.7109375" style="39" customWidth="1"/>
    <col min="2" max="2" width="15.7109375" style="31" customWidth="1"/>
    <col min="3" max="3" width="40.7109375" style="40" customWidth="1"/>
    <col min="4" max="4" width="80.7109375" style="31" customWidth="1"/>
    <col min="5" max="5" width="8.7109375" style="32" customWidth="1"/>
    <col min="6" max="9" width="15.7109375" style="31" customWidth="1"/>
    <col min="10" max="14" width="11.42578125" style="40"/>
    <col min="15" max="16384" width="11.42578125" style="31"/>
  </cols>
  <sheetData>
    <row r="1" spans="1:14" ht="30" customHeight="1" x14ac:dyDescent="0.25">
      <c r="A1" s="41"/>
      <c r="B1" s="32"/>
      <c r="C1" s="32"/>
      <c r="D1" s="32"/>
      <c r="F1" s="32"/>
      <c r="G1" s="32"/>
      <c r="H1" s="32"/>
      <c r="I1" s="32"/>
      <c r="J1" s="31"/>
      <c r="K1" s="31"/>
      <c r="L1" s="31"/>
      <c r="M1" s="31"/>
      <c r="N1" s="31"/>
    </row>
    <row r="2" spans="1:14" ht="31.5" customHeight="1" x14ac:dyDescent="0.25">
      <c r="A2" s="41"/>
      <c r="B2" s="42" t="s">
        <v>7</v>
      </c>
      <c r="C2" s="312" t="str">
        <f ca="1">MID(CELL("filename",A1),FIND("]",CELL("filename",A1))+1,32)</f>
        <v>Juillet 2026</v>
      </c>
      <c r="D2" s="44"/>
      <c r="E2" s="43"/>
      <c r="F2" s="43"/>
      <c r="G2" s="43"/>
      <c r="H2" s="44"/>
      <c r="I2" s="44"/>
      <c r="J2" s="31"/>
      <c r="K2" s="31"/>
      <c r="L2" s="31"/>
      <c r="M2" s="31"/>
      <c r="N2" s="31"/>
    </row>
    <row r="3" spans="1:14" ht="16.5" customHeight="1" thickBot="1" x14ac:dyDescent="0.3">
      <c r="A3" s="41"/>
      <c r="B3" s="32"/>
      <c r="C3" s="32"/>
      <c r="D3" s="32"/>
      <c r="F3" s="32"/>
      <c r="G3" s="32"/>
      <c r="H3" s="32"/>
      <c r="I3" s="32"/>
      <c r="J3" s="31"/>
      <c r="K3" s="31"/>
      <c r="L3" s="31"/>
      <c r="M3" s="31"/>
      <c r="N3" s="31"/>
    </row>
    <row r="4" spans="1:14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14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  <c r="J5" s="32"/>
      <c r="K5" s="32"/>
      <c r="L5" s="32"/>
      <c r="M5" s="32"/>
      <c r="N5" s="32"/>
    </row>
    <row r="6" spans="1:14" ht="15.95" customHeight="1" thickBot="1" x14ac:dyDescent="0.3">
      <c r="A6" s="442"/>
      <c r="B6" s="443"/>
      <c r="C6" s="434"/>
      <c r="D6" s="436" t="s">
        <v>188</v>
      </c>
      <c r="E6" s="435" t="s">
        <v>156</v>
      </c>
      <c r="F6" s="552">
        <f>'Juin 2026'!F8</f>
        <v>346.20000000000005</v>
      </c>
      <c r="G6" s="553"/>
      <c r="H6" s="550">
        <f>'Juin 2026'!H8</f>
        <v>645.11</v>
      </c>
      <c r="I6" s="551"/>
    </row>
    <row r="7" spans="1:14" ht="15.95" customHeight="1" thickBot="1" x14ac:dyDescent="0.3">
      <c r="A7" s="401"/>
      <c r="B7" s="402"/>
      <c r="C7" s="392"/>
      <c r="D7" s="437" t="s">
        <v>189</v>
      </c>
      <c r="E7" s="392"/>
      <c r="F7" s="450">
        <f>SUMIF($E$10:$E$24,"P",F10:F24)</f>
        <v>0</v>
      </c>
      <c r="G7" s="451">
        <f>SUMIF($E$10:$E$24,"P",G10:G24)</f>
        <v>0</v>
      </c>
      <c r="H7" s="450">
        <f>SUMIF($E$10:$E$24,"P",H10:H24)</f>
        <v>0</v>
      </c>
      <c r="I7" s="452">
        <f>SUMIF($E$10:$E$24,"P",I10:I24)</f>
        <v>0</v>
      </c>
    </row>
    <row r="8" spans="1:14" ht="15.95" customHeight="1" x14ac:dyDescent="0.25">
      <c r="A8" s="401"/>
      <c r="B8" s="402"/>
      <c r="C8" s="392"/>
      <c r="D8" s="437" t="s">
        <v>190</v>
      </c>
      <c r="E8" s="392"/>
      <c r="F8" s="548">
        <f>MAX(0,SUM(F6,F7)-SUM(G6,G7))</f>
        <v>346.20000000000005</v>
      </c>
      <c r="G8" s="549"/>
      <c r="H8" s="546">
        <f>MAX(0,SUM(H6,H7)-SUM(I6,I7))</f>
        <v>645.11</v>
      </c>
      <c r="I8" s="547"/>
    </row>
    <row r="9" spans="1:14" ht="15.9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</row>
    <row r="10" spans="1:14" ht="15.75" customHeight="1" x14ac:dyDescent="0.25">
      <c r="A10" s="430"/>
      <c r="B10" s="420" t="str">
        <f>IFERROR(INDEX(t_Comptes[CODES],MATCH(C10,t_Comptes[LIBELLES],0)),"")</f>
        <v/>
      </c>
      <c r="C10" s="421"/>
      <c r="D10" s="421"/>
      <c r="E10" s="422"/>
      <c r="F10" s="423"/>
      <c r="G10" s="424"/>
      <c r="H10" s="423"/>
      <c r="I10" s="425"/>
    </row>
    <row r="11" spans="1:14" ht="15.75" customHeight="1" x14ac:dyDescent="0.25">
      <c r="E11" s="431"/>
    </row>
    <row r="12" spans="1:14" ht="15.75" customHeight="1" x14ac:dyDescent="0.25">
      <c r="E12" s="431"/>
    </row>
    <row r="13" spans="1:14" ht="15.75" customHeight="1" x14ac:dyDescent="0.25">
      <c r="E13" s="431"/>
    </row>
    <row r="14" spans="1:14" ht="15.75" customHeight="1" x14ac:dyDescent="0.25">
      <c r="E14" s="431"/>
    </row>
    <row r="15" spans="1:14" ht="15.75" customHeight="1" x14ac:dyDescent="0.25">
      <c r="E15" s="431"/>
    </row>
    <row r="16" spans="1:14" ht="15.75" customHeight="1" x14ac:dyDescent="0.25">
      <c r="E16" s="431"/>
    </row>
    <row r="17" spans="5:5" ht="15.75" customHeight="1" x14ac:dyDescent="0.25">
      <c r="E17" s="431"/>
    </row>
    <row r="18" spans="5:5" ht="15.75" customHeight="1" x14ac:dyDescent="0.25">
      <c r="E18" s="431"/>
    </row>
    <row r="19" spans="5:5" ht="15.75" customHeight="1" x14ac:dyDescent="0.25">
      <c r="E19" s="431"/>
    </row>
    <row r="20" spans="5:5" ht="15.75" customHeight="1" x14ac:dyDescent="0.25">
      <c r="E20" s="431"/>
    </row>
    <row r="21" spans="5:5" ht="15.75" customHeight="1" x14ac:dyDescent="0.25">
      <c r="E21" s="431"/>
    </row>
    <row r="22" spans="5:5" ht="15.75" customHeight="1" x14ac:dyDescent="0.25">
      <c r="E22" s="431"/>
    </row>
    <row r="23" spans="5:5" ht="15.75" customHeight="1" x14ac:dyDescent="0.25">
      <c r="E23" s="431"/>
    </row>
    <row r="24" spans="5:5" ht="15.75" customHeight="1" x14ac:dyDescent="0.25">
      <c r="E24" s="431"/>
    </row>
    <row r="25" spans="5:5" ht="15.75" customHeight="1" x14ac:dyDescent="0.25">
      <c r="E25" s="431"/>
    </row>
    <row r="26" spans="5:5" ht="15.75" customHeight="1" x14ac:dyDescent="0.25">
      <c r="E26" s="431"/>
    </row>
    <row r="27" spans="5:5" ht="15.75" customHeight="1" x14ac:dyDescent="0.25">
      <c r="E27" s="431"/>
    </row>
    <row r="28" spans="5:5" ht="15.75" customHeight="1" x14ac:dyDescent="0.25">
      <c r="E28" s="431"/>
    </row>
    <row r="29" spans="5:5" x14ac:dyDescent="0.25">
      <c r="E29" s="431"/>
    </row>
    <row r="30" spans="5:5" x14ac:dyDescent="0.25">
      <c r="E30" s="431"/>
    </row>
  </sheetData>
  <sortState xmlns:xlrd2="http://schemas.microsoft.com/office/spreadsheetml/2017/richdata2" ref="A10:N10">
    <sortCondition ref="A10"/>
  </sortState>
  <mergeCells count="12">
    <mergeCell ref="H8:I8"/>
    <mergeCell ref="H6:I6"/>
    <mergeCell ref="F8:G8"/>
    <mergeCell ref="F6:G6"/>
    <mergeCell ref="H5:I5"/>
    <mergeCell ref="F4:I4"/>
    <mergeCell ref="E4:E5"/>
    <mergeCell ref="A4:A5"/>
    <mergeCell ref="B4:B5"/>
    <mergeCell ref="C4:C5"/>
    <mergeCell ref="D4:D5"/>
    <mergeCell ref="F5:G5"/>
  </mergeCells>
  <conditionalFormatting sqref="A10:I10">
    <cfRule type="expression" dxfId="75" priority="26">
      <formula>INT(ROW()/2)=ROW()/2</formula>
    </cfRule>
  </conditionalFormatting>
  <dataValidations count="3">
    <dataValidation type="list" allowBlank="1" showInputMessage="1" showErrorMessage="1" sqref="C10" xr:uid="{00000000-0002-0000-0900-000000000000}">
      <formula1>d.comptes</formula1>
    </dataValidation>
    <dataValidation type="custom" allowBlank="1" showInputMessage="1" showErrorMessage="1" sqref="H10 F10" xr:uid="{71D10893-ABCA-462C-A0CA-80FC586EBE57}">
      <formula1>$B10&gt;=7000</formula1>
    </dataValidation>
    <dataValidation type="custom" allowBlank="1" showInputMessage="1" showErrorMessage="1" sqref="I10 G10" xr:uid="{8AE2C650-1ACB-49DB-B9CD-C82DE2DF74C1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N30"/>
  <sheetViews>
    <sheetView showGridLines="0" workbookViewId="0">
      <pane ySplit="9" topLeftCell="A10" activePane="bottomLeft" state="frozen"/>
      <selection activeCell="G19" sqref="G19"/>
      <selection pane="bottomLeft" activeCell="G19" sqref="G19"/>
    </sheetView>
  </sheetViews>
  <sheetFormatPr baseColWidth="10" defaultColWidth="11.42578125" defaultRowHeight="15.75" x14ac:dyDescent="0.25"/>
  <cols>
    <col min="1" max="1" width="15.7109375" style="39" customWidth="1"/>
    <col min="2" max="2" width="15.7109375" style="31" customWidth="1"/>
    <col min="3" max="3" width="40.7109375" style="40" customWidth="1"/>
    <col min="4" max="4" width="80.7109375" style="31" customWidth="1"/>
    <col min="5" max="5" width="8.7109375" style="32" customWidth="1"/>
    <col min="6" max="9" width="15.7109375" style="31" customWidth="1"/>
    <col min="10" max="14" width="11.42578125" style="40"/>
    <col min="15" max="16384" width="11.42578125" style="31"/>
  </cols>
  <sheetData>
    <row r="1" spans="1:14" ht="30" customHeight="1" x14ac:dyDescent="0.25">
      <c r="A1" s="41"/>
      <c r="B1" s="32"/>
      <c r="C1" s="32"/>
      <c r="D1" s="32"/>
      <c r="F1" s="32"/>
      <c r="G1" s="32"/>
      <c r="H1" s="32"/>
      <c r="I1" s="32"/>
      <c r="J1" s="31"/>
      <c r="K1" s="31"/>
      <c r="L1" s="31"/>
      <c r="M1" s="31"/>
      <c r="N1" s="31"/>
    </row>
    <row r="2" spans="1:14" ht="31.5" customHeight="1" x14ac:dyDescent="0.25">
      <c r="A2" s="41"/>
      <c r="B2" s="42" t="s">
        <v>7</v>
      </c>
      <c r="C2" s="312" t="str">
        <f ca="1">MID(CELL("filename",A1),FIND("]",CELL("filename",A1))+1,32)</f>
        <v>Août 2026</v>
      </c>
      <c r="D2" s="44"/>
      <c r="E2" s="43"/>
      <c r="F2" s="43"/>
      <c r="G2" s="43"/>
      <c r="H2" s="44"/>
      <c r="I2" s="44"/>
      <c r="J2" s="31"/>
      <c r="K2" s="31"/>
      <c r="L2" s="31"/>
      <c r="M2" s="31"/>
      <c r="N2" s="31"/>
    </row>
    <row r="3" spans="1:14" ht="16.5" customHeight="1" thickBot="1" x14ac:dyDescent="0.3">
      <c r="A3" s="41"/>
      <c r="B3" s="32"/>
      <c r="C3" s="32"/>
      <c r="D3" s="32"/>
      <c r="F3" s="32"/>
      <c r="G3" s="32"/>
      <c r="H3" s="32"/>
      <c r="I3" s="32"/>
      <c r="J3" s="31"/>
      <c r="K3" s="31"/>
      <c r="L3" s="31"/>
      <c r="M3" s="31"/>
      <c r="N3" s="31"/>
    </row>
    <row r="4" spans="1:14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14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  <c r="J5" s="32"/>
      <c r="K5" s="32"/>
      <c r="L5" s="32"/>
      <c r="M5" s="32"/>
      <c r="N5" s="32"/>
    </row>
    <row r="6" spans="1:14" ht="15.75" customHeight="1" thickBot="1" x14ac:dyDescent="0.3">
      <c r="A6" s="442"/>
      <c r="B6" s="443"/>
      <c r="C6" s="434"/>
      <c r="D6" s="439" t="s">
        <v>191</v>
      </c>
      <c r="E6" s="435" t="s">
        <v>157</v>
      </c>
      <c r="F6" s="552">
        <f>'Juillet 2026'!F8</f>
        <v>346.20000000000005</v>
      </c>
      <c r="G6" s="553"/>
      <c r="H6" s="550">
        <f>'Juillet 2026'!H8</f>
        <v>645.11</v>
      </c>
      <c r="I6" s="551"/>
    </row>
    <row r="7" spans="1:14" ht="15.75" customHeight="1" thickBot="1" x14ac:dyDescent="0.3">
      <c r="A7" s="401"/>
      <c r="B7" s="402"/>
      <c r="C7" s="392"/>
      <c r="D7" s="441" t="s">
        <v>192</v>
      </c>
      <c r="E7" s="392"/>
      <c r="F7" s="450">
        <f>SUMIF($E$10:$E$24,"P",F10:F24)</f>
        <v>0</v>
      </c>
      <c r="G7" s="451">
        <f>SUMIF($E$10:$E$24,"P",G10:G24)</f>
        <v>0</v>
      </c>
      <c r="H7" s="450">
        <f>SUMIF($E$10:$E$24,"P",H10:H24)</f>
        <v>0</v>
      </c>
      <c r="I7" s="452">
        <f>SUMIF($E$10:$E$24,"P",I10:I24)</f>
        <v>0</v>
      </c>
    </row>
    <row r="8" spans="1:14" ht="15.75" customHeight="1" x14ac:dyDescent="0.25">
      <c r="A8" s="401"/>
      <c r="B8" s="402"/>
      <c r="C8" s="392"/>
      <c r="D8" s="441" t="s">
        <v>193</v>
      </c>
      <c r="E8" s="392"/>
      <c r="F8" s="548">
        <f>MAX(0,SUM(F6,F7)-SUM(G6,G7))</f>
        <v>346.20000000000005</v>
      </c>
      <c r="G8" s="549"/>
      <c r="H8" s="546">
        <f>MAX(0,SUM(H6,H7)-SUM(I6,I7))</f>
        <v>645.11</v>
      </c>
      <c r="I8" s="547"/>
    </row>
    <row r="9" spans="1:14" ht="15.7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</row>
    <row r="10" spans="1:14" ht="15.75" customHeight="1" x14ac:dyDescent="0.25">
      <c r="A10" s="430"/>
      <c r="B10" s="420" t="str">
        <f>IFERROR(INDEX(t_Comptes[CODES],MATCH(C10,t_Comptes[LIBELLES],0)),"")</f>
        <v/>
      </c>
      <c r="C10" s="421"/>
      <c r="D10" s="421"/>
      <c r="E10" s="422"/>
      <c r="F10" s="423"/>
      <c r="G10" s="424"/>
      <c r="H10" s="423"/>
      <c r="I10" s="425"/>
      <c r="J10" s="321"/>
    </row>
    <row r="11" spans="1:14" ht="15.75" customHeight="1" x14ac:dyDescent="0.25"/>
    <row r="12" spans="1:14" ht="15.75" customHeight="1" x14ac:dyDescent="0.25"/>
    <row r="13" spans="1:14" ht="15.75" customHeight="1" x14ac:dyDescent="0.25"/>
    <row r="14" spans="1:14" ht="15.75" customHeight="1" x14ac:dyDescent="0.25"/>
    <row r="15" spans="1:14" ht="15.75" customHeight="1" x14ac:dyDescent="0.25"/>
    <row r="16" spans="1:14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</sheetData>
  <mergeCells count="12">
    <mergeCell ref="H8:I8"/>
    <mergeCell ref="F8:G8"/>
    <mergeCell ref="H6:I6"/>
    <mergeCell ref="F6:G6"/>
    <mergeCell ref="H5:I5"/>
    <mergeCell ref="F4:I4"/>
    <mergeCell ref="E4:E5"/>
    <mergeCell ref="A4:A5"/>
    <mergeCell ref="B4:B5"/>
    <mergeCell ref="C4:C5"/>
    <mergeCell ref="D4:D5"/>
    <mergeCell ref="F5:G5"/>
  </mergeCells>
  <conditionalFormatting sqref="A10:I10">
    <cfRule type="expression" dxfId="63" priority="8">
      <formula>INT(ROW()/2)=ROW()/2</formula>
    </cfRule>
  </conditionalFormatting>
  <dataValidations count="3">
    <dataValidation type="list" allowBlank="1" showInputMessage="1" showErrorMessage="1" sqref="C10" xr:uid="{00000000-0002-0000-0A00-000000000000}">
      <formula1>d.comptes</formula1>
    </dataValidation>
    <dataValidation type="custom" allowBlank="1" showInputMessage="1" showErrorMessage="1" sqref="F10 H10" xr:uid="{EAE46A14-A595-4DC1-BAE3-2E79DCDBEA06}">
      <formula1>$B10&gt;=7000</formula1>
    </dataValidation>
    <dataValidation type="custom" allowBlank="1" showInputMessage="1" showErrorMessage="1" sqref="G10 I10" xr:uid="{FE77BDC0-D79F-4C94-A52D-69D9B3CD37D1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N30"/>
  <sheetViews>
    <sheetView showGridLines="0" workbookViewId="0">
      <pane ySplit="9" topLeftCell="A10" activePane="bottomLeft" state="frozen"/>
      <selection activeCell="G19" sqref="G19"/>
      <selection pane="bottomLeft" activeCell="G19" sqref="G19"/>
    </sheetView>
  </sheetViews>
  <sheetFormatPr baseColWidth="10" defaultColWidth="11.42578125" defaultRowHeight="15.75" x14ac:dyDescent="0.25"/>
  <cols>
    <col min="1" max="1" width="15.7109375" style="39" customWidth="1"/>
    <col min="2" max="2" width="15.7109375" style="31" customWidth="1"/>
    <col min="3" max="3" width="40.7109375" style="40" customWidth="1"/>
    <col min="4" max="4" width="80.7109375" style="31" customWidth="1"/>
    <col min="5" max="5" width="8.7109375" style="32" customWidth="1"/>
    <col min="6" max="9" width="15.7109375" style="31" customWidth="1"/>
    <col min="10" max="14" width="11.42578125" style="40"/>
    <col min="15" max="16384" width="11.42578125" style="31"/>
  </cols>
  <sheetData>
    <row r="1" spans="1:14" ht="30" customHeight="1" x14ac:dyDescent="0.25">
      <c r="A1" s="41"/>
      <c r="B1" s="32"/>
      <c r="C1" s="32"/>
      <c r="D1" s="32"/>
      <c r="F1" s="32"/>
      <c r="G1" s="32"/>
      <c r="H1" s="32"/>
      <c r="I1" s="32"/>
      <c r="J1" s="31"/>
      <c r="K1" s="31"/>
      <c r="L1" s="31"/>
      <c r="M1" s="31"/>
      <c r="N1" s="31"/>
    </row>
    <row r="2" spans="1:14" ht="31.5" customHeight="1" x14ac:dyDescent="0.25">
      <c r="A2" s="41"/>
      <c r="B2" s="42" t="s">
        <v>7</v>
      </c>
      <c r="C2" s="312" t="str">
        <f ca="1">MID(CELL("filename",A1),FIND("]",CELL("filename",A1))+1,32)</f>
        <v>Septembre 2026</v>
      </c>
      <c r="D2" s="44"/>
      <c r="E2" s="43"/>
      <c r="F2" s="43"/>
      <c r="G2" s="43"/>
      <c r="H2" s="44"/>
      <c r="I2" s="44"/>
      <c r="J2" s="31"/>
      <c r="K2" s="31"/>
      <c r="L2" s="31"/>
      <c r="M2" s="31"/>
      <c r="N2" s="31"/>
    </row>
    <row r="3" spans="1:14" ht="16.5" customHeight="1" thickBot="1" x14ac:dyDescent="0.3">
      <c r="A3" s="41"/>
      <c r="B3" s="32"/>
      <c r="C3" s="32"/>
      <c r="D3" s="32"/>
      <c r="F3" s="32"/>
      <c r="G3" s="32"/>
      <c r="H3" s="32"/>
      <c r="I3" s="32"/>
      <c r="J3" s="31"/>
      <c r="K3" s="31"/>
      <c r="L3" s="31"/>
      <c r="M3" s="31"/>
      <c r="N3" s="31"/>
    </row>
    <row r="4" spans="1:14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14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  <c r="J5" s="32"/>
      <c r="K5" s="32"/>
      <c r="L5" s="32"/>
      <c r="M5" s="32"/>
      <c r="N5" s="32"/>
    </row>
    <row r="6" spans="1:14" ht="15.75" customHeight="1" thickBot="1" x14ac:dyDescent="0.3">
      <c r="A6" s="442"/>
      <c r="B6" s="443"/>
      <c r="C6" s="434"/>
      <c r="D6" s="439" t="s">
        <v>194</v>
      </c>
      <c r="E6" s="435" t="s">
        <v>158</v>
      </c>
      <c r="F6" s="552">
        <f>'Août 2026'!F8</f>
        <v>346.20000000000005</v>
      </c>
      <c r="G6" s="553"/>
      <c r="H6" s="550">
        <f>'Août 2026'!H8</f>
        <v>645.11</v>
      </c>
      <c r="I6" s="551"/>
      <c r="J6" s="329"/>
      <c r="K6" s="329"/>
    </row>
    <row r="7" spans="1:14" ht="15.75" customHeight="1" thickBot="1" x14ac:dyDescent="0.3">
      <c r="A7" s="401"/>
      <c r="B7" s="402"/>
      <c r="C7" s="392"/>
      <c r="D7" s="441" t="s">
        <v>195</v>
      </c>
      <c r="E7" s="392"/>
      <c r="F7" s="450">
        <f>SUMIF($E$10:$E$24,"P",F10:F24)</f>
        <v>0</v>
      </c>
      <c r="G7" s="451">
        <f>SUMIF($E$10:$E$24,"P",G10:G24)</f>
        <v>0</v>
      </c>
      <c r="H7" s="450">
        <f>SUMIF($E$10:$E$24,"P",H10:H24)</f>
        <v>0</v>
      </c>
      <c r="I7" s="452">
        <f>SUMIF($E$10:$E$24,"P",I10:I24)</f>
        <v>0</v>
      </c>
      <c r="J7" s="329"/>
      <c r="K7" s="329"/>
    </row>
    <row r="8" spans="1:14" ht="15.75" customHeight="1" x14ac:dyDescent="0.25">
      <c r="A8" s="401"/>
      <c r="B8" s="402"/>
      <c r="C8" s="392"/>
      <c r="D8" s="441" t="s">
        <v>196</v>
      </c>
      <c r="E8" s="392"/>
      <c r="F8" s="548">
        <f>MAX(0,SUM(F6,F7)-SUM(G6,G7))</f>
        <v>346.20000000000005</v>
      </c>
      <c r="G8" s="549"/>
      <c r="H8" s="546">
        <f>MAX(0,SUM(H6,H7)-SUM(I6,I7))</f>
        <v>645.11</v>
      </c>
      <c r="I8" s="547"/>
      <c r="J8" s="329"/>
      <c r="K8" s="329"/>
    </row>
    <row r="9" spans="1:14" ht="15.7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  <c r="J9" s="329"/>
      <c r="K9" s="329"/>
    </row>
    <row r="10" spans="1:14" ht="15.75" customHeight="1" x14ac:dyDescent="0.25">
      <c r="A10" s="430"/>
      <c r="B10" s="420" t="str">
        <f>IFERROR(INDEX(t_Comptes[CODES],MATCH(C10,t_Comptes[LIBELLES],0)),"")</f>
        <v/>
      </c>
      <c r="C10" s="421"/>
      <c r="D10" s="421"/>
      <c r="E10" s="422"/>
      <c r="F10" s="423"/>
      <c r="G10" s="424"/>
      <c r="H10" s="423"/>
      <c r="I10" s="425"/>
      <c r="J10" s="322"/>
    </row>
    <row r="11" spans="1:14" ht="15.75" customHeight="1" x14ac:dyDescent="0.25"/>
    <row r="12" spans="1:14" ht="15.75" customHeight="1" x14ac:dyDescent="0.25"/>
    <row r="13" spans="1:14" ht="15.75" customHeight="1" x14ac:dyDescent="0.25"/>
    <row r="14" spans="1:14" ht="15.75" customHeight="1" x14ac:dyDescent="0.25"/>
    <row r="15" spans="1:14" ht="15.75" customHeight="1" x14ac:dyDescent="0.25"/>
    <row r="16" spans="1:14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</sheetData>
  <mergeCells count="12">
    <mergeCell ref="H8:I8"/>
    <mergeCell ref="F8:G8"/>
    <mergeCell ref="H6:I6"/>
    <mergeCell ref="F6:G6"/>
    <mergeCell ref="H5:I5"/>
    <mergeCell ref="F4:I4"/>
    <mergeCell ref="E4:E5"/>
    <mergeCell ref="A4:A5"/>
    <mergeCell ref="B4:B5"/>
    <mergeCell ref="C4:C5"/>
    <mergeCell ref="D4:D5"/>
    <mergeCell ref="F5:G5"/>
  </mergeCells>
  <conditionalFormatting sqref="A10:I10">
    <cfRule type="expression" dxfId="51" priority="30">
      <formula>INT(ROW()/2)=ROW()/2</formula>
    </cfRule>
  </conditionalFormatting>
  <dataValidations count="3">
    <dataValidation type="list" allowBlank="1" showInputMessage="1" showErrorMessage="1" sqref="C10" xr:uid="{00000000-0002-0000-0B00-000000000000}">
      <formula1>d.comptes</formula1>
    </dataValidation>
    <dataValidation type="custom" allowBlank="1" showInputMessage="1" showErrorMessage="1" sqref="H10 F10" xr:uid="{1D13FAD3-9A8A-48FB-A341-559F71176075}">
      <formula1>$B10&gt;=7000</formula1>
    </dataValidation>
    <dataValidation type="custom" allowBlank="1" showInputMessage="1" showErrorMessage="1" sqref="I10 G10" xr:uid="{17C9643B-BDE3-4818-BF6D-EAE0D1CB2D7A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N30"/>
  <sheetViews>
    <sheetView showGridLines="0" workbookViewId="0">
      <pane ySplit="9" topLeftCell="A10" activePane="bottomLeft" state="frozen"/>
      <selection activeCell="G19" sqref="G19"/>
      <selection pane="bottomLeft" activeCell="G19" sqref="G19"/>
    </sheetView>
  </sheetViews>
  <sheetFormatPr baseColWidth="10" defaultColWidth="11.42578125" defaultRowHeight="15.75" x14ac:dyDescent="0.25"/>
  <cols>
    <col min="1" max="1" width="15.7109375" style="39" customWidth="1"/>
    <col min="2" max="2" width="15.7109375" style="31" customWidth="1"/>
    <col min="3" max="3" width="40.7109375" style="40" customWidth="1"/>
    <col min="4" max="4" width="80.7109375" style="31" customWidth="1"/>
    <col min="5" max="5" width="8.7109375" style="32" customWidth="1"/>
    <col min="6" max="9" width="15.7109375" style="31" customWidth="1"/>
    <col min="10" max="14" width="11.42578125" style="40"/>
    <col min="15" max="16384" width="11.42578125" style="31"/>
  </cols>
  <sheetData>
    <row r="1" spans="1:14" ht="30" customHeight="1" x14ac:dyDescent="0.25">
      <c r="A1" s="41"/>
      <c r="B1" s="32"/>
      <c r="C1" s="32"/>
      <c r="D1" s="32"/>
      <c r="F1" s="32"/>
      <c r="G1" s="32"/>
      <c r="H1" s="32"/>
      <c r="I1" s="32"/>
      <c r="J1" s="31"/>
      <c r="K1" s="31"/>
      <c r="L1" s="31"/>
      <c r="M1" s="31"/>
      <c r="N1" s="31"/>
    </row>
    <row r="2" spans="1:14" ht="31.5" customHeight="1" x14ac:dyDescent="0.25">
      <c r="A2" s="41"/>
      <c r="B2" s="42" t="s">
        <v>7</v>
      </c>
      <c r="C2" s="312" t="str">
        <f ca="1">MID(CELL("filename",A1),FIND("]",CELL("filename",A1))+1,32)</f>
        <v>Octobre 2026</v>
      </c>
      <c r="D2" s="44"/>
      <c r="E2" s="43"/>
      <c r="F2" s="43"/>
      <c r="G2" s="43"/>
      <c r="H2" s="44"/>
      <c r="I2" s="44"/>
      <c r="J2" s="31"/>
      <c r="K2" s="31"/>
      <c r="L2" s="31"/>
      <c r="M2" s="31"/>
      <c r="N2" s="31"/>
    </row>
    <row r="3" spans="1:14" ht="16.5" customHeight="1" thickBot="1" x14ac:dyDescent="0.3">
      <c r="A3" s="41"/>
      <c r="B3" s="32"/>
      <c r="C3" s="32"/>
      <c r="D3" s="32"/>
      <c r="F3" s="32"/>
      <c r="G3" s="32"/>
      <c r="H3" s="32"/>
      <c r="I3" s="32"/>
      <c r="J3" s="31"/>
      <c r="K3" s="31"/>
      <c r="L3" s="31"/>
      <c r="M3" s="31"/>
      <c r="N3" s="31"/>
    </row>
    <row r="4" spans="1:14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14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  <c r="J5" s="32"/>
      <c r="K5" s="32"/>
      <c r="L5" s="32"/>
      <c r="M5" s="32"/>
      <c r="N5" s="32"/>
    </row>
    <row r="6" spans="1:14" ht="15.75" customHeight="1" thickBot="1" x14ac:dyDescent="0.3">
      <c r="A6" s="442"/>
      <c r="B6" s="443"/>
      <c r="C6" s="434"/>
      <c r="D6" s="439" t="s">
        <v>197</v>
      </c>
      <c r="E6" s="435" t="s">
        <v>159</v>
      </c>
      <c r="F6" s="552">
        <f>'Septembre 2026'!F8</f>
        <v>346.20000000000005</v>
      </c>
      <c r="G6" s="553"/>
      <c r="H6" s="550">
        <f>'Septembre 2026'!H8</f>
        <v>645.11</v>
      </c>
      <c r="I6" s="551"/>
    </row>
    <row r="7" spans="1:14" ht="15.75" customHeight="1" thickBot="1" x14ac:dyDescent="0.3">
      <c r="A7" s="401"/>
      <c r="B7" s="402"/>
      <c r="C7" s="392"/>
      <c r="D7" s="441" t="s">
        <v>198</v>
      </c>
      <c r="E7" s="392"/>
      <c r="F7" s="450"/>
      <c r="G7" s="451">
        <f>SUMIF($E$10:$E$23,"P",G10:G23)</f>
        <v>0</v>
      </c>
      <c r="H7" s="450">
        <f>SUMIF($E$10:$E$23,"P",H10:H23)</f>
        <v>0</v>
      </c>
      <c r="I7" s="452">
        <f>SUMIF($E$10:$E$23,"P",I10:I23)</f>
        <v>0</v>
      </c>
    </row>
    <row r="8" spans="1:14" ht="15.75" customHeight="1" x14ac:dyDescent="0.25">
      <c r="A8" s="401"/>
      <c r="B8" s="402"/>
      <c r="C8" s="392"/>
      <c r="D8" s="441" t="s">
        <v>199</v>
      </c>
      <c r="E8" s="392"/>
      <c r="F8" s="548">
        <f>MAX(0,SUM(F6,F7)-SUM(G6,G7))</f>
        <v>346.20000000000005</v>
      </c>
      <c r="G8" s="549"/>
      <c r="H8" s="546">
        <f>MAX(0,SUM(H6,H7)-SUM(I6,I7))</f>
        <v>645.11</v>
      </c>
      <c r="I8" s="547"/>
    </row>
    <row r="9" spans="1:14" ht="15.7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</row>
    <row r="10" spans="1:14" ht="15.75" customHeight="1" x14ac:dyDescent="0.25">
      <c r="A10" s="430"/>
      <c r="B10" s="420" t="str">
        <f>IFERROR(INDEX(t_Comptes[CODES],MATCH(C10,t_Comptes[LIBELLES],0)),"")</f>
        <v/>
      </c>
      <c r="C10" s="421"/>
      <c r="D10" s="421"/>
      <c r="E10" s="422"/>
      <c r="F10" s="423"/>
      <c r="G10" s="424"/>
      <c r="H10" s="423"/>
      <c r="I10" s="425"/>
      <c r="J10" s="321"/>
    </row>
    <row r="11" spans="1:14" ht="15.75" customHeight="1" x14ac:dyDescent="0.25"/>
    <row r="12" spans="1:14" ht="15.75" customHeight="1" x14ac:dyDescent="0.25"/>
    <row r="13" spans="1:14" ht="15.75" customHeight="1" x14ac:dyDescent="0.25"/>
    <row r="14" spans="1:14" ht="15.75" customHeight="1" x14ac:dyDescent="0.25"/>
    <row r="15" spans="1:14" ht="15.75" customHeight="1" x14ac:dyDescent="0.25"/>
    <row r="16" spans="1:14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</sheetData>
  <mergeCells count="12">
    <mergeCell ref="H8:I8"/>
    <mergeCell ref="F8:G8"/>
    <mergeCell ref="H6:I6"/>
    <mergeCell ref="F6:G6"/>
    <mergeCell ref="H5:I5"/>
    <mergeCell ref="F4:I4"/>
    <mergeCell ref="E4:E5"/>
    <mergeCell ref="A4:A5"/>
    <mergeCell ref="B4:B5"/>
    <mergeCell ref="C4:C5"/>
    <mergeCell ref="D4:D5"/>
    <mergeCell ref="F5:G5"/>
  </mergeCells>
  <conditionalFormatting sqref="A10:I10">
    <cfRule type="expression" dxfId="39" priority="24">
      <formula>INT(ROW()/2)=ROW()/2</formula>
    </cfRule>
  </conditionalFormatting>
  <dataValidations count="3">
    <dataValidation type="list" allowBlank="1" showInputMessage="1" showErrorMessage="1" sqref="C10" xr:uid="{00000000-0002-0000-0C00-000000000000}">
      <formula1>d.comptes</formula1>
    </dataValidation>
    <dataValidation type="custom" allowBlank="1" showInputMessage="1" showErrorMessage="1" sqref="H10 F10" xr:uid="{07DF229E-07FD-4988-BA4D-999F40060951}">
      <formula1>$B10&gt;=7000</formula1>
    </dataValidation>
    <dataValidation type="custom" allowBlank="1" showInputMessage="1" showErrorMessage="1" sqref="I10 G10" xr:uid="{729367CA-5452-423E-A507-A74F2C130AE9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N30"/>
  <sheetViews>
    <sheetView showGridLines="0" workbookViewId="0">
      <pane ySplit="9" topLeftCell="A10" activePane="bottomLeft" state="frozen"/>
      <selection activeCell="G19" sqref="G19"/>
      <selection pane="bottomLeft" activeCell="G19" sqref="G19"/>
    </sheetView>
  </sheetViews>
  <sheetFormatPr baseColWidth="10" defaultColWidth="11.42578125" defaultRowHeight="15.75" x14ac:dyDescent="0.25"/>
  <cols>
    <col min="1" max="1" width="15.7109375" style="39" customWidth="1"/>
    <col min="2" max="2" width="15.7109375" style="31" customWidth="1"/>
    <col min="3" max="3" width="40.7109375" style="40" customWidth="1"/>
    <col min="4" max="4" width="80.7109375" style="31" customWidth="1"/>
    <col min="5" max="5" width="8.7109375" style="32" customWidth="1"/>
    <col min="6" max="9" width="15.7109375" style="31" customWidth="1"/>
    <col min="10" max="14" width="11.42578125" style="40"/>
    <col min="15" max="16384" width="11.42578125" style="31"/>
  </cols>
  <sheetData>
    <row r="1" spans="1:14" ht="30" customHeight="1" x14ac:dyDescent="0.25">
      <c r="A1" s="41"/>
      <c r="B1" s="32"/>
      <c r="C1" s="32"/>
      <c r="D1" s="32"/>
      <c r="F1" s="32"/>
      <c r="G1" s="32"/>
      <c r="H1" s="32"/>
      <c r="I1" s="32"/>
      <c r="J1" s="31"/>
      <c r="K1" s="31"/>
      <c r="L1" s="31"/>
      <c r="M1" s="31"/>
      <c r="N1" s="31"/>
    </row>
    <row r="2" spans="1:14" ht="31.5" customHeight="1" x14ac:dyDescent="0.25">
      <c r="A2" s="41"/>
      <c r="B2" s="42" t="s">
        <v>7</v>
      </c>
      <c r="C2" s="312" t="str">
        <f ca="1">MID(CELL("filename",A1),FIND("]",CELL("filename",A1))+1,32)</f>
        <v>Novembre 2026</v>
      </c>
      <c r="D2" s="44"/>
      <c r="E2" s="43"/>
      <c r="F2" s="43"/>
      <c r="G2" s="43"/>
      <c r="H2" s="44"/>
      <c r="I2" s="44"/>
      <c r="J2" s="31"/>
      <c r="K2" s="31"/>
      <c r="L2" s="31"/>
      <c r="M2" s="31"/>
      <c r="N2" s="31"/>
    </row>
    <row r="3" spans="1:14" ht="16.5" customHeight="1" thickBot="1" x14ac:dyDescent="0.3">
      <c r="A3" s="41"/>
      <c r="B3" s="32"/>
      <c r="C3" s="32"/>
      <c r="D3" s="32"/>
      <c r="F3" s="32"/>
      <c r="G3" s="32"/>
      <c r="H3" s="32"/>
      <c r="I3" s="32"/>
      <c r="J3" s="31"/>
      <c r="K3" s="31"/>
      <c r="L3" s="31"/>
      <c r="M3" s="31"/>
      <c r="N3" s="31"/>
    </row>
    <row r="4" spans="1:14" ht="15.75" customHeight="1" thickBot="1" x14ac:dyDescent="0.3">
      <c r="A4" s="525" t="s">
        <v>9</v>
      </c>
      <c r="B4" s="523" t="s">
        <v>0</v>
      </c>
      <c r="C4" s="521" t="s">
        <v>127</v>
      </c>
      <c r="D4" s="521" t="s">
        <v>126</v>
      </c>
      <c r="E4" s="526" t="s">
        <v>108</v>
      </c>
      <c r="F4" s="533" t="s">
        <v>128</v>
      </c>
      <c r="G4" s="534"/>
      <c r="H4" s="534"/>
      <c r="I4" s="535"/>
    </row>
    <row r="5" spans="1:14" s="33" customFormat="1" ht="15.75" customHeight="1" thickBot="1" x14ac:dyDescent="0.3">
      <c r="A5" s="524"/>
      <c r="B5" s="524"/>
      <c r="C5" s="522"/>
      <c r="D5" s="522"/>
      <c r="E5" s="527"/>
      <c r="F5" s="530" t="s">
        <v>11</v>
      </c>
      <c r="G5" s="531"/>
      <c r="H5" s="530" t="s">
        <v>12</v>
      </c>
      <c r="I5" s="532"/>
      <c r="J5" s="32"/>
      <c r="K5" s="32"/>
      <c r="L5" s="32"/>
      <c r="M5" s="32"/>
      <c r="N5" s="32"/>
    </row>
    <row r="6" spans="1:14" ht="15.75" customHeight="1" thickBot="1" x14ac:dyDescent="0.3">
      <c r="A6" s="442"/>
      <c r="B6" s="443"/>
      <c r="C6" s="434"/>
      <c r="D6" s="439" t="s">
        <v>200</v>
      </c>
      <c r="E6" s="435" t="s">
        <v>160</v>
      </c>
      <c r="F6" s="552">
        <f>'Octobre 2026'!F8</f>
        <v>346.20000000000005</v>
      </c>
      <c r="G6" s="553"/>
      <c r="H6" s="550">
        <f>'Octobre 2026'!H8</f>
        <v>645.11</v>
      </c>
      <c r="I6" s="551"/>
    </row>
    <row r="7" spans="1:14" ht="15.75" customHeight="1" thickBot="1" x14ac:dyDescent="0.3">
      <c r="A7" s="401"/>
      <c r="B7" s="402"/>
      <c r="C7" s="392"/>
      <c r="D7" s="441" t="s">
        <v>201</v>
      </c>
      <c r="E7" s="392"/>
      <c r="F7" s="450">
        <f>SUMIF($E$10:$E$23,"P",F10:F23)</f>
        <v>0</v>
      </c>
      <c r="G7" s="451">
        <f>SUMIF($E$10:$E$23,"P",G10:G23)</f>
        <v>0</v>
      </c>
      <c r="H7" s="450">
        <f>SUMIF($E$10:$E$23,"P",H10:H23)</f>
        <v>0</v>
      </c>
      <c r="I7" s="452">
        <f>SUMIF($E$10:$E$23,"P",I10:I23)</f>
        <v>0</v>
      </c>
    </row>
    <row r="8" spans="1:14" ht="15.75" customHeight="1" x14ac:dyDescent="0.25">
      <c r="A8" s="401"/>
      <c r="B8" s="402"/>
      <c r="C8" s="392"/>
      <c r="D8" s="441" t="s">
        <v>202</v>
      </c>
      <c r="E8" s="392"/>
      <c r="F8" s="548">
        <f>MAX(0,SUM(F6,F7)-SUM(G6,G7))</f>
        <v>346.20000000000005</v>
      </c>
      <c r="G8" s="549"/>
      <c r="H8" s="546">
        <f>MAX(0,SUM(H6,H7)-SUM(I6,I7))</f>
        <v>645.11</v>
      </c>
      <c r="I8" s="547"/>
    </row>
    <row r="9" spans="1:14" ht="15.75" customHeight="1" thickBot="1" x14ac:dyDescent="0.3">
      <c r="A9" s="394" t="s">
        <v>9</v>
      </c>
      <c r="B9" s="389" t="s">
        <v>0</v>
      </c>
      <c r="C9" s="395" t="s">
        <v>10</v>
      </c>
      <c r="D9" s="395" t="s">
        <v>42</v>
      </c>
      <c r="E9" s="396" t="s">
        <v>125</v>
      </c>
      <c r="F9" s="397" t="s">
        <v>141</v>
      </c>
      <c r="G9" s="398" t="s">
        <v>142</v>
      </c>
      <c r="H9" s="397" t="s">
        <v>143</v>
      </c>
      <c r="I9" s="399" t="s">
        <v>144</v>
      </c>
    </row>
    <row r="10" spans="1:14" ht="15.75" customHeight="1" x14ac:dyDescent="0.25">
      <c r="A10" s="430"/>
      <c r="B10" s="420" t="str">
        <f>IFERROR(INDEX(t_Comptes[CODES],MATCH(C10,t_Comptes[LIBELLES],0)),"")</f>
        <v/>
      </c>
      <c r="C10" s="421"/>
      <c r="D10" s="421"/>
      <c r="E10" s="422"/>
      <c r="F10" s="423"/>
      <c r="G10" s="424"/>
      <c r="H10" s="423"/>
      <c r="I10" s="425"/>
    </row>
    <row r="11" spans="1:14" ht="15.75" customHeight="1" x14ac:dyDescent="0.25"/>
    <row r="12" spans="1:14" ht="15.75" customHeight="1" x14ac:dyDescent="0.25"/>
    <row r="13" spans="1:14" ht="15.75" customHeight="1" x14ac:dyDescent="0.25"/>
    <row r="14" spans="1:14" ht="15.75" customHeight="1" x14ac:dyDescent="0.25"/>
    <row r="15" spans="1:14" ht="15.75" customHeight="1" x14ac:dyDescent="0.25"/>
    <row r="16" spans="1:14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</sheetData>
  <mergeCells count="12">
    <mergeCell ref="H8:I8"/>
    <mergeCell ref="F8:G8"/>
    <mergeCell ref="H6:I6"/>
    <mergeCell ref="F6:G6"/>
    <mergeCell ref="F5:G5"/>
    <mergeCell ref="H5:I5"/>
    <mergeCell ref="F4:I4"/>
    <mergeCell ref="A4:A5"/>
    <mergeCell ref="B4:B5"/>
    <mergeCell ref="C4:C5"/>
    <mergeCell ref="D4:D5"/>
    <mergeCell ref="E4:E5"/>
  </mergeCells>
  <conditionalFormatting sqref="A10:I10">
    <cfRule type="expression" dxfId="27" priority="21">
      <formula>INT(ROW()/2)=ROW()/2</formula>
    </cfRule>
  </conditionalFormatting>
  <dataValidations count="3">
    <dataValidation type="list" allowBlank="1" showInputMessage="1" showErrorMessage="1" sqref="C10" xr:uid="{00000000-0002-0000-0D00-000000000000}">
      <formula1>d.comptes</formula1>
    </dataValidation>
    <dataValidation type="custom" allowBlank="1" showInputMessage="1" showErrorMessage="1" sqref="H10 F10" xr:uid="{B4BD5858-68C1-49A8-9EB5-F8622BDE6495}">
      <formula1>$B10&gt;=7000</formula1>
    </dataValidation>
    <dataValidation type="custom" allowBlank="1" showInputMessage="1" showErrorMessage="1" sqref="I10 G10" xr:uid="{56A0A216-D89F-4A3D-A491-3F156CA88FBB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C456C-D71A-4F64-9FA6-72B4F5F875FD}">
  <sheetPr codeName="Feuil23">
    <tabColor rgb="FF00B0F0"/>
  </sheetPr>
  <dimension ref="A1:AE52"/>
  <sheetViews>
    <sheetView showGridLines="0" workbookViewId="0">
      <pane ySplit="2" topLeftCell="A3" activePane="bottomLeft" state="frozen"/>
      <selection activeCell="G19" sqref="G19"/>
      <selection pane="bottomLeft" activeCell="G19" sqref="G19"/>
    </sheetView>
  </sheetViews>
  <sheetFormatPr baseColWidth="10" defaultColWidth="11.42578125" defaultRowHeight="15" x14ac:dyDescent="0.25"/>
  <cols>
    <col min="1" max="1" width="11.42578125" style="2"/>
    <col min="2" max="2" width="8.140625" style="2" customWidth="1"/>
    <col min="3" max="3" width="39.42578125" style="2" bestFit="1" customWidth="1"/>
    <col min="4" max="4" width="80.28515625" style="2" bestFit="1" customWidth="1"/>
    <col min="5" max="5" width="4.42578125" style="2" customWidth="1"/>
    <col min="6" max="9" width="11.42578125" style="2"/>
    <col min="10" max="10" width="5.5703125" customWidth="1"/>
    <col min="12" max="12" width="9" customWidth="1"/>
    <col min="13" max="13" width="38.42578125" customWidth="1"/>
    <col min="14" max="14" width="11.140625" customWidth="1"/>
    <col min="15" max="15" width="17" customWidth="1"/>
    <col min="16" max="16" width="17" hidden="1" customWidth="1"/>
    <col min="17" max="17" width="15.28515625" hidden="1" customWidth="1"/>
    <col min="18" max="25" width="11.42578125" hidden="1" customWidth="1"/>
    <col min="26" max="26" width="13.42578125" hidden="1" customWidth="1"/>
    <col min="27" max="31" width="11.42578125" hidden="1" customWidth="1"/>
  </cols>
  <sheetData>
    <row r="1" spans="1:31" ht="15" customHeight="1" thickBot="1" x14ac:dyDescent="0.3">
      <c r="A1" s="564" t="s">
        <v>9</v>
      </c>
      <c r="B1" s="564" t="s">
        <v>0</v>
      </c>
      <c r="C1" s="566" t="s">
        <v>10</v>
      </c>
      <c r="D1" s="566" t="s">
        <v>42</v>
      </c>
      <c r="E1" s="526" t="s">
        <v>110</v>
      </c>
      <c r="F1" s="558" t="s">
        <v>8</v>
      </c>
      <c r="G1" s="559"/>
      <c r="H1" s="559"/>
      <c r="I1" s="560"/>
      <c r="L1" s="267"/>
    </row>
    <row r="2" spans="1:31" ht="16.5" customHeight="1" thickBot="1" x14ac:dyDescent="0.3">
      <c r="A2" s="565"/>
      <c r="B2" s="565"/>
      <c r="C2" s="567"/>
      <c r="D2" s="567"/>
      <c r="E2" s="527"/>
      <c r="F2" s="561" t="s">
        <v>11</v>
      </c>
      <c r="G2" s="562"/>
      <c r="H2" s="561" t="s">
        <v>12</v>
      </c>
      <c r="I2" s="563"/>
      <c r="L2" s="314">
        <f>INDEX($N$5:$N$33,MATCH(M2,$M$5:$M$33,0))</f>
        <v>7560</v>
      </c>
      <c r="M2" s="315" t="s">
        <v>96</v>
      </c>
    </row>
    <row r="3" spans="1:31" ht="15.75" customHeight="1" thickBot="1" x14ac:dyDescent="0.3">
      <c r="A3" s="261"/>
      <c r="B3" s="95"/>
      <c r="C3" s="95"/>
      <c r="D3" s="95"/>
      <c r="E3" s="366"/>
      <c r="F3" s="316"/>
      <c r="G3" s="263"/>
      <c r="H3" s="310"/>
      <c r="I3" s="265"/>
    </row>
    <row r="4" spans="1:31" ht="15.75" customHeight="1" thickBot="1" x14ac:dyDescent="0.3">
      <c r="A4" s="262"/>
      <c r="B4" s="51"/>
      <c r="C4" s="51"/>
      <c r="D4" s="51"/>
      <c r="E4" s="367"/>
      <c r="F4" s="317"/>
      <c r="G4" s="264"/>
      <c r="H4" s="311"/>
      <c r="I4" s="266"/>
      <c r="M4" s="373" t="s">
        <v>10</v>
      </c>
      <c r="N4" s="373" t="s">
        <v>0</v>
      </c>
    </row>
    <row r="5" spans="1:31" ht="15.75" customHeight="1" thickBot="1" x14ac:dyDescent="0.4">
      <c r="A5" s="262"/>
      <c r="B5" s="51"/>
      <c r="C5" s="51"/>
      <c r="D5" s="51"/>
      <c r="E5" s="367"/>
      <c r="F5" s="309"/>
      <c r="G5" s="264"/>
      <c r="H5" s="311"/>
      <c r="I5" s="266"/>
      <c r="M5" s="2" t="s">
        <v>120</v>
      </c>
      <c r="N5" s="92">
        <v>6052</v>
      </c>
      <c r="P5" s="383">
        <v>45566</v>
      </c>
      <c r="Q5" s="384" t="s">
        <v>161</v>
      </c>
      <c r="R5" s="378" t="s">
        <v>145</v>
      </c>
      <c r="S5" s="378" t="s">
        <v>146</v>
      </c>
      <c r="T5" s="378" t="s">
        <v>147</v>
      </c>
      <c r="U5" s="378" t="s">
        <v>148</v>
      </c>
    </row>
    <row r="6" spans="1:31" ht="15.75" customHeight="1" thickBot="1" x14ac:dyDescent="0.3">
      <c r="A6" s="262"/>
      <c r="B6" s="51"/>
      <c r="C6" s="51"/>
      <c r="D6" s="51"/>
      <c r="E6" s="367"/>
      <c r="F6" s="309"/>
      <c r="G6" s="264"/>
      <c r="H6" s="311"/>
      <c r="I6" s="266"/>
      <c r="M6" s="2" t="s">
        <v>93</v>
      </c>
      <c r="N6" s="92">
        <v>6010</v>
      </c>
      <c r="P6" s="29" t="s">
        <v>139</v>
      </c>
      <c r="Q6" s="29" t="s">
        <v>140</v>
      </c>
      <c r="R6" s="379" t="s">
        <v>141</v>
      </c>
      <c r="S6" s="380" t="s">
        <v>142</v>
      </c>
      <c r="T6" s="379" t="s">
        <v>143</v>
      </c>
      <c r="U6" s="381" t="s">
        <v>144</v>
      </c>
      <c r="W6" s="385" t="s">
        <v>9</v>
      </c>
      <c r="X6" s="386" t="s">
        <v>0</v>
      </c>
      <c r="Y6" s="387" t="s">
        <v>10</v>
      </c>
      <c r="Z6" s="387" t="s">
        <v>42</v>
      </c>
      <c r="AA6" s="388" t="s">
        <v>125</v>
      </c>
      <c r="AB6" s="379" t="s">
        <v>141</v>
      </c>
      <c r="AC6" s="380" t="s">
        <v>142</v>
      </c>
      <c r="AD6" s="379" t="s">
        <v>143</v>
      </c>
      <c r="AE6" s="381" t="s">
        <v>144</v>
      </c>
    </row>
    <row r="7" spans="1:31" ht="15.75" customHeight="1" x14ac:dyDescent="0.25">
      <c r="A7" s="262"/>
      <c r="B7" s="51"/>
      <c r="C7" s="51"/>
      <c r="D7" s="51"/>
      <c r="E7" s="367"/>
      <c r="F7" s="309"/>
      <c r="G7" s="264"/>
      <c r="H7" s="311"/>
      <c r="I7" s="266"/>
      <c r="M7" s="2" t="s">
        <v>116</v>
      </c>
      <c r="N7" s="92">
        <v>6250</v>
      </c>
      <c r="P7" s="383">
        <f>IF(ROW()-ROW(tbl_Mois[[#Headers],[date]])=1,$P$5,EDATE(P6,1))</f>
        <v>45566</v>
      </c>
      <c r="Q7" s="382" t="str">
        <f t="shared" ref="Q7:Q38" si="0">PROPER(TEXT(P7,"[$-fr-fr]"&amp;$Q$5))</f>
        <v>Octobre 2024</v>
      </c>
      <c r="R7" s="38" t="str" cm="1">
        <f t="array" aca="1" ref="R7" ca="1">IFERROR(INDIRECT("'"&amp;$Q7&amp;"'!" &amp; R$5),"???")</f>
        <v>???</v>
      </c>
      <c r="S7" s="38" t="str" cm="1">
        <f t="array" aca="1" ref="S7" ca="1">IFERROR(INDIRECT("'"&amp;$Q7&amp;"'!" &amp; S$5),"???")</f>
        <v>???</v>
      </c>
      <c r="T7" s="38" t="str" cm="1">
        <f t="array" aca="1" ref="T7" ca="1">IFERROR(INDIRECT("'"&amp;$Q7&amp;"'!" &amp; T$5),"???")</f>
        <v>???</v>
      </c>
      <c r="U7" s="38" t="str" cm="1">
        <f t="array" aca="1" ref="U7" ca="1">IFERROR(INDIRECT("'"&amp;$Q7&amp;"'!" &amp; U$5),"???")</f>
        <v>???</v>
      </c>
    </row>
    <row r="8" spans="1:31" ht="15.75" customHeight="1" x14ac:dyDescent="0.25">
      <c r="A8" s="262"/>
      <c r="B8" s="51"/>
      <c r="C8" s="51"/>
      <c r="D8" s="51"/>
      <c r="E8" s="367"/>
      <c r="F8" s="309"/>
      <c r="G8" s="264"/>
      <c r="H8" s="311"/>
      <c r="I8" s="266"/>
      <c r="M8" s="2" t="s">
        <v>121</v>
      </c>
      <c r="N8" s="92">
        <v>6051</v>
      </c>
      <c r="P8" s="383">
        <f>IF(ROW()-ROW(tbl_Mois[[#Headers],[date]])=1,$P$5,EDATE(P7,1))</f>
        <v>45597</v>
      </c>
      <c r="Q8" s="382" t="str">
        <f t="shared" si="0"/>
        <v>Novembre 2024</v>
      </c>
      <c r="R8" s="38" t="str" cm="1">
        <f t="array" aca="1" ref="R8" ca="1">IFERROR(INDIRECT("'"&amp;$Q8&amp;"'!" &amp; R$5),"???")</f>
        <v>???</v>
      </c>
      <c r="S8" s="38" t="str" cm="1">
        <f t="array" aca="1" ref="S8" ca="1">IFERROR(INDIRECT("'"&amp;$Q8&amp;"'!" &amp; S$5),"???")</f>
        <v>???</v>
      </c>
      <c r="T8" s="38" t="str" cm="1">
        <f t="array" aca="1" ref="T8" ca="1">IFERROR(INDIRECT("'"&amp;$Q8&amp;"'!" &amp; T$5),"???")</f>
        <v>???</v>
      </c>
      <c r="U8" s="38" t="str" cm="1">
        <f t="array" aca="1" ref="U8" ca="1">IFERROR(INDIRECT("'"&amp;$Q8&amp;"'!" &amp; U$5),"???")</f>
        <v>???</v>
      </c>
    </row>
    <row r="9" spans="1:31" ht="15.75" customHeight="1" x14ac:dyDescent="0.25">
      <c r="A9" s="262"/>
      <c r="B9" s="51"/>
      <c r="C9" s="51"/>
      <c r="D9" s="51"/>
      <c r="E9" s="367"/>
      <c r="F9" s="309"/>
      <c r="G9" s="264"/>
      <c r="H9" s="311"/>
      <c r="I9" s="266"/>
      <c r="M9" s="2" t="s">
        <v>52</v>
      </c>
      <c r="N9" s="92">
        <v>6160</v>
      </c>
      <c r="P9" s="383">
        <f>IF(ROW()-ROW(tbl_Mois[[#Headers],[date]])=1,$P$5,EDATE(P8,1))</f>
        <v>45627</v>
      </c>
      <c r="Q9" s="382" t="str">
        <f t="shared" si="0"/>
        <v>Décembre 2024</v>
      </c>
      <c r="R9" s="38" t="str" cm="1">
        <f t="array" aca="1" ref="R9" ca="1">IFERROR(INDIRECT("'"&amp;$Q9&amp;"'!" &amp; R$5),"???")</f>
        <v>???</v>
      </c>
      <c r="S9" s="38" t="str" cm="1">
        <f t="array" aca="1" ref="S9" ca="1">IFERROR(INDIRECT("'"&amp;$Q9&amp;"'!" &amp; S$5),"???")</f>
        <v>???</v>
      </c>
      <c r="T9" s="38" t="str" cm="1">
        <f t="array" aca="1" ref="T9" ca="1">IFERROR(INDIRECT("'"&amp;$Q9&amp;"'!" &amp; T$5),"???")</f>
        <v>???</v>
      </c>
      <c r="U9" s="38" t="str" cm="1">
        <f t="array" aca="1" ref="U9" ca="1">IFERROR(INDIRECT("'"&amp;$Q9&amp;"'!" &amp; U$5),"???")</f>
        <v>???</v>
      </c>
    </row>
    <row r="10" spans="1:31" ht="15.75" customHeight="1" x14ac:dyDescent="0.25">
      <c r="A10" s="262"/>
      <c r="B10" s="51"/>
      <c r="C10" s="51"/>
      <c r="D10" s="51"/>
      <c r="E10" s="367"/>
      <c r="F10" s="309"/>
      <c r="G10" s="264"/>
      <c r="H10" s="311"/>
      <c r="I10" s="266"/>
      <c r="M10" s="2" t="s">
        <v>30</v>
      </c>
      <c r="N10" s="92">
        <v>6234</v>
      </c>
      <c r="P10" s="383">
        <f>IF(ROW()-ROW(tbl_Mois[[#Headers],[date]])=1,$P$5,EDATE(P9,1))</f>
        <v>45658</v>
      </c>
      <c r="Q10" s="382" t="str">
        <f t="shared" si="0"/>
        <v>Janvier 2025</v>
      </c>
      <c r="R10" s="38" t="str" cm="1">
        <f t="array" aca="1" ref="R10" ca="1">IFERROR(INDIRECT("'"&amp;$Q10&amp;"'!" &amp; R$5),"???")</f>
        <v>???</v>
      </c>
      <c r="S10" s="38" t="str" cm="1">
        <f t="array" aca="1" ref="S10" ca="1">IFERROR(INDIRECT("'"&amp;$Q10&amp;"'!" &amp; S$5),"???")</f>
        <v>???</v>
      </c>
      <c r="T10" s="38" t="str" cm="1">
        <f t="array" aca="1" ref="T10" ca="1">IFERROR(INDIRECT("'"&amp;$Q10&amp;"'!" &amp; T$5),"???")</f>
        <v>???</v>
      </c>
      <c r="U10" s="38" t="str" cm="1">
        <f t="array" aca="1" ref="U10" ca="1">IFERROR(INDIRECT("'"&amp;$Q10&amp;"'!" &amp; U$5),"???")</f>
        <v>???</v>
      </c>
    </row>
    <row r="11" spans="1:31" ht="15.75" customHeight="1" x14ac:dyDescent="0.25">
      <c r="A11" s="262"/>
      <c r="B11" s="51"/>
      <c r="C11" s="51"/>
      <c r="D11" s="51"/>
      <c r="E11" s="367"/>
      <c r="F11" s="309"/>
      <c r="G11" s="264"/>
      <c r="H11" s="311"/>
      <c r="I11" s="266"/>
      <c r="M11" s="2" t="s">
        <v>96</v>
      </c>
      <c r="N11" s="92">
        <v>7560</v>
      </c>
      <c r="P11" s="383">
        <f>IF(ROW()-ROW(tbl_Mois[[#Headers],[date]])=1,$P$5,EDATE(P10,1))</f>
        <v>45689</v>
      </c>
      <c r="Q11" s="382" t="str">
        <f t="shared" si="0"/>
        <v>Février 2025</v>
      </c>
      <c r="R11" s="38" t="str" cm="1">
        <f t="array" aca="1" ref="R11" ca="1">IFERROR(INDIRECT("'"&amp;$Q11&amp;"'!" &amp; R$5),"???")</f>
        <v>???</v>
      </c>
      <c r="S11" s="38" t="str" cm="1">
        <f t="array" aca="1" ref="S11" ca="1">IFERROR(INDIRECT("'"&amp;$Q11&amp;"'!" &amp; S$5),"???")</f>
        <v>???</v>
      </c>
      <c r="T11" s="38" t="str" cm="1">
        <f t="array" aca="1" ref="T11" ca="1">IFERROR(INDIRECT("'"&amp;$Q11&amp;"'!" &amp; T$5),"???")</f>
        <v>???</v>
      </c>
      <c r="U11" s="38" t="str" cm="1">
        <f t="array" aca="1" ref="U11" ca="1">IFERROR(INDIRECT("'"&amp;$Q11&amp;"'!" &amp; U$5),"???")</f>
        <v>???</v>
      </c>
    </row>
    <row r="12" spans="1:31" ht="15.75" customHeight="1" x14ac:dyDescent="0.25">
      <c r="A12" s="262"/>
      <c r="B12" s="51"/>
      <c r="C12" s="51"/>
      <c r="D12" s="51"/>
      <c r="E12" s="367"/>
      <c r="F12" s="309"/>
      <c r="G12" s="264"/>
      <c r="H12" s="311"/>
      <c r="I12" s="266"/>
      <c r="M12" s="2" t="s">
        <v>103</v>
      </c>
      <c r="N12" s="92">
        <v>6510</v>
      </c>
      <c r="P12" s="383">
        <f>IF(ROW()-ROW(tbl_Mois[[#Headers],[date]])=1,$P$5,EDATE(P11,1))</f>
        <v>45717</v>
      </c>
      <c r="Q12" s="382" t="str">
        <f t="shared" si="0"/>
        <v>Mars 2025</v>
      </c>
      <c r="R12" s="38" t="str" cm="1">
        <f t="array" aca="1" ref="R12" ca="1">IFERROR(INDIRECT("'"&amp;$Q12&amp;"'!" &amp; R$5),"???")</f>
        <v>???</v>
      </c>
      <c r="S12" s="38" t="str" cm="1">
        <f t="array" aca="1" ref="S12" ca="1">IFERROR(INDIRECT("'"&amp;$Q12&amp;"'!" &amp; S$5),"???")</f>
        <v>???</v>
      </c>
      <c r="T12" s="38" t="str" cm="1">
        <f t="array" aca="1" ref="T12" ca="1">IFERROR(INDIRECT("'"&amp;$Q12&amp;"'!" &amp; T$5),"???")</f>
        <v>???</v>
      </c>
      <c r="U12" s="38" t="str" cm="1">
        <f t="array" aca="1" ref="U12" ca="1">IFERROR(INDIRECT("'"&amp;$Q12&amp;"'!" &amp; U$5),"???")</f>
        <v>???</v>
      </c>
    </row>
    <row r="13" spans="1:31" ht="15.75" customHeight="1" x14ac:dyDescent="0.25">
      <c r="A13" s="262"/>
      <c r="B13" s="51"/>
      <c r="C13" s="51"/>
      <c r="D13" s="51"/>
      <c r="E13" s="367"/>
      <c r="F13" s="309"/>
      <c r="G13" s="264"/>
      <c r="H13" s="311"/>
      <c r="I13" s="266"/>
      <c r="M13" s="2" t="s">
        <v>3</v>
      </c>
      <c r="N13" s="92">
        <v>6150</v>
      </c>
      <c r="P13" s="383">
        <f>IF(ROW()-ROW(tbl_Mois[[#Headers],[date]])=1,$P$5,EDATE(P12,1))</f>
        <v>45748</v>
      </c>
      <c r="Q13" s="382" t="str">
        <f t="shared" si="0"/>
        <v>Avril 2025</v>
      </c>
      <c r="R13" s="38" t="str" cm="1">
        <f t="array" aca="1" ref="R13" ca="1">IFERROR(INDIRECT("'"&amp;$Q13&amp;"'!" &amp; R$5),"???")</f>
        <v>???</v>
      </c>
      <c r="S13" s="38" t="str" cm="1">
        <f t="array" aca="1" ref="S13" ca="1">IFERROR(INDIRECT("'"&amp;$Q13&amp;"'!" &amp; S$5),"???")</f>
        <v>???</v>
      </c>
      <c r="T13" s="38" t="str" cm="1">
        <f t="array" aca="1" ref="T13" ca="1">IFERROR(INDIRECT("'"&amp;$Q13&amp;"'!" &amp; T$5),"???")</f>
        <v>???</v>
      </c>
      <c r="U13" s="38" t="str" cm="1">
        <f t="array" aca="1" ref="U13" ca="1">IFERROR(INDIRECT("'"&amp;$Q13&amp;"'!" &amp; U$5),"???")</f>
        <v>???</v>
      </c>
    </row>
    <row r="14" spans="1:31" ht="15.75" customHeight="1" x14ac:dyDescent="0.25">
      <c r="A14" s="262"/>
      <c r="B14" s="51"/>
      <c r="C14" s="51"/>
      <c r="D14" s="51"/>
      <c r="E14" s="367"/>
      <c r="F14" s="309"/>
      <c r="G14" s="264"/>
      <c r="H14" s="311"/>
      <c r="I14" s="266"/>
      <c r="M14" s="2" t="s">
        <v>2</v>
      </c>
      <c r="N14" s="92">
        <v>6064</v>
      </c>
      <c r="P14" s="383">
        <f>IF(ROW()-ROW(tbl_Mois[[#Headers],[date]])=1,$P$5,EDATE(P13,1))</f>
        <v>45778</v>
      </c>
      <c r="Q14" s="382" t="str">
        <f t="shared" si="0"/>
        <v>Mai 2025</v>
      </c>
      <c r="R14" s="38" t="str" cm="1">
        <f t="array" aca="1" ref="R14" ca="1">IFERROR(INDIRECT("'"&amp;$Q14&amp;"'!" &amp; R$5),"???")</f>
        <v>???</v>
      </c>
      <c r="S14" s="38" t="str" cm="1">
        <f t="array" aca="1" ref="S14" ca="1">IFERROR(INDIRECT("'"&amp;$Q14&amp;"'!" &amp; S$5),"???")</f>
        <v>???</v>
      </c>
      <c r="T14" s="38" t="str" cm="1">
        <f t="array" aca="1" ref="T14" ca="1">IFERROR(INDIRECT("'"&amp;$Q14&amp;"'!" &amp; T$5),"???")</f>
        <v>???</v>
      </c>
      <c r="U14" s="38" t="str" cm="1">
        <f t="array" aca="1" ref="U14" ca="1">IFERROR(INDIRECT("'"&amp;$Q14&amp;"'!" &amp; U$5),"???")</f>
        <v>???</v>
      </c>
    </row>
    <row r="15" spans="1:31" ht="15.75" customHeight="1" x14ac:dyDescent="0.25">
      <c r="A15" s="262"/>
      <c r="B15" s="51"/>
      <c r="C15" s="51"/>
      <c r="D15" s="51"/>
      <c r="E15" s="367"/>
      <c r="F15" s="309"/>
      <c r="G15" s="264"/>
      <c r="H15" s="311"/>
      <c r="I15" s="266"/>
      <c r="M15" s="2" t="s">
        <v>5</v>
      </c>
      <c r="N15" s="92">
        <v>6270</v>
      </c>
      <c r="P15" s="383">
        <f>IF(ROW()-ROW(tbl_Mois[[#Headers],[date]])=1,$P$5,EDATE(P14,1))</f>
        <v>45809</v>
      </c>
      <c r="Q15" s="382" t="str">
        <f t="shared" si="0"/>
        <v>Juin 2025</v>
      </c>
      <c r="R15" s="38" t="str" cm="1">
        <f t="array" aca="1" ref="R15" ca="1">IFERROR(INDIRECT("'"&amp;$Q15&amp;"'!" &amp; R$5),"???")</f>
        <v>???</v>
      </c>
      <c r="S15" s="38" t="str" cm="1">
        <f t="array" aca="1" ref="S15" ca="1">IFERROR(INDIRECT("'"&amp;$Q15&amp;"'!" &amp; S$5),"???")</f>
        <v>???</v>
      </c>
      <c r="T15" s="38" t="str" cm="1">
        <f t="array" aca="1" ref="T15" ca="1">IFERROR(INDIRECT("'"&amp;$Q15&amp;"'!" &amp; T$5),"???")</f>
        <v>???</v>
      </c>
      <c r="U15" s="38" t="str" cm="1">
        <f t="array" aca="1" ref="U15" ca="1">IFERROR(INDIRECT("'"&amp;$Q15&amp;"'!" &amp; U$5),"???")</f>
        <v>???</v>
      </c>
    </row>
    <row r="16" spans="1:31" ht="15.75" customHeight="1" x14ac:dyDescent="0.25">
      <c r="A16" s="262"/>
      <c r="B16" s="51"/>
      <c r="C16" s="51"/>
      <c r="D16" s="51"/>
      <c r="E16" s="367"/>
      <c r="F16" s="309"/>
      <c r="G16" s="264"/>
      <c r="H16" s="311"/>
      <c r="I16" s="266"/>
      <c r="M16" s="2" t="s">
        <v>112</v>
      </c>
      <c r="N16" s="92">
        <v>6040</v>
      </c>
      <c r="P16" s="383">
        <f>IF(ROW()-ROW(tbl_Mois[[#Headers],[date]])=1,$P$5,EDATE(P15,1))</f>
        <v>45839</v>
      </c>
      <c r="Q16" s="382" t="str">
        <f t="shared" si="0"/>
        <v>Juillet 2025</v>
      </c>
      <c r="R16" s="38" t="str" cm="1">
        <f t="array" aca="1" ref="R16" ca="1">IFERROR(INDIRECT("'"&amp;$Q16&amp;"'!" &amp; R$5),"???")</f>
        <v>???</v>
      </c>
      <c r="S16" s="38" t="str" cm="1">
        <f t="array" aca="1" ref="S16" ca="1">IFERROR(INDIRECT("'"&amp;$Q16&amp;"'!" &amp; S$5),"???")</f>
        <v>???</v>
      </c>
      <c r="T16" s="38" t="str" cm="1">
        <f t="array" aca="1" ref="T16" ca="1">IFERROR(INDIRECT("'"&amp;$Q16&amp;"'!" &amp; T$5),"???")</f>
        <v>???</v>
      </c>
      <c r="U16" s="38" t="str" cm="1">
        <f t="array" aca="1" ref="U16" ca="1">IFERROR(INDIRECT("'"&amp;$Q16&amp;"'!" &amp; U$5),"???")</f>
        <v>???</v>
      </c>
    </row>
    <row r="17" spans="1:21" ht="15.75" customHeight="1" x14ac:dyDescent="0.25">
      <c r="A17" s="262"/>
      <c r="B17" s="51"/>
      <c r="C17" s="51"/>
      <c r="D17" s="51"/>
      <c r="E17" s="367"/>
      <c r="F17" s="309"/>
      <c r="G17" s="264"/>
      <c r="H17" s="311"/>
      <c r="I17" s="266"/>
      <c r="M17" s="2" t="s">
        <v>6</v>
      </c>
      <c r="N17" s="92">
        <v>6280</v>
      </c>
      <c r="P17" s="383">
        <f>IF(ROW()-ROW(tbl_Mois[[#Headers],[date]])=1,$P$5,EDATE(P16,1))</f>
        <v>45870</v>
      </c>
      <c r="Q17" s="382" t="str">
        <f t="shared" si="0"/>
        <v>Août 2025</v>
      </c>
      <c r="R17" s="38" t="str" cm="1">
        <f t="array" aca="1" ref="R17" ca="1">IFERROR(INDIRECT("'"&amp;$Q17&amp;"'!" &amp; R$5),"???")</f>
        <v>???</v>
      </c>
      <c r="S17" s="38" t="str" cm="1">
        <f t="array" aca="1" ref="S17" ca="1">IFERROR(INDIRECT("'"&amp;$Q17&amp;"'!" &amp; S$5),"???")</f>
        <v>???</v>
      </c>
      <c r="T17" s="38" t="str" cm="1">
        <f t="array" aca="1" ref="T17" ca="1">IFERROR(INDIRECT("'"&amp;$Q17&amp;"'!" &amp; T$5),"???")</f>
        <v>???</v>
      </c>
      <c r="U17" s="38" t="str" cm="1">
        <f t="array" aca="1" ref="U17" ca="1">IFERROR(INDIRECT("'"&amp;$Q17&amp;"'!" &amp; U$5),"???")</f>
        <v>???</v>
      </c>
    </row>
    <row r="18" spans="1:21" ht="15.75" customHeight="1" x14ac:dyDescent="0.25">
      <c r="A18" s="262"/>
      <c r="B18" s="51"/>
      <c r="C18" s="51"/>
      <c r="D18" s="51"/>
      <c r="E18" s="367"/>
      <c r="F18" s="309"/>
      <c r="G18" s="264"/>
      <c r="H18" s="311"/>
      <c r="I18" s="266"/>
      <c r="M18" s="2" t="s">
        <v>94</v>
      </c>
      <c r="N18" s="92">
        <v>6253</v>
      </c>
      <c r="P18" s="383">
        <f>IF(ROW()-ROW(tbl_Mois[[#Headers],[date]])=1,$P$5,EDATE(P17,1))</f>
        <v>45901</v>
      </c>
      <c r="Q18" s="382" t="str">
        <f t="shared" si="0"/>
        <v>Septembre 2025</v>
      </c>
      <c r="R18" s="38" t="str" cm="1">
        <f t="array" aca="1" ref="R18" ca="1">IFERROR(INDIRECT("'"&amp;$Q18&amp;"'!" &amp; R$5),"???")</f>
        <v>???</v>
      </c>
      <c r="S18" s="38" t="str" cm="1">
        <f t="array" aca="1" ref="S18" ca="1">IFERROR(INDIRECT("'"&amp;$Q18&amp;"'!" &amp; S$5),"???")</f>
        <v>???</v>
      </c>
      <c r="T18" s="38" t="str" cm="1">
        <f t="array" aca="1" ref="T18" ca="1">IFERROR(INDIRECT("'"&amp;$Q18&amp;"'!" &amp; T$5),"???")</f>
        <v>???</v>
      </c>
      <c r="U18" s="38" t="str" cm="1">
        <f t="array" aca="1" ref="U18" ca="1">IFERROR(INDIRECT("'"&amp;$Q18&amp;"'!" &amp; U$5),"???")</f>
        <v>???</v>
      </c>
    </row>
    <row r="19" spans="1:21" ht="15.75" customHeight="1" x14ac:dyDescent="0.25">
      <c r="A19" s="262"/>
      <c r="B19" s="51"/>
      <c r="C19" s="51"/>
      <c r="D19" s="51"/>
      <c r="E19" s="367"/>
      <c r="F19" s="309"/>
      <c r="G19" s="264"/>
      <c r="H19" s="311"/>
      <c r="I19" s="266"/>
      <c r="M19" s="2" t="s">
        <v>102</v>
      </c>
      <c r="N19" s="301">
        <v>6582</v>
      </c>
      <c r="P19" s="383">
        <f>IF(ROW()-ROW(tbl_Mois[[#Headers],[date]])=1,$P$5,EDATE(P18,1))</f>
        <v>45931</v>
      </c>
      <c r="Q19" s="382" t="str">
        <f t="shared" si="0"/>
        <v>Octobre 2025</v>
      </c>
      <c r="R19" s="38" t="str" cm="1">
        <f t="array" aca="1" ref="R19" ca="1">IFERROR(INDIRECT("'"&amp;$Q19&amp;"'!" &amp; R$5),"???")</f>
        <v>???</v>
      </c>
      <c r="S19" s="38" t="str" cm="1">
        <f t="array" aca="1" ref="S19" ca="1">IFERROR(INDIRECT("'"&amp;$Q19&amp;"'!" &amp; S$5),"???")</f>
        <v>???</v>
      </c>
      <c r="T19" s="38" t="str" cm="1">
        <f t="array" aca="1" ref="T19" ca="1">IFERROR(INDIRECT("'"&amp;$Q19&amp;"'!" &amp; T$5),"???")</f>
        <v>???</v>
      </c>
      <c r="U19" s="38" t="str" cm="1">
        <f t="array" aca="1" ref="U19" ca="1">IFERROR(INDIRECT("'"&amp;$Q19&amp;"'!" &amp; U$5),"???")</f>
        <v>???</v>
      </c>
    </row>
    <row r="20" spans="1:21" ht="15.75" customHeight="1" x14ac:dyDescent="0.25">
      <c r="A20" s="262"/>
      <c r="B20" s="51"/>
      <c r="C20" s="51"/>
      <c r="D20" s="51"/>
      <c r="E20" s="367"/>
      <c r="F20" s="309"/>
      <c r="G20" s="264"/>
      <c r="H20" s="311"/>
      <c r="I20" s="266"/>
      <c r="M20" s="2" t="s">
        <v>49</v>
      </c>
      <c r="N20" s="92">
        <v>6231</v>
      </c>
      <c r="P20" s="383">
        <f>IF(ROW()-ROW(tbl_Mois[[#Headers],[date]])=1,$P$5,EDATE(P19,1))</f>
        <v>45962</v>
      </c>
      <c r="Q20" s="382" t="str">
        <f t="shared" si="0"/>
        <v>Novembre 2025</v>
      </c>
      <c r="R20" s="38" cm="1">
        <f t="array" aca="1" ref="R20" ca="1">IFERROR(INDIRECT("'"&amp;$Q20&amp;"'!" &amp; R$5),"???")</f>
        <v>346.20000000000005</v>
      </c>
      <c r="S20" s="38" cm="1">
        <f t="array" aca="1" ref="S20" ca="1">IFERROR(INDIRECT("'"&amp;$Q20&amp;"'!" &amp; S$5),"???")</f>
        <v>0</v>
      </c>
      <c r="T20" s="38" cm="1">
        <f t="array" aca="1" ref="T20" ca="1">IFERROR(INDIRECT("'"&amp;$Q20&amp;"'!" &amp; T$5),"???")</f>
        <v>645.11</v>
      </c>
      <c r="U20" s="38" cm="1">
        <f t="array" aca="1" ref="U20" ca="1">IFERROR(INDIRECT("'"&amp;$Q20&amp;"'!" &amp; U$5),"???")</f>
        <v>0</v>
      </c>
    </row>
    <row r="21" spans="1:21" ht="15.75" customHeight="1" x14ac:dyDescent="0.25">
      <c r="A21" s="262"/>
      <c r="B21" s="51"/>
      <c r="C21" s="51"/>
      <c r="D21" s="51"/>
      <c r="E21" s="367"/>
      <c r="F21" s="309"/>
      <c r="G21" s="264"/>
      <c r="H21" s="311"/>
      <c r="I21" s="266"/>
      <c r="M21" s="2" t="s">
        <v>75</v>
      </c>
      <c r="N21" s="137">
        <v>6135</v>
      </c>
      <c r="P21" s="383">
        <f>IF(ROW()-ROW(tbl_Mois[[#Headers],[date]])=1,$P$5,EDATE(P20,1))</f>
        <v>45992</v>
      </c>
      <c r="Q21" s="382" t="str">
        <f t="shared" si="0"/>
        <v>Décembre 2025</v>
      </c>
      <c r="R21" s="38" cm="1">
        <f t="array" aca="1" ref="R21" ca="1">IFERROR(INDIRECT("'"&amp;$Q21&amp;"'!" &amp; R$5),"???")</f>
        <v>346.20000000000005</v>
      </c>
      <c r="S21" s="38" cm="1">
        <f t="array" aca="1" ref="S21" ca="1">IFERROR(INDIRECT("'"&amp;$Q21&amp;"'!" &amp; S$5),"???")</f>
        <v>0</v>
      </c>
      <c r="T21" s="38" cm="1">
        <f t="array" aca="1" ref="T21" ca="1">IFERROR(INDIRECT("'"&amp;$Q21&amp;"'!" &amp; T$5),"???")</f>
        <v>645.11</v>
      </c>
      <c r="U21" s="38" cm="1">
        <f t="array" aca="1" ref="U21" ca="1">IFERROR(INDIRECT("'"&amp;$Q21&amp;"'!" &amp; U$5),"???")</f>
        <v>0</v>
      </c>
    </row>
    <row r="22" spans="1:21" ht="15.75" customHeight="1" x14ac:dyDescent="0.25">
      <c r="A22" s="262"/>
      <c r="B22" s="51"/>
      <c r="C22" s="51"/>
      <c r="D22" s="51"/>
      <c r="E22" s="367"/>
      <c r="F22" s="309"/>
      <c r="G22" s="264"/>
      <c r="H22" s="311"/>
      <c r="I22" s="266"/>
      <c r="M22" s="2" t="s">
        <v>51</v>
      </c>
      <c r="N22" s="377">
        <v>6130</v>
      </c>
      <c r="P22" s="383">
        <f>IF(ROW()-ROW(tbl_Mois[[#Headers],[date]])=1,$P$5,EDATE(P21,1))</f>
        <v>46023</v>
      </c>
      <c r="Q22" s="382" t="str">
        <f t="shared" si="0"/>
        <v>Janvier 2026</v>
      </c>
      <c r="R22" s="38" cm="1">
        <f t="array" aca="1" ref="R22" ca="1">IFERROR(INDIRECT("'"&amp;$Q22&amp;"'!" &amp; R$5),"???")</f>
        <v>346.20000000000005</v>
      </c>
      <c r="S22" s="38" cm="1">
        <f t="array" aca="1" ref="S22" ca="1">IFERROR(INDIRECT("'"&amp;$Q22&amp;"'!" &amp; S$5),"???")</f>
        <v>0</v>
      </c>
      <c r="T22" s="38" cm="1">
        <f t="array" aca="1" ref="T22" ca="1">IFERROR(INDIRECT("'"&amp;$Q22&amp;"'!" &amp; T$5),"???")</f>
        <v>645.11</v>
      </c>
      <c r="U22" s="38" cm="1">
        <f t="array" aca="1" ref="U22" ca="1">IFERROR(INDIRECT("'"&amp;$Q22&amp;"'!" &amp; U$5),"???")</f>
        <v>0</v>
      </c>
    </row>
    <row r="23" spans="1:21" ht="15.75" customHeight="1" x14ac:dyDescent="0.25">
      <c r="A23" s="262"/>
      <c r="B23" s="51"/>
      <c r="C23" s="51"/>
      <c r="D23" s="51"/>
      <c r="E23" s="367"/>
      <c r="F23" s="309"/>
      <c r="G23" s="264"/>
      <c r="H23" s="311"/>
      <c r="I23" s="266"/>
      <c r="M23" s="2" t="s">
        <v>104</v>
      </c>
      <c r="N23" s="162">
        <v>7511</v>
      </c>
      <c r="P23" s="383">
        <f>IF(ROW()-ROW(tbl_Mois[[#Headers],[date]])=1,$P$5,EDATE(P22,1))</f>
        <v>46054</v>
      </c>
      <c r="Q23" s="382" t="str">
        <f t="shared" si="0"/>
        <v>Février 2026</v>
      </c>
      <c r="R23" s="38" cm="1">
        <f t="array" aca="1" ref="R23" ca="1">IFERROR(INDIRECT("'"&amp;$Q23&amp;"'!" &amp; R$5),"???")</f>
        <v>346.20000000000005</v>
      </c>
      <c r="S23" s="38" cm="1">
        <f t="array" aca="1" ref="S23" ca="1">IFERROR(INDIRECT("'"&amp;$Q23&amp;"'!" &amp; S$5),"???")</f>
        <v>0</v>
      </c>
      <c r="T23" s="38" cm="1">
        <f t="array" aca="1" ref="T23" ca="1">IFERROR(INDIRECT("'"&amp;$Q23&amp;"'!" &amp; T$5),"???")</f>
        <v>645.11</v>
      </c>
      <c r="U23" s="38" cm="1">
        <f t="array" aca="1" ref="U23" ca="1">IFERROR(INDIRECT("'"&amp;$Q23&amp;"'!" &amp; U$5),"???")</f>
        <v>0</v>
      </c>
    </row>
    <row r="24" spans="1:21" ht="15.75" customHeight="1" x14ac:dyDescent="0.25">
      <c r="A24" s="262"/>
      <c r="B24" s="51"/>
      <c r="C24" s="51"/>
      <c r="D24" s="51"/>
      <c r="E24" s="367"/>
      <c r="F24" s="309"/>
      <c r="G24" s="264"/>
      <c r="H24" s="311"/>
      <c r="I24" s="266"/>
      <c r="M24" s="2" t="s">
        <v>131</v>
      </c>
      <c r="N24" s="162">
        <v>6710</v>
      </c>
      <c r="P24" s="383">
        <f>IF(ROW()-ROW(tbl_Mois[[#Headers],[date]])=1,$P$5,EDATE(P23,1))</f>
        <v>46082</v>
      </c>
      <c r="Q24" s="382" t="str">
        <f t="shared" si="0"/>
        <v>Mars 2026</v>
      </c>
      <c r="R24" s="38" cm="1">
        <f t="array" aca="1" ref="R24" ca="1">IFERROR(INDIRECT("'"&amp;$Q24&amp;"'!" &amp; R$5),"???")</f>
        <v>346.20000000000005</v>
      </c>
      <c r="S24" s="38" cm="1">
        <f t="array" aca="1" ref="S24" ca="1">IFERROR(INDIRECT("'"&amp;$Q24&amp;"'!" &amp; S$5),"???")</f>
        <v>0</v>
      </c>
      <c r="T24" s="38" cm="1">
        <f t="array" aca="1" ref="T24" ca="1">IFERROR(INDIRECT("'"&amp;$Q24&amp;"'!" &amp; T$5),"???")</f>
        <v>645.11</v>
      </c>
      <c r="U24" s="38" cm="1">
        <f t="array" aca="1" ref="U24" ca="1">IFERROR(INDIRECT("'"&amp;$Q24&amp;"'!" &amp; U$5),"???")</f>
        <v>0</v>
      </c>
    </row>
    <row r="25" spans="1:21" ht="15.75" customHeight="1" x14ac:dyDescent="0.25">
      <c r="A25" s="262"/>
      <c r="B25" s="51"/>
      <c r="C25" s="51"/>
      <c r="D25" s="51"/>
      <c r="E25" s="367"/>
      <c r="F25" s="309"/>
      <c r="G25" s="264"/>
      <c r="H25" s="311"/>
      <c r="I25" s="266"/>
      <c r="M25" s="2" t="s">
        <v>107</v>
      </c>
      <c r="N25" s="92">
        <v>7530</v>
      </c>
      <c r="P25" s="383">
        <f>IF(ROW()-ROW(tbl_Mois[[#Headers],[date]])=1,$P$5,EDATE(P24,1))</f>
        <v>46113</v>
      </c>
      <c r="Q25" s="382" t="str">
        <f t="shared" si="0"/>
        <v>Avril 2026</v>
      </c>
      <c r="R25" s="38" cm="1">
        <f t="array" aca="1" ref="R25" ca="1">IFERROR(INDIRECT("'"&amp;$Q25&amp;"'!" &amp; R$5),"???")</f>
        <v>346.20000000000005</v>
      </c>
      <c r="S25" s="38" cm="1">
        <f t="array" aca="1" ref="S25" ca="1">IFERROR(INDIRECT("'"&amp;$Q25&amp;"'!" &amp; S$5),"???")</f>
        <v>0</v>
      </c>
      <c r="T25" s="38" cm="1">
        <f t="array" aca="1" ref="T25" ca="1">IFERROR(INDIRECT("'"&amp;$Q25&amp;"'!" &amp; T$5),"???")</f>
        <v>645.11</v>
      </c>
      <c r="U25" s="38" cm="1">
        <f t="array" aca="1" ref="U25" ca="1">IFERROR(INDIRECT("'"&amp;$Q25&amp;"'!" &amp; U$5),"???")</f>
        <v>0</v>
      </c>
    </row>
    <row r="26" spans="1:21" ht="15.75" customHeight="1" x14ac:dyDescent="0.25">
      <c r="A26" s="51"/>
      <c r="B26" s="51"/>
      <c r="C26" s="51"/>
      <c r="D26" s="51"/>
      <c r="E26" s="367"/>
      <c r="F26" s="309"/>
      <c r="G26" s="264"/>
      <c r="H26" s="311"/>
      <c r="I26" s="266"/>
      <c r="M26" s="2" t="s">
        <v>113</v>
      </c>
      <c r="N26" s="92">
        <v>7020</v>
      </c>
      <c r="P26" s="383">
        <f>IF(ROW()-ROW(tbl_Mois[[#Headers],[date]])=1,$P$5,EDATE(P25,1))</f>
        <v>46143</v>
      </c>
      <c r="Q26" s="382" t="str">
        <f t="shared" si="0"/>
        <v>Mai 2026</v>
      </c>
      <c r="R26" s="38" cm="1">
        <f t="array" aca="1" ref="R26" ca="1">IFERROR(INDIRECT("'"&amp;$Q26&amp;"'!" &amp; R$5),"???")</f>
        <v>346.20000000000005</v>
      </c>
      <c r="S26" s="38" cm="1">
        <f t="array" aca="1" ref="S26" ca="1">IFERROR(INDIRECT("'"&amp;$Q26&amp;"'!" &amp; S$5),"???")</f>
        <v>0</v>
      </c>
      <c r="T26" s="38" cm="1">
        <f t="array" aca="1" ref="T26" ca="1">IFERROR(INDIRECT("'"&amp;$Q26&amp;"'!" &amp; T$5),"???")</f>
        <v>645.11</v>
      </c>
      <c r="U26" s="38" cm="1">
        <f t="array" aca="1" ref="U26" ca="1">IFERROR(INDIRECT("'"&amp;$Q26&amp;"'!" &amp; U$5),"???")</f>
        <v>0</v>
      </c>
    </row>
    <row r="27" spans="1:21" ht="15.75" customHeight="1" x14ac:dyDescent="0.25">
      <c r="A27" s="51"/>
      <c r="B27" s="51"/>
      <c r="C27" s="51"/>
      <c r="D27" s="51"/>
      <c r="E27" s="367"/>
      <c r="F27" s="309"/>
      <c r="G27" s="264"/>
      <c r="H27" s="311"/>
      <c r="I27" s="266"/>
      <c r="M27" s="2" t="s">
        <v>4</v>
      </c>
      <c r="N27" s="162">
        <v>6230</v>
      </c>
      <c r="P27" s="383">
        <f>IF(ROW()-ROW(tbl_Mois[[#Headers],[date]])=1,$P$5,EDATE(P26,1))</f>
        <v>46174</v>
      </c>
      <c r="Q27" s="382" t="str">
        <f t="shared" si="0"/>
        <v>Juin 2026</v>
      </c>
      <c r="R27" s="38" cm="1">
        <f t="array" aca="1" ref="R27" ca="1">IFERROR(INDIRECT("'"&amp;$Q27&amp;"'!" &amp; R$5),"???")</f>
        <v>346.20000000000005</v>
      </c>
      <c r="S27" s="38" cm="1">
        <f t="array" aca="1" ref="S27" ca="1">IFERROR(INDIRECT("'"&amp;$Q27&amp;"'!" &amp; S$5),"???")</f>
        <v>0</v>
      </c>
      <c r="T27" s="38" cm="1">
        <f t="array" aca="1" ref="T27" ca="1">IFERROR(INDIRECT("'"&amp;$Q27&amp;"'!" &amp; T$5),"???")</f>
        <v>645.11</v>
      </c>
      <c r="U27" s="38" cm="1">
        <f t="array" aca="1" ref="U27" ca="1">IFERROR(INDIRECT("'"&amp;$Q27&amp;"'!" &amp; U$5),"???")</f>
        <v>0</v>
      </c>
    </row>
    <row r="28" spans="1:21" ht="15.75" customHeight="1" x14ac:dyDescent="0.25">
      <c r="A28" s="51"/>
      <c r="B28" s="51"/>
      <c r="C28" s="51"/>
      <c r="D28" s="51"/>
      <c r="E28" s="367"/>
      <c r="F28" s="309"/>
      <c r="G28" s="264"/>
      <c r="H28" s="311"/>
      <c r="I28" s="266"/>
      <c r="M28" s="2" t="s">
        <v>109</v>
      </c>
      <c r="N28" s="92">
        <v>7417</v>
      </c>
      <c r="P28" s="383">
        <f>IF(ROW()-ROW(tbl_Mois[[#Headers],[date]])=1,$P$5,EDATE(P27,1))</f>
        <v>46204</v>
      </c>
      <c r="Q28" s="382" t="str">
        <f t="shared" si="0"/>
        <v>Juillet 2026</v>
      </c>
      <c r="R28" s="38" cm="1">
        <f t="array" aca="1" ref="R28" ca="1">IFERROR(INDIRECT("'"&amp;$Q28&amp;"'!" &amp; R$5),"???")</f>
        <v>346.20000000000005</v>
      </c>
      <c r="S28" s="38" cm="1">
        <f t="array" aca="1" ref="S28" ca="1">IFERROR(INDIRECT("'"&amp;$Q28&amp;"'!" &amp; S$5),"???")</f>
        <v>0</v>
      </c>
      <c r="T28" s="38" cm="1">
        <f t="array" aca="1" ref="T28" ca="1">IFERROR(INDIRECT("'"&amp;$Q28&amp;"'!" &amp; T$5),"???")</f>
        <v>645.11</v>
      </c>
      <c r="U28" s="38" cm="1">
        <f t="array" aca="1" ref="U28" ca="1">IFERROR(INDIRECT("'"&amp;$Q28&amp;"'!" &amp; U$5),"???")</f>
        <v>0</v>
      </c>
    </row>
    <row r="29" spans="1:21" ht="15.75" customHeight="1" x14ac:dyDescent="0.25">
      <c r="A29" s="51"/>
      <c r="B29" s="51"/>
      <c r="C29" s="51"/>
      <c r="D29" s="51"/>
      <c r="E29" s="367"/>
      <c r="F29" s="309"/>
      <c r="G29" s="264"/>
      <c r="H29" s="311"/>
      <c r="I29" s="266"/>
      <c r="M29" s="2" t="s">
        <v>37</v>
      </c>
      <c r="N29" s="92">
        <v>7442</v>
      </c>
      <c r="P29" s="383">
        <f>IF(ROW()-ROW(tbl_Mois[[#Headers],[date]])=1,$P$5,EDATE(P28,1))</f>
        <v>46235</v>
      </c>
      <c r="Q29" s="382" t="str">
        <f t="shared" si="0"/>
        <v>Août 2026</v>
      </c>
      <c r="R29" s="38" cm="1">
        <f t="array" aca="1" ref="R29" ca="1">IFERROR(INDIRECT("'"&amp;$Q29&amp;"'!" &amp; R$5),"???")</f>
        <v>346.20000000000005</v>
      </c>
      <c r="S29" s="38" cm="1">
        <f t="array" aca="1" ref="S29" ca="1">IFERROR(INDIRECT("'"&amp;$Q29&amp;"'!" &amp; S$5),"???")</f>
        <v>0</v>
      </c>
      <c r="T29" s="38" cm="1">
        <f t="array" aca="1" ref="T29" ca="1">IFERROR(INDIRECT("'"&amp;$Q29&amp;"'!" &amp; T$5),"???")</f>
        <v>645.11</v>
      </c>
      <c r="U29" s="38" cm="1">
        <f t="array" aca="1" ref="U29" ca="1">IFERROR(INDIRECT("'"&amp;$Q29&amp;"'!" &amp; U$5),"???")</f>
        <v>0</v>
      </c>
    </row>
    <row r="30" spans="1:21" ht="15.75" customHeight="1" x14ac:dyDescent="0.25">
      <c r="A30" s="51"/>
      <c r="B30" s="51"/>
      <c r="C30" s="51"/>
      <c r="D30" s="51"/>
      <c r="E30" s="367"/>
      <c r="F30" s="309"/>
      <c r="G30" s="264"/>
      <c r="H30" s="311"/>
      <c r="I30" s="266"/>
      <c r="M30" s="2" t="s">
        <v>36</v>
      </c>
      <c r="N30" s="137">
        <v>7441</v>
      </c>
      <c r="P30" s="383">
        <f>IF(ROW()-ROW(tbl_Mois[[#Headers],[date]])=1,$P$5,EDATE(P29,1))</f>
        <v>46266</v>
      </c>
      <c r="Q30" s="382" t="str">
        <f t="shared" si="0"/>
        <v>Septembre 2026</v>
      </c>
      <c r="R30" s="38" cm="1">
        <f t="array" aca="1" ref="R30" ca="1">IFERROR(INDIRECT("'"&amp;$Q30&amp;"'!" &amp; R$5),"???")</f>
        <v>346.20000000000005</v>
      </c>
      <c r="S30" s="38" cm="1">
        <f t="array" aca="1" ref="S30" ca="1">IFERROR(INDIRECT("'"&amp;$Q30&amp;"'!" &amp; S$5),"???")</f>
        <v>0</v>
      </c>
      <c r="T30" s="38" cm="1">
        <f t="array" aca="1" ref="T30" ca="1">IFERROR(INDIRECT("'"&amp;$Q30&amp;"'!" &amp; T$5),"???")</f>
        <v>645.11</v>
      </c>
      <c r="U30" s="38" cm="1">
        <f t="array" aca="1" ref="U30" ca="1">IFERROR(INDIRECT("'"&amp;$Q30&amp;"'!" &amp; U$5),"???")</f>
        <v>0</v>
      </c>
    </row>
    <row r="31" spans="1:21" ht="15.75" customHeight="1" x14ac:dyDescent="0.25">
      <c r="A31" s="51"/>
      <c r="B31" s="51"/>
      <c r="C31" s="51"/>
      <c r="D31" s="51"/>
      <c r="E31" s="367"/>
      <c r="F31" s="309"/>
      <c r="G31" s="264"/>
      <c r="H31" s="311"/>
      <c r="I31" s="266"/>
      <c r="M31" s="2" t="s">
        <v>74</v>
      </c>
      <c r="N31" s="137">
        <v>7443</v>
      </c>
      <c r="P31" s="383">
        <f>IF(ROW()-ROW(tbl_Mois[[#Headers],[date]])=1,$P$5,EDATE(P30,1))</f>
        <v>46296</v>
      </c>
      <c r="Q31" s="382" t="str">
        <f t="shared" si="0"/>
        <v>Octobre 2026</v>
      </c>
      <c r="R31" s="38" cm="1">
        <f t="array" aca="1" ref="R31" ca="1">IFERROR(INDIRECT("'"&amp;$Q31&amp;"'!" &amp; R$5),"???")</f>
        <v>346.20000000000005</v>
      </c>
      <c r="S31" s="38" cm="1">
        <f t="array" aca="1" ref="S31" ca="1">IFERROR(INDIRECT("'"&amp;$Q31&amp;"'!" &amp; S$5),"???")</f>
        <v>0</v>
      </c>
      <c r="T31" s="38" cm="1">
        <f t="array" aca="1" ref="T31" ca="1">IFERROR(INDIRECT("'"&amp;$Q31&amp;"'!" &amp; T$5),"???")</f>
        <v>645.11</v>
      </c>
      <c r="U31" s="38" cm="1">
        <f t="array" aca="1" ref="U31" ca="1">IFERROR(INDIRECT("'"&amp;$Q31&amp;"'!" &amp; U$5),"???")</f>
        <v>0</v>
      </c>
    </row>
    <row r="32" spans="1:21" ht="15.75" customHeight="1" x14ac:dyDescent="0.25">
      <c r="A32" s="51"/>
      <c r="B32" s="51"/>
      <c r="C32" s="51"/>
      <c r="D32" s="51"/>
      <c r="E32" s="367"/>
      <c r="F32" s="309"/>
      <c r="G32" s="264"/>
      <c r="H32" s="311"/>
      <c r="I32" s="266"/>
      <c r="M32" s="2" t="s">
        <v>87</v>
      </c>
      <c r="N32" s="137">
        <v>7151</v>
      </c>
      <c r="P32" s="383">
        <f>IF(ROW()-ROW(tbl_Mois[[#Headers],[date]])=1,$P$5,EDATE(P31,1))</f>
        <v>46327</v>
      </c>
      <c r="Q32" s="382" t="str">
        <f t="shared" si="0"/>
        <v>Novembre 2026</v>
      </c>
      <c r="R32" s="38" cm="1">
        <f t="array" aca="1" ref="R32" ca="1">IFERROR(INDIRECT("'"&amp;$Q32&amp;"'!" &amp; R$5),"???")</f>
        <v>346.20000000000005</v>
      </c>
      <c r="S32" s="38" cm="1">
        <f t="array" aca="1" ref="S32" ca="1">IFERROR(INDIRECT("'"&amp;$Q32&amp;"'!" &amp; S$5),"???")</f>
        <v>0</v>
      </c>
      <c r="T32" s="38" cm="1">
        <f t="array" aca="1" ref="T32" ca="1">IFERROR(INDIRECT("'"&amp;$Q32&amp;"'!" &amp; T$5),"???")</f>
        <v>645.11</v>
      </c>
      <c r="U32" s="38" cm="1">
        <f t="array" aca="1" ref="U32" ca="1">IFERROR(INDIRECT("'"&amp;$Q32&amp;"'!" &amp; U$5),"???")</f>
        <v>0</v>
      </c>
    </row>
    <row r="33" spans="1:21" ht="15.75" customHeight="1" x14ac:dyDescent="0.25">
      <c r="A33" s="51"/>
      <c r="B33" s="51"/>
      <c r="C33" s="51"/>
      <c r="D33" s="51"/>
      <c r="E33" s="367"/>
      <c r="F33" s="309"/>
      <c r="G33" s="264"/>
      <c r="H33" s="311"/>
      <c r="I33" s="266"/>
      <c r="M33" s="2" t="s">
        <v>95</v>
      </c>
      <c r="N33" s="137">
        <v>7061</v>
      </c>
      <c r="P33" s="383">
        <f>IF(ROW()-ROW(tbl_Mois[[#Headers],[date]])=1,$P$5,EDATE(P32,1))</f>
        <v>46357</v>
      </c>
      <c r="Q33" s="382" t="str">
        <f t="shared" si="0"/>
        <v>Décembre 2026</v>
      </c>
      <c r="R33" s="38" t="str" cm="1">
        <f t="array" aca="1" ref="R33" ca="1">IFERROR(INDIRECT("'"&amp;$Q33&amp;"'!" &amp; R$5),"???")</f>
        <v>???</v>
      </c>
      <c r="S33" s="38" t="str" cm="1">
        <f t="array" aca="1" ref="S33" ca="1">IFERROR(INDIRECT("'"&amp;$Q33&amp;"'!" &amp; S$5),"???")</f>
        <v>???</v>
      </c>
      <c r="T33" s="38" t="str" cm="1">
        <f t="array" aca="1" ref="T33" ca="1">IFERROR(INDIRECT("'"&amp;$Q33&amp;"'!" &amp; T$5),"???")</f>
        <v>???</v>
      </c>
      <c r="U33" s="38" t="str" cm="1">
        <f t="array" aca="1" ref="U33" ca="1">IFERROR(INDIRECT("'"&amp;$Q33&amp;"'!" &amp; U$5),"???")</f>
        <v>???</v>
      </c>
    </row>
    <row r="34" spans="1:21" ht="15.75" customHeight="1" thickBot="1" x14ac:dyDescent="0.3">
      <c r="A34" s="51"/>
      <c r="B34" s="51"/>
      <c r="C34" s="51"/>
      <c r="D34" s="51"/>
      <c r="E34" s="367"/>
      <c r="F34" s="309"/>
      <c r="G34" s="264"/>
      <c r="H34" s="311"/>
      <c r="I34" s="266"/>
      <c r="P34" s="383">
        <f>IF(ROW()-ROW(tbl_Mois[[#Headers],[date]])=1,$P$5,EDATE(P33,1))</f>
        <v>46388</v>
      </c>
      <c r="Q34" s="382" t="str">
        <f t="shared" si="0"/>
        <v>Janvier 2027</v>
      </c>
      <c r="R34" s="38" t="str" cm="1">
        <f t="array" aca="1" ref="R34" ca="1">IFERROR(INDIRECT("'"&amp;$Q34&amp;"'!" &amp; R$5),"???")</f>
        <v>???</v>
      </c>
      <c r="S34" s="38" t="str" cm="1">
        <f t="array" aca="1" ref="S34" ca="1">IFERROR(INDIRECT("'"&amp;$Q34&amp;"'!" &amp; S$5),"???")</f>
        <v>???</v>
      </c>
      <c r="T34" s="38" t="str" cm="1">
        <f t="array" aca="1" ref="T34" ca="1">IFERROR(INDIRECT("'"&amp;$Q34&amp;"'!" &amp; T$5),"???")</f>
        <v>???</v>
      </c>
      <c r="U34" s="38" t="str" cm="1">
        <f t="array" aca="1" ref="U34" ca="1">IFERROR(INDIRECT("'"&amp;$Q34&amp;"'!" &amp; U$5),"???")</f>
        <v>???</v>
      </c>
    </row>
    <row r="35" spans="1:21" ht="15.75" customHeight="1" thickBot="1" x14ac:dyDescent="0.3">
      <c r="F35" s="554" cm="1">
        <f t="array" ref="F35">SUM(F3:F34+H3:H34)</f>
        <v>0</v>
      </c>
      <c r="G35" s="555"/>
      <c r="H35" s="556" cm="1">
        <f t="array" ref="H35">SUM(G3:G34+I3:I34)</f>
        <v>0</v>
      </c>
      <c r="I35" s="557"/>
      <c r="M35" s="2"/>
      <c r="N35" s="2"/>
      <c r="P35" s="383">
        <f>IF(ROW()-ROW(tbl_Mois[[#Headers],[date]])=1,$P$5,EDATE(P34,1))</f>
        <v>46419</v>
      </c>
      <c r="Q35" s="382" t="str">
        <f t="shared" si="0"/>
        <v>Février 2027</v>
      </c>
      <c r="R35" s="38" t="str" cm="1">
        <f t="array" aca="1" ref="R35" ca="1">IFERROR(INDIRECT("'"&amp;$Q35&amp;"'!" &amp; R$5),"???")</f>
        <v>???</v>
      </c>
      <c r="S35" s="38" t="str" cm="1">
        <f t="array" aca="1" ref="S35" ca="1">IFERROR(INDIRECT("'"&amp;$Q35&amp;"'!" &amp; S$5),"???")</f>
        <v>???</v>
      </c>
      <c r="T35" s="38" t="str" cm="1">
        <f t="array" aca="1" ref="T35" ca="1">IFERROR(INDIRECT("'"&amp;$Q35&amp;"'!" &amp; T$5),"???")</f>
        <v>???</v>
      </c>
      <c r="U35" s="38" t="str" cm="1">
        <f t="array" aca="1" ref="U35" ca="1">IFERROR(INDIRECT("'"&amp;$Q35&amp;"'!" &amp; U$5),"???")</f>
        <v>???</v>
      </c>
    </row>
    <row r="36" spans="1:21" ht="15.75" x14ac:dyDescent="0.25">
      <c r="M36" s="2"/>
      <c r="N36" s="2"/>
      <c r="P36" s="383">
        <f>IF(ROW()-ROW(tbl_Mois[[#Headers],[date]])=1,$P$5,EDATE(P35,1))</f>
        <v>46447</v>
      </c>
      <c r="Q36" s="382" t="str">
        <f t="shared" si="0"/>
        <v>Mars 2027</v>
      </c>
      <c r="R36" s="38" t="str" cm="1">
        <f t="array" aca="1" ref="R36" ca="1">IFERROR(INDIRECT("'"&amp;$Q36&amp;"'!" &amp; R$5),"???")</f>
        <v>???</v>
      </c>
      <c r="S36" s="38" t="str" cm="1">
        <f t="array" aca="1" ref="S36" ca="1">IFERROR(INDIRECT("'"&amp;$Q36&amp;"'!" &amp; S$5),"???")</f>
        <v>???</v>
      </c>
      <c r="T36" s="38" t="str" cm="1">
        <f t="array" aca="1" ref="T36" ca="1">IFERROR(INDIRECT("'"&amp;$Q36&amp;"'!" &amp; T$5),"???")</f>
        <v>???</v>
      </c>
      <c r="U36" s="38" t="str" cm="1">
        <f t="array" aca="1" ref="U36" ca="1">IFERROR(INDIRECT("'"&amp;$Q36&amp;"'!" &amp; U$5),"???")</f>
        <v>???</v>
      </c>
    </row>
    <row r="37" spans="1:21" ht="15.75" x14ac:dyDescent="0.25">
      <c r="M37" s="2"/>
      <c r="N37" s="2"/>
      <c r="P37" s="383">
        <f>IF(ROW()-ROW(tbl_Mois[[#Headers],[date]])=1,$P$5,EDATE(P36,1))</f>
        <v>46478</v>
      </c>
      <c r="Q37" s="382" t="str">
        <f t="shared" si="0"/>
        <v>Avril 2027</v>
      </c>
      <c r="R37" s="38" t="str" cm="1">
        <f t="array" aca="1" ref="R37" ca="1">IFERROR(INDIRECT("'"&amp;$Q37&amp;"'!" &amp; R$5),"???")</f>
        <v>???</v>
      </c>
      <c r="S37" s="38" t="str" cm="1">
        <f t="array" aca="1" ref="S37" ca="1">IFERROR(INDIRECT("'"&amp;$Q37&amp;"'!" &amp; S$5),"???")</f>
        <v>???</v>
      </c>
      <c r="T37" s="38" t="str" cm="1">
        <f t="array" aca="1" ref="T37" ca="1">IFERROR(INDIRECT("'"&amp;$Q37&amp;"'!" &amp; T$5),"???")</f>
        <v>???</v>
      </c>
      <c r="U37" s="38" t="str" cm="1">
        <f t="array" aca="1" ref="U37" ca="1">IFERROR(INDIRECT("'"&amp;$Q37&amp;"'!" &amp; U$5),"???")</f>
        <v>???</v>
      </c>
    </row>
    <row r="38" spans="1:21" ht="15.75" x14ac:dyDescent="0.25">
      <c r="M38" s="2"/>
      <c r="N38" s="2"/>
      <c r="P38" s="383">
        <f>IF(ROW()-ROW(tbl_Mois[[#Headers],[date]])=1,$P$5,EDATE(P37,1))</f>
        <v>46508</v>
      </c>
      <c r="Q38" s="382" t="str">
        <f t="shared" si="0"/>
        <v>Mai 2027</v>
      </c>
      <c r="R38" s="38" t="str" cm="1">
        <f t="array" aca="1" ref="R38" ca="1">IFERROR(INDIRECT("'"&amp;$Q38&amp;"'!" &amp; R$5),"???")</f>
        <v>???</v>
      </c>
      <c r="S38" s="38" t="str" cm="1">
        <f t="array" aca="1" ref="S38" ca="1">IFERROR(INDIRECT("'"&amp;$Q38&amp;"'!" &amp; S$5),"???")</f>
        <v>???</v>
      </c>
      <c r="T38" s="38" t="str" cm="1">
        <f t="array" aca="1" ref="T38" ca="1">IFERROR(INDIRECT("'"&amp;$Q38&amp;"'!" &amp; T$5),"???")</f>
        <v>???</v>
      </c>
      <c r="U38" s="38" t="str" cm="1">
        <f t="array" aca="1" ref="U38" ca="1">IFERROR(INDIRECT("'"&amp;$Q38&amp;"'!" &amp; U$5),"???")</f>
        <v>???</v>
      </c>
    </row>
    <row r="39" spans="1:21" x14ac:dyDescent="0.25">
      <c r="Q39" s="29"/>
      <c r="R39" s="29"/>
      <c r="S39" s="29"/>
      <c r="T39" s="29"/>
      <c r="U39" s="29"/>
    </row>
    <row r="40" spans="1:21" x14ac:dyDescent="0.25">
      <c r="Q40" s="29"/>
      <c r="R40" s="29"/>
      <c r="S40" s="29"/>
      <c r="T40" s="29"/>
      <c r="U40" s="29"/>
    </row>
    <row r="41" spans="1:21" x14ac:dyDescent="0.25">
      <c r="Q41" s="29"/>
      <c r="R41" s="29"/>
      <c r="S41" s="29"/>
      <c r="T41" s="29"/>
      <c r="U41" s="29"/>
    </row>
    <row r="42" spans="1:21" x14ac:dyDescent="0.25">
      <c r="Q42" s="29"/>
      <c r="R42" s="29"/>
      <c r="S42" s="29"/>
      <c r="T42" s="29"/>
      <c r="U42" s="29"/>
    </row>
    <row r="43" spans="1:21" x14ac:dyDescent="0.25">
      <c r="Q43" s="29"/>
      <c r="R43" s="29"/>
      <c r="S43" s="29"/>
      <c r="T43" s="29"/>
      <c r="U43" s="29"/>
    </row>
    <row r="44" spans="1:21" x14ac:dyDescent="0.25">
      <c r="Q44" s="29"/>
      <c r="R44" s="29"/>
      <c r="S44" s="29"/>
      <c r="T44" s="29"/>
      <c r="U44" s="29"/>
    </row>
    <row r="45" spans="1:21" x14ac:dyDescent="0.25">
      <c r="Q45" s="29"/>
      <c r="R45" s="29"/>
      <c r="S45" s="29"/>
      <c r="T45" s="29"/>
      <c r="U45" s="29"/>
    </row>
    <row r="46" spans="1:21" x14ac:dyDescent="0.25">
      <c r="Q46" s="29"/>
      <c r="R46" s="29"/>
      <c r="S46" s="29"/>
      <c r="T46" s="29"/>
      <c r="U46" s="29"/>
    </row>
    <row r="47" spans="1:21" x14ac:dyDescent="0.25">
      <c r="Q47" s="29"/>
      <c r="R47" s="29"/>
      <c r="S47" s="29"/>
      <c r="T47" s="29"/>
      <c r="U47" s="29"/>
    </row>
    <row r="48" spans="1:21" x14ac:dyDescent="0.25">
      <c r="Q48" s="29"/>
      <c r="R48" s="29"/>
      <c r="S48" s="29"/>
      <c r="T48" s="29"/>
      <c r="U48" s="29"/>
    </row>
    <row r="49" spans="17:21" x14ac:dyDescent="0.25">
      <c r="Q49" s="29"/>
      <c r="R49" s="29"/>
      <c r="S49" s="29"/>
      <c r="T49" s="29"/>
      <c r="U49" s="29"/>
    </row>
    <row r="50" spans="17:21" x14ac:dyDescent="0.25">
      <c r="Q50" s="29"/>
      <c r="R50" s="29"/>
      <c r="S50" s="29"/>
      <c r="T50" s="29"/>
      <c r="U50" s="29"/>
    </row>
    <row r="51" spans="17:21" x14ac:dyDescent="0.25">
      <c r="Q51" s="29"/>
      <c r="R51" s="29"/>
      <c r="S51" s="29"/>
      <c r="T51" s="29"/>
      <c r="U51" s="29"/>
    </row>
    <row r="52" spans="17:21" x14ac:dyDescent="0.25">
      <c r="Q52" s="29"/>
      <c r="R52" s="29"/>
      <c r="S52" s="29"/>
      <c r="T52" s="29"/>
      <c r="U52" s="29"/>
    </row>
  </sheetData>
  <mergeCells count="10">
    <mergeCell ref="A1:A2"/>
    <mergeCell ref="B1:B2"/>
    <mergeCell ref="C1:C2"/>
    <mergeCell ref="D1:D2"/>
    <mergeCell ref="E1:E2"/>
    <mergeCell ref="F35:G35"/>
    <mergeCell ref="H35:I35"/>
    <mergeCell ref="F1:I1"/>
    <mergeCell ref="F2:G2"/>
    <mergeCell ref="H2:I2"/>
  </mergeCells>
  <dataValidations count="2">
    <dataValidation type="list" allowBlank="1" showInputMessage="1" showErrorMessage="1" sqref="Q5" xr:uid="{19826DD2-85DC-4DA7-A66A-6D5D17069A29}">
      <formula1>"mmmm jjjj,mmmm aaaa"</formula1>
    </dataValidation>
    <dataValidation type="list" allowBlank="1" showInputMessage="1" showErrorMessage="1" sqref="M2" xr:uid="{702891F7-49F4-42D8-8009-522865A7B013}">
      <formula1>$M$5:$M$33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90" r:id="rId4" name="Button 2">
              <controlPr defaultSize="0" print="0" autoFill="0" autoPict="0" macro="[0]!Recherche">
                <anchor moveWithCells="1" sizeWithCells="1">
                  <from>
                    <xdr:col>10</xdr:col>
                    <xdr:colOff>371475</xdr:colOff>
                    <xdr:row>2</xdr:row>
                    <xdr:rowOff>104775</xdr:rowOff>
                  </from>
                  <to>
                    <xdr:col>11</xdr:col>
                    <xdr:colOff>400050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91" r:id="rId5" name="Button 3">
              <controlPr defaultSize="0" print="0" autoFill="0" autoPict="0" macro="[0]!_xludf.Clear">
                <anchor moveWithCells="1" sizeWithCells="1">
                  <from>
                    <xdr:col>10</xdr:col>
                    <xdr:colOff>9525</xdr:colOff>
                    <xdr:row>0</xdr:row>
                    <xdr:rowOff>161925</xdr:rowOff>
                  </from>
                  <to>
                    <xdr:col>10</xdr:col>
                    <xdr:colOff>752475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9">
    <tabColor rgb="FFFFFF00"/>
    <pageSetUpPr fitToPage="1"/>
  </sheetPr>
  <dimension ref="B1:M58"/>
  <sheetViews>
    <sheetView showGridLines="0" zoomScale="85" zoomScaleNormal="85" workbookViewId="0">
      <pane ySplit="6" topLeftCell="A21" activePane="bottomLeft" state="frozen"/>
      <selection pane="bottomLeft" activeCell="N15" sqref="N15"/>
    </sheetView>
  </sheetViews>
  <sheetFormatPr baseColWidth="10" defaultColWidth="11.42578125" defaultRowHeight="15" x14ac:dyDescent="0.25"/>
  <cols>
    <col min="1" max="1" width="1.5703125" style="82" customWidth="1"/>
    <col min="2" max="2" width="44.140625" style="82" customWidth="1"/>
    <col min="3" max="3" width="14.7109375" style="27" customWidth="1"/>
    <col min="4" max="4" width="12.85546875" style="27" customWidth="1"/>
    <col min="5" max="5" width="13" style="27" customWidth="1"/>
    <col min="6" max="6" width="14.42578125" style="27" customWidth="1"/>
    <col min="7" max="8" width="12.85546875" style="27" customWidth="1"/>
    <col min="9" max="9" width="3.28515625" style="27" customWidth="1"/>
    <col min="10" max="10" width="11.42578125" style="306"/>
    <col min="11" max="16384" width="11.42578125" style="82"/>
  </cols>
  <sheetData>
    <row r="1" spans="2:11" ht="35.25" customHeight="1" x14ac:dyDescent="0.25">
      <c r="B1" s="41"/>
      <c r="C1" s="171" t="str">
        <f ca="1">MID(CELL("filename",C1),FIND("]",CELL("filename",C1))+1,32)</f>
        <v>Bilan Financier 2026</v>
      </c>
      <c r="D1" s="171"/>
      <c r="E1" s="171"/>
      <c r="F1" s="171"/>
      <c r="G1" s="171"/>
      <c r="H1" s="81"/>
      <c r="I1" s="81"/>
      <c r="K1" s="306"/>
    </row>
    <row r="2" spans="2:11" ht="15" customHeight="1" x14ac:dyDescent="0.25">
      <c r="B2" s="580" t="s">
        <v>32</v>
      </c>
      <c r="C2" s="580"/>
      <c r="D2" s="580"/>
      <c r="E2" s="580"/>
      <c r="F2" s="334"/>
      <c r="G2" s="509">
        <f ca="1">SUM(E13:E23)</f>
        <v>285</v>
      </c>
      <c r="H2" s="510">
        <f ca="1">SUM(D13:D23)</f>
        <v>145</v>
      </c>
      <c r="I2" s="47"/>
    </row>
    <row r="3" spans="2:11" ht="15" customHeight="1" x14ac:dyDescent="0.25">
      <c r="B3" s="580"/>
      <c r="C3" s="580"/>
      <c r="D3" s="580"/>
      <c r="E3" s="580"/>
      <c r="F3" s="334"/>
      <c r="G3" s="511">
        <f ca="1">SUM(H25:H42)</f>
        <v>50</v>
      </c>
      <c r="H3" s="509">
        <f ca="1">SUM(G25:G42)</f>
        <v>300</v>
      </c>
      <c r="I3" s="47"/>
    </row>
    <row r="4" spans="2:11" ht="15" customHeight="1" x14ac:dyDescent="0.25">
      <c r="B4" s="580"/>
      <c r="C4" s="580"/>
      <c r="D4" s="580"/>
      <c r="E4" s="580"/>
      <c r="F4" s="334"/>
      <c r="G4" s="510">
        <f>C51</f>
        <v>410.11</v>
      </c>
      <c r="H4" s="510">
        <f>C50</f>
        <v>501.2</v>
      </c>
      <c r="I4" s="47"/>
    </row>
    <row r="5" spans="2:11" ht="15" customHeight="1" x14ac:dyDescent="0.25">
      <c r="B5" s="580"/>
      <c r="C5" s="580"/>
      <c r="D5" s="580"/>
      <c r="E5" s="580"/>
      <c r="F5" s="334"/>
      <c r="G5" s="510">
        <f ca="1">G2-G3+G4</f>
        <v>645.11</v>
      </c>
      <c r="H5" s="512">
        <f ca="1">H2-H3+H4</f>
        <v>346.2</v>
      </c>
      <c r="I5" s="47"/>
    </row>
    <row r="6" spans="2:11" ht="15.75" customHeight="1" thickBot="1" x14ac:dyDescent="0.3">
      <c r="B6" s="581"/>
      <c r="C6" s="581"/>
      <c r="D6" s="581"/>
      <c r="E6" s="581"/>
      <c r="F6" s="305"/>
      <c r="G6" s="305"/>
      <c r="H6" s="96"/>
      <c r="I6" s="47"/>
      <c r="K6" s="306"/>
    </row>
    <row r="7" spans="2:11" ht="15.75" thickTop="1" x14ac:dyDescent="0.25">
      <c r="B7" s="83"/>
      <c r="C7" s="84"/>
      <c r="D7" s="84"/>
      <c r="E7" s="84"/>
      <c r="F7" s="84"/>
      <c r="G7" s="84"/>
      <c r="H7" s="88"/>
      <c r="I7" s="85"/>
      <c r="K7" s="303"/>
    </row>
    <row r="8" spans="2:11" ht="23.25" x14ac:dyDescent="0.25">
      <c r="B8" s="589" t="s">
        <v>130</v>
      </c>
      <c r="C8" s="590"/>
      <c r="D8" s="590"/>
      <c r="E8" s="590"/>
      <c r="F8" s="590"/>
      <c r="G8" s="590"/>
      <c r="H8" s="97"/>
      <c r="I8" s="48"/>
      <c r="K8" s="303"/>
    </row>
    <row r="9" spans="2:11" ht="15.75" thickBot="1" x14ac:dyDescent="0.3">
      <c r="B9" s="86"/>
      <c r="C9" s="87"/>
      <c r="D9" s="87"/>
      <c r="E9" s="87"/>
      <c r="F9" s="87"/>
      <c r="G9" s="87"/>
      <c r="H9" s="93"/>
      <c r="I9" s="85"/>
      <c r="K9" s="303"/>
    </row>
    <row r="10" spans="2:11" ht="6.75" customHeight="1" thickBot="1" x14ac:dyDescent="0.3">
      <c r="B10" s="591"/>
      <c r="C10" s="592"/>
      <c r="D10" s="592"/>
      <c r="E10" s="592"/>
      <c r="F10" s="592"/>
      <c r="G10" s="592"/>
      <c r="H10" s="99"/>
      <c r="I10" s="98"/>
      <c r="K10" s="303"/>
    </row>
    <row r="11" spans="2:11" ht="24.95" customHeight="1" thickBot="1" x14ac:dyDescent="0.3">
      <c r="B11" s="102" t="s">
        <v>33</v>
      </c>
      <c r="C11" s="256" t="s">
        <v>0</v>
      </c>
      <c r="D11" s="586" t="s">
        <v>34</v>
      </c>
      <c r="E11" s="587"/>
      <c r="F11" s="100" t="s">
        <v>0</v>
      </c>
      <c r="G11" s="588" t="s">
        <v>35</v>
      </c>
      <c r="H11" s="587"/>
      <c r="I11" s="101"/>
      <c r="K11" s="303"/>
    </row>
    <row r="12" spans="2:11" x14ac:dyDescent="0.25">
      <c r="B12" s="593"/>
      <c r="C12" s="594"/>
      <c r="D12" s="222" t="s">
        <v>11</v>
      </c>
      <c r="E12" s="222" t="s">
        <v>12</v>
      </c>
      <c r="F12" s="203"/>
      <c r="G12" s="98"/>
      <c r="H12" s="202"/>
      <c r="I12" s="101"/>
      <c r="K12" s="303"/>
    </row>
    <row r="13" spans="2:11" s="28" customFormat="1" ht="20.100000000000001" customHeight="1" x14ac:dyDescent="0.25">
      <c r="B13" s="339" t="s">
        <v>114</v>
      </c>
      <c r="C13" s="212">
        <v>7020</v>
      </c>
      <c r="D13" s="214" cm="1">
        <f t="array" aca="1" ref="D13" ca="1">totalB(C13)</f>
        <v>0</v>
      </c>
      <c r="E13" s="201" cm="1">
        <f t="array" aca="1" ref="E13" ca="1">totalN(C13)</f>
        <v>0</v>
      </c>
      <c r="F13" s="149"/>
      <c r="G13" s="150"/>
      <c r="H13" s="151"/>
      <c r="I13" s="111"/>
      <c r="J13" s="453"/>
      <c r="K13" s="304"/>
    </row>
    <row r="14" spans="2:11" s="28" customFormat="1" ht="20.100000000000001" customHeight="1" x14ac:dyDescent="0.25">
      <c r="B14" s="208" t="s">
        <v>124</v>
      </c>
      <c r="C14" s="212">
        <v>7061</v>
      </c>
      <c r="D14" s="214" cm="1">
        <f t="array" aca="1" ref="D14" ca="1">totalB(C14)</f>
        <v>0</v>
      </c>
      <c r="E14" s="200" cm="1">
        <f t="array" aca="1" ref="E14" ca="1">totalN(C14)</f>
        <v>0</v>
      </c>
      <c r="F14" s="149"/>
      <c r="G14" s="150"/>
      <c r="H14" s="151"/>
      <c r="I14" s="111"/>
      <c r="J14" s="453"/>
      <c r="K14" s="304"/>
    </row>
    <row r="15" spans="2:11" s="28" customFormat="1" ht="20.100000000000001" customHeight="1" x14ac:dyDescent="0.25">
      <c r="B15" s="208" t="s">
        <v>68</v>
      </c>
      <c r="C15" s="212">
        <v>7151</v>
      </c>
      <c r="D15" s="214" cm="1">
        <f t="array" aca="1" ref="D15" ca="1">totalB(C15)</f>
        <v>0</v>
      </c>
      <c r="E15" s="200" cm="1">
        <f t="array" aca="1" ref="E15" ca="1">totalN(C15)</f>
        <v>0</v>
      </c>
      <c r="F15" s="149"/>
      <c r="G15" s="150"/>
      <c r="H15" s="151"/>
      <c r="I15" s="111"/>
      <c r="J15" s="453"/>
      <c r="K15" s="304"/>
    </row>
    <row r="16" spans="2:11" s="28" customFormat="1" ht="20.100000000000001" customHeight="1" x14ac:dyDescent="0.25">
      <c r="B16" s="207" t="s">
        <v>133</v>
      </c>
      <c r="C16" s="212">
        <v>7417</v>
      </c>
      <c r="D16" s="214" cm="1">
        <f t="array" aca="1" ref="D16" ca="1">totalB(C16)</f>
        <v>0</v>
      </c>
      <c r="E16" s="200" cm="1">
        <f t="array" aca="1" ref="E16" ca="1">totalN(C16)</f>
        <v>0</v>
      </c>
      <c r="F16" s="149"/>
      <c r="G16" s="150"/>
      <c r="H16" s="151"/>
      <c r="I16" s="111"/>
      <c r="J16" s="453"/>
      <c r="K16" s="304"/>
    </row>
    <row r="17" spans="2:11" s="28" customFormat="1" ht="20.100000000000001" customHeight="1" x14ac:dyDescent="0.25">
      <c r="B17" s="208" t="s">
        <v>36</v>
      </c>
      <c r="C17" s="212">
        <v>7441</v>
      </c>
      <c r="D17" s="214" cm="1">
        <f t="array" aca="1" ref="D17" ca="1">totalB(C17)</f>
        <v>0</v>
      </c>
      <c r="E17" s="200" cm="1">
        <f t="array" aca="1" ref="E17" ca="1">totalN(C17)</f>
        <v>0</v>
      </c>
      <c r="F17" s="149"/>
      <c r="G17" s="150"/>
      <c r="H17" s="151"/>
      <c r="I17" s="111"/>
      <c r="J17" s="453"/>
      <c r="K17" s="304"/>
    </row>
    <row r="18" spans="2:11" s="28" customFormat="1" ht="20.100000000000001" customHeight="1" x14ac:dyDescent="0.25">
      <c r="B18" s="208" t="s">
        <v>37</v>
      </c>
      <c r="C18" s="212">
        <v>7442</v>
      </c>
      <c r="D18" s="214" cm="1">
        <f t="array" aca="1" ref="D18" ca="1">totalB(C18)</f>
        <v>0</v>
      </c>
      <c r="E18" s="200" cm="1">
        <f t="array" aca="1" ref="E18" ca="1">totalN(C18)</f>
        <v>0</v>
      </c>
      <c r="F18" s="149"/>
      <c r="G18" s="150"/>
      <c r="H18" s="151"/>
      <c r="I18" s="112"/>
      <c r="J18" s="453"/>
      <c r="K18" s="304"/>
    </row>
    <row r="19" spans="2:11" s="28" customFormat="1" ht="20.100000000000001" customHeight="1" x14ac:dyDescent="0.25">
      <c r="B19" s="208" t="s">
        <v>132</v>
      </c>
      <c r="C19" s="212">
        <v>7443</v>
      </c>
      <c r="D19" s="214" cm="1">
        <f t="array" aca="1" ref="D19" ca="1">totalB(C19)</f>
        <v>0</v>
      </c>
      <c r="E19" s="200" cm="1">
        <f t="array" aca="1" ref="E19" ca="1">totalN(C19)</f>
        <v>0</v>
      </c>
      <c r="F19" s="149"/>
      <c r="G19" s="150"/>
      <c r="H19" s="151"/>
      <c r="I19" s="111"/>
      <c r="J19" s="453"/>
      <c r="K19" s="304"/>
    </row>
    <row r="20" spans="2:11" s="28" customFormat="1" ht="20.100000000000001" customHeight="1" x14ac:dyDescent="0.25">
      <c r="B20" s="208" t="s">
        <v>97</v>
      </c>
      <c r="C20" s="212">
        <v>7511</v>
      </c>
      <c r="D20" s="214" cm="1">
        <f t="array" aca="1" ref="D20" ca="1">totalB(C20)</f>
        <v>100</v>
      </c>
      <c r="E20" s="200" cm="1">
        <f t="array" aca="1" ref="E20" ca="1">totalN(C20)</f>
        <v>150</v>
      </c>
      <c r="F20" s="149"/>
      <c r="G20" s="150"/>
      <c r="H20" s="151"/>
      <c r="I20" s="111"/>
      <c r="J20" s="454"/>
      <c r="K20" s="453"/>
    </row>
    <row r="21" spans="2:11" s="28" customFormat="1" ht="20.100000000000001" customHeight="1" x14ac:dyDescent="0.25">
      <c r="B21" s="255" t="s">
        <v>107</v>
      </c>
      <c r="C21" s="212">
        <v>7530</v>
      </c>
      <c r="D21" s="214" cm="1">
        <f t="array" aca="1" ref="D21" ca="1">totalB(C21)</f>
        <v>0</v>
      </c>
      <c r="E21" s="200" cm="1">
        <f t="array" aca="1" ref="E21" ca="1">totalN(C21)</f>
        <v>0</v>
      </c>
      <c r="F21" s="149"/>
      <c r="G21" s="150"/>
      <c r="H21" s="151"/>
      <c r="I21" s="111"/>
      <c r="J21" s="453"/>
      <c r="K21" s="304"/>
    </row>
    <row r="22" spans="2:11" s="28" customFormat="1" ht="20.100000000000001" customHeight="1" x14ac:dyDescent="0.25">
      <c r="B22" s="208" t="s">
        <v>96</v>
      </c>
      <c r="C22" s="212">
        <v>7560</v>
      </c>
      <c r="D22" s="214" cm="1">
        <f t="array" aca="1" ref="D22" ca="1">totalB(C22)</f>
        <v>45</v>
      </c>
      <c r="E22" s="200" cm="1">
        <f t="array" aca="1" ref="E22" ca="1">totalN(C22)</f>
        <v>135</v>
      </c>
      <c r="F22" s="149"/>
      <c r="G22" s="150"/>
      <c r="H22" s="151"/>
      <c r="I22" s="112"/>
      <c r="J22" s="453"/>
      <c r="K22" s="304"/>
    </row>
    <row r="23" spans="2:11" s="28" customFormat="1" ht="20.100000000000001" customHeight="1" thickBot="1" x14ac:dyDescent="0.3">
      <c r="B23" s="211" t="s">
        <v>56</v>
      </c>
      <c r="C23" s="213">
        <v>7710</v>
      </c>
      <c r="D23" s="215" cm="1">
        <f t="array" aca="1" ref="D23" ca="1">totalB(C23)</f>
        <v>0</v>
      </c>
      <c r="E23" s="206" cm="1">
        <f t="array" aca="1" ref="E23" ca="1">totalN(C23)</f>
        <v>0</v>
      </c>
      <c r="F23" s="152"/>
      <c r="G23" s="153"/>
      <c r="H23" s="154"/>
      <c r="I23" s="111"/>
      <c r="J23" s="453"/>
      <c r="K23" s="304"/>
    </row>
    <row r="24" spans="2:11" s="28" customFormat="1" ht="15" customHeight="1" x14ac:dyDescent="0.25">
      <c r="B24" s="595"/>
      <c r="C24" s="596"/>
      <c r="D24" s="596"/>
      <c r="E24" s="596"/>
      <c r="F24" s="596"/>
      <c r="G24" s="224" t="s">
        <v>101</v>
      </c>
      <c r="H24" s="221" t="s">
        <v>12</v>
      </c>
      <c r="I24" s="111"/>
      <c r="J24" s="453"/>
    </row>
    <row r="25" spans="2:11" s="28" customFormat="1" ht="20.100000000000001" customHeight="1" x14ac:dyDescent="0.25">
      <c r="B25" s="204" t="s">
        <v>98</v>
      </c>
      <c r="C25" s="205"/>
      <c r="D25" s="205"/>
      <c r="E25" s="259"/>
      <c r="F25" s="209">
        <v>6010</v>
      </c>
      <c r="G25" s="482" cm="1">
        <f t="array" aca="1" ref="G25" ca="1">totalB(F25)</f>
        <v>100</v>
      </c>
      <c r="H25" s="483" cm="1">
        <f t="array" aca="1" ref="H25" ca="1">totalN(F25)</f>
        <v>50</v>
      </c>
      <c r="I25" s="113"/>
      <c r="J25" s="453"/>
    </row>
    <row r="26" spans="2:11" s="28" customFormat="1" ht="20.100000000000001" customHeight="1" x14ac:dyDescent="0.25">
      <c r="B26" s="320" t="s">
        <v>112</v>
      </c>
      <c r="C26" s="164"/>
      <c r="D26" s="164"/>
      <c r="E26" s="258"/>
      <c r="F26" s="210">
        <v>6040</v>
      </c>
      <c r="G26" s="482" cm="1">
        <f t="array" aca="1" ref="G26" ca="1">totalB(F26)</f>
        <v>0</v>
      </c>
      <c r="H26" s="483" cm="1">
        <f t="array" aca="1" ref="H26" ca="1">totalN(F26)</f>
        <v>0</v>
      </c>
      <c r="I26" s="113"/>
      <c r="J26" s="453"/>
    </row>
    <row r="27" spans="2:11" s="28" customFormat="1" ht="20.100000000000001" customHeight="1" x14ac:dyDescent="0.25">
      <c r="B27" s="165" t="s">
        <v>123</v>
      </c>
      <c r="C27" s="166"/>
      <c r="D27" s="166"/>
      <c r="E27" s="257"/>
      <c r="F27" s="103">
        <v>6051</v>
      </c>
      <c r="G27" s="482" cm="1">
        <f t="array" aca="1" ref="G27" ca="1">totalB(F27)</f>
        <v>0</v>
      </c>
      <c r="H27" s="483" cm="1">
        <f t="array" aca="1" ref="H27" ca="1">totalN(F27)</f>
        <v>0</v>
      </c>
      <c r="I27" s="113"/>
      <c r="J27" s="453"/>
    </row>
    <row r="28" spans="2:11" s="28" customFormat="1" ht="20.100000000000001" customHeight="1" x14ac:dyDescent="0.25">
      <c r="B28" s="165" t="s">
        <v>99</v>
      </c>
      <c r="C28" s="166"/>
      <c r="D28" s="166"/>
      <c r="E28" s="257"/>
      <c r="F28" s="209">
        <v>6052</v>
      </c>
      <c r="G28" s="482" cm="1">
        <f t="array" aca="1" ref="G28" ca="1">totalB(F28)</f>
        <v>0</v>
      </c>
      <c r="H28" s="483" cm="1">
        <f t="array" aca="1" ref="H28" ca="1">totalN(F28)</f>
        <v>0</v>
      </c>
      <c r="I28" s="113"/>
      <c r="J28" s="453"/>
    </row>
    <row r="29" spans="2:11" s="28" customFormat="1" ht="20.100000000000001" customHeight="1" x14ac:dyDescent="0.25">
      <c r="B29" s="163" t="s">
        <v>57</v>
      </c>
      <c r="C29" s="164"/>
      <c r="D29" s="164"/>
      <c r="E29" s="258"/>
      <c r="F29" s="209">
        <v>6064</v>
      </c>
      <c r="G29" s="482" cm="1">
        <f t="array" aca="1" ref="G29" ca="1">totalB(F29)</f>
        <v>0</v>
      </c>
      <c r="H29" s="483" cm="1">
        <f t="array" aca="1" ref="H29" ca="1">totalN(F29)</f>
        <v>0</v>
      </c>
      <c r="I29" s="113"/>
      <c r="J29" s="453"/>
    </row>
    <row r="30" spans="2:11" s="28" customFormat="1" ht="20.100000000000001" customHeight="1" x14ac:dyDescent="0.25">
      <c r="B30" s="163" t="s">
        <v>51</v>
      </c>
      <c r="C30" s="164"/>
      <c r="D30" s="164"/>
      <c r="E30" s="258"/>
      <c r="F30" s="210">
        <v>6130</v>
      </c>
      <c r="G30" s="482" cm="1">
        <f t="array" aca="1" ref="G30" ca="1">totalB(F30)</f>
        <v>0</v>
      </c>
      <c r="H30" s="483" cm="1">
        <f t="array" aca="1" ref="H30" ca="1">totalN(F30)</f>
        <v>0</v>
      </c>
      <c r="I30" s="113"/>
      <c r="J30" s="453"/>
    </row>
    <row r="31" spans="2:11" s="28" customFormat="1" ht="20.100000000000001" customHeight="1" x14ac:dyDescent="0.25">
      <c r="B31" s="163" t="s">
        <v>58</v>
      </c>
      <c r="C31" s="164"/>
      <c r="D31" s="164"/>
      <c r="E31" s="258"/>
      <c r="F31" s="103">
        <v>6135</v>
      </c>
      <c r="G31" s="482" cm="1">
        <f t="array" aca="1" ref="G31" ca="1">totalB(F31)</f>
        <v>0</v>
      </c>
      <c r="H31" s="483" cm="1">
        <f t="array" aca="1" ref="H31" ca="1">totalN(F31)</f>
        <v>0</v>
      </c>
      <c r="I31" s="113"/>
      <c r="J31" s="453"/>
    </row>
    <row r="32" spans="2:11" s="28" customFormat="1" ht="20.100000000000001" customHeight="1" x14ac:dyDescent="0.25">
      <c r="B32" s="163" t="s">
        <v>3</v>
      </c>
      <c r="C32" s="164"/>
      <c r="D32" s="164"/>
      <c r="E32" s="258"/>
      <c r="F32" s="103">
        <v>6150</v>
      </c>
      <c r="G32" s="482" cm="1">
        <f t="array" aca="1" ref="G32" ca="1">totalB(F32)</f>
        <v>0</v>
      </c>
      <c r="H32" s="483" cm="1">
        <f t="array" aca="1" ref="H32" ca="1">totalN(F32)</f>
        <v>0</v>
      </c>
      <c r="I32" s="113"/>
      <c r="J32" s="453"/>
    </row>
    <row r="33" spans="2:13" s="28" customFormat="1" ht="20.100000000000001" customHeight="1" x14ac:dyDescent="0.25">
      <c r="B33" s="163" t="s">
        <v>52</v>
      </c>
      <c r="C33" s="164"/>
      <c r="D33" s="164"/>
      <c r="E33" s="258"/>
      <c r="F33" s="103">
        <v>6160</v>
      </c>
      <c r="G33" s="482" cm="1">
        <f t="array" aca="1" ref="G33" ca="1">totalB(F33)</f>
        <v>200</v>
      </c>
      <c r="H33" s="483" cm="1">
        <f t="array" aca="1" ref="H33" ca="1">totalN(F33)</f>
        <v>0</v>
      </c>
      <c r="I33" s="113"/>
      <c r="J33" s="453"/>
    </row>
    <row r="34" spans="2:13" s="28" customFormat="1" ht="20.100000000000001" customHeight="1" x14ac:dyDescent="0.25">
      <c r="B34" s="165" t="s">
        <v>73</v>
      </c>
      <c r="C34" s="166"/>
      <c r="D34" s="166"/>
      <c r="E34" s="257"/>
      <c r="F34" s="210">
        <v>6230</v>
      </c>
      <c r="G34" s="482" cm="1">
        <f t="array" aca="1" ref="G34" ca="1">totalB(F34)</f>
        <v>0</v>
      </c>
      <c r="H34" s="483" cm="1">
        <f t="array" aca="1" ref="H34" ca="1">totalN(F34)</f>
        <v>0</v>
      </c>
      <c r="I34" s="113"/>
      <c r="J34" s="453"/>
    </row>
    <row r="35" spans="2:13" s="28" customFormat="1" ht="20.100000000000001" customHeight="1" x14ac:dyDescent="0.25">
      <c r="B35" s="163" t="s">
        <v>53</v>
      </c>
      <c r="C35" s="164"/>
      <c r="D35" s="164"/>
      <c r="E35" s="258"/>
      <c r="F35" s="103">
        <v>6231</v>
      </c>
      <c r="G35" s="482" cm="1">
        <f t="array" aca="1" ref="G35" ca="1">totalB(F35)</f>
        <v>0</v>
      </c>
      <c r="H35" s="483" cm="1">
        <f t="array" aca="1" ref="H35" ca="1">totalN(F35)</f>
        <v>0</v>
      </c>
      <c r="I35" s="113"/>
      <c r="J35" s="453"/>
    </row>
    <row r="36" spans="2:13" s="28" customFormat="1" ht="20.100000000000001" customHeight="1" x14ac:dyDescent="0.25">
      <c r="B36" s="163" t="s">
        <v>50</v>
      </c>
      <c r="C36" s="164"/>
      <c r="D36" s="164"/>
      <c r="E36" s="258"/>
      <c r="F36" s="103">
        <v>6234</v>
      </c>
      <c r="G36" s="482" cm="1">
        <f t="array" aca="1" ref="G36" ca="1">totalB(F36)</f>
        <v>0</v>
      </c>
      <c r="H36" s="483" cm="1">
        <f t="array" aca="1" ref="H36" ca="1">totalN(F36)</f>
        <v>0</v>
      </c>
      <c r="I36" s="113"/>
      <c r="J36" s="453"/>
    </row>
    <row r="37" spans="2:13" s="28" customFormat="1" ht="20.100000000000001" customHeight="1" x14ac:dyDescent="0.25">
      <c r="B37" s="165" t="s">
        <v>115</v>
      </c>
      <c r="C37" s="166"/>
      <c r="D37" s="166"/>
      <c r="E37" s="257"/>
      <c r="F37" s="103">
        <v>6250</v>
      </c>
      <c r="G37" s="482" cm="1">
        <f t="array" aca="1" ref="G37" ca="1">totalB(F37)</f>
        <v>0</v>
      </c>
      <c r="H37" s="483" cm="1">
        <f t="array" aca="1" ref="H37" ca="1">totalN(F37)</f>
        <v>0</v>
      </c>
      <c r="I37" s="113"/>
      <c r="J37" s="453"/>
    </row>
    <row r="38" spans="2:13" s="28" customFormat="1" ht="20.100000000000001" customHeight="1" x14ac:dyDescent="0.25">
      <c r="B38" s="165" t="s">
        <v>100</v>
      </c>
      <c r="C38" s="166"/>
      <c r="D38" s="166"/>
      <c r="E38" s="257"/>
      <c r="F38" s="103">
        <v>6253</v>
      </c>
      <c r="G38" s="482" cm="1">
        <f t="array" aca="1" ref="G38" ca="1">totalB(F38)</f>
        <v>0</v>
      </c>
      <c r="H38" s="483" cm="1">
        <f t="array" aca="1" ref="H38" ca="1">totalN(F38)</f>
        <v>0</v>
      </c>
      <c r="I38" s="113"/>
      <c r="J38" s="453"/>
    </row>
    <row r="39" spans="2:13" s="28" customFormat="1" ht="20.100000000000001" customHeight="1" x14ac:dyDescent="0.25">
      <c r="B39" s="163" t="s">
        <v>59</v>
      </c>
      <c r="C39" s="164"/>
      <c r="D39" s="164"/>
      <c r="E39" s="258"/>
      <c r="F39" s="103">
        <v>6270</v>
      </c>
      <c r="G39" s="482" cm="1">
        <f t="array" aca="1" ref="G39" ca="1">totalB(F39)</f>
        <v>0</v>
      </c>
      <c r="H39" s="483" cm="1">
        <f t="array" aca="1" ref="H39" ca="1">totalN(F39)</f>
        <v>0</v>
      </c>
      <c r="I39" s="113"/>
      <c r="J39" s="453"/>
      <c r="K39" s="143"/>
    </row>
    <row r="40" spans="2:13" s="28" customFormat="1" ht="20.100000000000001" customHeight="1" x14ac:dyDescent="0.25">
      <c r="B40" s="163" t="s">
        <v>6</v>
      </c>
      <c r="C40" s="164"/>
      <c r="D40" s="164"/>
      <c r="E40" s="258"/>
      <c r="F40" s="103">
        <v>6280</v>
      </c>
      <c r="G40" s="482" cm="1">
        <f t="array" aca="1" ref="G40" ca="1">totalB(F40)</f>
        <v>0</v>
      </c>
      <c r="H40" s="483" cm="1">
        <f t="array" aca="1" ref="H40" ca="1">totalN(F40)</f>
        <v>0</v>
      </c>
      <c r="I40" s="113"/>
      <c r="J40" s="453"/>
      <c r="K40" s="143"/>
    </row>
    <row r="41" spans="2:13" s="28" customFormat="1" ht="20.100000000000001" customHeight="1" x14ac:dyDescent="0.25">
      <c r="B41" s="163" t="s">
        <v>103</v>
      </c>
      <c r="C41" s="164"/>
      <c r="D41" s="164"/>
      <c r="E41" s="258"/>
      <c r="F41" s="103">
        <v>6510</v>
      </c>
      <c r="G41" s="484" cm="1">
        <f t="array" aca="1" ref="G41" ca="1">totalB(F41)</f>
        <v>0</v>
      </c>
      <c r="H41" s="483" cm="1">
        <f t="array" aca="1" ref="H41" ca="1">totalN(F41)</f>
        <v>0</v>
      </c>
      <c r="I41" s="113"/>
      <c r="J41" s="453"/>
    </row>
    <row r="42" spans="2:13" s="28" customFormat="1" ht="20.100000000000001" customHeight="1" thickBot="1" x14ac:dyDescent="0.3">
      <c r="B42" s="319" t="s">
        <v>102</v>
      </c>
      <c r="C42" s="268"/>
      <c r="D42" s="268"/>
      <c r="E42" s="268"/>
      <c r="F42" s="269">
        <v>6582</v>
      </c>
      <c r="G42" s="484" cm="1">
        <f t="array" aca="1" ref="G42" ca="1">totalB(F42)</f>
        <v>0</v>
      </c>
      <c r="H42" s="483" cm="1">
        <f t="array" aca="1" ref="H42" ca="1">totalN(F42)</f>
        <v>0</v>
      </c>
      <c r="I42" s="113"/>
      <c r="J42" s="453"/>
    </row>
    <row r="43" spans="2:13" ht="24.95" customHeight="1" thickBot="1" x14ac:dyDescent="0.3">
      <c r="B43" s="140"/>
      <c r="C43" s="141" t="s">
        <v>13</v>
      </c>
      <c r="D43" s="584">
        <f ca="1">SUM(D13:D23,E13:E23)</f>
        <v>430</v>
      </c>
      <c r="E43" s="585"/>
      <c r="F43" s="142"/>
      <c r="G43" s="582">
        <f ca="1">SUM((G25:G42,H25:H42))</f>
        <v>350</v>
      </c>
      <c r="H43" s="583"/>
      <c r="I43" s="104"/>
    </row>
    <row r="44" spans="2:13" ht="24.95" customHeight="1" x14ac:dyDescent="0.25">
      <c r="B44" s="187"/>
      <c r="C44" s="576"/>
      <c r="D44" s="576"/>
      <c r="E44" s="194"/>
      <c r="F44" s="146"/>
      <c r="G44" s="147"/>
      <c r="H44" s="148"/>
      <c r="I44" s="104"/>
      <c r="K44" s="155"/>
    </row>
    <row r="45" spans="2:13" ht="19.5" customHeight="1" thickBot="1" x14ac:dyDescent="0.3">
      <c r="B45" s="187"/>
      <c r="E45" s="157"/>
      <c r="F45" s="577" t="s">
        <v>84</v>
      </c>
      <c r="G45" s="577"/>
      <c r="H45" s="307">
        <f ca="1">H2-H3+H4</f>
        <v>346.2</v>
      </c>
      <c r="I45" s="107"/>
      <c r="M45" s="335"/>
    </row>
    <row r="46" spans="2:13" ht="19.5" customHeight="1" thickTop="1" thickBot="1" x14ac:dyDescent="0.3">
      <c r="B46" s="145" t="s">
        <v>129</v>
      </c>
      <c r="C46" s="197">
        <f ca="1">TODAY()</f>
        <v>45885</v>
      </c>
      <c r="D46" s="578">
        <f ca="1">SUM(D13:D23)-SUM(G25:G42)+SUM(E13:E23)-SUM(H25:H42)</f>
        <v>80</v>
      </c>
      <c r="E46" s="579"/>
      <c r="F46" s="577" t="s">
        <v>44</v>
      </c>
      <c r="G46" s="577"/>
      <c r="H46" s="308">
        <f ca="1">G2-G3+G4</f>
        <v>645.11</v>
      </c>
      <c r="I46" s="107"/>
    </row>
    <row r="47" spans="2:13" ht="14.25" customHeight="1" thickTop="1" x14ac:dyDescent="0.25">
      <c r="B47" s="145"/>
      <c r="C47" s="188"/>
      <c r="D47" s="188"/>
      <c r="E47" s="191"/>
      <c r="F47" s="157"/>
      <c r="G47" s="101"/>
      <c r="H47" s="105"/>
      <c r="I47" s="107"/>
    </row>
    <row r="48" spans="2:13" ht="7.5" customHeight="1" x14ac:dyDescent="0.25">
      <c r="B48" s="225"/>
      <c r="C48" s="226"/>
      <c r="D48" s="226"/>
      <c r="E48" s="227"/>
      <c r="F48" s="228"/>
      <c r="G48" s="229"/>
      <c r="H48" s="230"/>
      <c r="I48" s="107"/>
    </row>
    <row r="49" spans="2:11" ht="7.5" customHeight="1" x14ac:dyDescent="0.25">
      <c r="B49" s="190"/>
      <c r="C49" s="192"/>
      <c r="D49" s="192"/>
      <c r="E49" s="193"/>
      <c r="G49" s="101"/>
      <c r="H49" s="106"/>
      <c r="I49" s="107"/>
    </row>
    <row r="50" spans="2:11" ht="24.95" customHeight="1" x14ac:dyDescent="0.25">
      <c r="B50" s="190" t="s">
        <v>69</v>
      </c>
      <c r="C50" s="374">
        <v>501.2</v>
      </c>
      <c r="D50" s="196"/>
      <c r="H50" s="109"/>
      <c r="I50" s="107"/>
    </row>
    <row r="51" spans="2:11" ht="28.5" customHeight="1" thickBot="1" x14ac:dyDescent="0.3">
      <c r="B51" s="190" t="s">
        <v>70</v>
      </c>
      <c r="C51" s="156">
        <v>410.11</v>
      </c>
      <c r="D51" s="196"/>
      <c r="H51" s="109"/>
      <c r="I51" s="107"/>
    </row>
    <row r="52" spans="2:11" ht="24.95" customHeight="1" thickTop="1" thickBot="1" x14ac:dyDescent="0.3">
      <c r="B52" s="190" t="s">
        <v>72</v>
      </c>
      <c r="C52" s="195">
        <f>SUM(C50:C51)</f>
        <v>911.31</v>
      </c>
      <c r="D52" s="198"/>
      <c r="E52" s="82"/>
      <c r="F52" s="108"/>
      <c r="G52" s="107"/>
      <c r="H52" s="109"/>
      <c r="I52" s="107"/>
      <c r="K52" s="302"/>
    </row>
    <row r="53" spans="2:11" ht="24.95" customHeight="1" thickTop="1" x14ac:dyDescent="0.25">
      <c r="B53" s="187"/>
      <c r="F53" s="110"/>
      <c r="G53" s="101"/>
      <c r="H53" s="106"/>
      <c r="I53" s="101"/>
    </row>
    <row r="54" spans="2:11" ht="20.100000000000001" customHeight="1" thickBot="1" x14ac:dyDescent="0.3">
      <c r="B54" s="187"/>
      <c r="F54" s="98"/>
      <c r="G54" s="108"/>
      <c r="H54" s="106"/>
      <c r="I54" s="101"/>
    </row>
    <row r="55" spans="2:11" ht="20.100000000000001" customHeight="1" thickTop="1" x14ac:dyDescent="0.25">
      <c r="B55" s="570" t="s">
        <v>71</v>
      </c>
      <c r="C55" s="568">
        <f ca="1">TODAY()</f>
        <v>45885</v>
      </c>
      <c r="D55" s="572">
        <f ca="1">SUM(D46+C52)</f>
        <v>991.31</v>
      </c>
      <c r="E55" s="573"/>
      <c r="F55" s="85"/>
      <c r="G55" s="85"/>
      <c r="H55" s="88"/>
      <c r="I55" s="85"/>
    </row>
    <row r="56" spans="2:11" ht="20.100000000000001" customHeight="1" thickBot="1" x14ac:dyDescent="0.3">
      <c r="B56" s="571"/>
      <c r="C56" s="569"/>
      <c r="D56" s="574"/>
      <c r="E56" s="575"/>
      <c r="F56" s="90"/>
      <c r="G56" s="90"/>
      <c r="H56" s="89"/>
      <c r="I56" s="85"/>
    </row>
    <row r="57" spans="2:11" ht="15.75" thickTop="1" x14ac:dyDescent="0.25">
      <c r="D57" s="144"/>
      <c r="E57" s="144"/>
    </row>
    <row r="58" spans="2:11" x14ac:dyDescent="0.25">
      <c r="D58" s="82"/>
      <c r="E58" s="82"/>
    </row>
  </sheetData>
  <mergeCells count="16">
    <mergeCell ref="B2:E6"/>
    <mergeCell ref="G43:H43"/>
    <mergeCell ref="D43:E43"/>
    <mergeCell ref="D11:E11"/>
    <mergeCell ref="G11:H11"/>
    <mergeCell ref="B8:G8"/>
    <mergeCell ref="B10:G10"/>
    <mergeCell ref="B12:C12"/>
    <mergeCell ref="B24:F24"/>
    <mergeCell ref="C55:C56"/>
    <mergeCell ref="B55:B56"/>
    <mergeCell ref="D55:E56"/>
    <mergeCell ref="C44:D44"/>
    <mergeCell ref="F46:G46"/>
    <mergeCell ref="F45:G45"/>
    <mergeCell ref="D46:E46"/>
  </mergeCells>
  <pageMargins left="0.74803149606299213" right="0.23622047244094488" top="0.74803149606299213" bottom="0.74803149606299213" header="0.31496062992125984" footer="0.31496062992125984"/>
  <pageSetup paperSize="9" scale="62" fitToWidth="0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97E7D9-1BD8-4307-AB22-99B885F304AC}">
  <sheetPr codeName="Feuil26">
    <tabColor rgb="FFFFFF00"/>
    <pageSetUpPr fitToPage="1"/>
  </sheetPr>
  <dimension ref="B1:M51"/>
  <sheetViews>
    <sheetView showGridLines="0" tabSelected="1" workbookViewId="0">
      <selection activeCell="P10" sqref="P10"/>
    </sheetView>
  </sheetViews>
  <sheetFormatPr baseColWidth="10" defaultColWidth="11.42578125" defaultRowHeight="15" x14ac:dyDescent="0.25"/>
  <cols>
    <col min="1" max="1" width="3.5703125" style="27" customWidth="1"/>
    <col min="2" max="2" width="44.42578125" style="27" bestFit="1" customWidth="1"/>
    <col min="3" max="3" width="10.7109375" style="27" customWidth="1"/>
    <col min="4" max="4" width="14.140625" style="27" customWidth="1"/>
    <col min="5" max="5" width="10.7109375" style="27" customWidth="1"/>
    <col min="6" max="6" width="14.140625" style="27" customWidth="1"/>
    <col min="7" max="7" width="5.140625" style="27" customWidth="1"/>
    <col min="8" max="8" width="41.85546875" style="27" hidden="1" customWidth="1"/>
    <col min="9" max="9" width="10.7109375" style="27" hidden="1" customWidth="1"/>
    <col min="10" max="10" width="14.140625" style="27" hidden="1" customWidth="1"/>
    <col min="11" max="11" width="13.140625" style="27" hidden="1" customWidth="1"/>
    <col min="12" max="12" width="12.28515625" style="27" hidden="1" customWidth="1"/>
    <col min="13" max="16384" width="11.42578125" style="27"/>
  </cols>
  <sheetData>
    <row r="1" spans="2:13" ht="51" customHeight="1" thickBot="1" x14ac:dyDescent="0.3">
      <c r="B1" s="622" t="s">
        <v>32</v>
      </c>
      <c r="C1" s="622"/>
      <c r="D1" s="622"/>
      <c r="E1" s="622"/>
      <c r="F1" s="622"/>
      <c r="H1" s="622" t="s">
        <v>32</v>
      </c>
      <c r="I1" s="622"/>
      <c r="J1" s="622"/>
      <c r="K1" s="622"/>
      <c r="L1" s="622"/>
      <c r="M1" s="260"/>
    </row>
    <row r="2" spans="2:13" ht="6" customHeight="1" thickTop="1" x14ac:dyDescent="0.25">
      <c r="B2" s="616" t="s">
        <v>219</v>
      </c>
      <c r="C2" s="617"/>
      <c r="D2" s="617"/>
      <c r="E2" s="617"/>
      <c r="F2" s="618"/>
      <c r="H2" s="616" t="s">
        <v>220</v>
      </c>
      <c r="I2" s="617"/>
      <c r="J2" s="617"/>
      <c r="K2" s="617"/>
      <c r="L2" s="618"/>
      <c r="M2" s="260"/>
    </row>
    <row r="3" spans="2:13" ht="15" customHeight="1" x14ac:dyDescent="0.25">
      <c r="B3" s="619"/>
      <c r="C3" s="620"/>
      <c r="D3" s="620"/>
      <c r="E3" s="620"/>
      <c r="F3" s="621"/>
      <c r="H3" s="619"/>
      <c r="I3" s="620"/>
      <c r="J3" s="620"/>
      <c r="K3" s="620"/>
      <c r="L3" s="621"/>
      <c r="M3" s="260"/>
    </row>
    <row r="4" spans="2:13" ht="11.25" customHeight="1" x14ac:dyDescent="0.25">
      <c r="B4" s="619"/>
      <c r="C4" s="620"/>
      <c r="D4" s="620"/>
      <c r="E4" s="620"/>
      <c r="F4" s="621"/>
      <c r="H4" s="619"/>
      <c r="I4" s="620"/>
      <c r="J4" s="620"/>
      <c r="K4" s="620"/>
      <c r="L4" s="621"/>
      <c r="M4" s="260"/>
    </row>
    <row r="5" spans="2:13" ht="3.75" customHeight="1" thickBot="1" x14ac:dyDescent="0.3">
      <c r="B5" s="619"/>
      <c r="C5" s="620"/>
      <c r="D5" s="620"/>
      <c r="E5" s="620"/>
      <c r="F5" s="621"/>
      <c r="H5" s="619"/>
      <c r="I5" s="620"/>
      <c r="J5" s="620"/>
      <c r="K5" s="620"/>
      <c r="L5" s="621"/>
      <c r="M5" s="260"/>
    </row>
    <row r="6" spans="2:13" ht="24.75" hidden="1" customHeight="1" thickBot="1" x14ac:dyDescent="0.3">
      <c r="B6" s="623"/>
      <c r="C6" s="624"/>
      <c r="D6" s="233"/>
      <c r="E6" s="234"/>
      <c r="F6" s="235"/>
      <c r="H6" s="353"/>
      <c r="I6" s="232"/>
      <c r="J6" s="233"/>
      <c r="K6" s="234"/>
      <c r="L6" s="235"/>
      <c r="M6" s="260"/>
    </row>
    <row r="7" spans="2:13" ht="16.5" thickBot="1" x14ac:dyDescent="0.3">
      <c r="B7" s="299" t="s">
        <v>33</v>
      </c>
      <c r="C7" s="237" t="s">
        <v>0</v>
      </c>
      <c r="D7" s="237" t="s">
        <v>34</v>
      </c>
      <c r="E7" s="237" t="s">
        <v>0</v>
      </c>
      <c r="F7" s="238" t="s">
        <v>35</v>
      </c>
      <c r="H7" s="236" t="s">
        <v>33</v>
      </c>
      <c r="I7" s="237" t="s">
        <v>0</v>
      </c>
      <c r="J7" s="237" t="s">
        <v>34</v>
      </c>
      <c r="K7" s="237" t="s">
        <v>0</v>
      </c>
      <c r="L7" s="238" t="s">
        <v>35</v>
      </c>
      <c r="M7" s="260"/>
    </row>
    <row r="8" spans="2:13" ht="15.75" x14ac:dyDescent="0.25">
      <c r="B8" s="318" t="s">
        <v>114</v>
      </c>
      <c r="C8" s="273">
        <v>7020</v>
      </c>
      <c r="D8" s="340" cm="1">
        <f t="array" aca="1" ref="D8" ca="1">_xlfn.BYROW('Bilan Financier 2026'!D13:E13,_xlfn.LAMBDA(_xlpm.x,SUM(_xlpm.x)))</f>
        <v>0</v>
      </c>
      <c r="E8" s="330"/>
      <c r="F8" s="331"/>
      <c r="H8" s="318" t="s">
        <v>114</v>
      </c>
      <c r="I8" s="273">
        <v>7020</v>
      </c>
      <c r="J8" s="274"/>
      <c r="K8" s="333"/>
      <c r="L8" s="331"/>
      <c r="M8" s="260"/>
    </row>
    <row r="9" spans="2:13" ht="15.75" x14ac:dyDescent="0.25">
      <c r="B9" s="275" t="s">
        <v>86</v>
      </c>
      <c r="C9" s="276">
        <v>7061</v>
      </c>
      <c r="D9" s="300" cm="1">
        <f t="array" aca="1" ref="D9" ca="1">_xlfn.BYROW('Bilan Financier 2026'!D14:E14,_xlfn.LAMBDA(_xlpm.x,SUM(_xlpm.x)))</f>
        <v>0</v>
      </c>
      <c r="E9" s="277"/>
      <c r="F9" s="278"/>
      <c r="G9" s="271"/>
      <c r="H9" s="275" t="s">
        <v>86</v>
      </c>
      <c r="I9" s="276">
        <v>7061</v>
      </c>
      <c r="J9" s="274"/>
      <c r="K9" s="277"/>
      <c r="L9" s="278"/>
    </row>
    <row r="10" spans="2:13" ht="16.5" customHeight="1" x14ac:dyDescent="0.25">
      <c r="B10" s="272" t="s">
        <v>87</v>
      </c>
      <c r="C10" s="276">
        <v>7151</v>
      </c>
      <c r="D10" s="300" cm="1">
        <f t="array" aca="1" ref="D10" ca="1">_xlfn.BYROW('Bilan Financier 2026'!D15:E15,_xlfn.LAMBDA(_xlpm.x,SUM(_xlpm.x)))</f>
        <v>0</v>
      </c>
      <c r="E10" s="277"/>
      <c r="F10" s="278"/>
      <c r="G10" s="271"/>
      <c r="H10" s="275" t="s">
        <v>87</v>
      </c>
      <c r="I10" s="276">
        <v>7151</v>
      </c>
      <c r="J10" s="274"/>
      <c r="K10" s="277"/>
      <c r="L10" s="278"/>
    </row>
    <row r="11" spans="2:13" ht="15.75" customHeight="1" x14ac:dyDescent="0.25">
      <c r="B11" s="272" t="s">
        <v>134</v>
      </c>
      <c r="C11" s="276">
        <v>7417</v>
      </c>
      <c r="D11" s="300" cm="1">
        <f t="array" aca="1" ref="D11" ca="1">_xlfn.BYROW('Bilan Financier 2026'!D16:E16,_xlfn.LAMBDA(_xlpm.x,SUM(_xlpm.x)))</f>
        <v>0</v>
      </c>
      <c r="E11" s="277"/>
      <c r="F11" s="278"/>
      <c r="G11" s="279"/>
      <c r="H11" s="275" t="s">
        <v>134</v>
      </c>
      <c r="I11" s="276">
        <v>7417</v>
      </c>
      <c r="J11" s="274"/>
      <c r="K11" s="277"/>
      <c r="L11" s="278"/>
    </row>
    <row r="12" spans="2:13" ht="15.75" x14ac:dyDescent="0.25">
      <c r="B12" s="272" t="s">
        <v>36</v>
      </c>
      <c r="C12" s="276">
        <v>7441</v>
      </c>
      <c r="D12" s="300" cm="1">
        <f t="array" aca="1" ref="D12" ca="1">_xlfn.BYROW('Bilan Financier 2026'!D17:E17,_xlfn.LAMBDA(_xlpm.x,SUM(_xlpm.x)))</f>
        <v>0</v>
      </c>
      <c r="E12" s="277"/>
      <c r="F12" s="278"/>
      <c r="G12" s="271"/>
      <c r="H12" s="275" t="s">
        <v>36</v>
      </c>
      <c r="I12" s="276">
        <v>7441</v>
      </c>
      <c r="J12" s="274"/>
      <c r="K12" s="277"/>
      <c r="L12" s="278"/>
    </row>
    <row r="13" spans="2:13" ht="15.75" x14ac:dyDescent="0.25">
      <c r="B13" s="272" t="s">
        <v>37</v>
      </c>
      <c r="C13" s="276">
        <v>7442</v>
      </c>
      <c r="D13" s="300" cm="1">
        <f t="array" aca="1" ref="D13" ca="1">_xlfn.BYROW('Bilan Financier 2026'!D18:E18,_xlfn.LAMBDA(_xlpm.x,SUM(_xlpm.x)))</f>
        <v>0</v>
      </c>
      <c r="E13" s="277"/>
      <c r="F13" s="278"/>
      <c r="G13" s="271"/>
      <c r="H13" s="275" t="s">
        <v>37</v>
      </c>
      <c r="I13" s="276">
        <v>7442</v>
      </c>
      <c r="J13" s="274"/>
      <c r="K13" s="277"/>
      <c r="L13" s="278"/>
    </row>
    <row r="14" spans="2:13" ht="15.75" x14ac:dyDescent="0.25">
      <c r="B14" s="355" t="s">
        <v>135</v>
      </c>
      <c r="C14" s="332">
        <v>7443</v>
      </c>
      <c r="D14" s="300" cm="1">
        <f t="array" aca="1" ref="D14" ca="1">_xlfn.BYROW('Bilan Financier 2026'!D19:E19,_xlfn.LAMBDA(_xlpm.x,SUM(_xlpm.x)))</f>
        <v>0</v>
      </c>
      <c r="E14" s="277"/>
      <c r="F14" s="278"/>
      <c r="G14" s="271"/>
      <c r="H14" s="357" t="s">
        <v>137</v>
      </c>
      <c r="I14" s="332">
        <v>7443</v>
      </c>
      <c r="J14" s="274"/>
      <c r="K14" s="277"/>
      <c r="L14" s="278"/>
    </row>
    <row r="15" spans="2:13" ht="15.75" x14ac:dyDescent="0.25">
      <c r="B15" s="272" t="s">
        <v>89</v>
      </c>
      <c r="C15" s="276">
        <v>7511</v>
      </c>
      <c r="D15" s="300" cm="1">
        <f t="array" aca="1" ref="D15" ca="1">_xlfn.BYROW('Bilan Financier 2026'!D20:E20,_xlfn.LAMBDA(_xlpm.x,SUM(_xlpm.x)))</f>
        <v>250</v>
      </c>
      <c r="E15" s="277"/>
      <c r="F15" s="278"/>
      <c r="G15" s="271"/>
      <c r="H15" s="275" t="s">
        <v>89</v>
      </c>
      <c r="I15" s="276">
        <v>7511</v>
      </c>
      <c r="J15" s="274"/>
      <c r="K15" s="277"/>
      <c r="L15" s="278"/>
    </row>
    <row r="16" spans="2:13" ht="15.75" x14ac:dyDescent="0.25">
      <c r="B16" s="354" t="s">
        <v>136</v>
      </c>
      <c r="C16" s="356">
        <v>7530</v>
      </c>
      <c r="D16" s="300" cm="1">
        <f t="array" aca="1" ref="D16" ca="1">_xlfn.BYROW('Bilan Financier 2026'!D21:E21,_xlfn.LAMBDA(_xlpm.x,SUM(_xlpm.x)))</f>
        <v>0</v>
      </c>
      <c r="E16" s="277"/>
      <c r="F16" s="278"/>
      <c r="G16" s="271"/>
      <c r="H16" s="354" t="s">
        <v>136</v>
      </c>
      <c r="I16" s="356">
        <v>7530</v>
      </c>
      <c r="J16" s="300"/>
      <c r="L16" s="278"/>
    </row>
    <row r="17" spans="2:12" ht="15.75" x14ac:dyDescent="0.25">
      <c r="B17" s="336" t="s">
        <v>85</v>
      </c>
      <c r="C17" s="337">
        <v>7560</v>
      </c>
      <c r="D17" s="300" cm="1">
        <f t="array" aca="1" ref="D17" ca="1">_xlfn.BYROW('Bilan Financier 2026'!D22:E22,_xlfn.LAMBDA(_xlpm.x,SUM(_xlpm.x)))</f>
        <v>180</v>
      </c>
      <c r="E17" s="277"/>
      <c r="F17" s="278"/>
      <c r="G17" s="271"/>
      <c r="H17" s="336" t="s">
        <v>85</v>
      </c>
      <c r="I17" s="337">
        <v>7560</v>
      </c>
      <c r="J17" s="300">
        <v>1300</v>
      </c>
      <c r="L17" s="278"/>
    </row>
    <row r="18" spans="2:12" ht="16.5" thickBot="1" x14ac:dyDescent="0.3">
      <c r="B18" s="280" t="s">
        <v>1</v>
      </c>
      <c r="C18" s="281">
        <v>7710</v>
      </c>
      <c r="D18" s="300" cm="1">
        <f t="array" aca="1" ref="D18" ca="1">_xlfn.BYROW('Bilan Financier 2026'!D23:E23,_xlfn.LAMBDA(_xlpm.x,SUM(_xlpm.x)))</f>
        <v>0</v>
      </c>
      <c r="E18" s="282"/>
      <c r="F18" s="283"/>
      <c r="G18" s="271"/>
      <c r="H18" s="284" t="s">
        <v>1</v>
      </c>
      <c r="I18" s="281">
        <v>7710</v>
      </c>
      <c r="J18" s="338"/>
      <c r="K18" s="282"/>
      <c r="L18" s="283"/>
    </row>
    <row r="19" spans="2:12" ht="15.75" x14ac:dyDescent="0.25">
      <c r="B19" s="285" t="s">
        <v>88</v>
      </c>
      <c r="C19" s="286"/>
      <c r="D19" s="287"/>
      <c r="E19" s="288">
        <v>6010</v>
      </c>
      <c r="F19" s="289" cm="1">
        <f t="array" aca="1" ref="F19" ca="1">_xlfn.BYROW('Bilan Financier 2026'!$G25:$H25,_xlfn.LAMBDA(_xlpm.x,SUM(_xlpm.x)))</f>
        <v>150</v>
      </c>
      <c r="G19" s="271"/>
      <c r="H19" s="285" t="s">
        <v>88</v>
      </c>
      <c r="I19" s="286"/>
      <c r="J19" s="287"/>
      <c r="K19" s="288">
        <v>6010</v>
      </c>
      <c r="L19" s="289"/>
    </row>
    <row r="20" spans="2:12" ht="15.75" x14ac:dyDescent="0.25">
      <c r="B20" s="290" t="s">
        <v>112</v>
      </c>
      <c r="C20" s="291"/>
      <c r="D20" s="292"/>
      <c r="E20" s="293">
        <v>6040</v>
      </c>
      <c r="F20" s="289" cm="1">
        <f t="array" aca="1" ref="F20" ca="1">_xlfn.BYROW('Bilan Financier 2026'!$G26:$H26,_xlfn.LAMBDA(_xlpm.x,SUM(_xlpm.x)))</f>
        <v>0</v>
      </c>
      <c r="G20" s="271"/>
      <c r="H20" s="290" t="s">
        <v>112</v>
      </c>
      <c r="I20" s="291"/>
      <c r="J20" s="292"/>
      <c r="K20" s="293">
        <v>6040</v>
      </c>
      <c r="L20" s="294"/>
    </row>
    <row r="21" spans="2:12" ht="15.75" x14ac:dyDescent="0.25">
      <c r="B21" s="290" t="s">
        <v>121</v>
      </c>
      <c r="C21" s="291"/>
      <c r="D21" s="292"/>
      <c r="E21" s="293">
        <v>6051</v>
      </c>
      <c r="F21" s="289" cm="1">
        <f t="array" aca="1" ref="F21" ca="1">_xlfn.BYROW('Bilan Financier 2026'!$G27:$H27,_xlfn.LAMBDA(_xlpm.x,SUM(_xlpm.x)))</f>
        <v>0</v>
      </c>
      <c r="G21" s="271"/>
      <c r="H21" s="290" t="s">
        <v>121</v>
      </c>
      <c r="I21" s="291"/>
      <c r="J21" s="292"/>
      <c r="K21" s="293">
        <v>6051</v>
      </c>
      <c r="L21" s="294"/>
    </row>
    <row r="22" spans="2:12" ht="15.75" x14ac:dyDescent="0.25">
      <c r="B22" s="290" t="s">
        <v>122</v>
      </c>
      <c r="C22" s="291"/>
      <c r="D22" s="292"/>
      <c r="E22" s="293">
        <v>6052</v>
      </c>
      <c r="F22" s="289" cm="1">
        <f t="array" aca="1" ref="F22" ca="1">_xlfn.BYROW('Bilan Financier 2026'!$G28:$H28,_xlfn.LAMBDA(_xlpm.x,SUM(_xlpm.x)))</f>
        <v>0</v>
      </c>
      <c r="G22" s="271"/>
      <c r="H22" s="290" t="s">
        <v>122</v>
      </c>
      <c r="I22" s="291"/>
      <c r="J22" s="292"/>
      <c r="K22" s="293">
        <v>6052</v>
      </c>
      <c r="L22" s="294"/>
    </row>
    <row r="23" spans="2:12" ht="15.75" x14ac:dyDescent="0.25">
      <c r="B23" s="290" t="s">
        <v>2</v>
      </c>
      <c r="C23" s="291"/>
      <c r="D23" s="292"/>
      <c r="E23" s="293">
        <v>6064</v>
      </c>
      <c r="F23" s="289" cm="1">
        <f t="array" aca="1" ref="F23" ca="1">_xlfn.BYROW('Bilan Financier 2026'!$G29:$H29,_xlfn.LAMBDA(_xlpm.x,SUM(_xlpm.x)))</f>
        <v>0</v>
      </c>
      <c r="G23" s="271"/>
      <c r="H23" s="290" t="s">
        <v>2</v>
      </c>
      <c r="I23" s="291"/>
      <c r="J23" s="292"/>
      <c r="K23" s="293">
        <v>6064</v>
      </c>
      <c r="L23" s="294"/>
    </row>
    <row r="24" spans="2:12" ht="15.75" x14ac:dyDescent="0.25">
      <c r="B24" s="290" t="s">
        <v>51</v>
      </c>
      <c r="C24" s="291"/>
      <c r="D24" s="292"/>
      <c r="E24" s="293">
        <v>6130</v>
      </c>
      <c r="F24" s="289" cm="1">
        <f t="array" aca="1" ref="F24" ca="1">_xlfn.BYROW('Bilan Financier 2026'!$G30:$H30,_xlfn.LAMBDA(_xlpm.x,SUM(_xlpm.x)))</f>
        <v>0</v>
      </c>
      <c r="G24" s="271"/>
      <c r="H24" s="290" t="s">
        <v>51</v>
      </c>
      <c r="I24" s="291"/>
      <c r="J24" s="292"/>
      <c r="K24" s="293">
        <v>6130</v>
      </c>
      <c r="L24" s="294">
        <v>300</v>
      </c>
    </row>
    <row r="25" spans="2:12" ht="15.75" x14ac:dyDescent="0.25">
      <c r="B25" s="290" t="s">
        <v>75</v>
      </c>
      <c r="C25" s="291"/>
      <c r="D25" s="292"/>
      <c r="E25" s="293">
        <v>6135</v>
      </c>
      <c r="F25" s="289" cm="1">
        <f t="array" aca="1" ref="F25" ca="1">_xlfn.BYROW('Bilan Financier 2026'!$G31:$H31,_xlfn.LAMBDA(_xlpm.x,SUM(_xlpm.x)))</f>
        <v>0</v>
      </c>
      <c r="G25" s="271"/>
      <c r="H25" s="290" t="s">
        <v>75</v>
      </c>
      <c r="I25" s="291"/>
      <c r="J25" s="292"/>
      <c r="K25" s="293">
        <v>6135</v>
      </c>
      <c r="L25" s="294"/>
    </row>
    <row r="26" spans="2:12" ht="15.75" x14ac:dyDescent="0.25">
      <c r="B26" s="290" t="s">
        <v>3</v>
      </c>
      <c r="C26" s="291"/>
      <c r="D26" s="292"/>
      <c r="E26" s="293">
        <v>6150</v>
      </c>
      <c r="F26" s="289" cm="1">
        <f t="array" aca="1" ref="F26" ca="1">_xlfn.BYROW('Bilan Financier 2026'!$G32:$H32,_xlfn.LAMBDA(_xlpm.x,SUM(_xlpm.x)))</f>
        <v>0</v>
      </c>
      <c r="G26" s="271"/>
      <c r="H26" s="290" t="s">
        <v>3</v>
      </c>
      <c r="I26" s="291"/>
      <c r="J26" s="292"/>
      <c r="K26" s="293">
        <v>6150</v>
      </c>
      <c r="L26" s="294"/>
    </row>
    <row r="27" spans="2:12" ht="15.75" x14ac:dyDescent="0.25">
      <c r="B27" s="290" t="s">
        <v>52</v>
      </c>
      <c r="C27" s="291"/>
      <c r="D27" s="292"/>
      <c r="E27" s="293">
        <v>6160</v>
      </c>
      <c r="F27" s="289" cm="1">
        <f t="array" aca="1" ref="F27" ca="1">_xlfn.BYROW('Bilan Financier 2026'!$G33:$H33,_xlfn.LAMBDA(_xlpm.x,SUM(_xlpm.x)))</f>
        <v>200</v>
      </c>
      <c r="G27" s="271"/>
      <c r="H27" s="290" t="s">
        <v>52</v>
      </c>
      <c r="I27" s="291"/>
      <c r="J27" s="292"/>
      <c r="K27" s="293">
        <v>6160</v>
      </c>
      <c r="L27" s="294">
        <v>185.78</v>
      </c>
    </row>
    <row r="28" spans="2:12" ht="15.75" x14ac:dyDescent="0.25">
      <c r="B28" s="290" t="s">
        <v>4</v>
      </c>
      <c r="C28" s="291"/>
      <c r="D28" s="292"/>
      <c r="E28" s="293">
        <v>6230</v>
      </c>
      <c r="F28" s="289" cm="1">
        <f t="array" aca="1" ref="F28" ca="1">_xlfn.BYROW('Bilan Financier 2026'!$G34:$H34,_xlfn.LAMBDA(_xlpm.x,SUM(_xlpm.x)))</f>
        <v>0</v>
      </c>
      <c r="G28" s="271"/>
      <c r="H28" s="290" t="s">
        <v>4</v>
      </c>
      <c r="I28" s="291"/>
      <c r="J28" s="292"/>
      <c r="K28" s="293">
        <v>6230</v>
      </c>
      <c r="L28" s="294"/>
    </row>
    <row r="29" spans="2:12" ht="15.75" x14ac:dyDescent="0.25">
      <c r="B29" s="290" t="s">
        <v>162</v>
      </c>
      <c r="C29" s="291"/>
      <c r="D29" s="292"/>
      <c r="E29" s="293">
        <v>6231</v>
      </c>
      <c r="F29" s="289" cm="1">
        <f t="array" aca="1" ref="F29" ca="1">_xlfn.BYROW('Bilan Financier 2026'!$G35:$H35,_xlfn.LAMBDA(_xlpm.x,SUM(_xlpm.x)))</f>
        <v>0</v>
      </c>
      <c r="G29" s="271"/>
      <c r="H29" s="290" t="s">
        <v>49</v>
      </c>
      <c r="I29" s="291"/>
      <c r="J29" s="292"/>
      <c r="K29" s="293">
        <v>6231</v>
      </c>
      <c r="L29" s="294">
        <v>1E-3</v>
      </c>
    </row>
    <row r="30" spans="2:12" ht="15.75" x14ac:dyDescent="0.25">
      <c r="B30" s="290" t="s">
        <v>30</v>
      </c>
      <c r="C30" s="291"/>
      <c r="D30" s="292"/>
      <c r="E30" s="293">
        <v>6234</v>
      </c>
      <c r="F30" s="289" cm="1">
        <f t="array" aca="1" ref="F30" ca="1">_xlfn.BYROW('Bilan Financier 2026'!$G36:$H36,_xlfn.LAMBDA(_xlpm.x,SUM(_xlpm.x)))</f>
        <v>0</v>
      </c>
      <c r="G30" s="271"/>
      <c r="H30" s="290" t="s">
        <v>30</v>
      </c>
      <c r="I30" s="291"/>
      <c r="J30" s="292"/>
      <c r="K30" s="293">
        <v>6234</v>
      </c>
      <c r="L30" s="294"/>
    </row>
    <row r="31" spans="2:12" ht="15.75" x14ac:dyDescent="0.25">
      <c r="B31" s="290" t="s">
        <v>115</v>
      </c>
      <c r="C31" s="291"/>
      <c r="D31" s="292"/>
      <c r="E31" s="293">
        <v>6250</v>
      </c>
      <c r="F31" s="289" cm="1">
        <f t="array" aca="1" ref="F31" ca="1">_xlfn.BYROW('Bilan Financier 2026'!$G37:$H37,_xlfn.LAMBDA(_xlpm.x,SUM(_xlpm.x)))</f>
        <v>0</v>
      </c>
      <c r="G31" s="271"/>
      <c r="H31" s="290" t="s">
        <v>115</v>
      </c>
      <c r="I31" s="291"/>
      <c r="J31" s="292"/>
      <c r="K31" s="293">
        <v>6250</v>
      </c>
      <c r="L31" s="294"/>
    </row>
    <row r="32" spans="2:12" ht="15.75" x14ac:dyDescent="0.25">
      <c r="B32" s="290" t="s">
        <v>90</v>
      </c>
      <c r="C32" s="291"/>
      <c r="D32" s="292"/>
      <c r="E32" s="293">
        <v>6252</v>
      </c>
      <c r="F32" s="289" cm="1">
        <f t="array" aca="1" ref="F32" ca="1">_xlfn.BYROW('Bilan Financier 2026'!$G38:$H38,_xlfn.LAMBDA(_xlpm.x,SUM(_xlpm.x)))</f>
        <v>0</v>
      </c>
      <c r="G32" s="271"/>
      <c r="H32" s="290" t="s">
        <v>90</v>
      </c>
      <c r="I32" s="291"/>
      <c r="J32" s="292"/>
      <c r="K32" s="293">
        <v>6252</v>
      </c>
      <c r="L32" s="294"/>
    </row>
    <row r="33" spans="2:12" ht="15.75" x14ac:dyDescent="0.25">
      <c r="B33" s="290" t="s">
        <v>5</v>
      </c>
      <c r="C33" s="291"/>
      <c r="D33" s="292"/>
      <c r="E33" s="293">
        <v>6270</v>
      </c>
      <c r="F33" s="289" cm="1">
        <f t="array" aca="1" ref="F33" ca="1">_xlfn.BYROW('Bilan Financier 2026'!$G39:$H39,_xlfn.LAMBDA(_xlpm.x,SUM(_xlpm.x)))</f>
        <v>0</v>
      </c>
      <c r="G33" s="271"/>
      <c r="H33" s="290" t="s">
        <v>5</v>
      </c>
      <c r="I33" s="291"/>
      <c r="J33" s="292"/>
      <c r="K33" s="297">
        <v>6270</v>
      </c>
      <c r="L33" s="352"/>
    </row>
    <row r="34" spans="2:12" ht="15.75" x14ac:dyDescent="0.25">
      <c r="B34" s="296" t="s">
        <v>91</v>
      </c>
      <c r="C34" s="291"/>
      <c r="D34" s="292"/>
      <c r="E34" s="297">
        <v>6280</v>
      </c>
      <c r="F34" s="289" cm="1">
        <f t="array" aca="1" ref="F34" ca="1">_xlfn.BYROW('Bilan Financier 2026'!$G40:$H40,_xlfn.LAMBDA(_xlpm.x,SUM(_xlpm.x)))</f>
        <v>0</v>
      </c>
      <c r="G34" s="271"/>
      <c r="H34" s="296" t="s">
        <v>91</v>
      </c>
      <c r="I34" s="291"/>
      <c r="J34" s="292"/>
      <c r="K34" s="297">
        <v>6280</v>
      </c>
      <c r="L34" s="298"/>
    </row>
    <row r="35" spans="2:12" ht="14.25" customHeight="1" x14ac:dyDescent="0.25">
      <c r="B35" s="290" t="s">
        <v>103</v>
      </c>
      <c r="C35" s="291"/>
      <c r="D35" s="292"/>
      <c r="E35" s="293">
        <v>6510</v>
      </c>
      <c r="F35" s="289" cm="1">
        <f t="array" aca="1" ref="F35" ca="1">_xlfn.BYROW('Bilan Financier 2026'!$G41:$H41,_xlfn.LAMBDA(_xlpm.x,SUM(_xlpm.x)))</f>
        <v>0</v>
      </c>
      <c r="G35" s="271"/>
      <c r="H35" s="290" t="s">
        <v>103</v>
      </c>
      <c r="I35" s="291"/>
      <c r="J35" s="292"/>
      <c r="K35" s="293">
        <v>6510</v>
      </c>
      <c r="L35" s="295"/>
    </row>
    <row r="36" spans="2:12" ht="14.25" customHeight="1" thickBot="1" x14ac:dyDescent="0.3">
      <c r="B36" s="290" t="s">
        <v>102</v>
      </c>
      <c r="C36" s="291"/>
      <c r="D36" s="292"/>
      <c r="E36" s="293">
        <v>6582</v>
      </c>
      <c r="F36" s="289" cm="1">
        <f t="array" aca="1" ref="F36" ca="1">_xlfn.BYROW('Bilan Financier 2026'!$G42:$H42,_xlfn.LAMBDA(_xlpm.x,SUM(_xlpm.x)))</f>
        <v>0</v>
      </c>
      <c r="G36" s="271"/>
      <c r="H36" s="358" t="s">
        <v>102</v>
      </c>
      <c r="I36" s="359"/>
      <c r="J36" s="360"/>
      <c r="K36" s="361">
        <v>6582</v>
      </c>
      <c r="L36" s="362"/>
    </row>
    <row r="37" spans="2:12" ht="16.5" thickBot="1" x14ac:dyDescent="0.3">
      <c r="B37" s="349" t="s">
        <v>13</v>
      </c>
      <c r="C37" s="350"/>
      <c r="D37" s="351" cm="1">
        <f t="array" aca="1" ref="D37" ca="1">_xlfn.BYCOL(D8:D18,_xlfn.LAMBDA(_xlpm.w,SUM(_xlpm.w)))</f>
        <v>430</v>
      </c>
      <c r="E37" s="240"/>
      <c r="F37" s="270" cm="1">
        <f t="array" aca="1" ref="F37" ca="1">_xlfn.BYCOL(F19:F36,_xlfn.LAMBDA(_xlpm.w,SUM(_xlpm.w)))</f>
        <v>350</v>
      </c>
      <c r="H37" s="344" t="s">
        <v>13</v>
      </c>
      <c r="I37" s="345"/>
      <c r="J37" s="346">
        <f>SUM(J8:J18)</f>
        <v>1300</v>
      </c>
      <c r="K37" s="347"/>
      <c r="L37" s="348">
        <f>SUM(L19:L35)</f>
        <v>485.78099999999995</v>
      </c>
    </row>
    <row r="38" spans="2:12" ht="17.25" thickTop="1" thickBot="1" x14ac:dyDescent="0.3">
      <c r="B38" s="608" t="str">
        <f ca="1">"Compte année en cours au"&amp;TEXT(TODAY()," jj/mm/aaaa  ")</f>
        <v xml:space="preserve">Compte année en cours au 16/08/2025 </v>
      </c>
      <c r="C38" s="609"/>
      <c r="D38" s="468">
        <f ca="1">SUM(D37-F37)</f>
        <v>80</v>
      </c>
      <c r="E38" s="232"/>
      <c r="F38" s="232"/>
      <c r="H38" s="341" t="str">
        <f ca="1">"Compte au"&amp;TEXT(TODAY()," jj/mm/aaaa  ")</f>
        <v xml:space="preserve">Compte au 16/08/2025 </v>
      </c>
      <c r="I38" s="342"/>
      <c r="J38" s="343">
        <f>SUM(J37-L37)</f>
        <v>814.21900000000005</v>
      </c>
      <c r="K38" s="232"/>
      <c r="L38" s="232"/>
    </row>
    <row r="39" spans="2:12" ht="16.5" thickTop="1" x14ac:dyDescent="0.25">
      <c r="B39" s="606" t="s">
        <v>38</v>
      </c>
      <c r="C39" s="607"/>
      <c r="D39" s="467">
        <v>0</v>
      </c>
      <c r="E39" s="232"/>
      <c r="F39" s="58"/>
      <c r="H39" s="323" t="s">
        <v>38</v>
      </c>
      <c r="I39" s="324"/>
      <c r="J39" s="241">
        <v>0</v>
      </c>
      <c r="K39" s="232"/>
      <c r="L39" s="58"/>
    </row>
    <row r="40" spans="2:12" ht="15.75" x14ac:dyDescent="0.25">
      <c r="B40" s="610" t="s">
        <v>39</v>
      </c>
      <c r="C40" s="611"/>
      <c r="D40" s="242">
        <v>0</v>
      </c>
      <c r="E40" s="243"/>
      <c r="F40" s="32"/>
      <c r="H40" s="325" t="s">
        <v>39</v>
      </c>
      <c r="I40" s="326"/>
      <c r="J40" s="242">
        <v>0</v>
      </c>
      <c r="K40" s="243"/>
      <c r="L40" s="32"/>
    </row>
    <row r="41" spans="2:12" ht="15.75" x14ac:dyDescent="0.25">
      <c r="B41" s="606" t="s">
        <v>40</v>
      </c>
      <c r="C41" s="607"/>
      <c r="D41" s="242">
        <v>0</v>
      </c>
      <c r="E41" s="32"/>
      <c r="F41" s="32"/>
      <c r="H41" s="323" t="s">
        <v>40</v>
      </c>
      <c r="I41" s="324"/>
      <c r="J41" s="242">
        <v>0</v>
      </c>
      <c r="K41" s="32"/>
      <c r="L41" s="32"/>
    </row>
    <row r="42" spans="2:12" ht="16.5" thickBot="1" x14ac:dyDescent="0.3">
      <c r="B42" s="612" t="s">
        <v>41</v>
      </c>
      <c r="C42" s="613"/>
      <c r="D42" s="244">
        <v>0</v>
      </c>
      <c r="E42" s="32"/>
      <c r="F42" s="32"/>
      <c r="H42" s="327" t="s">
        <v>41</v>
      </c>
      <c r="I42" s="328"/>
      <c r="J42" s="244">
        <v>0</v>
      </c>
      <c r="K42" s="32"/>
      <c r="L42" s="32"/>
    </row>
    <row r="43" spans="2:12" ht="16.5" thickBot="1" x14ac:dyDescent="0.3">
      <c r="B43" s="614" t="s">
        <v>92</v>
      </c>
      <c r="C43" s="615"/>
      <c r="D43" s="239">
        <f>'Bilan Financier 2026'!C52</f>
        <v>911.31</v>
      </c>
      <c r="E43" s="32"/>
      <c r="F43" s="245"/>
      <c r="H43" s="603" t="s">
        <v>92</v>
      </c>
      <c r="I43" s="604"/>
      <c r="J43" s="605"/>
      <c r="K43" s="32"/>
      <c r="L43" s="245"/>
    </row>
    <row r="44" spans="2:12" ht="6.75" customHeight="1" thickBot="1" x14ac:dyDescent="0.3">
      <c r="B44" s="246"/>
      <c r="C44" s="247"/>
      <c r="D44" s="248"/>
      <c r="E44" s="32"/>
      <c r="F44" s="245"/>
    </row>
    <row r="45" spans="2:12" ht="15.75" x14ac:dyDescent="0.25">
      <c r="B45" s="597" t="str">
        <f ca="1">"Solde compte courant au  "&amp;TEXT(TODAY()," jj/mm/aaaa")</f>
        <v>Solde compte courant au   16/08/2025</v>
      </c>
      <c r="C45" s="598"/>
      <c r="D45" s="249">
        <f ca="1">'Bilan Financier 2026'!H45</f>
        <v>346.2</v>
      </c>
      <c r="E45" s="32"/>
      <c r="F45" s="32"/>
      <c r="H45" s="597" t="str">
        <f ca="1">"Solde compte courant au  "&amp;TEXT(TODAY()," jj/mm/aaaa")</f>
        <v>Solde compte courant au   16/08/2025</v>
      </c>
      <c r="I45" s="598"/>
      <c r="J45" s="249">
        <f ca="1">D45</f>
        <v>346.2</v>
      </c>
    </row>
    <row r="46" spans="2:12" ht="16.5" thickBot="1" x14ac:dyDescent="0.3">
      <c r="B46" s="599" t="str">
        <f ca="1">"Solde caisse au  "&amp;TEXT(TODAY()," jj/mm/aaaa")</f>
        <v>Solde caisse au   16/08/2025</v>
      </c>
      <c r="C46" s="600"/>
      <c r="D46" s="250">
        <f ca="1">'Bilan Financier 2026'!H46</f>
        <v>645.11</v>
      </c>
      <c r="E46" s="32"/>
      <c r="F46" s="32"/>
      <c r="H46" s="599" t="str">
        <f ca="1">"Solde caisse au  "&amp;TEXT(TODAY()," jj/mm/aaaa")</f>
        <v>Solde caisse au   16/08/2025</v>
      </c>
      <c r="I46" s="600"/>
      <c r="J46" s="250">
        <f ca="1">D46</f>
        <v>645.11</v>
      </c>
    </row>
    <row r="47" spans="2:12" ht="21.75" customHeight="1" thickTop="1" thickBot="1" x14ac:dyDescent="0.3">
      <c r="B47" s="601" t="s">
        <v>164</v>
      </c>
      <c r="C47" s="602"/>
      <c r="D47" s="251">
        <f ca="1">SUM(D38:D43)</f>
        <v>991.31</v>
      </c>
      <c r="E47" s="243"/>
      <c r="F47" s="45"/>
      <c r="H47" s="601" t="s">
        <v>164</v>
      </c>
      <c r="I47" s="602"/>
      <c r="J47" s="251">
        <f ca="1">SUM(J45:J46)</f>
        <v>991.31</v>
      </c>
    </row>
    <row r="48" spans="2:12" ht="18.75" customHeight="1" thickTop="1" x14ac:dyDescent="0.25">
      <c r="B48" s="252"/>
      <c r="C48" s="252"/>
      <c r="D48" s="252"/>
    </row>
    <row r="51" spans="5:6" x14ac:dyDescent="0.25">
      <c r="E51" s="253"/>
      <c r="F51" s="254"/>
    </row>
  </sheetData>
  <sortState xmlns:xlrd2="http://schemas.microsoft.com/office/spreadsheetml/2017/richdata2" ref="H9:J18">
    <sortCondition ref="I9:I18"/>
  </sortState>
  <mergeCells count="18">
    <mergeCell ref="H2:L5"/>
    <mergeCell ref="B1:F1"/>
    <mergeCell ref="B2:F5"/>
    <mergeCell ref="B6:C6"/>
    <mergeCell ref="H1:L1"/>
    <mergeCell ref="B38:C38"/>
    <mergeCell ref="B47:C47"/>
    <mergeCell ref="B40:C40"/>
    <mergeCell ref="B41:C41"/>
    <mergeCell ref="B42:C42"/>
    <mergeCell ref="B43:C43"/>
    <mergeCell ref="B46:C46"/>
    <mergeCell ref="B45:C45"/>
    <mergeCell ref="H45:I45"/>
    <mergeCell ref="H46:I46"/>
    <mergeCell ref="H47:I47"/>
    <mergeCell ref="H43:J43"/>
    <mergeCell ref="B39:C39"/>
  </mergeCells>
  <pageMargins left="0.23622047244094491" right="0.23622047244094491" top="0.74803149606299213" bottom="0.74803149606299213" header="0.31496062992125984" footer="0.31496062992125984"/>
  <pageSetup paperSize="9" fitToWidth="0" orientation="portrait" horizontalDpi="4294967293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CF777-1DC7-436F-B727-65427D43B964}">
  <sheetPr codeName="Feuil25">
    <tabColor rgb="FFFFFF00"/>
  </sheetPr>
  <dimension ref="A1:I19"/>
  <sheetViews>
    <sheetView showGridLines="0" workbookViewId="0">
      <pane ySplit="1" topLeftCell="A2" activePane="bottomLeft" state="frozen"/>
      <selection pane="bottomLeft" activeCell="E2" sqref="E2"/>
    </sheetView>
  </sheetViews>
  <sheetFormatPr baseColWidth="10" defaultColWidth="11.42578125" defaultRowHeight="15" x14ac:dyDescent="0.25"/>
  <cols>
    <col min="1" max="1" width="4.140625" customWidth="1"/>
    <col min="2" max="3" width="11.42578125" style="2" hidden="1" customWidth="1"/>
    <col min="4" max="4" width="15.42578125" style="2" hidden="1" customWidth="1"/>
    <col min="5" max="5" width="5.140625" customWidth="1"/>
    <col min="7" max="7" width="15.42578125" customWidth="1"/>
    <col min="8" max="9" width="15.42578125" bestFit="1" customWidth="1"/>
  </cols>
  <sheetData>
    <row r="1" spans="1:9" ht="33" customHeight="1" x14ac:dyDescent="0.25">
      <c r="A1" s="514"/>
      <c r="B1" s="514"/>
    </row>
    <row r="2" spans="1:9" ht="21" customHeight="1" thickBot="1" x14ac:dyDescent="0.3">
      <c r="B2" s="627" t="s">
        <v>81</v>
      </c>
      <c r="C2" s="627"/>
      <c r="D2" s="627"/>
      <c r="G2" s="628" t="s">
        <v>82</v>
      </c>
      <c r="H2" s="629"/>
      <c r="I2" s="629"/>
    </row>
    <row r="3" spans="1:9" ht="15.75" thickBot="1" x14ac:dyDescent="0.3">
      <c r="B3" s="167" t="s">
        <v>80</v>
      </c>
      <c r="C3" s="168" t="s">
        <v>79</v>
      </c>
      <c r="D3" s="169" t="s">
        <v>78</v>
      </c>
      <c r="G3" s="167" t="s">
        <v>80</v>
      </c>
      <c r="H3" s="168" t="s">
        <v>79</v>
      </c>
      <c r="I3" s="169" t="s">
        <v>78</v>
      </c>
    </row>
    <row r="4" spans="1:9" ht="27" customHeight="1" x14ac:dyDescent="0.25">
      <c r="B4" s="172">
        <v>0.01</v>
      </c>
      <c r="C4" s="95">
        <v>10</v>
      </c>
      <c r="D4" s="173">
        <f>+B4*C4</f>
        <v>0.1</v>
      </c>
      <c r="G4" s="172">
        <v>0.01</v>
      </c>
      <c r="H4" s="95">
        <v>7</v>
      </c>
      <c r="I4" s="173">
        <f>+G4*H4</f>
        <v>7.0000000000000007E-2</v>
      </c>
    </row>
    <row r="5" spans="1:9" ht="27" customHeight="1" x14ac:dyDescent="0.25">
      <c r="B5" s="174">
        <v>0.02</v>
      </c>
      <c r="C5" s="51">
        <v>7</v>
      </c>
      <c r="D5" s="175">
        <f t="shared" ref="D5:D11" si="0">+B5*C5</f>
        <v>0.14000000000000001</v>
      </c>
      <c r="G5" s="174">
        <v>0.02</v>
      </c>
      <c r="H5" s="95">
        <v>5</v>
      </c>
      <c r="I5" s="175">
        <f>+G5*H5</f>
        <v>0.1</v>
      </c>
    </row>
    <row r="6" spans="1:9" ht="27" customHeight="1" x14ac:dyDescent="0.25">
      <c r="B6" s="174">
        <v>0.05</v>
      </c>
      <c r="C6" s="51">
        <v>23</v>
      </c>
      <c r="D6" s="175">
        <f t="shared" si="0"/>
        <v>1.1500000000000001</v>
      </c>
      <c r="G6" s="174">
        <v>0.05</v>
      </c>
      <c r="H6" s="95">
        <v>18</v>
      </c>
      <c r="I6" s="175">
        <f>+G6*H6</f>
        <v>0.9</v>
      </c>
    </row>
    <row r="7" spans="1:9" ht="27" customHeight="1" x14ac:dyDescent="0.25">
      <c r="B7" s="174">
        <v>0.1</v>
      </c>
      <c r="C7" s="51">
        <v>56</v>
      </c>
      <c r="D7" s="175">
        <f t="shared" si="0"/>
        <v>5.6000000000000005</v>
      </c>
      <c r="G7" s="174">
        <v>0.1</v>
      </c>
      <c r="H7" s="95">
        <v>23</v>
      </c>
      <c r="I7" s="175">
        <f t="shared" ref="I7:I11" si="1">+G7*H7</f>
        <v>2.3000000000000003</v>
      </c>
    </row>
    <row r="8" spans="1:9" ht="27" customHeight="1" x14ac:dyDescent="0.25">
      <c r="B8" s="174">
        <v>0.2</v>
      </c>
      <c r="C8" s="51">
        <v>37</v>
      </c>
      <c r="D8" s="175">
        <f t="shared" si="0"/>
        <v>7.4</v>
      </c>
      <c r="G8" s="174">
        <v>0.2</v>
      </c>
      <c r="H8" s="95">
        <v>7</v>
      </c>
      <c r="I8" s="175">
        <f t="shared" si="1"/>
        <v>1.4000000000000001</v>
      </c>
    </row>
    <row r="9" spans="1:9" ht="27" customHeight="1" x14ac:dyDescent="0.25">
      <c r="B9" s="174">
        <v>0.5</v>
      </c>
      <c r="C9" s="51">
        <v>19</v>
      </c>
      <c r="D9" s="175">
        <f t="shared" si="0"/>
        <v>9.5</v>
      </c>
      <c r="G9" s="174">
        <v>0.5</v>
      </c>
      <c r="H9" s="95">
        <v>5</v>
      </c>
      <c r="I9" s="175">
        <f t="shared" si="1"/>
        <v>2.5</v>
      </c>
    </row>
    <row r="10" spans="1:9" ht="27" customHeight="1" x14ac:dyDescent="0.25">
      <c r="B10" s="174">
        <v>1</v>
      </c>
      <c r="C10" s="51">
        <v>4</v>
      </c>
      <c r="D10" s="175">
        <f t="shared" si="0"/>
        <v>4</v>
      </c>
      <c r="G10" s="174">
        <v>1</v>
      </c>
      <c r="H10" s="95">
        <v>15</v>
      </c>
      <c r="I10" s="175">
        <f t="shared" si="1"/>
        <v>15</v>
      </c>
    </row>
    <row r="11" spans="1:9" ht="27" customHeight="1" thickBot="1" x14ac:dyDescent="0.3">
      <c r="B11" s="174">
        <v>2</v>
      </c>
      <c r="C11" s="51">
        <v>9</v>
      </c>
      <c r="D11" s="175">
        <f t="shared" si="0"/>
        <v>18</v>
      </c>
      <c r="G11" s="464">
        <v>2</v>
      </c>
      <c r="H11" s="465">
        <v>14</v>
      </c>
      <c r="I11" s="466">
        <f t="shared" si="1"/>
        <v>28</v>
      </c>
    </row>
    <row r="12" spans="1:9" ht="27" customHeight="1" thickTop="1" thickBot="1" x14ac:dyDescent="0.3">
      <c r="B12" s="176"/>
      <c r="D12" s="177">
        <f>SUM(D4:D11)</f>
        <v>45.89</v>
      </c>
      <c r="G12" s="460"/>
      <c r="H12" s="461">
        <f>SUM($I$4:$I$11)</f>
        <v>50.269999999999996</v>
      </c>
      <c r="I12" s="462"/>
    </row>
    <row r="13" spans="1:9" ht="27" customHeight="1" thickBot="1" x14ac:dyDescent="0.3">
      <c r="B13" s="167" t="s">
        <v>76</v>
      </c>
      <c r="C13" s="168" t="s">
        <v>79</v>
      </c>
      <c r="D13" s="169" t="s">
        <v>78</v>
      </c>
      <c r="G13" s="167" t="s">
        <v>76</v>
      </c>
      <c r="H13" s="168" t="s">
        <v>79</v>
      </c>
      <c r="I13" s="169" t="s">
        <v>78</v>
      </c>
    </row>
    <row r="14" spans="1:9" ht="27" customHeight="1" x14ac:dyDescent="0.25">
      <c r="B14" s="172">
        <v>5</v>
      </c>
      <c r="C14" s="95">
        <v>2</v>
      </c>
      <c r="D14" s="173">
        <f>+B14*C14</f>
        <v>10</v>
      </c>
      <c r="G14" s="172">
        <v>5</v>
      </c>
      <c r="H14" s="95">
        <v>6</v>
      </c>
      <c r="I14" s="173">
        <f>+G14*H14</f>
        <v>30</v>
      </c>
    </row>
    <row r="15" spans="1:9" ht="27" customHeight="1" x14ac:dyDescent="0.25">
      <c r="B15" s="174">
        <v>10</v>
      </c>
      <c r="C15" s="51">
        <v>15</v>
      </c>
      <c r="D15" s="175">
        <f>+B15*C15</f>
        <v>150</v>
      </c>
      <c r="G15" s="174">
        <v>10</v>
      </c>
      <c r="H15" s="95">
        <v>5</v>
      </c>
      <c r="I15" s="175">
        <f>+G15*H15</f>
        <v>50</v>
      </c>
    </row>
    <row r="16" spans="1:9" ht="27" customHeight="1" x14ac:dyDescent="0.25">
      <c r="B16" s="174">
        <v>20</v>
      </c>
      <c r="C16" s="51">
        <v>5</v>
      </c>
      <c r="D16" s="175">
        <f>+B16*C16</f>
        <v>100</v>
      </c>
      <c r="G16" s="174">
        <v>20</v>
      </c>
      <c r="H16" s="95">
        <v>2</v>
      </c>
      <c r="I16" s="175">
        <f>+G16*H16</f>
        <v>40</v>
      </c>
    </row>
    <row r="17" spans="2:9" ht="27" customHeight="1" thickBot="1" x14ac:dyDescent="0.3">
      <c r="B17" s="174">
        <v>50</v>
      </c>
      <c r="C17" s="51">
        <v>1</v>
      </c>
      <c r="D17" s="175">
        <f>+B17*C17</f>
        <v>50</v>
      </c>
      <c r="G17" s="464">
        <v>50</v>
      </c>
      <c r="H17" s="465">
        <v>1</v>
      </c>
      <c r="I17" s="466">
        <f>+G17*H17</f>
        <v>50</v>
      </c>
    </row>
    <row r="18" spans="2:9" ht="27" customHeight="1" thickTop="1" thickBot="1" x14ac:dyDescent="0.3">
      <c r="B18" s="176"/>
      <c r="D18" s="177">
        <f>SUM(D14:D17)</f>
        <v>310</v>
      </c>
      <c r="G18" s="460"/>
      <c r="H18" s="463">
        <f>SUM(I14:I17)</f>
        <v>170</v>
      </c>
      <c r="I18" s="462"/>
    </row>
    <row r="19" spans="2:9" ht="27" customHeight="1" thickBot="1" x14ac:dyDescent="0.3">
      <c r="B19" s="178" t="s">
        <v>77</v>
      </c>
      <c r="C19" s="625">
        <f>D12+D18</f>
        <v>355.89</v>
      </c>
      <c r="D19" s="626"/>
      <c r="G19" s="363" t="s">
        <v>77</v>
      </c>
      <c r="H19" s="630">
        <f>H12+H18</f>
        <v>220.26999999999998</v>
      </c>
      <c r="I19" s="631"/>
    </row>
  </sheetData>
  <mergeCells count="5">
    <mergeCell ref="A1:B1"/>
    <mergeCell ref="C19:D19"/>
    <mergeCell ref="B2:D2"/>
    <mergeCell ref="G2:I2"/>
    <mergeCell ref="H19:I19"/>
  </mergeCells>
  <pageMargins left="0.7" right="0.7" top="0.75" bottom="0.75" header="0.3" footer="0.3"/>
  <pageSetup paperSize="9" orientation="landscape" horizontalDpi="4294967293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24">
    <tabColor rgb="FFFFFF00"/>
    <pageSetUpPr fitToPage="1"/>
  </sheetPr>
  <dimension ref="A1:Q36"/>
  <sheetViews>
    <sheetView showGridLines="0" workbookViewId="0">
      <pane ySplit="1" topLeftCell="A2" activePane="bottomLeft" state="frozen"/>
      <selection pane="bottomLeft" activeCell="E8" sqref="E8:F8"/>
    </sheetView>
  </sheetViews>
  <sheetFormatPr baseColWidth="10" defaultColWidth="11.42578125" defaultRowHeight="15" x14ac:dyDescent="0.25"/>
  <cols>
    <col min="1" max="1" width="24.7109375" customWidth="1"/>
    <col min="2" max="4" width="24.7109375" style="2" customWidth="1"/>
    <col min="5" max="5" width="6.85546875" customWidth="1"/>
  </cols>
  <sheetData>
    <row r="1" spans="1:17" ht="39.75" customHeight="1" x14ac:dyDescent="0.25">
      <c r="A1" s="35"/>
    </row>
    <row r="2" spans="1:17" ht="18.75" x14ac:dyDescent="0.3">
      <c r="A2" s="132" t="s">
        <v>63</v>
      </c>
      <c r="B2" s="133" t="s">
        <v>64</v>
      </c>
      <c r="C2" s="133" t="s">
        <v>65</v>
      </c>
      <c r="D2" s="133" t="s">
        <v>66</v>
      </c>
      <c r="E2" s="636" t="s">
        <v>163</v>
      </c>
      <c r="F2" s="636"/>
    </row>
    <row r="3" spans="1:17" s="29" customFormat="1" ht="15" customHeight="1" x14ac:dyDescent="0.25">
      <c r="A3" s="134" t="s">
        <v>118</v>
      </c>
      <c r="B3" s="309">
        <f>IF(('Novembre 2025'!F7+'Novembre 2025'!H7)=0,"0,00€",'Novembre 2025'!F7+'Novembre 2025'!H7)</f>
        <v>430</v>
      </c>
      <c r="C3" s="309">
        <f>IF(('Novembre 2025'!G7+'Novembre 2025'!I7)=0,"0,00€",'Novembre 2025'!G7+'Novembre 2025'!I7)</f>
        <v>350</v>
      </c>
      <c r="D3" s="364">
        <f>IF(SUM($B3:$C3)=0,"0,00€",SUM(B$3:$B3)-SUM(C$3:$C3))</f>
        <v>80</v>
      </c>
      <c r="E3" s="634">
        <f>IF(D3="0,00€","",D3)</f>
        <v>80</v>
      </c>
      <c r="F3" s="635"/>
      <c r="G3" s="124"/>
      <c r="H3" s="124"/>
      <c r="I3" s="124"/>
      <c r="J3" s="124"/>
    </row>
    <row r="4" spans="1:17" s="29" customFormat="1" ht="15" customHeight="1" x14ac:dyDescent="0.25">
      <c r="A4" s="134" t="s">
        <v>203</v>
      </c>
      <c r="B4" s="309" t="str">
        <f>IF(('Décembre 2025'!F7+'Décembre 2025'!H7)=0,"0,00€",'Décembre 2025'!F7+'Décembre 2025'!H7)</f>
        <v>0,00€</v>
      </c>
      <c r="C4" s="309" t="str">
        <f>IF(('Décembre 2025'!G7+'Décembre 2025'!I7)=0,"0,00€",'Décembre 2025'!G7+'Décembre 2025'!I7)</f>
        <v>0,00€</v>
      </c>
      <c r="D4" s="364" t="str">
        <f>IF(SUM($B4:$C4)=0,"0,00€",SUM(B$3:$B4)-SUM(C$3:$C4))</f>
        <v>0,00€</v>
      </c>
      <c r="E4" s="632" t="str">
        <f>IF(D4="0,00€","",D4-D3)</f>
        <v/>
      </c>
      <c r="F4" s="633"/>
      <c r="G4" s="124"/>
      <c r="J4" s="124"/>
    </row>
    <row r="5" spans="1:17" s="29" customFormat="1" ht="15" customHeight="1" x14ac:dyDescent="0.5">
      <c r="A5" s="134" t="s">
        <v>206</v>
      </c>
      <c r="B5" s="365" t="str">
        <f>IF(('Janvier 2026'!F7+'Janvier 2026'!H7)=0,"0,00€",'Janvier 2026'!F7+'Janvier 2026'!H7)</f>
        <v>0,00€</v>
      </c>
      <c r="C5" s="365" t="str">
        <f>IF(('Janvier 2026'!G7+'Janvier 2026'!I7)=0,"0,00€",'Janvier 2026'!G7+'Janvier 2026'!I7)</f>
        <v>0,00€</v>
      </c>
      <c r="D5" s="364" t="str">
        <f>IF(SUM($B5:$C5)=0,"0,00€",SUM(B$3:$B5)-SUM(C$3:$C5))</f>
        <v>0,00€</v>
      </c>
      <c r="E5" s="632" t="str">
        <f t="shared" ref="E5:E15" si="0">IF(D5="0,00€","",D5-D4)</f>
        <v/>
      </c>
      <c r="F5" s="633"/>
      <c r="G5" s="125"/>
      <c r="I5" s="514"/>
      <c r="J5" s="514"/>
      <c r="K5" s="514"/>
      <c r="L5" s="514"/>
      <c r="M5" s="514"/>
    </row>
    <row r="6" spans="1:17" s="29" customFormat="1" ht="15" customHeight="1" x14ac:dyDescent="0.25">
      <c r="A6" s="134" t="s">
        <v>204</v>
      </c>
      <c r="B6" s="309" t="str">
        <f>IF(('Février 2026'!F7+'Février 2026'!H7)=0,"0,00€",'Février 2026'!F7+'Février 2026'!H7)</f>
        <v>0,00€</v>
      </c>
      <c r="C6" s="309" t="str">
        <f>IF(('Février 2026'!G7+'Février 2026'!I7)=0,"0,00€",'Février 2026'!G7+'Février 2026'!I7)</f>
        <v>0,00€</v>
      </c>
      <c r="D6" s="364" t="str">
        <f>IF(SUM($B6:$C6)=0,"0,00€",SUM(B$3:$B6)-SUM(C$3:$C6))</f>
        <v>0,00€</v>
      </c>
      <c r="E6" s="632" t="str">
        <f t="shared" si="0"/>
        <v/>
      </c>
      <c r="F6" s="633"/>
      <c r="K6" s="514"/>
      <c r="L6" s="514"/>
      <c r="M6" s="514"/>
      <c r="N6" s="514"/>
      <c r="O6" s="514"/>
      <c r="P6" s="514"/>
      <c r="Q6" s="514"/>
    </row>
    <row r="7" spans="1:17" s="29" customFormat="1" ht="15" customHeight="1" x14ac:dyDescent="0.25">
      <c r="A7" s="134" t="s">
        <v>207</v>
      </c>
      <c r="B7" s="309" t="str">
        <f>IF(('Mars 2026'!F7+'Mars 2026'!H7)=0,"0,00€",'Mars 2026'!F7+'Mars 2026'!H7)</f>
        <v>0,00€</v>
      </c>
      <c r="C7" s="309" t="str">
        <f>IF(('Mars 2026'!G7+'Mars 2026'!I7)=0,"0,00€",'Mars 2026'!G7+'Mars 2026'!I7)</f>
        <v>0,00€</v>
      </c>
      <c r="D7" s="364" t="str">
        <f>IF(SUM($B7:$C7)=0,"0,00€",SUM(B$3:$B7)-SUM(C$3:$C7))</f>
        <v>0,00€</v>
      </c>
      <c r="E7" s="632" t="str">
        <f t="shared" si="0"/>
        <v/>
      </c>
      <c r="F7" s="633"/>
      <c r="G7" s="126"/>
      <c r="H7" s="126"/>
      <c r="I7" s="126"/>
      <c r="J7" s="126"/>
    </row>
    <row r="8" spans="1:17" s="29" customFormat="1" ht="15" customHeight="1" x14ac:dyDescent="0.3">
      <c r="A8" s="134" t="s">
        <v>208</v>
      </c>
      <c r="B8" s="309" t="str">
        <f>IF(('Avril 2026'!F7+'Avril 2026'!H7)=0,"0,00€",'Avril 2026'!F7+'Avril 2026'!H7)</f>
        <v>0,00€</v>
      </c>
      <c r="C8" s="309" t="str">
        <f>IF(('Avril 2026'!G7+'Avril 2026'!I7)=0,"0,00€",'Avril 2026'!G7+'Avril 2026'!I7)</f>
        <v>0,00€</v>
      </c>
      <c r="D8" s="364" t="str">
        <f>IF(SUM($B8:$C8)=0,"0,00€",SUM(B$3:$B8)-SUM(C$3:$C8))</f>
        <v>0,00€</v>
      </c>
      <c r="E8" s="632" t="str">
        <f t="shared" si="0"/>
        <v/>
      </c>
      <c r="F8" s="633"/>
      <c r="G8" s="127"/>
    </row>
    <row r="9" spans="1:17" s="29" customFormat="1" ht="15" customHeight="1" x14ac:dyDescent="0.25">
      <c r="A9" s="134" t="s">
        <v>209</v>
      </c>
      <c r="B9" s="309" t="str">
        <f>IF(('Mai 2026'!F7+'Mai 2026'!H7)=0,"0,00€",'Mai 2026'!F7+'Mai 2026'!H7)</f>
        <v>0,00€</v>
      </c>
      <c r="C9" s="309" t="str">
        <f>IF(('Mai 2026'!G7+'Mai 2026'!I7)=0,"0,00€",'Mai 2026'!G7+'Mai 2026'!I7)</f>
        <v>0,00€</v>
      </c>
      <c r="D9" s="364" t="str">
        <f>IF(SUM($B9:$C9)=0,"0,00€",SUM(B$3:$B9)-SUM(C$3:$C9))</f>
        <v>0,00€</v>
      </c>
      <c r="E9" s="632" t="str">
        <f t="shared" si="0"/>
        <v/>
      </c>
      <c r="F9" s="633"/>
      <c r="G9" s="130"/>
      <c r="H9" s="131"/>
      <c r="I9" s="131"/>
      <c r="J9" s="131"/>
      <c r="K9" s="131"/>
      <c r="L9" s="131"/>
      <c r="M9" s="131"/>
      <c r="N9" s="131"/>
    </row>
    <row r="10" spans="1:17" s="29" customFormat="1" ht="15" customHeight="1" x14ac:dyDescent="0.25">
      <c r="A10" s="134" t="s">
        <v>210</v>
      </c>
      <c r="B10" s="309" t="str">
        <f>IF(('Juin 2026'!F7+'Juin 2026'!H7)=0,"0,00€",'Juin 2026'!F7+'Juin 2026'!H7)</f>
        <v>0,00€</v>
      </c>
      <c r="C10" s="309" t="str">
        <f>IF(('Juin 2026'!G7+'Juin 2026'!I7)=0,"0,00€",'Juin 2026'!G7+'Juin 2026'!I7)</f>
        <v>0,00€</v>
      </c>
      <c r="D10" s="364" t="str">
        <f>IF(SUM($B10:$C10)=0,"0,00€",SUM(B$3:$B10)-SUM(C$3:$C10))</f>
        <v>0,00€</v>
      </c>
      <c r="E10" s="632" t="str">
        <f t="shared" si="0"/>
        <v/>
      </c>
      <c r="F10" s="633"/>
      <c r="G10" s="126"/>
      <c r="H10" s="126"/>
      <c r="I10" s="126"/>
      <c r="J10" s="126"/>
    </row>
    <row r="11" spans="1:17" s="29" customFormat="1" ht="15" customHeight="1" x14ac:dyDescent="0.25">
      <c r="A11" s="134" t="s">
        <v>211</v>
      </c>
      <c r="B11" s="309" t="str">
        <f>IF(('Juillet 2026'!F7+'Juillet 2026'!H7)=0,"0,00€",'Juillet 2026'!F7+'Juillet 2026'!I7)</f>
        <v>0,00€</v>
      </c>
      <c r="C11" s="309" t="str">
        <f>IF(('Juillet 2026'!G7+'Juillet 2026'!I7)=0,"0,00€",'Juillet 2026'!G7+'Juillet 2026'!I7)</f>
        <v>0,00€</v>
      </c>
      <c r="D11" s="364" t="str">
        <f>IF(SUM($B11:$C11)=0,"0,00€",SUM(B$3:$B11)-SUM(C$3:$C11))</f>
        <v>0,00€</v>
      </c>
      <c r="E11" s="632" t="str">
        <f t="shared" si="0"/>
        <v/>
      </c>
      <c r="F11" s="633"/>
      <c r="G11" s="128"/>
      <c r="H11" s="126"/>
      <c r="I11" s="126"/>
      <c r="J11" s="126"/>
    </row>
    <row r="12" spans="1:17" s="29" customFormat="1" ht="15" customHeight="1" x14ac:dyDescent="0.25">
      <c r="A12" s="134" t="s">
        <v>205</v>
      </c>
      <c r="B12" s="309" t="str">
        <f>IF(('Août 2026'!F7+'Août 2026'!H7)=0,"0,00€",'Août 2026'!F7+'Août 2026'!H7)</f>
        <v>0,00€</v>
      </c>
      <c r="C12" s="309" t="str">
        <f>IF(('Août 2026'!G7+'Août 2026'!I7)=0,"0,00€",'Août 2026'!G7+'Août 2026'!I7)</f>
        <v>0,00€</v>
      </c>
      <c r="D12" s="364" t="str">
        <f>IF(SUM($B12:$C12)=0,"0,00€",SUM(B$3:$B12)-SUM(C$3:$C12))</f>
        <v>0,00€</v>
      </c>
      <c r="E12" s="632" t="str">
        <f t="shared" si="0"/>
        <v/>
      </c>
      <c r="F12" s="633"/>
      <c r="G12" s="126"/>
      <c r="H12" s="126"/>
      <c r="I12" s="126"/>
      <c r="J12" s="126"/>
    </row>
    <row r="13" spans="1:17" s="29" customFormat="1" ht="15" customHeight="1" x14ac:dyDescent="0.3">
      <c r="A13" s="134" t="s">
        <v>212</v>
      </c>
      <c r="B13" s="309" t="str">
        <f>IF(('Septembre 2026'!F7+'Septembre 2026'!H7)=0,"0,00€",'Septembre 2026'!F7+'Septembre 2026'!H7)</f>
        <v>0,00€</v>
      </c>
      <c r="C13" s="309" t="str">
        <f>IF(('Septembre 2026'!G7+'Septembre 2026'!I7)=0,"0,00€",'Septembre 2026'!G7+'Septembre 2026'!I7)</f>
        <v>0,00€</v>
      </c>
      <c r="D13" s="364" t="str">
        <f>IF(SUM($B13:$C13)=0,"0,00€",SUM(B$3:$B13)-SUM(C$3:$C13))</f>
        <v>0,00€</v>
      </c>
      <c r="E13" s="632" t="str">
        <f t="shared" si="0"/>
        <v/>
      </c>
      <c r="F13" s="633"/>
      <c r="G13" s="129"/>
      <c r="H13" s="126"/>
      <c r="I13" s="126"/>
      <c r="J13" s="126"/>
    </row>
    <row r="14" spans="1:17" s="29" customFormat="1" ht="15" customHeight="1" x14ac:dyDescent="0.25">
      <c r="A14" s="134" t="s">
        <v>213</v>
      </c>
      <c r="B14" s="309" t="str">
        <f>IF(('Octobre 2026'!F7+'Octobre 2026'!H7)=0,"0,00€",'Octobre 2026'!F7+'Octobre 2026'!H7)</f>
        <v>0,00€</v>
      </c>
      <c r="C14" s="309" t="str">
        <f>IF(('Octobre 2026'!G7+'Octobre 2026'!I7)=0,"0,00€",'Octobre 2026'!G7+'Octobre 2026'!I7)</f>
        <v>0,00€</v>
      </c>
      <c r="D14" s="364" t="str">
        <f>IF(SUM($B14:$C14)=0,"0,00€",SUM(B$3:$B14)-SUM(C$3:$C14))</f>
        <v>0,00€</v>
      </c>
      <c r="E14" s="632" t="str">
        <f t="shared" si="0"/>
        <v/>
      </c>
      <c r="F14" s="633"/>
      <c r="G14" s="124"/>
      <c r="H14" s="124"/>
      <c r="I14" s="124"/>
      <c r="J14" s="124"/>
    </row>
    <row r="15" spans="1:17" s="29" customFormat="1" ht="15" customHeight="1" x14ac:dyDescent="0.25">
      <c r="A15" s="134" t="s">
        <v>214</v>
      </c>
      <c r="B15" s="309" t="str">
        <f>IF(('Novembre 2026'!F7+'Novembre 2026'!H7)=0,"0,00€",'Novembre 2026'!F7+'Novembre 2026'!H7)</f>
        <v>0,00€</v>
      </c>
      <c r="C15" s="309" t="str">
        <f>IF(('Novembre 2026'!G7+'Novembre 2026'!I7)=0,"0,00€",'Novembre 2026'!G7+'Novembre 2026'!I7)</f>
        <v>0,00€</v>
      </c>
      <c r="D15" s="364" t="str">
        <f>IF(SUM($B15:$C15)=0,"0,00€",SUM(B$3:$B15)-SUM(C$3:$C15))</f>
        <v>0,00€</v>
      </c>
      <c r="E15" s="632" t="str">
        <f t="shared" si="0"/>
        <v/>
      </c>
      <c r="F15" s="633"/>
      <c r="G15" s="124"/>
      <c r="H15" s="124"/>
      <c r="I15" s="124"/>
      <c r="J15" s="124"/>
    </row>
    <row r="16" spans="1:17" ht="15" customHeight="1" x14ac:dyDescent="0.3">
      <c r="A16" s="121" t="s">
        <v>13</v>
      </c>
      <c r="B16" s="372">
        <f>SUM(B3:B15)</f>
        <v>430</v>
      </c>
      <c r="C16" s="170">
        <f>SUM(C3:C15)</f>
        <v>350</v>
      </c>
      <c r="G16" s="122"/>
      <c r="H16" s="122"/>
      <c r="I16" s="122"/>
      <c r="J16" s="122"/>
      <c r="K16" s="122"/>
      <c r="L16" s="122"/>
      <c r="M16" s="122"/>
      <c r="N16" s="122"/>
    </row>
    <row r="17" spans="1:2" ht="15" customHeight="1" x14ac:dyDescent="0.3">
      <c r="A17" s="121" t="s">
        <v>119</v>
      </c>
      <c r="B17" s="371">
        <f>B16-C16</f>
        <v>80</v>
      </c>
    </row>
    <row r="18" spans="1:2" ht="15" customHeight="1" x14ac:dyDescent="0.25"/>
    <row r="19" spans="1:2" ht="15" customHeight="1" x14ac:dyDescent="0.3">
      <c r="A19" s="123" t="s">
        <v>67</v>
      </c>
    </row>
    <row r="35" spans="1:4" ht="15" customHeight="1" x14ac:dyDescent="0.25"/>
    <row r="36" spans="1:4" ht="28.5" customHeight="1" x14ac:dyDescent="0.3">
      <c r="A36" s="123" t="s">
        <v>83</v>
      </c>
      <c r="B36" s="29"/>
      <c r="C36" s="29"/>
      <c r="D36" s="29"/>
    </row>
  </sheetData>
  <mergeCells count="16">
    <mergeCell ref="E10:F10"/>
    <mergeCell ref="E9:F9"/>
    <mergeCell ref="E8:F8"/>
    <mergeCell ref="E7:F7"/>
    <mergeCell ref="E6:F6"/>
    <mergeCell ref="E15:F15"/>
    <mergeCell ref="E14:F14"/>
    <mergeCell ref="E13:F13"/>
    <mergeCell ref="E12:F12"/>
    <mergeCell ref="E11:F11"/>
    <mergeCell ref="E4:F4"/>
    <mergeCell ref="E3:F3"/>
    <mergeCell ref="E2:F2"/>
    <mergeCell ref="K6:Q6"/>
    <mergeCell ref="I5:M5"/>
    <mergeCell ref="E5:F5"/>
  </mergeCells>
  <phoneticPr fontId="75" type="noConversion"/>
  <pageMargins left="0.23622047244094491" right="0.23622047244094491" top="0.39370078740157483" bottom="0.39370078740157483" header="0.31496062992125984" footer="0.31496062992125984"/>
  <pageSetup paperSize="9" scale="68" fitToWidth="0" orientation="landscape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/>
  <dimension ref="A1:B30"/>
  <sheetViews>
    <sheetView workbookViewId="0">
      <selection activeCell="A33" sqref="A33"/>
    </sheetView>
  </sheetViews>
  <sheetFormatPr baseColWidth="10" defaultColWidth="11.42578125" defaultRowHeight="15" x14ac:dyDescent="0.25"/>
  <cols>
    <col min="1" max="1" width="52.140625" style="2" bestFit="1" customWidth="1"/>
    <col min="2" max="2" width="10.5703125" style="2" bestFit="1" customWidth="1"/>
  </cols>
  <sheetData>
    <row r="1" spans="1:2" x14ac:dyDescent="0.25">
      <c r="A1" s="2" t="s">
        <v>10</v>
      </c>
      <c r="B1" s="2" t="s">
        <v>0</v>
      </c>
    </row>
    <row r="2" spans="1:2" x14ac:dyDescent="0.25">
      <c r="A2" s="92" t="s">
        <v>120</v>
      </c>
      <c r="B2" s="375">
        <v>6052</v>
      </c>
    </row>
    <row r="3" spans="1:2" x14ac:dyDescent="0.25">
      <c r="A3" s="92" t="s">
        <v>93</v>
      </c>
      <c r="B3" s="375">
        <v>6010</v>
      </c>
    </row>
    <row r="4" spans="1:2" x14ac:dyDescent="0.25">
      <c r="A4" s="92" t="s">
        <v>116</v>
      </c>
      <c r="B4" s="375">
        <v>6250</v>
      </c>
    </row>
    <row r="5" spans="1:2" x14ac:dyDescent="0.25">
      <c r="A5" s="92" t="s">
        <v>121</v>
      </c>
      <c r="B5" s="375">
        <v>6051</v>
      </c>
    </row>
    <row r="6" spans="1:2" x14ac:dyDescent="0.25">
      <c r="A6" s="92" t="s">
        <v>52</v>
      </c>
      <c r="B6" s="375">
        <v>6160</v>
      </c>
    </row>
    <row r="7" spans="1:2" x14ac:dyDescent="0.25">
      <c r="A7" s="92" t="s">
        <v>30</v>
      </c>
      <c r="B7" s="375">
        <v>6234</v>
      </c>
    </row>
    <row r="8" spans="1:2" x14ac:dyDescent="0.25">
      <c r="A8" s="92" t="s">
        <v>96</v>
      </c>
      <c r="B8" s="375">
        <v>7560</v>
      </c>
    </row>
    <row r="9" spans="1:2" x14ac:dyDescent="0.25">
      <c r="A9" s="92" t="s">
        <v>103</v>
      </c>
      <c r="B9" s="375">
        <v>6510</v>
      </c>
    </row>
    <row r="10" spans="1:2" x14ac:dyDescent="0.25">
      <c r="A10" s="92" t="s">
        <v>3</v>
      </c>
      <c r="B10" s="375">
        <v>6150</v>
      </c>
    </row>
    <row r="11" spans="1:2" x14ac:dyDescent="0.25">
      <c r="A11" s="92" t="s">
        <v>2</v>
      </c>
      <c r="B11" s="375">
        <v>6064</v>
      </c>
    </row>
    <row r="12" spans="1:2" x14ac:dyDescent="0.25">
      <c r="A12" s="92" t="s">
        <v>5</v>
      </c>
      <c r="B12" s="375">
        <v>6270</v>
      </c>
    </row>
    <row r="13" spans="1:2" x14ac:dyDescent="0.25">
      <c r="A13" s="92" t="s">
        <v>112</v>
      </c>
      <c r="B13" s="375">
        <v>6040</v>
      </c>
    </row>
    <row r="14" spans="1:2" x14ac:dyDescent="0.25">
      <c r="A14" s="92" t="s">
        <v>6</v>
      </c>
      <c r="B14" s="375">
        <v>6280</v>
      </c>
    </row>
    <row r="15" spans="1:2" x14ac:dyDescent="0.25">
      <c r="A15" s="92" t="s">
        <v>94</v>
      </c>
      <c r="B15" s="375">
        <v>6253</v>
      </c>
    </row>
    <row r="16" spans="1:2" x14ac:dyDescent="0.25">
      <c r="A16" s="92" t="s">
        <v>102</v>
      </c>
      <c r="B16" s="375">
        <v>6582</v>
      </c>
    </row>
    <row r="17" spans="1:2" x14ac:dyDescent="0.25">
      <c r="A17" s="92" t="s">
        <v>49</v>
      </c>
      <c r="B17" s="375">
        <v>6231</v>
      </c>
    </row>
    <row r="18" spans="1:2" x14ac:dyDescent="0.25">
      <c r="A18" s="92" t="s">
        <v>75</v>
      </c>
      <c r="B18" s="375">
        <v>6135</v>
      </c>
    </row>
    <row r="19" spans="1:2" x14ac:dyDescent="0.25">
      <c r="A19" s="92" t="s">
        <v>51</v>
      </c>
      <c r="B19" s="376">
        <v>6130</v>
      </c>
    </row>
    <row r="20" spans="1:2" x14ac:dyDescent="0.25">
      <c r="A20" s="92" t="s">
        <v>104</v>
      </c>
      <c r="B20" s="375">
        <v>7511</v>
      </c>
    </row>
    <row r="21" spans="1:2" x14ac:dyDescent="0.25">
      <c r="A21" s="92" t="s">
        <v>131</v>
      </c>
      <c r="B21" s="375">
        <v>6710</v>
      </c>
    </row>
    <row r="22" spans="1:2" x14ac:dyDescent="0.25">
      <c r="A22" s="92" t="s">
        <v>136</v>
      </c>
      <c r="B22" s="375">
        <v>7530</v>
      </c>
    </row>
    <row r="23" spans="1:2" x14ac:dyDescent="0.25">
      <c r="A23" s="92" t="s">
        <v>113</v>
      </c>
      <c r="B23" s="375">
        <v>7020</v>
      </c>
    </row>
    <row r="24" spans="1:2" x14ac:dyDescent="0.25">
      <c r="A24" s="92" t="s">
        <v>4</v>
      </c>
      <c r="B24" s="375">
        <v>6230</v>
      </c>
    </row>
    <row r="25" spans="1:2" x14ac:dyDescent="0.25">
      <c r="A25" s="92" t="s">
        <v>138</v>
      </c>
      <c r="B25" s="375">
        <v>7417</v>
      </c>
    </row>
    <row r="26" spans="1:2" x14ac:dyDescent="0.25">
      <c r="A26" s="92" t="s">
        <v>37</v>
      </c>
      <c r="B26" s="375">
        <v>7442</v>
      </c>
    </row>
    <row r="27" spans="1:2" x14ac:dyDescent="0.25">
      <c r="A27" s="92" t="s">
        <v>36</v>
      </c>
      <c r="B27" s="375">
        <v>7441</v>
      </c>
    </row>
    <row r="28" spans="1:2" x14ac:dyDescent="0.25">
      <c r="A28" s="92" t="s">
        <v>135</v>
      </c>
      <c r="B28" s="375">
        <v>7443</v>
      </c>
    </row>
    <row r="29" spans="1:2" x14ac:dyDescent="0.25">
      <c r="A29" s="92" t="s">
        <v>87</v>
      </c>
      <c r="B29" s="375">
        <v>7151</v>
      </c>
    </row>
    <row r="30" spans="1:2" x14ac:dyDescent="0.25">
      <c r="A30" s="92" t="s">
        <v>95</v>
      </c>
      <c r="B30" s="375">
        <v>7061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19</vt:i4>
      </vt:variant>
    </vt:vector>
  </HeadingPairs>
  <TitlesOfParts>
    <vt:vector size="40" baseType="lpstr">
      <vt:lpstr>Menu</vt:lpstr>
      <vt:lpstr>Membres 2026</vt:lpstr>
      <vt:lpstr>Novembre 2025</vt:lpstr>
      <vt:lpstr>Décembre 2025</vt:lpstr>
      <vt:lpstr>Janvier 2026</vt:lpstr>
      <vt:lpstr>Février 2026</vt:lpstr>
      <vt:lpstr>Mars 2026</vt:lpstr>
      <vt:lpstr>Avril 2026</vt:lpstr>
      <vt:lpstr>Mai 2026</vt:lpstr>
      <vt:lpstr>Juin 2026</vt:lpstr>
      <vt:lpstr>Juillet 2026</vt:lpstr>
      <vt:lpstr>Août 2026</vt:lpstr>
      <vt:lpstr>Septembre 2026</vt:lpstr>
      <vt:lpstr>Octobre 2026</vt:lpstr>
      <vt:lpstr>Novembre 2026</vt:lpstr>
      <vt:lpstr>Recherche</vt:lpstr>
      <vt:lpstr>Bilan Financier 2026</vt:lpstr>
      <vt:lpstr>Bilan 2026</vt:lpstr>
      <vt:lpstr>Caisse</vt:lpstr>
      <vt:lpstr>Graphique</vt:lpstr>
      <vt:lpstr>Data</vt:lpstr>
      <vt:lpstr>'Août 2026'!d.comptes</vt:lpstr>
      <vt:lpstr>'Avril 2026'!d.comptes</vt:lpstr>
      <vt:lpstr>'Bilan Financier 2026'!d.comptes</vt:lpstr>
      <vt:lpstr>'Décembre 2025'!d.comptes</vt:lpstr>
      <vt:lpstr>'Février 2026'!d.comptes</vt:lpstr>
      <vt:lpstr>'Janvier 2026'!d.comptes</vt:lpstr>
      <vt:lpstr>'Juillet 2026'!d.comptes</vt:lpstr>
      <vt:lpstr>'Juin 2026'!d.comptes</vt:lpstr>
      <vt:lpstr>'Mai 2026'!d.comptes</vt:lpstr>
      <vt:lpstr>'Mars 2026'!d.comptes</vt:lpstr>
      <vt:lpstr>'Novembre 2026'!d.comptes</vt:lpstr>
      <vt:lpstr>'Octobre 2026'!d.comptes</vt:lpstr>
      <vt:lpstr>'Septembre 2026'!d.comptes</vt:lpstr>
      <vt:lpstr>d.comptes</vt:lpstr>
      <vt:lpstr>DateSauve</vt:lpstr>
      <vt:lpstr>Entete</vt:lpstr>
      <vt:lpstr>Feuille</vt:lpstr>
      <vt:lpstr>X</vt:lpstr>
      <vt:lpstr>Graphique!Zone_d_impression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Jean-Charles BERTHAUD</cp:lastModifiedBy>
  <cp:lastPrinted>2025-05-24T04:14:01Z</cp:lastPrinted>
  <dcterms:created xsi:type="dcterms:W3CDTF">2021-11-28T08:35:44Z</dcterms:created>
  <dcterms:modified xsi:type="dcterms:W3CDTF">2025-08-16T04:44:35Z</dcterms:modified>
</cp:coreProperties>
</file>