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D07D997-D136-4A55-A47B-FBF6C9CFA178}" xr6:coauthVersionLast="47" xr6:coauthVersionMax="47" xr10:uidLastSave="{00000000-0000-0000-0000-000000000000}"/>
  <bookViews>
    <workbookView xWindow="-108" yWindow="-108" windowWidth="23256" windowHeight="12456" xr2:uid="{888E1881-9232-4515-B353-4E1D67223757}"/>
  </bookViews>
  <sheets>
    <sheet name="Etats Financiers-VAN 6,5%" sheetId="1" r:id="rId1"/>
  </sheets>
  <definedNames>
    <definedName name="__JFV1" localSheetId="0">#REF!</definedName>
    <definedName name="__JFV1">#REF!</definedName>
    <definedName name="__JFV11" localSheetId="0">#REF!</definedName>
    <definedName name="__JFV11">#REF!</definedName>
    <definedName name="__JFV18" localSheetId="0">#REF!</definedName>
    <definedName name="__JFV18">#REF!</definedName>
    <definedName name="__JFV24" localSheetId="0">#REF!</definedName>
    <definedName name="__JFV24">#REF!</definedName>
    <definedName name="_JFV1" localSheetId="0">#REF!</definedName>
    <definedName name="_JFV1">#REF!</definedName>
    <definedName name="_JFV11" localSheetId="0">#REF!</definedName>
    <definedName name="_JFV11">#REF!</definedName>
    <definedName name="_JFV18" localSheetId="0">#REF!</definedName>
    <definedName name="_JFV18">#REF!</definedName>
    <definedName name="_JFV24" localSheetId="0">#REF!</definedName>
    <definedName name="_JFV24">#REF!</definedName>
    <definedName name="AMORTISSEMENT_FIXE10">#REF!</definedName>
    <definedName name="AMORTISSEMENT_FIXE11">#REF!</definedName>
    <definedName name="AMORTISSEMENT_FIXE12">#REF!</definedName>
    <definedName name="AMORTISSEMENT_FIXE2">#REF!</definedName>
    <definedName name="AMORTISSEMENT_FIXE3">#REF!</definedName>
    <definedName name="AMORTISSEMENT_FIXE4">#REF!</definedName>
    <definedName name="AMORTISSEMENT_FIXE5">#REF!</definedName>
    <definedName name="AMORTISSEMENT_FIXE6">#REF!</definedName>
    <definedName name="AMORTISSEMENT_FIXE7">#REF!</definedName>
    <definedName name="AMORTISSEMENT_FIXE8">#REF!</definedName>
    <definedName name="AMORTISSEMENT_FIXE9">#REF!</definedName>
    <definedName name="AMORTISSEMENT_FLOAT10">#REF!</definedName>
    <definedName name="AMORTISSEMENT_FLOAT11">#REF!</definedName>
    <definedName name="AMORTISSEMENT_FLOAT12">#REF!</definedName>
    <definedName name="AMORTISSEMENT_FLOAT2">#REF!</definedName>
    <definedName name="AMORTISSEMENT_FLOAT3">#REF!</definedName>
    <definedName name="AMORTISSEMENT_FLOAT4">#REF!</definedName>
    <definedName name="AMORTISSEMENT_FLOAT5">#REF!</definedName>
    <definedName name="AMORTISSEMENT_FLOAT6">#REF!</definedName>
    <definedName name="AMORTISSEMENT_FLOAT7">#REF!</definedName>
    <definedName name="AMORTISSEMENT_FLOAT8">#REF!</definedName>
    <definedName name="AMORTISSEMENT_FLOAT9">#REF!</definedName>
    <definedName name="ANALYTIC_PRICE_OPTION1">#REF!</definedName>
    <definedName name="ANALYTIC_PRICE_OPTION10">#REF!</definedName>
    <definedName name="ANALYTIC_PRICE_OPTION11">#REF!</definedName>
    <definedName name="ANALYTIC_PRICE_OPTION12">#REF!</definedName>
    <definedName name="ANALYTIC_PRICE_OPTION2">#REF!</definedName>
    <definedName name="ANALYTIC_PRICE_OPTION3">#REF!</definedName>
    <definedName name="ANALYTIC_PRICE_OPTION4">#REF!</definedName>
    <definedName name="ANALYTIC_PRICE_OPTION5">#REF!</definedName>
    <definedName name="ANALYTIC_PRICE_OPTION6">#REF!</definedName>
    <definedName name="ANALYTIC_PRICE_OPTION7">#REF!</definedName>
    <definedName name="ANALYTIC_PRICE_OPTION8">#REF!</definedName>
    <definedName name="ANALYTIC_PRICE_OPTION9">#REF!</definedName>
    <definedName name="ANALYTIC_VOL_OPTION1">#REF!</definedName>
    <definedName name="ANALYTIC_VOL_OPTION10">#REF!</definedName>
    <definedName name="ANALYTIC_VOL_OPTION11">#REF!</definedName>
    <definedName name="ANALYTIC_VOL_OPTION12">#REF!</definedName>
    <definedName name="ANALYTIC_VOL_OPTION13">#REF!</definedName>
    <definedName name="ANALYTIC_VOL_OPTION14">#REF!</definedName>
    <definedName name="ANALYTIC_VOL_OPTION15">#REF!</definedName>
    <definedName name="ANALYTIC_VOL_OPTION2">#REF!</definedName>
    <definedName name="ANALYTIC_VOL_OPTION3">#REF!</definedName>
    <definedName name="ANALYTIC_VOL_OPTION4">#REF!</definedName>
    <definedName name="ANALYTIC_VOL_OPTION5">#REF!</definedName>
    <definedName name="ANALYTIC_VOL_OPTION6">#REF!</definedName>
    <definedName name="ANALYTIC_VOL_OPTION7">#REF!</definedName>
    <definedName name="ANALYTIC_VOL_OPTION8">#REF!</definedName>
    <definedName name="ANALYTIC_VOL_OPTION9">#REF!</definedName>
    <definedName name="cashlock" localSheetId="0">#REF!</definedName>
    <definedName name="cashlock">#REF!</definedName>
    <definedName name="currency">#REF!</definedName>
    <definedName name="curveDate">#REF!</definedName>
    <definedName name="DateDébutPrêt" localSheetId="0">#REF!</definedName>
    <definedName name="DateDébutPrêt">#REF!</definedName>
    <definedName name="DeltaMoins1">#REF!</definedName>
    <definedName name="DeltaMoins10">#REF!</definedName>
    <definedName name="DeltaMoins11">#REF!</definedName>
    <definedName name="DeltaMoins12">#REF!</definedName>
    <definedName name="DeltaMoins13">#REF!</definedName>
    <definedName name="DeltaMoins14">#REF!</definedName>
    <definedName name="DeltaMoins15">#REF!</definedName>
    <definedName name="DeltaMoins2">#REF!</definedName>
    <definedName name="DeltaMoins3">#REF!</definedName>
    <definedName name="DeltaMoins4">#REF!</definedName>
    <definedName name="DeltaMoins5">#REF!</definedName>
    <definedName name="DeltaMoins6">#REF!</definedName>
    <definedName name="DeltaMoins7">#REF!</definedName>
    <definedName name="DeltaMoins8">#REF!</definedName>
    <definedName name="DeltaMoins9">#REF!</definedName>
    <definedName name="DeltaPlus1">#REF!</definedName>
    <definedName name="DeltaPlus10">#REF!</definedName>
    <definedName name="DeltaPlus11">#REF!</definedName>
    <definedName name="DeltaPlus12">#REF!</definedName>
    <definedName name="DeltaPlus13">#REF!</definedName>
    <definedName name="DeltaPlus14">#REF!</definedName>
    <definedName name="DeltaPlus15">#REF!</definedName>
    <definedName name="DeltaPlus2">#REF!</definedName>
    <definedName name="DeltaPlus3">#REF!</definedName>
    <definedName name="DeltaPlus4">#REF!</definedName>
    <definedName name="DeltaPlus5">#REF!</definedName>
    <definedName name="DeltaPlus6">#REF!</definedName>
    <definedName name="DeltaPlus7">#REF!</definedName>
    <definedName name="DeltaPlus8">#REF!</definedName>
    <definedName name="DeltaPlus9">#REF!</definedName>
    <definedName name="DeltaSwapMoins10">#REF!</definedName>
    <definedName name="DeltaSwapMoins11">#REF!</definedName>
    <definedName name="DeltaSwapPlus10">#REF!</definedName>
    <definedName name="DeltaSwapPlus11">#REF!</definedName>
    <definedName name="DernièreColonne" localSheetId="0">#REF!</definedName>
    <definedName name="DernièreColonne">#REF!</definedName>
    <definedName name="DernièreLigne" localSheetId="0">#REF!</definedName>
    <definedName name="DernièreLigne">#REF!</definedName>
    <definedName name="discountCurve">#REF!</definedName>
    <definedName name="EV__LASTREFTIME__" hidden="1">40360.5449537037</definedName>
    <definedName name="Fixed_Rate1">#REF!</definedName>
    <definedName name="Fixed_Rate12">#REF!</definedName>
    <definedName name="Fixed_Rate2">#REF!</definedName>
    <definedName name="Fixed_Rate3">#REF!</definedName>
    <definedName name="Fixed_Rate4">#REF!</definedName>
    <definedName name="Fixed_Rate5">#REF!</definedName>
    <definedName name="Fixed_Rate6">#REF!</definedName>
    <definedName name="Fixed_Rate7">#REF!</definedName>
    <definedName name="Fixed_Rate8">#REF!</definedName>
    <definedName name="FLOORCOLL_1">#REF!</definedName>
    <definedName name="FLOORCOLL_10">#REF!</definedName>
    <definedName name="FLOORCOLL_11">#REF!</definedName>
    <definedName name="FLOORCOLL_12">#REF!</definedName>
    <definedName name="FLOORCOLL_2">#REF!</definedName>
    <definedName name="FLOORCOLL_3">#REF!</definedName>
    <definedName name="FLOORCOLL_4">#REF!</definedName>
    <definedName name="FLOORCOLL_5">#REF!</definedName>
    <definedName name="FLOORCOLL_6">#REF!</definedName>
    <definedName name="FLOORCOLL_7">#REF!</definedName>
    <definedName name="FLOORCOLL_8">#REF!</definedName>
    <definedName name="FLOORCOLL_9">#REF!</definedName>
    <definedName name="FLOORCOLLBUMP_1">#REF!</definedName>
    <definedName name="FloorCollBump_10">#REF!</definedName>
    <definedName name="FloorCollBump_11">#REF!</definedName>
    <definedName name="FloorCollBump_12">#REF!</definedName>
    <definedName name="FLOORCOLLBUMP_2">#REF!</definedName>
    <definedName name="FloorCollBump_3">#REF!</definedName>
    <definedName name="FloorCollBump_4">#REF!</definedName>
    <definedName name="FloorCollBump_5">#REF!</definedName>
    <definedName name="FloorCollBump_6">#REF!</definedName>
    <definedName name="FloorCollBump_7">#REF!</definedName>
    <definedName name="FloorCollBump_8">#REF!</definedName>
    <definedName name="FloorCollBump_9">#REF!</definedName>
    <definedName name="FLOORCOLLBUMPMOINS_1">#REF!</definedName>
    <definedName name="FLOORCOLLBUMPMOINS_10">#REF!</definedName>
    <definedName name="FLOORCOLLBUMPMOINS_11">#REF!</definedName>
    <definedName name="FLOORCOLLBUMPMOINS_12">#REF!</definedName>
    <definedName name="FLOORCOLLBUMPMOINS_2">#REF!</definedName>
    <definedName name="FLOORCOLLBUMPMOINS_3">#REF!</definedName>
    <definedName name="FLOORCOLLBUMPMOINS_4">#REF!</definedName>
    <definedName name="FLOORCOLLBUMPMOINS_5">#REF!</definedName>
    <definedName name="FLOORCOLLBUMPMOINS_6">#REF!</definedName>
    <definedName name="FLOORCOLLBUMPMOINS_7">#REF!</definedName>
    <definedName name="FLOORCOLLBUMPMOINS_8">#REF!</definedName>
    <definedName name="FLOORCOLLBUMPMOINS_9">#REF!</definedName>
    <definedName name="indexCurve">#REF!</definedName>
    <definedName name="lst_input_kbc" localSheetId="0">#REF!</definedName>
    <definedName name="lst_input_kbc">#REF!</definedName>
    <definedName name="mapping_ESTR">#REF!</definedName>
    <definedName name="mapping_EUR3MFRA">#REF!</definedName>
    <definedName name="mapping_EUR3MFUT">#REF!</definedName>
    <definedName name="mapping_EUR6M">#REF!</definedName>
    <definedName name="mapping_EUROIS">#REF!</definedName>
    <definedName name="mapping_PLN3M">#REF!</definedName>
    <definedName name="mapping_PLN6M">#REF!</definedName>
    <definedName name="mapping_SOFR">#REF!</definedName>
    <definedName name="mapping_USD30360.3M">#REF!</definedName>
    <definedName name="mapping_USD6M">#REF!</definedName>
    <definedName name="mapping_USDA360.3M">#REF!</definedName>
    <definedName name="mapping_USDOIS">#REF!</definedName>
    <definedName name="MontantPrêt" localSheetId="0">#REF!</definedName>
    <definedName name="MontantPrêt">#REF!</definedName>
    <definedName name="Months_Yr">#REF!</definedName>
    <definedName name="NombreDePaiementsPlanifiés" localSheetId="0">#REF!</definedName>
    <definedName name="NombreDePaiementsPlanifiés">#REF!</definedName>
    <definedName name="NomPrêteur" localSheetId="0">#REF!</definedName>
    <definedName name="NomPrêteur">#REF!</definedName>
    <definedName name="NX_M_EUR_CurveID">#REF!</definedName>
    <definedName name="Ops_Start">#REF!</definedName>
    <definedName name="OPTION_AMORTISSEMENT1">#REF!</definedName>
    <definedName name="OPTION_AMORTISSEMENT10">#REF!</definedName>
    <definedName name="OPTION_AMORTISSEMENT11">#REF!</definedName>
    <definedName name="OPTION_AMORTISSEMENT12">#REF!</definedName>
    <definedName name="OPTION_AMORTISSEMENT2">#REF!</definedName>
    <definedName name="OPTION_AMORTISSEMENT3">#REF!</definedName>
    <definedName name="OPTION_AMORTISSEMENT4">#REF!</definedName>
    <definedName name="OPTION_AMORTISSEMENT5">#REF!</definedName>
    <definedName name="OPTION_AMORTISSEMENT6">#REF!</definedName>
    <definedName name="OPTION_AMORTISSEMENT7">#REF!</definedName>
    <definedName name="OPTION_AMORTISSEMENT8">#REF!</definedName>
    <definedName name="OPTION_AMORTISSEMENT9">#REF!</definedName>
    <definedName name="OPTION_PRICER1">#REF!</definedName>
    <definedName name="OPTION_PRICER10">#REF!</definedName>
    <definedName name="OPTION_PRICER11">#REF!</definedName>
    <definedName name="OPTION_PRICER12">#REF!</definedName>
    <definedName name="OPTION_PRICER13">#REF!</definedName>
    <definedName name="OPTION_PRICER14">#REF!</definedName>
    <definedName name="OPTION_PRICER15">#REF!</definedName>
    <definedName name="OPTION_PRICER2">#REF!</definedName>
    <definedName name="OPTION_PRICER3">#REF!</definedName>
    <definedName name="OPTION_PRICER4">#REF!</definedName>
    <definedName name="OPTION_PRICER5">#REF!</definedName>
    <definedName name="OPTION_PRICER6">#REF!</definedName>
    <definedName name="OPTION_PRICER7">#REF!</definedName>
    <definedName name="OPTION_PRICER8">#REF!</definedName>
    <definedName name="OPTION_PRICER9">#REF!</definedName>
    <definedName name="Option_skip1">#REF!</definedName>
    <definedName name="Option_skip10">#REF!</definedName>
    <definedName name="Option_skip11">#REF!</definedName>
    <definedName name="Option_skip12">#REF!</definedName>
    <definedName name="Option_skip2">#REF!</definedName>
    <definedName name="Option_skip3">#REF!</definedName>
    <definedName name="Option_skip4">#REF!</definedName>
    <definedName name="Option_skip5">#REF!</definedName>
    <definedName name="Option_skip6">#REF!</definedName>
    <definedName name="Option_skip7">#REF!</definedName>
    <definedName name="Option_skip8">#REF!</definedName>
    <definedName name="Option_skip9">#REF!</definedName>
    <definedName name="Option_type2">#REF!</definedName>
    <definedName name="option_type3">#REF!</definedName>
    <definedName name="Option_type4">#REF!</definedName>
    <definedName name="Option_type5">#REF!</definedName>
    <definedName name="Option_type6">#REF!</definedName>
    <definedName name="Option_type7">#REF!</definedName>
    <definedName name="Option_type8">#REF!</definedName>
    <definedName name="Option_type9">#REF!</definedName>
    <definedName name="option1">#REF!</definedName>
    <definedName name="option10">#REF!</definedName>
    <definedName name="option11">#REF!</definedName>
    <definedName name="option12">#REF!</definedName>
    <definedName name="option2">#REF!</definedName>
    <definedName name="option3">#REF!</definedName>
    <definedName name="option4">#REF!</definedName>
    <definedName name="option5">#REF!</definedName>
    <definedName name="option6">#REF!</definedName>
    <definedName name="option7">#REF!</definedName>
    <definedName name="option8">#REF!</definedName>
    <definedName name="option9">#REF!</definedName>
    <definedName name="PaiementProgrammé" localSheetId="0">#REF!</definedName>
    <definedName name="PaiementProgrammé">#REF!</definedName>
    <definedName name="PaiementsParAn" localSheetId="0">#REF!</definedName>
    <definedName name="PaiementsParAn">#REF!</definedName>
    <definedName name="PaiementsSupp" localSheetId="0">#REF!</definedName>
    <definedName name="PaiementsSupp">#REF!</definedName>
    <definedName name="PériodePrêt" localSheetId="0">#REF!</definedName>
    <definedName name="PériodePrêt">#REF!</definedName>
    <definedName name="PrêtOK" localSheetId="0">#REF!</definedName>
    <definedName name="PrêtOK">#REF!</definedName>
    <definedName name="range_input" localSheetId="0">#REF!</definedName>
    <definedName name="range_input">#REF!</definedName>
    <definedName name="Rqt_ESTR">#REF!</definedName>
    <definedName name="Rqt_EUR3M_FRA">#REF!</definedName>
    <definedName name="Rqt_EUR3M_FUT">#REF!</definedName>
    <definedName name="Rqt_EUR6M">#REF!</definedName>
    <definedName name="Rqt_OIS">#REF!</definedName>
    <definedName name="Rqt_PLN3M">#REF!</definedName>
    <definedName name="Rqt_PLN6M">#REF!</definedName>
    <definedName name="Rqt_USD30360.3M">#REF!</definedName>
    <definedName name="Rqt_USD6M">#REF!</definedName>
    <definedName name="Rqt_USDA360.3M">#REF!</definedName>
    <definedName name="Rqt_USDOIS">#REF!</definedName>
    <definedName name="Rqt_USDSOFR">#REF!</definedName>
    <definedName name="Solde_Fin" localSheetId="0">#REF!</definedName>
    <definedName name="Solde_Fin">#REF!</definedName>
    <definedName name="spot_date">#REF!</definedName>
    <definedName name="spot_lag">#REF!</definedName>
    <definedName name="status" localSheetId="0">#REF!</definedName>
    <definedName name="status">#REF!</definedName>
    <definedName name="Strike_1">#REF!</definedName>
    <definedName name="Strike_10">#REF!</definedName>
    <definedName name="Strike_11">#REF!</definedName>
    <definedName name="Strike_12">#REF!</definedName>
    <definedName name="Strike_2">#REF!</definedName>
    <definedName name="Strike_3">#REF!</definedName>
    <definedName name="Strike_4">#REF!</definedName>
    <definedName name="Strike_5">#REF!</definedName>
    <definedName name="Strike_6">#REF!</definedName>
    <definedName name="Strike_7">#REF!</definedName>
    <definedName name="Strike_8">#REF!</definedName>
    <definedName name="Strike_9">#REF!</definedName>
    <definedName name="surfaceCap">#REF!</definedName>
    <definedName name="Swap_Amo1">#REF!</definedName>
    <definedName name="Swap_Amo10">#REF!</definedName>
    <definedName name="Swap_Amo11">#REF!</definedName>
    <definedName name="Swap_Amo12">#REF!</definedName>
    <definedName name="Swap_Amo2">#REF!</definedName>
    <definedName name="Swap_Amo3">#REF!</definedName>
    <definedName name="Swap_Amo4">#REF!</definedName>
    <definedName name="Swap_Amo5">#REF!</definedName>
    <definedName name="Swap_Amo6">#REF!</definedName>
    <definedName name="Swap_Amo7">#REF!</definedName>
    <definedName name="Swap_Amo8">#REF!</definedName>
    <definedName name="Swap_Amo9">#REF!</definedName>
    <definedName name="SWAPMODEL">#REF!</definedName>
    <definedName name="SWAPMODEL11">#REF!</definedName>
    <definedName name="SWAPPRICER">#REF!</definedName>
    <definedName name="SWAPPRICER10">#REF!</definedName>
    <definedName name="SWAPPRICER11">#REF!</definedName>
    <definedName name="SWAPPRICER12">#REF!</definedName>
    <definedName name="SWAPPRICER13">#REF!</definedName>
    <definedName name="SWAPPRICER14">#REF!</definedName>
    <definedName name="SWAPPRICER15">#REF!</definedName>
    <definedName name="SWAPPRICER2">#REF!</definedName>
    <definedName name="SWAPPRICER3">#REF!</definedName>
    <definedName name="SWAPPRICER4">#REF!</definedName>
    <definedName name="SWAPPRICER5">#REF!</definedName>
    <definedName name="SWAPPRICER6">#REF!</definedName>
    <definedName name="SWAPPRICER7">#REF!</definedName>
    <definedName name="SWAPPRICER8">#REF!</definedName>
    <definedName name="SWAPPRICER9">#REF!</definedName>
    <definedName name="TauxIntérêt" localSheetId="0">#REF!</definedName>
    <definedName name="TauxIntérêt">#REF!</definedName>
    <definedName name="TitreColonne1" localSheetId="0">#REF!</definedName>
    <definedName name="TitreColonne1">#REF!</definedName>
    <definedName name="TitreLigneRégion1..E9" localSheetId="0">#REF!</definedName>
    <definedName name="TitreLigneRégion1..E9">#REF!</definedName>
    <definedName name="TitreLigneRégion2..I7" localSheetId="0">#REF!</definedName>
    <definedName name="TitreLigneRégion2..I7">#REF!</definedName>
    <definedName name="TitreLigneRégion3..E9" localSheetId="0">#REF!</definedName>
    <definedName name="TitreLigneRégion3..E9">#REF!</definedName>
    <definedName name="TitreLigneRégion4..H9" localSheetId="0">#REF!</definedName>
    <definedName name="TitreLigneRégion4..H9">#REF!</definedName>
    <definedName name="TotalIntérêts" localSheetId="0">#REF!</definedName>
    <definedName name="TotalIntérêts">#REF!</definedName>
    <definedName name="TotalPaiementsAvance" localSheetId="0">#REF!</definedName>
    <definedName name="TotalPaiementsAvance">#REF!</definedName>
    <definedName name="VCube">#REF!</definedName>
    <definedName name="VegaMoins1">#REF!</definedName>
    <definedName name="VegaMoins10">#REF!</definedName>
    <definedName name="VegaMoins11">#REF!</definedName>
    <definedName name="VegaMoins12">#REF!</definedName>
    <definedName name="VegaMoins13">#REF!</definedName>
    <definedName name="VegaMoins14">#REF!</definedName>
    <definedName name="VegaMoins15">#REF!</definedName>
    <definedName name="VegaMoins2">#REF!</definedName>
    <definedName name="VegaMoins3">#REF!</definedName>
    <definedName name="VegaMoins4">#REF!</definedName>
    <definedName name="VegaMoins5">#REF!</definedName>
    <definedName name="VegaMoins6">#REF!</definedName>
    <definedName name="VegaMoins7">#REF!</definedName>
    <definedName name="VegaMoins8">#REF!</definedName>
    <definedName name="VegaMoins9">#REF!</definedName>
    <definedName name="VegaPlus1">#REF!</definedName>
    <definedName name="VegaPlus10">#REF!</definedName>
    <definedName name="VegaPlus11">#REF!</definedName>
    <definedName name="VegaPlus12">#REF!</definedName>
    <definedName name="VegaPlus13">#REF!</definedName>
    <definedName name="VegaPlus14">#REF!</definedName>
    <definedName name="VegaPlus15">#REF!</definedName>
    <definedName name="VegaPlus2">#REF!</definedName>
    <definedName name="VegaPlus3">#REF!</definedName>
    <definedName name="VegaPlus4">#REF!</definedName>
    <definedName name="VegaPlus5">#REF!</definedName>
    <definedName name="VegaPlus6">#REF!</definedName>
    <definedName name="VegaPlus7">#REF!</definedName>
    <definedName name="VegaPlus8">#REF!</definedName>
    <definedName name="VegaPlus9">#REF!</definedName>
    <definedName name="xCurveInfo" localSheetId="0">#REF!</definedName>
    <definedName name="xCurveInfo">#REF!</definedName>
    <definedName name="xCurveInstrumentInfo" localSheetId="0">#REF!</definedName>
    <definedName name="xCurveInstrumentInfo">#REF!</definedName>
    <definedName name="xCurveInterpo" localSheetId="0">#REF!</definedName>
    <definedName name="xCurveInterpo">#REF!</definedName>
    <definedName name="xCurveName" localSheetId="0">#REF!</definedName>
    <definedName name="xCurveName">#REF!</definedName>
    <definedName name="xCurveOutput" localSheetId="0">#REF!</definedName>
    <definedName name="xCurveOutput">#REF!</definedName>
    <definedName name="xCurveType" localSheetId="0">#REF!</definedName>
    <definedName name="xCurveType">#REF!</definedName>
    <definedName name="xFLDS" localSheetId="0">#REF!</definedName>
    <definedName name="xFLDS">#REF!</definedName>
    <definedName name="xPCSSwap" localSheetId="0">#REF!</definedName>
    <definedName name="xPCSSwap">#REF!</definedName>
    <definedName name="xTenorG" localSheetId="0">#REF!</definedName>
    <definedName name="xTenorG">#REF!</definedName>
    <definedName name="_xlnm.Print_Area" localSheetId="0">'Etats Financiers-VAN 6,5%'!$A$1:$V$65</definedName>
    <definedName name="ZoneImpression_DÉFINIE" localSheetId="0">#REF!</definedName>
    <definedName name="ZoneImpression_DÉFINIE">#REF!</definedName>
    <definedName name="zTab_pos_vol_atm">#REF!</definedName>
    <definedName name="zTab_pos_vol_cap">#REF!</definedName>
    <definedName name="zTab_pos_vol_ot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0" i="1" l="1"/>
  <c r="J71" i="1"/>
  <c r="J52" i="1"/>
  <c r="L52" i="1"/>
  <c r="M52" i="1"/>
  <c r="N52" i="1" s="1"/>
  <c r="O52" i="1" s="1"/>
  <c r="G49" i="1" l="1"/>
  <c r="J78" i="1"/>
  <c r="I78" i="1"/>
  <c r="J72" i="1"/>
  <c r="J73" i="1" s="1"/>
  <c r="J75" i="1" s="1"/>
  <c r="K72" i="1" s="1"/>
  <c r="K67" i="1"/>
  <c r="J67" i="1"/>
  <c r="K64" i="1"/>
  <c r="K66" i="1" s="1"/>
  <c r="J64" i="1"/>
  <c r="J63" i="1"/>
  <c r="L62" i="1"/>
  <c r="M62" i="1" s="1"/>
  <c r="N62" i="1" s="1"/>
  <c r="O62" i="1" s="1"/>
  <c r="P62" i="1" s="1"/>
  <c r="Q62" i="1" s="1"/>
  <c r="R62" i="1" s="1"/>
  <c r="K60" i="1"/>
  <c r="J60" i="1"/>
  <c r="C60" i="1"/>
  <c r="K58" i="1"/>
  <c r="L57" i="1"/>
  <c r="K57" i="1"/>
  <c r="L56" i="1"/>
  <c r="K56" i="1"/>
  <c r="C55" i="1"/>
  <c r="K53" i="1"/>
  <c r="K55" i="1" s="1"/>
  <c r="J53" i="1"/>
  <c r="J51" i="1"/>
  <c r="J50" i="1"/>
  <c r="A50" i="1"/>
  <c r="N47" i="1"/>
  <c r="M47" i="1"/>
  <c r="G45" i="1"/>
  <c r="R47" i="1"/>
  <c r="Q47" i="1"/>
  <c r="P47" i="1"/>
  <c r="L47" i="1"/>
  <c r="V41" i="1"/>
  <c r="U41" i="1"/>
  <c r="T41" i="1"/>
  <c r="S41" i="1"/>
  <c r="R41" i="1"/>
  <c r="Q41" i="1"/>
  <c r="P41" i="1"/>
  <c r="O41" i="1"/>
  <c r="N41" i="1"/>
  <c r="M41" i="1"/>
  <c r="L41" i="1"/>
  <c r="K41" i="1"/>
  <c r="G40" i="1"/>
  <c r="G39" i="1"/>
  <c r="G38" i="1"/>
  <c r="V37" i="1"/>
  <c r="K37" i="1"/>
  <c r="P37" i="1"/>
  <c r="T22" i="1"/>
  <c r="S22" i="1"/>
  <c r="P22" i="1"/>
  <c r="O22" i="1"/>
  <c r="N22" i="1"/>
  <c r="N37" i="1"/>
  <c r="K31" i="1"/>
  <c r="J27" i="1"/>
  <c r="A27" i="1"/>
  <c r="M22" i="1"/>
  <c r="L22" i="1"/>
  <c r="K22" i="1"/>
  <c r="P21" i="1"/>
  <c r="O21" i="1"/>
  <c r="N21" i="1"/>
  <c r="M21" i="1"/>
  <c r="L21" i="1"/>
  <c r="I13" i="1"/>
  <c r="I12" i="1"/>
  <c r="I11" i="1"/>
  <c r="I9" i="1"/>
  <c r="Q7" i="1"/>
  <c r="G6" i="1"/>
  <c r="V7" i="1"/>
  <c r="V53" i="1" s="1"/>
  <c r="U7" i="1"/>
  <c r="U53" i="1" s="1"/>
  <c r="T7" i="1"/>
  <c r="S7" i="1"/>
  <c r="R7" i="1"/>
  <c r="P7" i="1"/>
  <c r="N7" i="1"/>
  <c r="M7" i="1"/>
  <c r="L7" i="1"/>
  <c r="K7" i="1"/>
  <c r="K8" i="1" s="1"/>
  <c r="I5" i="1"/>
  <c r="J4" i="1"/>
  <c r="K3" i="1"/>
  <c r="A3" i="1"/>
  <c r="L8" i="1" l="1"/>
  <c r="U37" i="1"/>
  <c r="U22" i="1"/>
  <c r="P53" i="1"/>
  <c r="R53" i="1"/>
  <c r="J66" i="1"/>
  <c r="T53" i="1"/>
  <c r="T8" i="1"/>
  <c r="K50" i="1"/>
  <c r="K27" i="1"/>
  <c r="K71" i="1"/>
  <c r="K4" i="1"/>
  <c r="R8" i="1"/>
  <c r="O37" i="1"/>
  <c r="L3" i="1"/>
  <c r="S8" i="1"/>
  <c r="J74" i="1"/>
  <c r="G35" i="1"/>
  <c r="Q22" i="1"/>
  <c r="G36" i="1"/>
  <c r="V8" i="1"/>
  <c r="G41" i="1"/>
  <c r="M53" i="1"/>
  <c r="M8" i="1"/>
  <c r="O47" i="1"/>
  <c r="G5" i="1"/>
  <c r="O7" i="1"/>
  <c r="S53" i="1"/>
  <c r="Q53" i="1"/>
  <c r="Q8" i="1"/>
  <c r="U8" i="1"/>
  <c r="R37" i="1"/>
  <c r="R22" i="1"/>
  <c r="S37" i="1"/>
  <c r="T37" i="1"/>
  <c r="J55" i="1"/>
  <c r="N8" i="1"/>
  <c r="N53" i="1"/>
  <c r="L53" i="1"/>
  <c r="G21" i="1"/>
  <c r="M56" i="1"/>
  <c r="V22" i="1"/>
  <c r="G22" i="1" l="1"/>
  <c r="O53" i="1"/>
  <c r="O8" i="1"/>
  <c r="L50" i="1"/>
  <c r="L71" i="1"/>
  <c r="L27" i="1"/>
  <c r="L4" i="1"/>
  <c r="M3" i="1"/>
  <c r="Q37" i="1"/>
  <c r="P8" i="1"/>
  <c r="G7" i="1"/>
  <c r="N56" i="1"/>
  <c r="M50" i="1" l="1"/>
  <c r="M27" i="1"/>
  <c r="M71" i="1"/>
  <c r="M4" i="1"/>
  <c r="N3" i="1"/>
  <c r="K13" i="1"/>
  <c r="P52" i="1"/>
  <c r="O56" i="1"/>
  <c r="L63" i="1" l="1"/>
  <c r="L13" i="1"/>
  <c r="L15" i="1" s="1"/>
  <c r="L16" i="1" s="1"/>
  <c r="N4" i="1"/>
  <c r="O3" i="1"/>
  <c r="N50" i="1"/>
  <c r="N71" i="1"/>
  <c r="N27" i="1"/>
  <c r="P56" i="1"/>
  <c r="Q52" i="1"/>
  <c r="K15" i="1"/>
  <c r="L28" i="1" l="1"/>
  <c r="L17" i="1"/>
  <c r="L20" i="1"/>
  <c r="L23" i="1" s="1"/>
  <c r="M63" i="1"/>
  <c r="M13" i="1"/>
  <c r="Q56" i="1"/>
  <c r="O71" i="1"/>
  <c r="O50" i="1"/>
  <c r="O4" i="1"/>
  <c r="P3" i="1"/>
  <c r="O27" i="1"/>
  <c r="R52" i="1"/>
  <c r="K16" i="1"/>
  <c r="L31" i="1"/>
  <c r="K17" i="1" l="1"/>
  <c r="K28" i="1"/>
  <c r="K20" i="1"/>
  <c r="M15" i="1"/>
  <c r="S52" i="1"/>
  <c r="M31" i="1"/>
  <c r="N63" i="1"/>
  <c r="N31" i="1" s="1"/>
  <c r="N13" i="1"/>
  <c r="N15" i="1" s="1"/>
  <c r="N16" i="1" s="1"/>
  <c r="R56" i="1"/>
  <c r="P71" i="1"/>
  <c r="Q3" i="1"/>
  <c r="P50" i="1"/>
  <c r="P27" i="1"/>
  <c r="P4" i="1"/>
  <c r="N28" i="1" l="1"/>
  <c r="N17" i="1"/>
  <c r="N20" i="1"/>
  <c r="N23" i="1" s="1"/>
  <c r="T52" i="1"/>
  <c r="S56" i="1"/>
  <c r="M16" i="1"/>
  <c r="Q27" i="1"/>
  <c r="Q50" i="1"/>
  <c r="Q71" i="1"/>
  <c r="R3" i="1"/>
  <c r="Q4" i="1"/>
  <c r="O63" i="1"/>
  <c r="O31" i="1" s="1"/>
  <c r="O13" i="1"/>
  <c r="K23" i="1"/>
  <c r="M28" i="1" l="1"/>
  <c r="M17" i="1"/>
  <c r="M20" i="1"/>
  <c r="O15" i="1"/>
  <c r="U52" i="1"/>
  <c r="K73" i="1"/>
  <c r="P63" i="1"/>
  <c r="P31" i="1" s="1"/>
  <c r="P13" i="1"/>
  <c r="P15" i="1" s="1"/>
  <c r="P16" i="1" s="1"/>
  <c r="R50" i="1"/>
  <c r="S3" i="1"/>
  <c r="R71" i="1"/>
  <c r="R27" i="1"/>
  <c r="R4" i="1"/>
  <c r="T56" i="1"/>
  <c r="U56" i="1" l="1"/>
  <c r="K75" i="1"/>
  <c r="L72" i="1" s="1"/>
  <c r="L73" i="1" s="1"/>
  <c r="K74" i="1"/>
  <c r="K24" i="1" s="1"/>
  <c r="S4" i="1"/>
  <c r="T3" i="1"/>
  <c r="S71" i="1"/>
  <c r="S50" i="1"/>
  <c r="S27" i="1"/>
  <c r="O16" i="1"/>
  <c r="V52" i="1"/>
  <c r="Q63" i="1"/>
  <c r="Q13" i="1"/>
  <c r="Q15" i="1" s="1"/>
  <c r="P28" i="1"/>
  <c r="P17" i="1"/>
  <c r="P20" i="1"/>
  <c r="P23" i="1" s="1"/>
  <c r="M23" i="1"/>
  <c r="Q16" i="1" l="1"/>
  <c r="O28" i="1"/>
  <c r="O17" i="1"/>
  <c r="O20" i="1"/>
  <c r="K30" i="1"/>
  <c r="K25" i="1"/>
  <c r="V56" i="1"/>
  <c r="R63" i="1"/>
  <c r="R15" i="1"/>
  <c r="R16" i="1" s="1"/>
  <c r="R13" i="1"/>
  <c r="T71" i="1"/>
  <c r="U3" i="1"/>
  <c r="T50" i="1"/>
  <c r="T27" i="1"/>
  <c r="T4" i="1"/>
  <c r="L75" i="1"/>
  <c r="M72" i="1" s="1"/>
  <c r="M73" i="1" s="1"/>
  <c r="L74" i="1"/>
  <c r="L24" i="1" s="1"/>
  <c r="Q31" i="1"/>
  <c r="M74" i="1" l="1"/>
  <c r="M24" i="1" s="1"/>
  <c r="M75" i="1"/>
  <c r="N72" i="1" s="1"/>
  <c r="N73" i="1" s="1"/>
  <c r="R31" i="1"/>
  <c r="L30" i="1"/>
  <c r="L32" i="1" s="1"/>
  <c r="L25" i="1"/>
  <c r="L58" i="1" s="1"/>
  <c r="O23" i="1"/>
  <c r="R17" i="1"/>
  <c r="R28" i="1"/>
  <c r="R20" i="1"/>
  <c r="R23" i="1" s="1"/>
  <c r="S63" i="1"/>
  <c r="S31" i="1" s="1"/>
  <c r="S13" i="1"/>
  <c r="S15" i="1" s="1"/>
  <c r="S16" i="1" s="1"/>
  <c r="K32" i="1"/>
  <c r="U50" i="1"/>
  <c r="U71" i="1"/>
  <c r="U27" i="1"/>
  <c r="U4" i="1"/>
  <c r="V3" i="1"/>
  <c r="Q20" i="1"/>
  <c r="Q23" i="1" s="1"/>
  <c r="Q17" i="1"/>
  <c r="Q28" i="1"/>
  <c r="S28" i="1" l="1"/>
  <c r="S17" i="1"/>
  <c r="S20" i="1"/>
  <c r="S23" i="1" s="1"/>
  <c r="V27" i="1"/>
  <c r="V4" i="1"/>
  <c r="V50" i="1"/>
  <c r="V71" i="1"/>
  <c r="T63" i="1"/>
  <c r="T31" i="1" s="1"/>
  <c r="T13" i="1"/>
  <c r="T15" i="1" s="1"/>
  <c r="T16" i="1" s="1"/>
  <c r="M30" i="1"/>
  <c r="M32" i="1" s="1"/>
  <c r="M25" i="1"/>
  <c r="M58" i="1" s="1"/>
  <c r="M57" i="1"/>
  <c r="L60" i="1"/>
  <c r="L64" i="1" s="1"/>
  <c r="N74" i="1"/>
  <c r="N24" i="1" s="1"/>
  <c r="N75" i="1"/>
  <c r="O72" i="1" s="1"/>
  <c r="O73" i="1" s="1"/>
  <c r="T28" i="1" l="1"/>
  <c r="T17" i="1"/>
  <c r="T20" i="1"/>
  <c r="T23" i="1" s="1"/>
  <c r="O74" i="1"/>
  <c r="O24" i="1" s="1"/>
  <c r="O75" i="1"/>
  <c r="P72" i="1" s="1"/>
  <c r="P73" i="1" s="1"/>
  <c r="N57" i="1"/>
  <c r="M60" i="1"/>
  <c r="M64" i="1" s="1"/>
  <c r="U31" i="1"/>
  <c r="K43" i="1"/>
  <c r="N30" i="1"/>
  <c r="N32" i="1" s="1"/>
  <c r="N25" i="1"/>
  <c r="G11" i="1"/>
  <c r="G12" i="1"/>
  <c r="U63" i="1"/>
  <c r="U13" i="1"/>
  <c r="U15" i="1" s="1"/>
  <c r="U16" i="1" s="1"/>
  <c r="U28" i="1" l="1"/>
  <c r="U20" i="1"/>
  <c r="U23" i="1" s="1"/>
  <c r="U17" i="1"/>
  <c r="V63" i="1"/>
  <c r="V31" i="1" s="1"/>
  <c r="G31" i="1" s="1"/>
  <c r="V13" i="1"/>
  <c r="G13" i="1" s="1"/>
  <c r="G9" i="1"/>
  <c r="P75" i="1"/>
  <c r="Q72" i="1" s="1"/>
  <c r="Q73" i="1" s="1"/>
  <c r="P74" i="1"/>
  <c r="P24" i="1" s="1"/>
  <c r="O30" i="1"/>
  <c r="O25" i="1"/>
  <c r="O58" i="1" s="1"/>
  <c r="K47" i="1"/>
  <c r="G43" i="1"/>
  <c r="N60" i="1"/>
  <c r="N64" i="1" s="1"/>
  <c r="N58" i="1"/>
  <c r="O57" i="1" s="1"/>
  <c r="K46" i="1"/>
  <c r="P57" i="1" l="1"/>
  <c r="O60" i="1"/>
  <c r="O64" i="1" s="1"/>
  <c r="O32" i="1"/>
  <c r="P30" i="1"/>
  <c r="P32" i="1" s="1"/>
  <c r="P46" i="1" s="1"/>
  <c r="P25" i="1"/>
  <c r="P58" i="1" s="1"/>
  <c r="Q75" i="1"/>
  <c r="R72" i="1" s="1"/>
  <c r="R73" i="1" s="1"/>
  <c r="Q74" i="1"/>
  <c r="Q24" i="1" s="1"/>
  <c r="R48" i="1"/>
  <c r="P48" i="1"/>
  <c r="N48" i="1"/>
  <c r="Q48" i="1"/>
  <c r="O48" i="1"/>
  <c r="V15" i="1"/>
  <c r="N46" i="1"/>
  <c r="Q30" i="1" l="1"/>
  <c r="Q32" i="1" s="1"/>
  <c r="Q46" i="1" s="1"/>
  <c r="Q25" i="1"/>
  <c r="Q58" i="1" s="1"/>
  <c r="V16" i="1"/>
  <c r="G15" i="1"/>
  <c r="R74" i="1"/>
  <c r="R24" i="1" s="1"/>
  <c r="R75" i="1"/>
  <c r="S72" i="1" s="1"/>
  <c r="S73" i="1" s="1"/>
  <c r="Q57" i="1"/>
  <c r="P60" i="1"/>
  <c r="P64" i="1" s="1"/>
  <c r="S74" i="1" l="1"/>
  <c r="S24" i="1" s="1"/>
  <c r="S75" i="1"/>
  <c r="T72" i="1" s="1"/>
  <c r="T73" i="1" s="1"/>
  <c r="V20" i="1"/>
  <c r="V28" i="1"/>
  <c r="V17" i="1"/>
  <c r="G16" i="1"/>
  <c r="G17" i="1" s="1"/>
  <c r="R57" i="1"/>
  <c r="Q60" i="1"/>
  <c r="Q64" i="1" s="1"/>
  <c r="O46" i="1"/>
  <c r="R30" i="1"/>
  <c r="R32" i="1" s="1"/>
  <c r="R25" i="1"/>
  <c r="R58" i="1" s="1"/>
  <c r="R42" i="1" l="1"/>
  <c r="T75" i="1"/>
  <c r="U72" i="1" s="1"/>
  <c r="U73" i="1" s="1"/>
  <c r="T74" i="1"/>
  <c r="T24" i="1" s="1"/>
  <c r="S57" i="1"/>
  <c r="R60" i="1"/>
  <c r="R64" i="1" s="1"/>
  <c r="G28" i="1"/>
  <c r="V23" i="1"/>
  <c r="G20" i="1"/>
  <c r="S30" i="1"/>
  <c r="S32" i="1" s="1"/>
  <c r="S42" i="1" s="1"/>
  <c r="S25" i="1"/>
  <c r="S58" i="1" s="1"/>
  <c r="G23" i="1" l="1"/>
  <c r="T57" i="1"/>
  <c r="S60" i="1"/>
  <c r="T30" i="1"/>
  <c r="T32" i="1" s="1"/>
  <c r="T42" i="1" s="1"/>
  <c r="T25" i="1"/>
  <c r="T58" i="1" s="1"/>
  <c r="U74" i="1"/>
  <c r="U24" i="1" s="1"/>
  <c r="U75" i="1"/>
  <c r="V72" i="1" s="1"/>
  <c r="V73" i="1" s="1"/>
  <c r="R46" i="1"/>
  <c r="V75" i="1" l="1"/>
  <c r="V74" i="1"/>
  <c r="V24" i="1" s="1"/>
  <c r="U57" i="1"/>
  <c r="T60" i="1"/>
  <c r="U30" i="1"/>
  <c r="U32" i="1" s="1"/>
  <c r="U42" i="1" s="1"/>
  <c r="U25" i="1"/>
  <c r="U58" i="1" s="1"/>
  <c r="V57" i="1" l="1"/>
  <c r="U60" i="1"/>
  <c r="V30" i="1"/>
  <c r="G24" i="1"/>
  <c r="V25" i="1"/>
  <c r="V58" i="1" l="1"/>
  <c r="G25" i="1"/>
  <c r="V60" i="1"/>
  <c r="G30" i="1"/>
  <c r="V32" i="1"/>
  <c r="V42" i="1" l="1"/>
  <c r="G32" i="1"/>
  <c r="L37" i="1" l="1"/>
  <c r="L51" i="1"/>
  <c r="M51" i="1" l="1"/>
  <c r="N51" i="1" l="1"/>
  <c r="L46" i="1"/>
  <c r="M37" i="1"/>
  <c r="G33" i="1"/>
  <c r="G37" i="1" l="1"/>
  <c r="L54" i="1"/>
  <c r="O51" i="1"/>
  <c r="L67" i="1" l="1"/>
  <c r="L55" i="1"/>
  <c r="L66" i="1" s="1"/>
  <c r="P51" i="1"/>
  <c r="M46" i="1"/>
  <c r="G42" i="1"/>
  <c r="M54" i="1" l="1"/>
  <c r="Q51" i="1"/>
  <c r="R51" i="1" l="1"/>
  <c r="M67" i="1"/>
  <c r="N54" i="1"/>
  <c r="M55" i="1"/>
  <c r="M66" i="1" s="1"/>
  <c r="N67" i="1" l="1"/>
  <c r="O54" i="1"/>
  <c r="N55" i="1"/>
  <c r="N66" i="1" s="1"/>
  <c r="S51" i="1"/>
  <c r="T51" i="1" l="1"/>
  <c r="P54" i="1"/>
  <c r="O67" i="1"/>
  <c r="O55" i="1"/>
  <c r="O66" i="1" s="1"/>
  <c r="U51" i="1" l="1"/>
  <c r="Q54" i="1"/>
  <c r="P67" i="1"/>
  <c r="P55" i="1"/>
  <c r="P66" i="1" s="1"/>
  <c r="R54" i="1" l="1"/>
  <c r="Q67" i="1"/>
  <c r="Q55" i="1"/>
  <c r="Q66" i="1" s="1"/>
  <c r="V51" i="1"/>
  <c r="R67" i="1" l="1"/>
  <c r="S44" i="1"/>
  <c r="R55" i="1"/>
  <c r="R66" i="1" s="1"/>
  <c r="S47" i="1" l="1"/>
  <c r="S62" i="1"/>
  <c r="S64" i="1" s="1"/>
  <c r="S46" i="1"/>
  <c r="S54" i="1" l="1"/>
  <c r="S48" i="1"/>
  <c r="S67" i="1" l="1"/>
  <c r="T44" i="1"/>
  <c r="S55" i="1"/>
  <c r="S66" i="1" s="1"/>
  <c r="T62" i="1" l="1"/>
  <c r="T47" i="1"/>
  <c r="T46" i="1"/>
  <c r="T54" i="1" l="1"/>
  <c r="T48" i="1"/>
  <c r="T64" i="1"/>
  <c r="T67" i="1" l="1"/>
  <c r="U44" i="1"/>
  <c r="T55" i="1"/>
  <c r="T66" i="1" s="1"/>
  <c r="U47" i="1" l="1"/>
  <c r="U46" i="1"/>
  <c r="U62" i="1"/>
  <c r="U64" i="1" l="1"/>
  <c r="U54" i="1"/>
  <c r="U48" i="1"/>
  <c r="U67" i="1" l="1"/>
  <c r="V44" i="1"/>
  <c r="U55" i="1"/>
  <c r="U66" i="1" s="1"/>
  <c r="V47" i="1" l="1"/>
  <c r="V46" i="1"/>
  <c r="G44" i="1"/>
  <c r="V62" i="1"/>
  <c r="V64" i="1" s="1"/>
  <c r="G46" i="1" l="1"/>
  <c r="V54" i="1"/>
  <c r="V48" i="1"/>
  <c r="C66" i="1"/>
  <c r="V67" i="1" l="1"/>
  <c r="V55" i="1"/>
  <c r="V66" i="1" s="1"/>
  <c r="J68" i="1" l="1"/>
  <c r="C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</author>
  </authors>
  <commentList>
    <comment ref="M34" authorId="0" shapeId="0" xr:uid="{763F6070-8363-40BB-B889-0DF4200176A3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1</t>
        </r>
      </text>
    </comment>
    <comment ref="N34" authorId="0" shapeId="0" xr:uid="{FDF71853-80E9-4129-BD9B-98D922A10770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2</t>
        </r>
      </text>
    </comment>
    <comment ref="O34" authorId="0" shapeId="0" xr:uid="{B41A73F9-9BDD-437A-A678-BC265DF42428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3</t>
        </r>
      </text>
    </comment>
    <comment ref="P34" authorId="0" shapeId="0" xr:uid="{7B518915-E78A-4378-BC71-A656DF871885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4</t>
        </r>
      </text>
    </comment>
    <comment ref="O44" authorId="0" shapeId="0" xr:uid="{74880D82-4049-45BB-8379-195EF29E1713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Remboursement K+i  prêt à ABV</t>
        </r>
      </text>
    </comment>
  </commentList>
</comments>
</file>

<file path=xl/sharedStrings.xml><?xml version="1.0" encoding="utf-8"?>
<sst xmlns="http://schemas.openxmlformats.org/spreadsheetml/2006/main" count="70" uniqueCount="64">
  <si>
    <t xml:space="preserve">TRI </t>
  </si>
  <si>
    <t>Total</t>
  </si>
  <si>
    <t>P&amp;L in k€</t>
  </si>
  <si>
    <t>Flag</t>
  </si>
  <si>
    <t>CA - Développement</t>
  </si>
  <si>
    <t>CA - Management fees</t>
  </si>
  <si>
    <t>CA</t>
  </si>
  <si>
    <t>Frais de développement projet</t>
  </si>
  <si>
    <t>Masse salariale</t>
  </si>
  <si>
    <t>Frais administratifs &amp; juridique</t>
  </si>
  <si>
    <t>Taxes diverses</t>
  </si>
  <si>
    <t>Frais de cessions SPV</t>
  </si>
  <si>
    <t>Total Opex</t>
  </si>
  <si>
    <t>EBITDA</t>
  </si>
  <si>
    <t>% EBITDA</t>
  </si>
  <si>
    <t>EBIT</t>
  </si>
  <si>
    <t>Frais financiers</t>
  </si>
  <si>
    <t>Produits financiers</t>
  </si>
  <si>
    <t>RCAI</t>
  </si>
  <si>
    <t>Corporate tax rate (%)</t>
  </si>
  <si>
    <t>IS</t>
  </si>
  <si>
    <t>RN</t>
  </si>
  <si>
    <t>CF in k€</t>
  </si>
  <si>
    <t>EBITDA hors prod. Stockée</t>
  </si>
  <si>
    <t>Variation BFR</t>
  </si>
  <si>
    <t>Operating  CF</t>
  </si>
  <si>
    <t>Investissements/Vente CCA Grappes</t>
  </si>
  <si>
    <t>PF-Plus-Value vente des grappes</t>
  </si>
  <si>
    <t>Remboursements</t>
  </si>
  <si>
    <t>Investing  CF</t>
  </si>
  <si>
    <t>Financing CF</t>
  </si>
  <si>
    <t>CF available for Equity</t>
  </si>
  <si>
    <t>CCA drawdown</t>
  </si>
  <si>
    <t>CCA repayment (interest &amp; principal)</t>
  </si>
  <si>
    <t>CF to Dividends</t>
  </si>
  <si>
    <t>Net CF</t>
  </si>
  <si>
    <t>CF to TRI</t>
  </si>
  <si>
    <t xml:space="preserve">TRI annuel </t>
  </si>
  <si>
    <t>BS in k€</t>
  </si>
  <si>
    <t>Actifs financiers</t>
  </si>
  <si>
    <t xml:space="preserve">Immo </t>
  </si>
  <si>
    <t>Actif circulant</t>
  </si>
  <si>
    <t>Trésorerie</t>
  </si>
  <si>
    <t>Total uses</t>
  </si>
  <si>
    <t>Total assets</t>
  </si>
  <si>
    <t>Capital</t>
  </si>
  <si>
    <t>Retained earnings</t>
  </si>
  <si>
    <t>Net income</t>
  </si>
  <si>
    <t>Total Sources</t>
  </si>
  <si>
    <t>Equity</t>
  </si>
  <si>
    <t>Avances remboursables</t>
  </si>
  <si>
    <t>CCA</t>
  </si>
  <si>
    <t>Passif circulant</t>
  </si>
  <si>
    <t>Total liabilities</t>
  </si>
  <si>
    <t>IRR - equity</t>
  </si>
  <si>
    <t>Check</t>
  </si>
  <si>
    <t>Master Check</t>
  </si>
  <si>
    <t>Calculs</t>
  </si>
  <si>
    <t>Calcul IS</t>
  </si>
  <si>
    <t>Pertes fiscales BoP</t>
  </si>
  <si>
    <t>Base taxable</t>
  </si>
  <si>
    <t xml:space="preserve">IS </t>
  </si>
  <si>
    <t>Pertes fiscales EoP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</si>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</sst>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#,##0&quot; kWc&quot;"/>
    <numFmt numFmtId="165" formatCode="0.0%"/>
    <numFmt numFmtId="166" formatCode="&quot;Y&quot;0"/>
    <numFmt numFmtId="167" formatCode="0.00&quot; €/kWc&quot;"/>
    <numFmt numFmtId="168" formatCode="#\ ##0&quot; k€&quot;"/>
    <numFmt numFmtId="169" formatCode="_-* #,##0_-;\-* #,##0_-;_-* &quot;-&quot;??_-;_-@_-"/>
    <numFmt numFmtId="170" formatCode="0.00&quot; €/m2&quot;"/>
    <numFmt numFmtId="171" formatCode="#,##0.0000"/>
    <numFmt numFmtId="172" formatCode="0&quot; ans&quot;"/>
    <numFmt numFmtId="173" formatCode="0.0&quot; ans&quot;"/>
    <numFmt numFmtId="174" formatCode="#,##0,;\(#,##0,\)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</font>
    <font>
      <sz val="9"/>
      <name val="Garamond"/>
      <family val="1"/>
    </font>
    <font>
      <sz val="11"/>
      <color rgb="FF006FBB"/>
      <name val="Calibri"/>
      <family val="2"/>
    </font>
    <font>
      <b/>
      <sz val="11"/>
      <name val="Calibri"/>
      <family val="2"/>
    </font>
    <font>
      <b/>
      <sz val="9"/>
      <name val="Garamond"/>
      <family val="1"/>
    </font>
    <font>
      <b/>
      <i/>
      <sz val="11"/>
      <name val="Calibri"/>
      <family val="2"/>
    </font>
    <font>
      <sz val="11"/>
      <color theme="0" tint="-0.34998626667073579"/>
      <name val="Calibri"/>
      <family val="2"/>
    </font>
    <font>
      <i/>
      <sz val="11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1"/>
      <color rgb="FF00B05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i/>
      <sz val="11"/>
      <color rgb="FF006FBB"/>
      <name val="Calibri"/>
      <family val="2"/>
    </font>
    <font>
      <b/>
      <sz val="11"/>
      <color rgb="FF006FBB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499984740745262"/>
        <bgColor theme="0" tint="-4.9989318521683403E-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FBB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116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165" fontId="6" fillId="4" borderId="1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2" fontId="9" fillId="3" borderId="0" xfId="0" applyNumberFormat="1" applyFont="1" applyFill="1" applyAlignment="1">
      <alignment horizontal="left" vertical="center"/>
    </xf>
    <xf numFmtId="3" fontId="3" fillId="3" borderId="2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2" fontId="9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67" fontId="3" fillId="3" borderId="0" xfId="0" applyNumberFormat="1" applyFont="1" applyFill="1" applyAlignment="1">
      <alignment horizontal="center" vertical="center"/>
    </xf>
    <xf numFmtId="168" fontId="3" fillId="3" borderId="0" xfId="0" applyNumberFormat="1" applyFont="1" applyFill="1" applyAlignment="1">
      <alignment horizontal="right" vertical="center"/>
    </xf>
    <xf numFmtId="10" fontId="5" fillId="3" borderId="0" xfId="2" applyNumberFormat="1" applyFont="1" applyFill="1" applyAlignment="1">
      <alignment horizontal="center" vertical="center"/>
    </xf>
    <xf numFmtId="3" fontId="5" fillId="3" borderId="0" xfId="0" applyNumberFormat="1" applyFont="1" applyFill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169" fontId="3" fillId="6" borderId="1" xfId="1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3" fontId="6" fillId="6" borderId="0" xfId="0" applyNumberFormat="1" applyFont="1" applyFill="1" applyAlignment="1">
      <alignment horizontal="center" vertical="center"/>
    </xf>
    <xf numFmtId="3" fontId="3" fillId="6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right" vertical="center"/>
    </xf>
    <xf numFmtId="3" fontId="3" fillId="6" borderId="0" xfId="0" applyNumberFormat="1" applyFont="1" applyFill="1" applyAlignment="1">
      <alignment horizontal="center" vertical="center"/>
    </xf>
    <xf numFmtId="9" fontId="10" fillId="6" borderId="3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Alignment="1">
      <alignment horizontal="right" vertical="center"/>
    </xf>
    <xf numFmtId="0" fontId="11" fillId="3" borderId="0" xfId="0" applyFont="1" applyFill="1" applyAlignment="1">
      <alignment horizontal="left" vertical="center"/>
    </xf>
    <xf numFmtId="3" fontId="11" fillId="3" borderId="0" xfId="0" applyNumberFormat="1" applyFont="1" applyFill="1" applyAlignment="1">
      <alignment horizontal="center" vertical="center"/>
    </xf>
    <xf numFmtId="170" fontId="5" fillId="3" borderId="0" xfId="0" applyNumberFormat="1" applyFont="1" applyFill="1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171" fontId="5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3" fontId="10" fillId="3" borderId="0" xfId="0" applyNumberFormat="1" applyFont="1" applyFill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left" vertical="center"/>
    </xf>
    <xf numFmtId="9" fontId="11" fillId="3" borderId="0" xfId="0" applyNumberFormat="1" applyFont="1" applyFill="1" applyAlignment="1">
      <alignment horizontal="center" vertical="center"/>
    </xf>
    <xf numFmtId="172" fontId="5" fillId="3" borderId="0" xfId="0" applyNumberFormat="1" applyFont="1" applyFill="1" applyAlignment="1">
      <alignment horizontal="center" vertical="center"/>
    </xf>
    <xf numFmtId="9" fontId="11" fillId="6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172" fontId="11" fillId="3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3" fontId="5" fillId="3" borderId="0" xfId="3" applyNumberFormat="1" applyFont="1" applyFill="1" applyAlignment="1" applyProtection="1">
      <alignment horizontal="center" vertical="center"/>
      <protection locked="0"/>
    </xf>
    <xf numFmtId="172" fontId="11" fillId="3" borderId="0" xfId="0" applyNumberFormat="1" applyFont="1" applyFill="1" applyAlignment="1">
      <alignment horizontal="left" vertical="center"/>
    </xf>
    <xf numFmtId="10" fontId="11" fillId="3" borderId="0" xfId="0" applyNumberFormat="1" applyFont="1" applyFill="1" applyAlignment="1">
      <alignment horizontal="center" vertical="center"/>
    </xf>
    <xf numFmtId="10" fontId="11" fillId="3" borderId="0" xfId="0" applyNumberFormat="1" applyFont="1" applyFill="1" applyAlignment="1">
      <alignment horizontal="left" vertical="center"/>
    </xf>
    <xf numFmtId="10" fontId="5" fillId="3" borderId="0" xfId="0" applyNumberFormat="1" applyFont="1" applyFill="1" applyAlignment="1">
      <alignment horizontal="center" vertical="center"/>
    </xf>
    <xf numFmtId="3" fontId="3" fillId="8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3" fontId="13" fillId="3" borderId="0" xfId="0" applyNumberFormat="1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3" fontId="3" fillId="9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3" fontId="14" fillId="6" borderId="0" xfId="0" applyNumberFormat="1" applyFont="1" applyFill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3" fontId="13" fillId="3" borderId="4" xfId="0" applyNumberFormat="1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15" fillId="3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9" fontId="11" fillId="3" borderId="0" xfId="2" applyFont="1" applyFill="1" applyBorder="1" applyAlignment="1">
      <alignment horizontal="center" vertical="center"/>
    </xf>
    <xf numFmtId="165" fontId="11" fillId="3" borderId="0" xfId="2" applyNumberFormat="1" applyFont="1" applyFill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3" fontId="3" fillId="8" borderId="1" xfId="0" applyNumberFormat="1" applyFont="1" applyFill="1" applyBorder="1" applyAlignment="1">
      <alignment horizontal="center" vertical="center"/>
    </xf>
    <xf numFmtId="173" fontId="11" fillId="3" borderId="0" xfId="0" applyNumberFormat="1" applyFont="1" applyFill="1" applyAlignment="1">
      <alignment horizontal="center" vertical="center"/>
    </xf>
    <xf numFmtId="165" fontId="3" fillId="3" borderId="0" xfId="2" applyNumberFormat="1" applyFont="1" applyFill="1" applyAlignment="1">
      <alignment horizontal="center" vertical="center"/>
    </xf>
    <xf numFmtId="174" fontId="1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9" fontId="11" fillId="0" borderId="0" xfId="1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173" fontId="3" fillId="3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0" fontId="2" fillId="10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16" fillId="7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/>
    </xf>
    <xf numFmtId="0" fontId="3" fillId="3" borderId="4" xfId="3" applyFont="1" applyFill="1" applyBorder="1" applyAlignment="1">
      <alignment vertical="center"/>
    </xf>
    <xf numFmtId="166" fontId="17" fillId="3" borderId="1" xfId="0" applyNumberFormat="1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3" borderId="3" xfId="3" applyFont="1" applyFill="1" applyBorder="1" applyAlignment="1">
      <alignment vertical="center"/>
    </xf>
    <xf numFmtId="3" fontId="1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3" fontId="3" fillId="9" borderId="1" xfId="0" applyNumberFormat="1" applyFont="1" applyFill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 2" xfId="3" xr:uid="{8CAC487F-683A-49E1-93E8-A3D9200E1967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Trésorerie- Option A- VAN = 6,5%</a:t>
            </a:r>
          </a:p>
        </c:rich>
      </c:tx>
      <c:layout>
        <c:manualLayout>
          <c:xMode val="edge"/>
          <c:yMode val="edge"/>
          <c:x val="0.30704599165231072"/>
          <c:y val="1.83446598006666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6895777274727129E-2"/>
          <c:y val="8.5715180268262914E-2"/>
          <c:w val="0.90298370285483032"/>
          <c:h val="0.830917097349679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'Etats Financiers-VAN 6,5%'!$I$54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rgbClr val="CC99FF"/>
            </a:solidFill>
            <a:ln>
              <a:noFill/>
            </a:ln>
            <a:effectLst/>
          </c:spPr>
          <c:invertIfNegative val="0"/>
          <c:dLbls>
            <c:dLbl>
              <c:idx val="8"/>
              <c:layout>
                <c:manualLayout>
                  <c:x val="2.435299413683215E-3"/>
                  <c:y val="-2.9390286610262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A6-4267-AB5E-9B0F582C802C}"/>
                </c:ext>
              </c:extLst>
            </c:dLbl>
            <c:dLbl>
              <c:idx val="9"/>
              <c:layout>
                <c:manualLayout>
                  <c:x val="9.1592076761550737E-3"/>
                  <c:y val="-6.77401286204344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A6-4267-AB5E-9B0F582C802C}"/>
                </c:ext>
              </c:extLst>
            </c:dLbl>
            <c:dLbl>
              <c:idx val="10"/>
              <c:layout>
                <c:manualLayout>
                  <c:x val="0"/>
                  <c:y val="-1.579400832530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DA6-4267-AB5E-9B0F582C802C}"/>
                </c:ext>
              </c:extLst>
            </c:dLbl>
            <c:dLbl>
              <c:idx val="11"/>
              <c:layout>
                <c:manualLayout>
                  <c:x val="1.6367892785699358E-2"/>
                  <c:y val="3.15880166506156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A6-4267-AB5E-9B0F582C802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'Etats Financiers-VAN 6,5%'!$J$3:$W$3</c:f>
              <c:numCache>
                <c:formatCode>General</c:formatCode>
                <c:ptCount val="14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</c:numCache>
            </c:numRef>
          </c:cat>
          <c:val>
            <c:numRef>
              <c:f>'Etats Financiers-VAN 6,5%'!$J$54:$U$54</c:f>
              <c:numCache>
                <c:formatCode>#,##0</c:formatCode>
                <c:ptCount val="12"/>
                <c:pt idx="0">
                  <c:v>26337</c:v>
                </c:pt>
                <c:pt idx="1">
                  <c:v>133207.12</c:v>
                </c:pt>
                <c:pt idx="2">
                  <c:v>748123.43628039677</c:v>
                </c:pt>
                <c:pt idx="3">
                  <c:v>1346261.5676844916</c:v>
                </c:pt>
                <c:pt idx="4">
                  <c:v>1927656.3879476553</c:v>
                </c:pt>
                <c:pt idx="5">
                  <c:v>3137072.5027453629</c:v>
                </c:pt>
                <c:pt idx="6">
                  <c:v>2716703.3969453629</c:v>
                </c:pt>
                <c:pt idx="7">
                  <c:v>2300204.951385363</c:v>
                </c:pt>
                <c:pt idx="8">
                  <c:v>1906472.451385363</c:v>
                </c:pt>
                <c:pt idx="9">
                  <c:v>1305237.0213853628</c:v>
                </c:pt>
                <c:pt idx="10">
                  <c:v>1305237.0213853628</c:v>
                </c:pt>
                <c:pt idx="11">
                  <c:v>1305237.0213853628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A6-4267-AB5E-9B0F582C8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1013895"/>
        <c:axId val="675460615"/>
      </c:barChart>
      <c:catAx>
        <c:axId val="551013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460615"/>
        <c:crosses val="autoZero"/>
        <c:auto val="1"/>
        <c:lblAlgn val="ctr"/>
        <c:lblOffset val="100"/>
        <c:noMultiLvlLbl val="0"/>
      </c:catAx>
      <c:valAx>
        <c:axId val="67546061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551013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41179</xdr:colOff>
      <xdr:row>21</xdr:row>
      <xdr:rowOff>146415</xdr:rowOff>
    </xdr:from>
    <xdr:to>
      <xdr:col>6</xdr:col>
      <xdr:colOff>190499</xdr:colOff>
      <xdr:row>46</xdr:row>
      <xdr:rowOff>27882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7E9E513-4521-4EDF-85BC-2293FD7CC990}"/>
            </a:ext>
            <a:ext uri="{147F2762-F138-4A5C-976F-8EAC2B608ADB}">
              <a16:predDERef xmlns:a16="http://schemas.microsoft.com/office/drawing/2014/main" pred="{4CF1B1E1-6227-C9EC-6C71-FABA0D9761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68CE4-6428-45BA-BDA8-9796EE4D29FD}">
  <sheetPr>
    <tabColor rgb="FFCC99FF"/>
    <pageSetUpPr fitToPage="1"/>
  </sheetPr>
  <dimension ref="A1:V80"/>
  <sheetViews>
    <sheetView showGridLines="0" tabSelected="1" zoomScale="88" zoomScaleNormal="88" workbookViewId="0">
      <pane ySplit="4" topLeftCell="A58" activePane="bottomLeft" state="frozen"/>
      <selection activeCell="B9" sqref="B9"/>
      <selection pane="bottomLeft" activeCell="C71" sqref="C71"/>
    </sheetView>
  </sheetViews>
  <sheetFormatPr baseColWidth="10" defaultColWidth="14.85546875" defaultRowHeight="12" x14ac:dyDescent="0.25"/>
  <cols>
    <col min="1" max="1" width="22.85546875" style="79" customWidth="1"/>
    <col min="2" max="2" width="15" style="107" customWidth="1"/>
    <col min="3" max="3" width="16.28515625" style="79" bestFit="1" customWidth="1"/>
    <col min="4" max="5" width="12" style="79" customWidth="1"/>
    <col min="6" max="6" width="1.140625" style="79" customWidth="1"/>
    <col min="7" max="7" width="15.85546875" style="79" customWidth="1"/>
    <col min="8" max="8" width="1.5703125" style="79" customWidth="1"/>
    <col min="9" max="9" width="25" style="79" customWidth="1"/>
    <col min="10" max="10" width="11.140625" style="79" bestFit="1" customWidth="1"/>
    <col min="11" max="11" width="10.42578125" style="79" bestFit="1" customWidth="1"/>
    <col min="12" max="12" width="13.7109375" style="79" bestFit="1" customWidth="1"/>
    <col min="13" max="13" width="12.28515625" style="79" customWidth="1"/>
    <col min="14" max="14" width="14.28515625" style="79" customWidth="1"/>
    <col min="15" max="15" width="10.42578125" style="79" bestFit="1" customWidth="1"/>
    <col min="16" max="16" width="13.140625" style="79" customWidth="1"/>
    <col min="17" max="18" width="14.28515625" style="79" customWidth="1"/>
    <col min="19" max="19" width="12.140625" style="79" customWidth="1"/>
    <col min="20" max="21" width="12.85546875" style="79" customWidth="1"/>
    <col min="22" max="22" width="14.7109375" style="79" customWidth="1"/>
    <col min="23" max="16384" width="14.85546875" style="79"/>
  </cols>
  <sheetData>
    <row r="1" spans="1:22" s="3" customFormat="1" ht="12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8" customFormat="1" ht="12" customHeight="1" x14ac:dyDescent="0.25">
      <c r="A2" s="4"/>
      <c r="B2" s="5" t="s">
        <v>0</v>
      </c>
      <c r="C2" s="6" t="str">
        <f>IF(J68&gt;0,"Erreur",TEXT(C66,"#,0%"))</f>
        <v>Erreur</v>
      </c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s="15" customFormat="1" ht="15" x14ac:dyDescent="0.25">
      <c r="A3" s="9" t="str">
        <f>I3</f>
        <v>P&amp;L in k€</v>
      </c>
      <c r="B3" s="10"/>
      <c r="C3" s="10"/>
      <c r="D3" s="10"/>
      <c r="E3" s="10"/>
      <c r="F3" s="11"/>
      <c r="G3" s="12" t="s">
        <v>1</v>
      </c>
      <c r="H3" s="11"/>
      <c r="I3" s="13" t="s">
        <v>2</v>
      </c>
      <c r="J3" s="14">
        <v>2023</v>
      </c>
      <c r="K3" s="14">
        <f>J3+1</f>
        <v>2024</v>
      </c>
      <c r="L3" s="14">
        <f t="shared" ref="L3:V3" si="0">K3+1</f>
        <v>2025</v>
      </c>
      <c r="M3" s="14">
        <f t="shared" si="0"/>
        <v>2026</v>
      </c>
      <c r="N3" s="14">
        <f t="shared" si="0"/>
        <v>2027</v>
      </c>
      <c r="O3" s="14">
        <f t="shared" si="0"/>
        <v>2028</v>
      </c>
      <c r="P3" s="14">
        <f t="shared" si="0"/>
        <v>2029</v>
      </c>
      <c r="Q3" s="14">
        <f t="shared" si="0"/>
        <v>2030</v>
      </c>
      <c r="R3" s="14">
        <f t="shared" si="0"/>
        <v>2031</v>
      </c>
      <c r="S3" s="14">
        <f t="shared" si="0"/>
        <v>2032</v>
      </c>
      <c r="T3" s="14">
        <f t="shared" si="0"/>
        <v>2033</v>
      </c>
      <c r="U3" s="14">
        <f t="shared" si="0"/>
        <v>2034</v>
      </c>
      <c r="V3" s="14">
        <f t="shared" si="0"/>
        <v>2035</v>
      </c>
    </row>
    <row r="4" spans="1:22" s="8" customFormat="1" ht="15" x14ac:dyDescent="0.25">
      <c r="A4" s="16" t="s">
        <v>3</v>
      </c>
      <c r="B4" s="17"/>
      <c r="C4" s="18"/>
      <c r="D4" s="19"/>
      <c r="E4" s="20"/>
      <c r="F4" s="7"/>
      <c r="G4" s="21"/>
      <c r="H4" s="7"/>
      <c r="I4" s="22"/>
      <c r="J4" s="23">
        <f>1*OR(J$3&lt;2030,J$7&gt;0)</f>
        <v>1</v>
      </c>
      <c r="K4" s="23">
        <f>1*OR(K$3&lt;2030,K$7&gt;0)</f>
        <v>1</v>
      </c>
      <c r="L4" s="23">
        <f t="shared" ref="L4:V4" si="1">1*OR(L$3&lt;2030,L$7&gt;0)</f>
        <v>1</v>
      </c>
      <c r="M4" s="23">
        <f t="shared" si="1"/>
        <v>1</v>
      </c>
      <c r="N4" s="23">
        <f t="shared" si="1"/>
        <v>1</v>
      </c>
      <c r="O4" s="23">
        <f t="shared" si="1"/>
        <v>1</v>
      </c>
      <c r="P4" s="23">
        <f t="shared" si="1"/>
        <v>1</v>
      </c>
      <c r="Q4" s="23">
        <f t="shared" si="1"/>
        <v>0</v>
      </c>
      <c r="R4" s="23">
        <f t="shared" si="1"/>
        <v>0</v>
      </c>
      <c r="S4" s="23">
        <f t="shared" si="1"/>
        <v>0</v>
      </c>
      <c r="T4" s="23">
        <f t="shared" si="1"/>
        <v>0</v>
      </c>
      <c r="U4" s="23">
        <f t="shared" si="1"/>
        <v>0</v>
      </c>
      <c r="V4" s="23">
        <f t="shared" si="1"/>
        <v>0</v>
      </c>
    </row>
    <row r="5" spans="1:22" s="8" customFormat="1" ht="15" x14ac:dyDescent="0.25">
      <c r="A5" s="24" t="s">
        <v>4</v>
      </c>
      <c r="B5" s="25"/>
      <c r="C5" s="26"/>
      <c r="D5" s="27"/>
      <c r="E5" s="28"/>
      <c r="F5" s="29"/>
      <c r="G5" s="30">
        <f>SUM(J5:V5)</f>
        <v>2946653.6571221752</v>
      </c>
      <c r="H5" s="7"/>
      <c r="I5" s="24" t="str">
        <f>A5</f>
        <v>CA - Développement</v>
      </c>
      <c r="J5" s="30"/>
      <c r="K5" s="30">
        <v>0</v>
      </c>
      <c r="L5" s="30">
        <v>901075.21899122349</v>
      </c>
      <c r="M5" s="30">
        <v>1272028.4381309515</v>
      </c>
      <c r="N5" s="30">
        <v>773550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</row>
    <row r="6" spans="1:22" s="8" customFormat="1" ht="15" x14ac:dyDescent="0.25">
      <c r="A6" s="24" t="s">
        <v>5</v>
      </c>
      <c r="B6" s="25"/>
      <c r="C6" s="26"/>
      <c r="D6" s="27"/>
      <c r="E6" s="28"/>
      <c r="F6" s="29"/>
      <c r="G6" s="30">
        <f>SUM(J6:V6)</f>
        <v>0</v>
      </c>
      <c r="H6" s="7"/>
      <c r="I6" s="24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37" customFormat="1" ht="15" x14ac:dyDescent="0.25">
      <c r="A7" s="31" t="s">
        <v>6</v>
      </c>
      <c r="B7" s="31"/>
      <c r="C7" s="32"/>
      <c r="D7" s="31"/>
      <c r="E7" s="33" t="s">
        <v>63</v>
      </c>
      <c r="F7" s="34"/>
      <c r="G7" s="35">
        <f>SUM(J7:V7)</f>
        <v>2946653.6571221752</v>
      </c>
      <c r="H7" s="36"/>
      <c r="I7" s="31" t="s">
        <v>6</v>
      </c>
      <c r="J7" s="35"/>
      <c r="K7" s="35">
        <f t="shared" ref="K7:V7" si="2">SUM(K5:K6)</f>
        <v>0</v>
      </c>
      <c r="L7" s="35">
        <f>SUM(L5:L6)</f>
        <v>901075.21899122349</v>
      </c>
      <c r="M7" s="35">
        <f t="shared" si="2"/>
        <v>1272028.4381309515</v>
      </c>
      <c r="N7" s="35">
        <f t="shared" si="2"/>
        <v>773550</v>
      </c>
      <c r="O7" s="35">
        <f t="shared" si="2"/>
        <v>0</v>
      </c>
      <c r="P7" s="35">
        <f t="shared" si="2"/>
        <v>0</v>
      </c>
      <c r="Q7" s="35">
        <f t="shared" si="2"/>
        <v>0</v>
      </c>
      <c r="R7" s="35">
        <f t="shared" si="2"/>
        <v>0</v>
      </c>
      <c r="S7" s="35">
        <f t="shared" si="2"/>
        <v>0</v>
      </c>
      <c r="T7" s="35">
        <f t="shared" si="2"/>
        <v>0</v>
      </c>
      <c r="U7" s="35">
        <f t="shared" si="2"/>
        <v>0</v>
      </c>
      <c r="V7" s="35">
        <f t="shared" si="2"/>
        <v>0</v>
      </c>
    </row>
    <row r="8" spans="1:22" s="37" customFormat="1" ht="15" x14ac:dyDescent="0.25">
      <c r="A8" s="38"/>
      <c r="B8" s="38"/>
      <c r="C8" s="39"/>
      <c r="D8" s="38"/>
      <c r="E8" s="38"/>
      <c r="F8" s="34"/>
      <c r="G8" s="40"/>
      <c r="H8" s="36"/>
      <c r="I8" s="38"/>
      <c r="J8" s="41"/>
      <c r="K8" s="41" t="str">
        <f>IFERROR(K7/J7-1,"-")</f>
        <v>-</v>
      </c>
      <c r="L8" s="41" t="str">
        <f>IFERROR(L7/K7-1,"-")</f>
        <v>-</v>
      </c>
      <c r="M8" s="41">
        <f t="shared" ref="M8:V8" si="3">IFERROR(M7/L7-1,"-")</f>
        <v>0.41167841632024849</v>
      </c>
      <c r="N8" s="41">
        <f t="shared" si="3"/>
        <v>-0.3918768033703619</v>
      </c>
      <c r="O8" s="41">
        <f t="shared" si="3"/>
        <v>-1</v>
      </c>
      <c r="P8" s="41" t="str">
        <f t="shared" si="3"/>
        <v>-</v>
      </c>
      <c r="Q8" s="41" t="str">
        <f t="shared" si="3"/>
        <v>-</v>
      </c>
      <c r="R8" s="41" t="str">
        <f t="shared" si="3"/>
        <v>-</v>
      </c>
      <c r="S8" s="41" t="str">
        <f t="shared" si="3"/>
        <v>-</v>
      </c>
      <c r="T8" s="41" t="str">
        <f t="shared" si="3"/>
        <v>-</v>
      </c>
      <c r="U8" s="41" t="str">
        <f t="shared" si="3"/>
        <v>-</v>
      </c>
      <c r="V8" s="41" t="str">
        <f t="shared" si="3"/>
        <v>-</v>
      </c>
    </row>
    <row r="9" spans="1:22" s="8" customFormat="1" ht="15" x14ac:dyDescent="0.25">
      <c r="A9" s="24" t="s">
        <v>7</v>
      </c>
      <c r="B9" s="25"/>
      <c r="C9" s="26"/>
      <c r="D9" s="27"/>
      <c r="E9" s="28"/>
      <c r="F9" s="29"/>
      <c r="G9" s="30">
        <f>SUM(J9:V9)</f>
        <v>294000</v>
      </c>
      <c r="H9" s="7"/>
      <c r="I9" s="24" t="str">
        <f>A9</f>
        <v>Frais de développement projet</v>
      </c>
      <c r="J9" s="30"/>
      <c r="K9" s="30">
        <v>154000</v>
      </c>
      <c r="L9" s="30">
        <v>290000</v>
      </c>
      <c r="M9" s="30">
        <v>150000</v>
      </c>
      <c r="N9" s="30">
        <v>-150000</v>
      </c>
      <c r="O9" s="30">
        <v>-150000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</row>
    <row r="10" spans="1:22" s="8" customFormat="1" ht="15" x14ac:dyDescent="0.25">
      <c r="A10" s="24"/>
      <c r="B10" s="25"/>
      <c r="C10" s="26"/>
      <c r="D10" s="27"/>
      <c r="E10" s="42"/>
      <c r="F10" s="29"/>
      <c r="G10" s="30"/>
      <c r="H10" s="7"/>
      <c r="I10" s="43"/>
      <c r="J10" s="30"/>
      <c r="K10" s="30"/>
      <c r="L10" s="44"/>
      <c r="M10" s="30"/>
      <c r="N10" s="30"/>
      <c r="O10" s="30"/>
      <c r="P10" s="30"/>
      <c r="Q10" s="30"/>
      <c r="R10" s="30"/>
      <c r="S10" s="30"/>
      <c r="T10" s="30"/>
      <c r="U10" s="30"/>
      <c r="V10" s="30"/>
    </row>
    <row r="11" spans="1:22" s="8" customFormat="1" ht="15" x14ac:dyDescent="0.25">
      <c r="A11" s="24" t="s">
        <v>8</v>
      </c>
      <c r="B11" s="25"/>
      <c r="C11" s="26"/>
      <c r="D11" s="27"/>
      <c r="E11" s="28"/>
      <c r="F11" s="29"/>
      <c r="G11" s="30">
        <f>SUM(J11:V11)</f>
        <v>1186818.0120000001</v>
      </c>
      <c r="H11" s="7"/>
      <c r="I11" s="24" t="str">
        <f>A11</f>
        <v>Masse salariale</v>
      </c>
      <c r="J11" s="30"/>
      <c r="K11" s="30">
        <v>450000</v>
      </c>
      <c r="L11" s="30">
        <v>459000</v>
      </c>
      <c r="M11" s="30">
        <v>117045</v>
      </c>
      <c r="N11" s="30">
        <v>79590.599999999991</v>
      </c>
      <c r="O11" s="30">
        <v>81182.411999999997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</row>
    <row r="12" spans="1:22" s="8" customFormat="1" ht="15" x14ac:dyDescent="0.25">
      <c r="A12" s="24" t="s">
        <v>9</v>
      </c>
      <c r="B12" s="25"/>
      <c r="C12" s="26"/>
      <c r="D12" s="27"/>
      <c r="E12" s="28"/>
      <c r="F12" s="29"/>
      <c r="G12" s="30">
        <f>SUM(J12:V12)</f>
        <v>141069.34136000002</v>
      </c>
      <c r="H12" s="7"/>
      <c r="I12" s="24" t="str">
        <f>A12</f>
        <v>Frais administratifs &amp; juridique</v>
      </c>
      <c r="J12" s="30"/>
      <c r="K12" s="30">
        <v>50000</v>
      </c>
      <c r="L12" s="30">
        <v>51000</v>
      </c>
      <c r="M12" s="30">
        <v>13005</v>
      </c>
      <c r="N12" s="30">
        <v>8843.4</v>
      </c>
      <c r="O12" s="30">
        <v>9020.268</v>
      </c>
      <c r="P12" s="30">
        <v>9200.6733600000007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</row>
    <row r="13" spans="1:22" s="8" customFormat="1" ht="15" x14ac:dyDescent="0.25">
      <c r="A13" s="24" t="s">
        <v>10</v>
      </c>
      <c r="B13" s="25"/>
      <c r="C13" s="26"/>
      <c r="D13" s="27"/>
      <c r="E13" s="28"/>
      <c r="F13" s="29"/>
      <c r="G13" s="30">
        <f>SUM(J13:V13)</f>
        <v>2658.6536571221754</v>
      </c>
      <c r="H13" s="7"/>
      <c r="I13" s="24" t="str">
        <f>A13</f>
        <v>Taxes diverses</v>
      </c>
      <c r="J13" s="30"/>
      <c r="K13" s="30">
        <f>(1+0.1%*(K7-K9-K10))*K$4</f>
        <v>-153</v>
      </c>
      <c r="L13" s="30">
        <f>(1+0.1%*(L7-L9-L10))*L$4</f>
        <v>612.07521899122355</v>
      </c>
      <c r="M13" s="30">
        <f t="shared" ref="M13:V13" si="4">(1+0.1%*(M7-M9-M10))*M$4</f>
        <v>1123.0284381309516</v>
      </c>
      <c r="N13" s="30">
        <f t="shared" si="4"/>
        <v>924.55000000000007</v>
      </c>
      <c r="O13" s="30">
        <f t="shared" si="4"/>
        <v>151</v>
      </c>
      <c r="P13" s="30">
        <f t="shared" si="4"/>
        <v>1</v>
      </c>
      <c r="Q13" s="30">
        <f t="shared" si="4"/>
        <v>0</v>
      </c>
      <c r="R13" s="30">
        <f t="shared" si="4"/>
        <v>0</v>
      </c>
      <c r="S13" s="30">
        <f t="shared" si="4"/>
        <v>0</v>
      </c>
      <c r="T13" s="30">
        <f t="shared" si="4"/>
        <v>0</v>
      </c>
      <c r="U13" s="30">
        <f t="shared" si="4"/>
        <v>0</v>
      </c>
      <c r="V13" s="30">
        <f t="shared" si="4"/>
        <v>0</v>
      </c>
    </row>
    <row r="14" spans="1:22" s="8" customFormat="1" ht="15" x14ac:dyDescent="0.25">
      <c r="A14" s="24" t="s">
        <v>11</v>
      </c>
      <c r="B14" s="25"/>
      <c r="C14" s="26"/>
      <c r="D14" s="27"/>
      <c r="E14" s="28"/>
      <c r="F14" s="29"/>
      <c r="G14" s="30"/>
      <c r="H14" s="7"/>
      <c r="I14" s="24" t="s">
        <v>11</v>
      </c>
      <c r="J14" s="30"/>
      <c r="K14" s="30"/>
      <c r="L14" s="30">
        <v>53209.325743081004</v>
      </c>
      <c r="M14" s="30">
        <v>110225.82626061252</v>
      </c>
      <c r="N14" s="30">
        <v>78732.733043294647</v>
      </c>
      <c r="O14" s="30">
        <v>78732.733043294647</v>
      </c>
      <c r="P14" s="30"/>
      <c r="Q14" s="30"/>
      <c r="R14" s="30"/>
      <c r="S14" s="30"/>
      <c r="T14" s="30"/>
      <c r="U14" s="30"/>
      <c r="V14" s="30"/>
    </row>
    <row r="15" spans="1:22" s="8" customFormat="1" ht="15" x14ac:dyDescent="0.25">
      <c r="A15" s="24"/>
      <c r="B15" s="45"/>
      <c r="C15" s="30"/>
      <c r="D15" s="46"/>
      <c r="E15" s="47"/>
      <c r="F15" s="29"/>
      <c r="G15" s="30">
        <f>SUM(J15:V15)</f>
        <v>1945446.625107405</v>
      </c>
      <c r="H15" s="7"/>
      <c r="I15" s="48" t="s">
        <v>12</v>
      </c>
      <c r="J15" s="49"/>
      <c r="K15" s="49">
        <f t="shared" ref="K15:V15" si="5">SUM(K9:K14)</f>
        <v>653847</v>
      </c>
      <c r="L15" s="49">
        <f>SUM(L9:L14)</f>
        <v>853821.40096207231</v>
      </c>
      <c r="M15" s="49">
        <f>SUM(M9:M14)</f>
        <v>391398.8546987435</v>
      </c>
      <c r="N15" s="49">
        <f t="shared" si="5"/>
        <v>18091.283043294643</v>
      </c>
      <c r="O15" s="49">
        <f t="shared" si="5"/>
        <v>19086.41304329464</v>
      </c>
      <c r="P15" s="49">
        <f t="shared" si="5"/>
        <v>9201.6733600000007</v>
      </c>
      <c r="Q15" s="49">
        <f t="shared" si="5"/>
        <v>0</v>
      </c>
      <c r="R15" s="49">
        <f t="shared" si="5"/>
        <v>0</v>
      </c>
      <c r="S15" s="49">
        <f t="shared" si="5"/>
        <v>0</v>
      </c>
      <c r="T15" s="49">
        <f t="shared" si="5"/>
        <v>0</v>
      </c>
      <c r="U15" s="49">
        <f t="shared" si="5"/>
        <v>0</v>
      </c>
      <c r="V15" s="49">
        <f t="shared" si="5"/>
        <v>0</v>
      </c>
    </row>
    <row r="16" spans="1:22" s="37" customFormat="1" ht="15" x14ac:dyDescent="0.25">
      <c r="A16" s="50"/>
      <c r="B16" s="50"/>
      <c r="C16" s="50"/>
      <c r="D16" s="50"/>
      <c r="E16" s="50"/>
      <c r="F16" s="34"/>
      <c r="G16" s="51">
        <f>SUM(J16:V16)</f>
        <v>1001207.0320147699</v>
      </c>
      <c r="H16" s="36"/>
      <c r="I16" s="50" t="s">
        <v>13</v>
      </c>
      <c r="J16" s="51"/>
      <c r="K16" s="51">
        <f>K7-K15</f>
        <v>-653847</v>
      </c>
      <c r="L16" s="51">
        <f t="shared" ref="L16:V16" si="6">L7-L15</f>
        <v>47253.818029151182</v>
      </c>
      <c r="M16" s="51">
        <f>M7-M15</f>
        <v>880629.58343220805</v>
      </c>
      <c r="N16" s="51">
        <f t="shared" si="6"/>
        <v>755458.71695670532</v>
      </c>
      <c r="O16" s="51">
        <f t="shared" si="6"/>
        <v>-19086.41304329464</v>
      </c>
      <c r="P16" s="51">
        <f t="shared" si="6"/>
        <v>-9201.6733600000007</v>
      </c>
      <c r="Q16" s="51">
        <f t="shared" si="6"/>
        <v>0</v>
      </c>
      <c r="R16" s="51">
        <f t="shared" si="6"/>
        <v>0</v>
      </c>
      <c r="S16" s="51">
        <f t="shared" si="6"/>
        <v>0</v>
      </c>
      <c r="T16" s="51">
        <f t="shared" si="6"/>
        <v>0</v>
      </c>
      <c r="U16" s="51">
        <f t="shared" si="6"/>
        <v>0</v>
      </c>
      <c r="V16" s="51">
        <f t="shared" si="6"/>
        <v>0</v>
      </c>
    </row>
    <row r="17" spans="1:22" s="37" customFormat="1" ht="15" x14ac:dyDescent="0.25">
      <c r="A17" s="52"/>
      <c r="B17" s="52"/>
      <c r="C17" s="52"/>
      <c r="D17" s="52"/>
      <c r="E17" s="52"/>
      <c r="F17" s="36"/>
      <c r="G17" s="41">
        <f>IFERROR(G16/G7,"-")</f>
        <v>0.33977764220603734</v>
      </c>
      <c r="H17" s="36"/>
      <c r="I17" s="52" t="s">
        <v>14</v>
      </c>
      <c r="J17" s="41"/>
      <c r="K17" s="41" t="str">
        <f t="shared" ref="K17:V17" si="7">IFERROR(K16/K7,"-")</f>
        <v>-</v>
      </c>
      <c r="L17" s="41">
        <f t="shared" si="7"/>
        <v>5.2441590927395636E-2</v>
      </c>
      <c r="M17" s="41">
        <f t="shared" si="7"/>
        <v>0.69230337705826506</v>
      </c>
      <c r="N17" s="41">
        <f t="shared" si="7"/>
        <v>0.97661265200272163</v>
      </c>
      <c r="O17" s="41" t="str">
        <f t="shared" si="7"/>
        <v>-</v>
      </c>
      <c r="P17" s="41" t="str">
        <f t="shared" si="7"/>
        <v>-</v>
      </c>
      <c r="Q17" s="41" t="str">
        <f t="shared" si="7"/>
        <v>-</v>
      </c>
      <c r="R17" s="41" t="str">
        <f t="shared" si="7"/>
        <v>-</v>
      </c>
      <c r="S17" s="41" t="str">
        <f t="shared" si="7"/>
        <v>-</v>
      </c>
      <c r="T17" s="41" t="str">
        <f t="shared" si="7"/>
        <v>-</v>
      </c>
      <c r="U17" s="41" t="str">
        <f t="shared" si="7"/>
        <v>-</v>
      </c>
      <c r="V17" s="41" t="str">
        <f t="shared" si="7"/>
        <v>-</v>
      </c>
    </row>
    <row r="18" spans="1:22" s="8" customFormat="1" ht="12" customHeight="1" x14ac:dyDescent="0.25">
      <c r="A18" s="24"/>
      <c r="B18" s="53"/>
      <c r="C18" s="54"/>
      <c r="D18" s="53"/>
      <c r="E18" s="53"/>
      <c r="F18" s="29"/>
      <c r="G18" s="30"/>
      <c r="H18" s="7"/>
      <c r="I18" s="24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s="8" customFormat="1" ht="12" customHeight="1" x14ac:dyDescent="0.25">
      <c r="A19" s="24"/>
      <c r="B19" s="53"/>
      <c r="C19" s="54"/>
      <c r="D19" s="53"/>
      <c r="E19" s="53"/>
      <c r="F19" s="29"/>
      <c r="G19" s="30"/>
      <c r="H19" s="7"/>
      <c r="I19" s="24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1:22" s="37" customFormat="1" ht="12" customHeight="1" x14ac:dyDescent="0.25">
      <c r="A20" s="55"/>
      <c r="B20" s="55"/>
      <c r="C20" s="55"/>
      <c r="D20" s="55"/>
      <c r="E20" s="55"/>
      <c r="F20" s="34"/>
      <c r="G20" s="35">
        <f t="shared" ref="G20:G25" si="8">SUM(J20:V20)</f>
        <v>1001207.0320147699</v>
      </c>
      <c r="H20" s="36"/>
      <c r="I20" s="31" t="s">
        <v>15</v>
      </c>
      <c r="J20" s="35"/>
      <c r="K20" s="35">
        <f>K16+K18</f>
        <v>-653847</v>
      </c>
      <c r="L20" s="35">
        <f t="shared" ref="L20:V20" si="9">L16+L18</f>
        <v>47253.818029151182</v>
      </c>
      <c r="M20" s="35">
        <f t="shared" si="9"/>
        <v>880629.58343220805</v>
      </c>
      <c r="N20" s="35">
        <f t="shared" si="9"/>
        <v>755458.71695670532</v>
      </c>
      <c r="O20" s="35">
        <f t="shared" si="9"/>
        <v>-19086.41304329464</v>
      </c>
      <c r="P20" s="35">
        <f t="shared" si="9"/>
        <v>-9201.6733600000007</v>
      </c>
      <c r="Q20" s="35">
        <f t="shared" si="9"/>
        <v>0</v>
      </c>
      <c r="R20" s="35">
        <f t="shared" si="9"/>
        <v>0</v>
      </c>
      <c r="S20" s="35">
        <f t="shared" si="9"/>
        <v>0</v>
      </c>
      <c r="T20" s="35">
        <f t="shared" si="9"/>
        <v>0</v>
      </c>
      <c r="U20" s="35">
        <f t="shared" si="9"/>
        <v>0</v>
      </c>
      <c r="V20" s="35">
        <f t="shared" si="9"/>
        <v>0</v>
      </c>
    </row>
    <row r="21" spans="1:22" s="8" customFormat="1" ht="12" customHeight="1" x14ac:dyDescent="0.25">
      <c r="A21" s="53"/>
      <c r="B21" s="53"/>
      <c r="C21" s="53"/>
      <c r="D21" s="53"/>
      <c r="E21" s="53"/>
      <c r="F21" s="29"/>
      <c r="G21" s="30">
        <f t="shared" si="8"/>
        <v>0</v>
      </c>
      <c r="H21" s="7"/>
      <c r="I21" s="24" t="s">
        <v>16</v>
      </c>
      <c r="J21" s="30"/>
      <c r="K21" s="30"/>
      <c r="L21" s="30">
        <f>-L38</f>
        <v>0</v>
      </c>
      <c r="M21" s="30">
        <f t="shared" ref="M21:P21" si="10">-M38</f>
        <v>0</v>
      </c>
      <c r="N21" s="30">
        <f t="shared" si="10"/>
        <v>0</v>
      </c>
      <c r="O21" s="30">
        <f t="shared" si="10"/>
        <v>0</v>
      </c>
      <c r="P21" s="30">
        <f t="shared" si="10"/>
        <v>0</v>
      </c>
      <c r="Q21" s="30"/>
      <c r="R21" s="30"/>
      <c r="S21" s="30"/>
      <c r="T21" s="30"/>
      <c r="U21" s="30"/>
      <c r="V21" s="30"/>
    </row>
    <row r="22" spans="1:22" s="8" customFormat="1" ht="12" customHeight="1" x14ac:dyDescent="0.25">
      <c r="A22" s="53"/>
      <c r="B22" s="53"/>
      <c r="C22" s="53"/>
      <c r="D22" s="53"/>
      <c r="E22" s="53"/>
      <c r="F22" s="29"/>
      <c r="G22" s="30">
        <f t="shared" si="8"/>
        <v>580295.71428571432</v>
      </c>
      <c r="H22" s="7"/>
      <c r="I22" s="24" t="s">
        <v>17</v>
      </c>
      <c r="J22" s="30"/>
      <c r="K22" s="30">
        <f>K35+K34</f>
        <v>0</v>
      </c>
      <c r="L22" s="30">
        <f>L35+L34</f>
        <v>275000</v>
      </c>
      <c r="M22" s="30">
        <f t="shared" ref="M22:V22" si="11">M35+M34</f>
        <v>125710</v>
      </c>
      <c r="N22" s="30">
        <f t="shared" si="11"/>
        <v>89792.857142857145</v>
      </c>
      <c r="O22" s="30">
        <f t="shared" si="11"/>
        <v>89792.857142857145</v>
      </c>
      <c r="P22" s="30">
        <f t="shared" si="11"/>
        <v>0</v>
      </c>
      <c r="Q22" s="30">
        <f t="shared" si="11"/>
        <v>0</v>
      </c>
      <c r="R22" s="30">
        <f t="shared" si="11"/>
        <v>0</v>
      </c>
      <c r="S22" s="30">
        <f t="shared" si="11"/>
        <v>0</v>
      </c>
      <c r="T22" s="30">
        <f t="shared" si="11"/>
        <v>0</v>
      </c>
      <c r="U22" s="30">
        <f t="shared" si="11"/>
        <v>0</v>
      </c>
      <c r="V22" s="30">
        <f t="shared" si="11"/>
        <v>0</v>
      </c>
    </row>
    <row r="23" spans="1:22" s="37" customFormat="1" ht="12" customHeight="1" x14ac:dyDescent="0.25">
      <c r="A23" s="55"/>
      <c r="B23" s="55"/>
      <c r="C23" s="55"/>
      <c r="D23" s="55"/>
      <c r="E23" s="55"/>
      <c r="F23" s="34"/>
      <c r="G23" s="35">
        <f t="shared" si="8"/>
        <v>1581502.7463004843</v>
      </c>
      <c r="H23" s="36"/>
      <c r="I23" s="31" t="s">
        <v>18</v>
      </c>
      <c r="J23" s="35"/>
      <c r="K23" s="35">
        <f t="shared" ref="K23:V23" si="12">K20-K21+K22</f>
        <v>-653847</v>
      </c>
      <c r="L23" s="35">
        <f t="shared" si="12"/>
        <v>322253.81802915118</v>
      </c>
      <c r="M23" s="35">
        <f t="shared" si="12"/>
        <v>1006339.583432208</v>
      </c>
      <c r="N23" s="35">
        <f t="shared" si="12"/>
        <v>845251.57409956248</v>
      </c>
      <c r="O23" s="35">
        <f t="shared" si="12"/>
        <v>70706.444099562505</v>
      </c>
      <c r="P23" s="35">
        <f>P20-P21+P22</f>
        <v>-9201.6733600000007</v>
      </c>
      <c r="Q23" s="35">
        <f t="shared" si="12"/>
        <v>0</v>
      </c>
      <c r="R23" s="35">
        <f t="shared" si="12"/>
        <v>0</v>
      </c>
      <c r="S23" s="35">
        <f t="shared" si="12"/>
        <v>0</v>
      </c>
      <c r="T23" s="35">
        <f t="shared" si="12"/>
        <v>0</v>
      </c>
      <c r="U23" s="35">
        <f t="shared" si="12"/>
        <v>0</v>
      </c>
      <c r="V23" s="35">
        <f t="shared" si="12"/>
        <v>0</v>
      </c>
    </row>
    <row r="24" spans="1:22" s="8" customFormat="1" ht="12" customHeight="1" x14ac:dyDescent="0.25">
      <c r="A24" s="24" t="s">
        <v>19</v>
      </c>
      <c r="B24" s="56"/>
      <c r="C24" s="57">
        <v>0.25</v>
      </c>
      <c r="D24" s="53"/>
      <c r="E24" s="53"/>
      <c r="F24" s="29"/>
      <c r="G24" s="30">
        <f t="shared" si="8"/>
        <v>397676.10491512105</v>
      </c>
      <c r="H24" s="7"/>
      <c r="I24" s="24" t="s">
        <v>20</v>
      </c>
      <c r="J24" s="30"/>
      <c r="K24" s="30">
        <f>-K74</f>
        <v>0</v>
      </c>
      <c r="L24" s="30">
        <f t="shared" ref="L24:V24" si="13">-L74</f>
        <v>0</v>
      </c>
      <c r="M24" s="30">
        <f t="shared" si="13"/>
        <v>168686.60036533981</v>
      </c>
      <c r="N24" s="30">
        <f t="shared" si="13"/>
        <v>211312.89352489062</v>
      </c>
      <c r="O24" s="30">
        <f t="shared" si="13"/>
        <v>17676.611024890626</v>
      </c>
      <c r="P24" s="30">
        <f t="shared" si="13"/>
        <v>0</v>
      </c>
      <c r="Q24" s="30">
        <f t="shared" si="13"/>
        <v>0</v>
      </c>
      <c r="R24" s="30">
        <f t="shared" si="13"/>
        <v>0</v>
      </c>
      <c r="S24" s="30">
        <f t="shared" si="13"/>
        <v>0</v>
      </c>
      <c r="T24" s="30">
        <f t="shared" si="13"/>
        <v>0</v>
      </c>
      <c r="U24" s="30">
        <f t="shared" si="13"/>
        <v>0</v>
      </c>
      <c r="V24" s="30">
        <f t="shared" si="13"/>
        <v>0</v>
      </c>
    </row>
    <row r="25" spans="1:22" s="37" customFormat="1" ht="12" customHeight="1" x14ac:dyDescent="0.25">
      <c r="A25" s="55"/>
      <c r="B25" s="55"/>
      <c r="C25" s="55"/>
      <c r="D25" s="55"/>
      <c r="E25" s="55"/>
      <c r="F25" s="34"/>
      <c r="G25" s="35">
        <f t="shared" si="8"/>
        <v>1183826.6413853632</v>
      </c>
      <c r="H25" s="36"/>
      <c r="I25" s="31" t="s">
        <v>21</v>
      </c>
      <c r="J25" s="35"/>
      <c r="K25" s="35">
        <f>K23-K24</f>
        <v>-653847</v>
      </c>
      <c r="L25" s="35">
        <f t="shared" ref="L25:V25" si="14">L23-L24</f>
        <v>322253.81802915118</v>
      </c>
      <c r="M25" s="35">
        <f t="shared" si="14"/>
        <v>837652.98306686827</v>
      </c>
      <c r="N25" s="35">
        <f t="shared" si="14"/>
        <v>633938.68057467183</v>
      </c>
      <c r="O25" s="35">
        <f t="shared" si="14"/>
        <v>53029.833074671878</v>
      </c>
      <c r="P25" s="35">
        <f t="shared" si="14"/>
        <v>-9201.6733600000007</v>
      </c>
      <c r="Q25" s="35">
        <f t="shared" si="14"/>
        <v>0</v>
      </c>
      <c r="R25" s="35">
        <f t="shared" si="14"/>
        <v>0</v>
      </c>
      <c r="S25" s="35">
        <f t="shared" si="14"/>
        <v>0</v>
      </c>
      <c r="T25" s="35">
        <f t="shared" si="14"/>
        <v>0</v>
      </c>
      <c r="U25" s="35">
        <f t="shared" si="14"/>
        <v>0</v>
      </c>
      <c r="V25" s="35">
        <f t="shared" si="14"/>
        <v>0</v>
      </c>
    </row>
    <row r="26" spans="1:22" s="8" customFormat="1" ht="12" customHeight="1" x14ac:dyDescent="0.25">
      <c r="A26" s="44"/>
      <c r="B26" s="44"/>
      <c r="C26" s="44"/>
      <c r="D26" s="44"/>
      <c r="E26" s="44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s="15" customFormat="1" ht="12" customHeight="1" x14ac:dyDescent="0.25">
      <c r="A27" s="9" t="str">
        <f>I27</f>
        <v>CF in k€</v>
      </c>
      <c r="B27" s="9"/>
      <c r="C27" s="9"/>
      <c r="D27" s="9"/>
      <c r="E27" s="9"/>
      <c r="F27" s="11"/>
      <c r="G27" s="12" t="s">
        <v>1</v>
      </c>
      <c r="H27" s="11"/>
      <c r="I27" s="13" t="s">
        <v>22</v>
      </c>
      <c r="J27" s="12">
        <f>J$3</f>
        <v>2023</v>
      </c>
      <c r="K27" s="12">
        <f t="shared" ref="K27:V27" si="15">K$3</f>
        <v>2024</v>
      </c>
      <c r="L27" s="12">
        <f t="shared" si="15"/>
        <v>2025</v>
      </c>
      <c r="M27" s="12">
        <f t="shared" si="15"/>
        <v>2026</v>
      </c>
      <c r="N27" s="12">
        <f t="shared" si="15"/>
        <v>2027</v>
      </c>
      <c r="O27" s="12">
        <f t="shared" si="15"/>
        <v>2028</v>
      </c>
      <c r="P27" s="12">
        <f t="shared" si="15"/>
        <v>2029</v>
      </c>
      <c r="Q27" s="12">
        <f t="shared" si="15"/>
        <v>2030</v>
      </c>
      <c r="R27" s="12">
        <f t="shared" si="15"/>
        <v>2031</v>
      </c>
      <c r="S27" s="12">
        <f t="shared" si="15"/>
        <v>2032</v>
      </c>
      <c r="T27" s="12">
        <f t="shared" si="15"/>
        <v>2033</v>
      </c>
      <c r="U27" s="12">
        <f t="shared" si="15"/>
        <v>2034</v>
      </c>
      <c r="V27" s="12">
        <f t="shared" si="15"/>
        <v>2035</v>
      </c>
    </row>
    <row r="28" spans="1:22" s="8" customFormat="1" ht="12" customHeight="1" x14ac:dyDescent="0.25">
      <c r="A28" s="58"/>
      <c r="B28" s="58"/>
      <c r="C28" s="58"/>
      <c r="D28" s="58"/>
      <c r="E28" s="58"/>
      <c r="F28" s="29"/>
      <c r="G28" s="30">
        <f t="shared" ref="G28:G33" si="16">SUM(J28:V28)</f>
        <v>1001207.0320147699</v>
      </c>
      <c r="H28" s="7"/>
      <c r="I28" s="24" t="s">
        <v>23</v>
      </c>
      <c r="J28" s="30"/>
      <c r="K28" s="30">
        <f>K16+K10</f>
        <v>-653847</v>
      </c>
      <c r="L28" s="30">
        <f>L16+L10</f>
        <v>47253.818029151182</v>
      </c>
      <c r="M28" s="30">
        <f>M16+M10</f>
        <v>880629.58343220805</v>
      </c>
      <c r="N28" s="30">
        <f t="shared" ref="N28:V28" si="17">N16+N10</f>
        <v>755458.71695670532</v>
      </c>
      <c r="O28" s="30">
        <f t="shared" si="17"/>
        <v>-19086.41304329464</v>
      </c>
      <c r="P28" s="30">
        <f t="shared" si="17"/>
        <v>-9201.6733600000007</v>
      </c>
      <c r="Q28" s="30">
        <f t="shared" si="17"/>
        <v>0</v>
      </c>
      <c r="R28" s="30">
        <f t="shared" si="17"/>
        <v>0</v>
      </c>
      <c r="S28" s="30">
        <f t="shared" si="17"/>
        <v>0</v>
      </c>
      <c r="T28" s="30">
        <f t="shared" si="17"/>
        <v>0</v>
      </c>
      <c r="U28" s="30">
        <f t="shared" si="17"/>
        <v>0</v>
      </c>
      <c r="V28" s="30">
        <f t="shared" si="17"/>
        <v>0</v>
      </c>
    </row>
    <row r="29" spans="1:22" s="8" customFormat="1" ht="12" customHeight="1" x14ac:dyDescent="0.25">
      <c r="A29" s="58"/>
      <c r="B29" s="58"/>
      <c r="C29" s="58"/>
      <c r="D29" s="58"/>
      <c r="E29" s="58"/>
      <c r="F29" s="29"/>
      <c r="G29" s="30"/>
      <c r="H29" s="7"/>
      <c r="I29" s="24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s="8" customFormat="1" ht="12" customHeight="1" x14ac:dyDescent="0.25">
      <c r="A30" s="58"/>
      <c r="B30" s="58"/>
      <c r="C30" s="58"/>
      <c r="D30" s="58"/>
      <c r="E30" s="58"/>
      <c r="F30" s="29"/>
      <c r="G30" s="30">
        <f t="shared" si="16"/>
        <v>-397676.10491512105</v>
      </c>
      <c r="H30" s="7"/>
      <c r="I30" s="24" t="s">
        <v>20</v>
      </c>
      <c r="J30" s="30"/>
      <c r="K30" s="30">
        <f>-K24</f>
        <v>0</v>
      </c>
      <c r="L30" s="30">
        <f t="shared" ref="L30:V30" si="18">-L24</f>
        <v>0</v>
      </c>
      <c r="M30" s="30">
        <f t="shared" si="18"/>
        <v>-168686.60036533981</v>
      </c>
      <c r="N30" s="30">
        <f t="shared" si="18"/>
        <v>-211312.89352489062</v>
      </c>
      <c r="O30" s="30">
        <f t="shared" si="18"/>
        <v>-17676.611024890626</v>
      </c>
      <c r="P30" s="30">
        <f t="shared" si="18"/>
        <v>0</v>
      </c>
      <c r="Q30" s="30">
        <f t="shared" si="18"/>
        <v>0</v>
      </c>
      <c r="R30" s="30">
        <f t="shared" si="18"/>
        <v>0</v>
      </c>
      <c r="S30" s="30">
        <f t="shared" si="18"/>
        <v>0</v>
      </c>
      <c r="T30" s="30">
        <f t="shared" si="18"/>
        <v>0</v>
      </c>
      <c r="U30" s="30">
        <f t="shared" si="18"/>
        <v>0</v>
      </c>
      <c r="V30" s="30">
        <f t="shared" si="18"/>
        <v>0</v>
      </c>
    </row>
    <row r="31" spans="1:22" s="8" customFormat="1" ht="12" customHeight="1" x14ac:dyDescent="0.25">
      <c r="A31" s="58"/>
      <c r="B31" s="58"/>
      <c r="C31" s="58"/>
      <c r="D31" s="58"/>
      <c r="E31" s="58"/>
      <c r="F31" s="29"/>
      <c r="G31" s="30">
        <f t="shared" si="16"/>
        <v>300630</v>
      </c>
      <c r="H31" s="7"/>
      <c r="I31" s="24" t="s">
        <v>24</v>
      </c>
      <c r="J31" s="30"/>
      <c r="K31" s="30">
        <f>J53-K53-J63+K63</f>
        <v>312182.24</v>
      </c>
      <c r="L31" s="30">
        <f>K53-L53-K63+L63</f>
        <v>-104898.10983187056</v>
      </c>
      <c r="M31" s="30">
        <f t="shared" ref="M31:V31" si="19">L53-M53-L63+M63</f>
        <v>-91491.369856621342</v>
      </c>
      <c r="N31" s="30">
        <f>M53-N53-M63+N63</f>
        <v>32386.139688491912</v>
      </c>
      <c r="O31" s="30">
        <f t="shared" si="19"/>
        <v>128954.478</v>
      </c>
      <c r="P31" s="30">
        <f>O53-P53-O63+P63</f>
        <v>25030.06756</v>
      </c>
      <c r="Q31" s="30">
        <f t="shared" si="19"/>
        <v>-1533.4455600000001</v>
      </c>
      <c r="R31" s="30">
        <f t="shared" si="19"/>
        <v>0</v>
      </c>
      <c r="S31" s="30">
        <f t="shared" si="19"/>
        <v>0</v>
      </c>
      <c r="T31" s="30">
        <f t="shared" si="19"/>
        <v>0</v>
      </c>
      <c r="U31" s="30">
        <f t="shared" si="19"/>
        <v>0</v>
      </c>
      <c r="V31" s="30">
        <f t="shared" si="19"/>
        <v>0</v>
      </c>
    </row>
    <row r="32" spans="1:22" s="37" customFormat="1" ht="12" customHeight="1" x14ac:dyDescent="0.25">
      <c r="A32" s="31"/>
      <c r="B32" s="31"/>
      <c r="C32" s="31"/>
      <c r="D32" s="31"/>
      <c r="E32" s="31"/>
      <c r="F32" s="34"/>
      <c r="G32" s="35">
        <f t="shared" si="16"/>
        <v>904160.92709964886</v>
      </c>
      <c r="H32" s="36"/>
      <c r="I32" s="31" t="s">
        <v>25</v>
      </c>
      <c r="J32" s="35"/>
      <c r="K32" s="35">
        <f>SUM(K28:K31)</f>
        <v>-341664.76</v>
      </c>
      <c r="L32" s="35">
        <f>SUM(L28:L31)</f>
        <v>-57644.291802719381</v>
      </c>
      <c r="M32" s="35">
        <f t="shared" ref="M32:V32" si="20">SUM(M28:M31)</f>
        <v>620451.6132102469</v>
      </c>
      <c r="N32" s="35">
        <f t="shared" si="20"/>
        <v>576531.96312030661</v>
      </c>
      <c r="O32" s="35">
        <f t="shared" si="20"/>
        <v>92191.453931814729</v>
      </c>
      <c r="P32" s="35">
        <f t="shared" si="20"/>
        <v>15828.394199999999</v>
      </c>
      <c r="Q32" s="35">
        <f t="shared" si="20"/>
        <v>-1533.4455600000001</v>
      </c>
      <c r="R32" s="35">
        <f t="shared" si="20"/>
        <v>0</v>
      </c>
      <c r="S32" s="35">
        <f t="shared" si="20"/>
        <v>0</v>
      </c>
      <c r="T32" s="35">
        <f t="shared" si="20"/>
        <v>0</v>
      </c>
      <c r="U32" s="35">
        <f t="shared" si="20"/>
        <v>0</v>
      </c>
      <c r="V32" s="35">
        <f t="shared" si="20"/>
        <v>0</v>
      </c>
    </row>
    <row r="33" spans="1:22" s="8" customFormat="1" ht="12" customHeight="1" x14ac:dyDescent="0.25">
      <c r="A33" s="58"/>
      <c r="B33" s="58"/>
      <c r="C33" s="58"/>
      <c r="D33" s="58"/>
      <c r="E33" s="58"/>
      <c r="F33" s="29"/>
      <c r="G33" s="30">
        <f t="shared" si="16"/>
        <v>614903</v>
      </c>
      <c r="H33" s="7"/>
      <c r="I33" s="24" t="s">
        <v>26</v>
      </c>
      <c r="J33" s="30"/>
      <c r="K33" s="30">
        <v>-1289355.93</v>
      </c>
      <c r="L33" s="30">
        <v>482490.60808311612</v>
      </c>
      <c r="M33" s="30">
        <v>-63093.481806152035</v>
      </c>
      <c r="N33" s="30">
        <v>0</v>
      </c>
      <c r="O33" s="30">
        <v>1484861.8037230358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</row>
    <row r="34" spans="1:22" s="8" customFormat="1" ht="12" customHeight="1" x14ac:dyDescent="0.25">
      <c r="A34" s="58"/>
      <c r="B34" s="58"/>
      <c r="C34" s="58"/>
      <c r="D34" s="58"/>
      <c r="E34" s="58"/>
      <c r="F34" s="29"/>
      <c r="G34" s="30"/>
      <c r="H34" s="59"/>
      <c r="I34" s="24" t="s">
        <v>27</v>
      </c>
      <c r="J34" s="30"/>
      <c r="K34" s="30">
        <v>0</v>
      </c>
      <c r="L34" s="30">
        <v>275000</v>
      </c>
      <c r="M34" s="30">
        <v>125710</v>
      </c>
      <c r="N34" s="30">
        <v>89792.857142857145</v>
      </c>
      <c r="O34" s="30">
        <v>89792.857142857145</v>
      </c>
      <c r="P34" s="30">
        <v>0</v>
      </c>
      <c r="Q34" s="30"/>
      <c r="R34" s="30"/>
      <c r="S34" s="30"/>
      <c r="T34" s="30"/>
      <c r="U34" s="30"/>
      <c r="V34" s="30"/>
    </row>
    <row r="35" spans="1:22" s="8" customFormat="1" ht="12" customHeight="1" x14ac:dyDescent="0.25">
      <c r="A35" s="58"/>
      <c r="B35" s="58"/>
      <c r="C35" s="58"/>
      <c r="D35" s="58"/>
      <c r="E35" s="58"/>
      <c r="F35" s="29"/>
      <c r="G35" s="30">
        <f>SUM(J35:V35)</f>
        <v>0</v>
      </c>
      <c r="H35" s="7"/>
      <c r="I35" s="24" t="s">
        <v>17</v>
      </c>
      <c r="J35" s="30"/>
      <c r="K35" s="30"/>
      <c r="L35" s="30"/>
      <c r="M35" s="30"/>
      <c r="N35" s="30"/>
      <c r="O35" s="30"/>
      <c r="P35" s="30"/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</row>
    <row r="36" spans="1:22" s="37" customFormat="1" ht="12" customHeight="1" x14ac:dyDescent="0.25">
      <c r="A36" s="58"/>
      <c r="B36" s="58"/>
      <c r="C36" s="58"/>
      <c r="D36" s="58"/>
      <c r="E36" s="58"/>
      <c r="F36" s="29"/>
      <c r="G36" s="30">
        <f>SUM(J36:V36)</f>
        <v>0</v>
      </c>
      <c r="H36" s="30"/>
      <c r="I36" s="24" t="s">
        <v>28</v>
      </c>
      <c r="J36" s="30"/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</row>
    <row r="37" spans="1:22" s="8" customFormat="1" ht="12" customHeight="1" x14ac:dyDescent="0.25">
      <c r="A37" s="31"/>
      <c r="B37" s="31"/>
      <c r="C37" s="31"/>
      <c r="D37" s="31"/>
      <c r="E37" s="31"/>
      <c r="F37" s="34"/>
      <c r="G37" s="35">
        <f t="shared" ref="G37:G46" si="21">SUM(J37:V37)</f>
        <v>1195198.7142857141</v>
      </c>
      <c r="H37" s="36"/>
      <c r="I37" s="31" t="s">
        <v>29</v>
      </c>
      <c r="J37" s="35"/>
      <c r="K37" s="35">
        <f>SUM(K33:K36)</f>
        <v>-1289355.93</v>
      </c>
      <c r="L37" s="35">
        <f>SUM(L33:L36)</f>
        <v>757490.60808311612</v>
      </c>
      <c r="M37" s="35">
        <f>SUM(M33:M36)</f>
        <v>62616.518193847965</v>
      </c>
      <c r="N37" s="35">
        <f>SUM(N33:N36)</f>
        <v>89792.857142857145</v>
      </c>
      <c r="O37" s="35">
        <f t="shared" ref="O37:V37" si="22">SUM(O33:O36)</f>
        <v>1574654.6608658929</v>
      </c>
      <c r="P37" s="35">
        <f t="shared" si="22"/>
        <v>0</v>
      </c>
      <c r="Q37" s="35">
        <f t="shared" si="22"/>
        <v>0</v>
      </c>
      <c r="R37" s="35">
        <f t="shared" si="22"/>
        <v>0</v>
      </c>
      <c r="S37" s="35">
        <f t="shared" si="22"/>
        <v>0</v>
      </c>
      <c r="T37" s="35">
        <f t="shared" si="22"/>
        <v>0</v>
      </c>
      <c r="U37" s="35">
        <f t="shared" si="22"/>
        <v>0</v>
      </c>
      <c r="V37" s="35">
        <f t="shared" si="22"/>
        <v>0</v>
      </c>
    </row>
    <row r="38" spans="1:22" s="8" customFormat="1" ht="12" customHeight="1" x14ac:dyDescent="0.25">
      <c r="A38" s="60"/>
      <c r="B38" s="60"/>
      <c r="C38" s="60"/>
      <c r="D38" s="60"/>
      <c r="E38" s="60"/>
      <c r="F38" s="29"/>
      <c r="G38" s="30">
        <f t="shared" si="21"/>
        <v>0</v>
      </c>
      <c r="H38" s="7"/>
      <c r="I38" s="43"/>
      <c r="J38" s="44"/>
      <c r="K38" s="44"/>
      <c r="L38" s="44"/>
      <c r="M38" s="44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8" customFormat="1" ht="12" customHeight="1" x14ac:dyDescent="0.25">
      <c r="A39" s="58"/>
      <c r="B39" s="58"/>
      <c r="C39" s="58"/>
      <c r="D39" s="58"/>
      <c r="E39" s="58"/>
      <c r="F39" s="29"/>
      <c r="G39" s="30">
        <f t="shared" si="21"/>
        <v>0</v>
      </c>
      <c r="H39" s="7"/>
      <c r="I39" s="24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s="8" customFormat="1" ht="15" x14ac:dyDescent="0.25">
      <c r="A40" s="58"/>
      <c r="B40" s="58"/>
      <c r="C40" s="58"/>
      <c r="D40" s="58"/>
      <c r="E40" s="58"/>
      <c r="F40" s="29"/>
      <c r="G40" s="30">
        <f t="shared" si="21"/>
        <v>0</v>
      </c>
      <c r="H40" s="7"/>
      <c r="I40" s="24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1:22" s="8" customFormat="1" ht="15" x14ac:dyDescent="0.25">
      <c r="A41" s="61"/>
      <c r="B41" s="62"/>
      <c r="C41" s="62"/>
      <c r="D41" s="62"/>
      <c r="E41" s="62"/>
      <c r="F41" s="29"/>
      <c r="G41" s="35">
        <f t="shared" si="21"/>
        <v>0</v>
      </c>
      <c r="H41" s="7"/>
      <c r="I41" s="31" t="s">
        <v>30</v>
      </c>
      <c r="J41" s="35"/>
      <c r="K41" s="35">
        <f t="shared" ref="K41:V41" si="23">SUM(K38:K40)</f>
        <v>0</v>
      </c>
      <c r="L41" s="35">
        <f>SUM(L38:L40)</f>
        <v>0</v>
      </c>
      <c r="M41" s="35">
        <f t="shared" si="23"/>
        <v>0</v>
      </c>
      <c r="N41" s="35">
        <f t="shared" si="23"/>
        <v>0</v>
      </c>
      <c r="O41" s="35">
        <f t="shared" si="23"/>
        <v>0</v>
      </c>
      <c r="P41" s="35">
        <f t="shared" si="23"/>
        <v>0</v>
      </c>
      <c r="Q41" s="35">
        <f t="shared" si="23"/>
        <v>0</v>
      </c>
      <c r="R41" s="35">
        <f t="shared" si="23"/>
        <v>0</v>
      </c>
      <c r="S41" s="35">
        <f t="shared" si="23"/>
        <v>0</v>
      </c>
      <c r="T41" s="35">
        <f t="shared" si="23"/>
        <v>0</v>
      </c>
      <c r="U41" s="35">
        <f t="shared" si="23"/>
        <v>0</v>
      </c>
      <c r="V41" s="35">
        <f t="shared" si="23"/>
        <v>0</v>
      </c>
    </row>
    <row r="42" spans="1:22" s="8" customFormat="1" ht="15" x14ac:dyDescent="0.25">
      <c r="A42" s="61"/>
      <c r="B42" s="62"/>
      <c r="C42" s="62"/>
      <c r="D42" s="62"/>
      <c r="E42" s="62"/>
      <c r="F42" s="29"/>
      <c r="G42" s="35">
        <f t="shared" si="21"/>
        <v>3061417.6413853634</v>
      </c>
      <c r="H42" s="7"/>
      <c r="I42" s="111" t="s">
        <v>31</v>
      </c>
      <c r="J42" s="112">
        <v>962058</v>
      </c>
      <c r="K42" s="112">
        <v>-1631020.69</v>
      </c>
      <c r="L42" s="112">
        <v>699846.31628039677</v>
      </c>
      <c r="M42" s="112">
        <v>683068.13140409486</v>
      </c>
      <c r="N42" s="112">
        <v>666324.82026316377</v>
      </c>
      <c r="O42" s="112">
        <v>1666846.1147977076</v>
      </c>
      <c r="P42" s="112">
        <v>15828.394199999999</v>
      </c>
      <c r="Q42" s="112">
        <v>-1533.4455600000001</v>
      </c>
      <c r="R42" s="112">
        <f t="shared" ref="R42:V42" si="24">R32+R37+R41</f>
        <v>0</v>
      </c>
      <c r="S42" s="35">
        <f t="shared" si="24"/>
        <v>0</v>
      </c>
      <c r="T42" s="35">
        <f t="shared" si="24"/>
        <v>0</v>
      </c>
      <c r="U42" s="35">
        <f t="shared" si="24"/>
        <v>0</v>
      </c>
      <c r="V42" s="35">
        <f t="shared" si="24"/>
        <v>0</v>
      </c>
    </row>
    <row r="43" spans="1:22" s="8" customFormat="1" ht="15" x14ac:dyDescent="0.25">
      <c r="A43" s="63"/>
      <c r="B43" s="62"/>
      <c r="C43" s="62"/>
      <c r="D43" s="62"/>
      <c r="E43" s="62"/>
      <c r="F43" s="29"/>
      <c r="G43" s="30">
        <f t="shared" si="21"/>
        <v>1604683.69</v>
      </c>
      <c r="H43" s="7"/>
      <c r="I43" s="24" t="s">
        <v>32</v>
      </c>
      <c r="J43" s="30"/>
      <c r="K43" s="30">
        <f>-MIN(0,K42+J54)</f>
        <v>1604683.69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8" customFormat="1" ht="15" x14ac:dyDescent="0.25">
      <c r="A44" s="63"/>
      <c r="B44" s="64"/>
      <c r="C44" s="64"/>
      <c r="D44" s="26"/>
      <c r="E44" s="62"/>
      <c r="F44" s="29"/>
      <c r="G44" s="30">
        <f t="shared" si="21"/>
        <v>-2558350.4300000002</v>
      </c>
      <c r="H44" s="7"/>
      <c r="I44" s="24" t="s">
        <v>33</v>
      </c>
      <c r="J44" s="30"/>
      <c r="K44" s="65"/>
      <c r="L44" s="65">
        <v>-84930</v>
      </c>
      <c r="M44" s="65">
        <v>-84930</v>
      </c>
      <c r="N44" s="65">
        <v>-84930</v>
      </c>
      <c r="O44" s="65">
        <v>-457430</v>
      </c>
      <c r="P44" s="65">
        <v>-436197.5</v>
      </c>
      <c r="Q44" s="65">
        <v>-414965</v>
      </c>
      <c r="R44" s="65">
        <v>-393732.5</v>
      </c>
      <c r="S44" s="30">
        <f>-MAX(0,MIN(S42+S43+R54,R62))</f>
        <v>-601235.43000000017</v>
      </c>
      <c r="T44" s="30">
        <f>-MAX(0,MIN(T42+T43+S54,S62))</f>
        <v>0</v>
      </c>
      <c r="U44" s="30">
        <f>-MAX(0,MIN(U42+U43+T54,T62))</f>
        <v>0</v>
      </c>
      <c r="V44" s="30">
        <f>-MAX(0,MIN(V42+V43+U54,U62))</f>
        <v>0</v>
      </c>
    </row>
    <row r="45" spans="1:22" s="8" customFormat="1" ht="15" x14ac:dyDescent="0.25">
      <c r="A45" s="63"/>
      <c r="B45" s="63"/>
      <c r="C45" s="64"/>
      <c r="D45" s="26"/>
      <c r="E45" s="62"/>
      <c r="F45" s="29"/>
      <c r="G45" s="30">
        <f t="shared" si="21"/>
        <v>0</v>
      </c>
      <c r="H45" s="7"/>
      <c r="I45" s="24" t="s">
        <v>34</v>
      </c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s="8" customFormat="1" ht="15" x14ac:dyDescent="0.25">
      <c r="A46" s="43"/>
      <c r="B46" s="64"/>
      <c r="C46" s="64"/>
      <c r="D46" s="26"/>
      <c r="E46" s="62"/>
      <c r="F46" s="29"/>
      <c r="G46" s="35">
        <f t="shared" si="21"/>
        <v>1145692.9013853627</v>
      </c>
      <c r="H46" s="7"/>
      <c r="I46" s="31" t="s">
        <v>35</v>
      </c>
      <c r="J46" s="35"/>
      <c r="K46" s="35">
        <f>SUM(K42:K45)</f>
        <v>-26337</v>
      </c>
      <c r="L46" s="35">
        <f>SUM(L42:L45)</f>
        <v>614916.31628039677</v>
      </c>
      <c r="M46" s="35">
        <f>SUM(M42:M45)</f>
        <v>598138.13140409486</v>
      </c>
      <c r="N46" s="35">
        <f t="shared" ref="N46:V46" si="25">SUM(N42:N45)</f>
        <v>581394.82026316377</v>
      </c>
      <c r="O46" s="35">
        <f t="shared" si="25"/>
        <v>1209416.1147977076</v>
      </c>
      <c r="P46" s="35">
        <f t="shared" si="25"/>
        <v>-420369.10580000002</v>
      </c>
      <c r="Q46" s="35">
        <f t="shared" si="25"/>
        <v>-416498.44556000002</v>
      </c>
      <c r="R46" s="35">
        <f t="shared" si="25"/>
        <v>-393732.5</v>
      </c>
      <c r="S46" s="35">
        <f t="shared" si="25"/>
        <v>-601235.43000000017</v>
      </c>
      <c r="T46" s="35">
        <f t="shared" si="25"/>
        <v>0</v>
      </c>
      <c r="U46" s="35">
        <f t="shared" si="25"/>
        <v>0</v>
      </c>
      <c r="V46" s="35">
        <f t="shared" si="25"/>
        <v>0</v>
      </c>
    </row>
    <row r="47" spans="1:22" s="8" customFormat="1" ht="15" x14ac:dyDescent="0.25">
      <c r="A47" s="63"/>
      <c r="B47" s="64"/>
      <c r="C47" s="64"/>
      <c r="D47" s="26"/>
      <c r="E47" s="62"/>
      <c r="F47" s="29"/>
      <c r="G47" s="30"/>
      <c r="H47" s="7"/>
      <c r="I47" s="24" t="s">
        <v>36</v>
      </c>
      <c r="J47" s="65"/>
      <c r="K47" s="65">
        <f>SUM(K43:K45)</f>
        <v>1604683.69</v>
      </c>
      <c r="L47" s="30">
        <f>SUM(L43:L45)</f>
        <v>-84930</v>
      </c>
      <c r="M47" s="30">
        <f t="shared" ref="M47:V47" si="26">SUM(M43:M45)</f>
        <v>-84930</v>
      </c>
      <c r="N47" s="30">
        <f t="shared" si="26"/>
        <v>-84930</v>
      </c>
      <c r="O47" s="30">
        <f t="shared" si="26"/>
        <v>-457430</v>
      </c>
      <c r="P47" s="30">
        <f t="shared" si="26"/>
        <v>-436197.5</v>
      </c>
      <c r="Q47" s="30">
        <f t="shared" si="26"/>
        <v>-414965</v>
      </c>
      <c r="R47" s="30">
        <f t="shared" si="26"/>
        <v>-393732.5</v>
      </c>
      <c r="S47" s="30">
        <f t="shared" si="26"/>
        <v>-601235.43000000017</v>
      </c>
      <c r="T47" s="30">
        <f t="shared" si="26"/>
        <v>0</v>
      </c>
      <c r="U47" s="30">
        <f t="shared" si="26"/>
        <v>0</v>
      </c>
      <c r="V47" s="30">
        <f t="shared" si="26"/>
        <v>0</v>
      </c>
    </row>
    <row r="48" spans="1:22" s="8" customFormat="1" ht="15" x14ac:dyDescent="0.25">
      <c r="A48" s="62"/>
      <c r="B48" s="62"/>
      <c r="C48" s="62"/>
      <c r="D48" s="62"/>
      <c r="E48" s="62"/>
      <c r="F48" s="7"/>
      <c r="G48" s="66"/>
      <c r="H48" s="7"/>
      <c r="I48" s="24" t="s">
        <v>37</v>
      </c>
      <c r="J48" s="67"/>
      <c r="K48" s="67"/>
      <c r="L48" s="67"/>
      <c r="M48" s="67"/>
      <c r="N48" s="67">
        <f>IFERROR(IF(N47&lt;&gt;0,IRR($J$47:N47),"-"),"-")</f>
        <v>-0.55736623698953469</v>
      </c>
      <c r="O48" s="67">
        <f>IFERROR(IF(O47&lt;&gt;0,IRR($J$47:O47),"-"),"-")</f>
        <v>-0.21202606306696437</v>
      </c>
      <c r="P48" s="67">
        <f>IFERROR(IF(P47&lt;&gt;0,IRR($J$47:P47),"-"),"-")</f>
        <v>-8.0370410980036389E-2</v>
      </c>
      <c r="Q48" s="67">
        <f>IFERROR(IF(Q47&lt;&gt;0,IRR($J$47:Q47),"-"),"-")</f>
        <v>-5.7913679320509281E-3</v>
      </c>
      <c r="R48" s="67">
        <f>IFERROR(IF(R47&lt;&gt;0,IRR($J$47:R47),"-"),"-")</f>
        <v>4.1018608000827461E-2</v>
      </c>
      <c r="S48" s="67">
        <f>IFERROR(IF(S47&lt;&gt;0,IRR($J$47:S47),"-"),"-")</f>
        <v>8.7770214865851681E-2</v>
      </c>
      <c r="T48" s="67" t="str">
        <f>IFERROR(IF(T47&lt;&gt;0,IRR($J$47:T47),"-"),"-")</f>
        <v>-</v>
      </c>
      <c r="U48" s="67" t="str">
        <f>IFERROR(IF(U47&lt;&gt;0,IRR($J$47:U47),"-"),"-")</f>
        <v>-</v>
      </c>
      <c r="V48" s="67" t="str">
        <f>IFERROR(IF(V47&lt;&gt;0,IRR($J$47:V47),"-"),"-")</f>
        <v>-</v>
      </c>
    </row>
    <row r="49" spans="1:22" s="15" customFormat="1" ht="15" x14ac:dyDescent="0.25">
      <c r="A49" s="24"/>
      <c r="B49" s="64"/>
      <c r="C49" s="30"/>
      <c r="D49" s="53"/>
      <c r="E49" s="62"/>
      <c r="F49" s="7"/>
      <c r="G49" s="110" t="e">
        <f>IRR(J42:Q42)</f>
        <v>#NUM!</v>
      </c>
      <c r="H49" s="11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s="8" customFormat="1" ht="15" x14ac:dyDescent="0.25">
      <c r="A50" s="9" t="str">
        <f>I50</f>
        <v>BS in k€</v>
      </c>
      <c r="B50" s="9"/>
      <c r="C50" s="9"/>
      <c r="D50" s="9"/>
      <c r="E50" s="9"/>
      <c r="F50" s="11"/>
      <c r="G50" s="11"/>
      <c r="H50" s="11"/>
      <c r="I50" s="13" t="s">
        <v>38</v>
      </c>
      <c r="J50" s="12">
        <f t="shared" ref="J50:V50" si="27">J$3</f>
        <v>2023</v>
      </c>
      <c r="K50" s="12">
        <f t="shared" si="27"/>
        <v>2024</v>
      </c>
      <c r="L50" s="12">
        <f t="shared" si="27"/>
        <v>2025</v>
      </c>
      <c r="M50" s="12">
        <f t="shared" si="27"/>
        <v>2026</v>
      </c>
      <c r="N50" s="12">
        <f t="shared" si="27"/>
        <v>2027</v>
      </c>
      <c r="O50" s="12">
        <f t="shared" si="27"/>
        <v>2028</v>
      </c>
      <c r="P50" s="12">
        <f t="shared" si="27"/>
        <v>2029</v>
      </c>
      <c r="Q50" s="12">
        <f t="shared" si="27"/>
        <v>2030</v>
      </c>
      <c r="R50" s="12">
        <f t="shared" si="27"/>
        <v>2031</v>
      </c>
      <c r="S50" s="12">
        <f t="shared" si="27"/>
        <v>2032</v>
      </c>
      <c r="T50" s="12">
        <f t="shared" si="27"/>
        <v>2033</v>
      </c>
      <c r="U50" s="12">
        <f t="shared" si="27"/>
        <v>2034</v>
      </c>
      <c r="V50" s="12">
        <f t="shared" si="27"/>
        <v>2035</v>
      </c>
    </row>
    <row r="51" spans="1:22" s="8" customFormat="1" ht="15" x14ac:dyDescent="0.25">
      <c r="A51" s="24"/>
      <c r="B51" s="64"/>
      <c r="C51" s="30"/>
      <c r="D51" s="53"/>
      <c r="E51" s="62"/>
      <c r="F51" s="7"/>
      <c r="G51" s="110"/>
      <c r="H51" s="7"/>
      <c r="I51" s="68" t="s">
        <v>39</v>
      </c>
      <c r="J51" s="69">
        <f>611903+3000</f>
        <v>614903</v>
      </c>
      <c r="K51" s="69">
        <v>1904258.93</v>
      </c>
      <c r="L51" s="30">
        <f>K51-L33-L36</f>
        <v>1421768.3219168838</v>
      </c>
      <c r="M51" s="30">
        <f>L51-M33-M36</f>
        <v>1484861.8037230358</v>
      </c>
      <c r="N51" s="30">
        <f>M51-N33-N36</f>
        <v>1484861.8037230358</v>
      </c>
      <c r="O51" s="30">
        <f>N51-O33-O36</f>
        <v>0</v>
      </c>
      <c r="P51" s="30">
        <f>O51-P33-P36</f>
        <v>0</v>
      </c>
      <c r="Q51" s="30">
        <f t="shared" ref="Q51:V51" si="28">P51-Q33-Q36</f>
        <v>0</v>
      </c>
      <c r="R51" s="30">
        <f t="shared" si="28"/>
        <v>0</v>
      </c>
      <c r="S51" s="30">
        <f t="shared" si="28"/>
        <v>0</v>
      </c>
      <c r="T51" s="30">
        <f t="shared" si="28"/>
        <v>0</v>
      </c>
      <c r="U51" s="30">
        <f t="shared" si="28"/>
        <v>0</v>
      </c>
      <c r="V51" s="30">
        <f t="shared" si="28"/>
        <v>0</v>
      </c>
    </row>
    <row r="52" spans="1:22" s="8" customFormat="1" ht="15" x14ac:dyDescent="0.25">
      <c r="A52" s="24"/>
      <c r="B52" s="64"/>
      <c r="C52" s="30"/>
      <c r="D52" s="53"/>
      <c r="E52" s="62"/>
      <c r="F52" s="7"/>
      <c r="G52" s="114"/>
      <c r="H52" s="7"/>
      <c r="I52" s="68" t="s">
        <v>40</v>
      </c>
      <c r="J52" s="69">
        <f>5778+25275-8637</f>
        <v>22416</v>
      </c>
      <c r="K52" s="69">
        <v>33419.699999999997</v>
      </c>
      <c r="L52" s="30">
        <f t="shared" ref="L52:V52" si="29">K52-L10</f>
        <v>33419.699999999997</v>
      </c>
      <c r="M52" s="30">
        <f t="shared" si="29"/>
        <v>33419.699999999997</v>
      </c>
      <c r="N52" s="30">
        <f t="shared" si="29"/>
        <v>33419.699999999997</v>
      </c>
      <c r="O52" s="30">
        <f t="shared" si="29"/>
        <v>33419.699999999997</v>
      </c>
      <c r="P52" s="30">
        <f t="shared" si="29"/>
        <v>33419.699999999997</v>
      </c>
      <c r="Q52" s="30">
        <f t="shared" si="29"/>
        <v>33419.699999999997</v>
      </c>
      <c r="R52" s="30">
        <f t="shared" si="29"/>
        <v>33419.699999999997</v>
      </c>
      <c r="S52" s="30">
        <f t="shared" si="29"/>
        <v>33419.699999999997</v>
      </c>
      <c r="T52" s="30">
        <f t="shared" si="29"/>
        <v>33419.699999999997</v>
      </c>
      <c r="U52" s="30">
        <f t="shared" si="29"/>
        <v>33419.699999999997</v>
      </c>
      <c r="V52" s="30">
        <f t="shared" si="29"/>
        <v>33419.699999999997</v>
      </c>
    </row>
    <row r="53" spans="1:22" s="8" customFormat="1" ht="15" x14ac:dyDescent="0.25">
      <c r="A53" s="44"/>
      <c r="B53" s="44"/>
      <c r="C53" s="44"/>
      <c r="D53" s="44"/>
      <c r="E53" s="44"/>
      <c r="F53" s="7"/>
      <c r="G53" s="114"/>
      <c r="H53" s="7"/>
      <c r="I53" s="68" t="s">
        <v>41</v>
      </c>
      <c r="J53" s="69">
        <f>362070+24748+582</f>
        <v>387400</v>
      </c>
      <c r="K53" s="69">
        <f>41700.52+423.9</f>
        <v>42124.42</v>
      </c>
      <c r="L53" s="30">
        <f>L7*2/12</f>
        <v>150179.20316520391</v>
      </c>
      <c r="M53" s="30">
        <f t="shared" ref="M53:V53" si="30">M7*2/12</f>
        <v>212004.73968849191</v>
      </c>
      <c r="N53" s="30">
        <f t="shared" si="30"/>
        <v>128925</v>
      </c>
      <c r="O53" s="30">
        <f t="shared" si="30"/>
        <v>0</v>
      </c>
      <c r="P53" s="30">
        <f t="shared" si="30"/>
        <v>0</v>
      </c>
      <c r="Q53" s="30">
        <f t="shared" si="30"/>
        <v>0</v>
      </c>
      <c r="R53" s="30">
        <f t="shared" si="30"/>
        <v>0</v>
      </c>
      <c r="S53" s="30">
        <f t="shared" si="30"/>
        <v>0</v>
      </c>
      <c r="T53" s="30">
        <f t="shared" si="30"/>
        <v>0</v>
      </c>
      <c r="U53" s="30">
        <f t="shared" si="30"/>
        <v>0</v>
      </c>
      <c r="V53" s="30">
        <f t="shared" si="30"/>
        <v>0</v>
      </c>
    </row>
    <row r="54" spans="1:22" s="37" customFormat="1" ht="15" x14ac:dyDescent="0.25">
      <c r="A54" s="24"/>
      <c r="B54" s="56"/>
      <c r="C54" s="30"/>
      <c r="D54" s="70"/>
      <c r="E54" s="44"/>
      <c r="F54" s="7"/>
      <c r="G54" s="114"/>
      <c r="H54" s="71"/>
      <c r="I54" s="68" t="s">
        <v>42</v>
      </c>
      <c r="J54" s="69">
        <v>26337</v>
      </c>
      <c r="K54" s="69">
        <v>133207.12</v>
      </c>
      <c r="L54" s="30">
        <f>K54+L46</f>
        <v>748123.43628039677</v>
      </c>
      <c r="M54" s="30">
        <f>L54+M46</f>
        <v>1346261.5676844916</v>
      </c>
      <c r="N54" s="30">
        <f t="shared" ref="N54:V54" si="31">M54+N46</f>
        <v>1927656.3879476553</v>
      </c>
      <c r="O54" s="30">
        <f t="shared" si="31"/>
        <v>3137072.5027453629</v>
      </c>
      <c r="P54" s="30">
        <f t="shared" si="31"/>
        <v>2716703.3969453629</v>
      </c>
      <c r="Q54" s="30">
        <f>P54+Q46</f>
        <v>2300204.951385363</v>
      </c>
      <c r="R54" s="30">
        <f t="shared" si="31"/>
        <v>1906472.451385363</v>
      </c>
      <c r="S54" s="72">
        <f t="shared" si="31"/>
        <v>1305237.0213853628</v>
      </c>
      <c r="T54" s="30">
        <f t="shared" si="31"/>
        <v>1305237.0213853628</v>
      </c>
      <c r="U54" s="30">
        <f t="shared" si="31"/>
        <v>1305237.0213853628</v>
      </c>
      <c r="V54" s="30">
        <f t="shared" si="31"/>
        <v>1305237.0213853628</v>
      </c>
    </row>
    <row r="55" spans="1:22" s="8" customFormat="1" ht="15" x14ac:dyDescent="0.25">
      <c r="A55" s="73" t="s">
        <v>43</v>
      </c>
      <c r="B55" s="36"/>
      <c r="C55" s="34">
        <f>C54+C53</f>
        <v>0</v>
      </c>
      <c r="D55" s="55"/>
      <c r="E55" s="74"/>
      <c r="F55" s="36"/>
      <c r="G55" s="114"/>
      <c r="H55" s="36"/>
      <c r="I55" s="31" t="s">
        <v>44</v>
      </c>
      <c r="J55" s="35">
        <f>SUM(J51:J54)</f>
        <v>1051056</v>
      </c>
      <c r="K55" s="35">
        <f>SUM(K51:K54)</f>
        <v>2113010.17</v>
      </c>
      <c r="L55" s="35">
        <f>SUM(L51:L54)</f>
        <v>2353490.6613624846</v>
      </c>
      <c r="M55" s="35">
        <f t="shared" ref="M55:V55" si="32">SUM(M51:M54)</f>
        <v>3076547.8110960191</v>
      </c>
      <c r="N55" s="35">
        <f t="shared" si="32"/>
        <v>3574862.8916706908</v>
      </c>
      <c r="O55" s="35">
        <f t="shared" si="32"/>
        <v>3170492.2027453631</v>
      </c>
      <c r="P55" s="35">
        <f t="shared" si="32"/>
        <v>2750123.0969453631</v>
      </c>
      <c r="Q55" s="35">
        <f t="shared" si="32"/>
        <v>2333624.6513853632</v>
      </c>
      <c r="R55" s="35">
        <f t="shared" si="32"/>
        <v>1939892.151385363</v>
      </c>
      <c r="S55" s="35">
        <f t="shared" si="32"/>
        <v>1338656.7213853628</v>
      </c>
      <c r="T55" s="35">
        <f t="shared" si="32"/>
        <v>1338656.7213853628</v>
      </c>
      <c r="U55" s="35">
        <f t="shared" si="32"/>
        <v>1338656.7213853628</v>
      </c>
      <c r="V55" s="35">
        <f t="shared" si="32"/>
        <v>1338656.7213853628</v>
      </c>
    </row>
    <row r="56" spans="1:22" s="8" customFormat="1" ht="15" x14ac:dyDescent="0.25">
      <c r="A56" s="24"/>
      <c r="B56" s="64"/>
      <c r="C56" s="30"/>
      <c r="D56" s="53"/>
      <c r="E56" s="62"/>
      <c r="F56" s="7"/>
      <c r="G56" s="114"/>
      <c r="H56" s="7"/>
      <c r="I56" s="75" t="s">
        <v>45</v>
      </c>
      <c r="J56" s="76">
        <v>2100</v>
      </c>
      <c r="K56" s="77">
        <f>J56</f>
        <v>2100</v>
      </c>
      <c r="L56" s="77">
        <f t="shared" ref="L56:V56" si="33">K56</f>
        <v>2100</v>
      </c>
      <c r="M56" s="77">
        <f t="shared" si="33"/>
        <v>2100</v>
      </c>
      <c r="N56" s="77">
        <f t="shared" si="33"/>
        <v>2100</v>
      </c>
      <c r="O56" s="77">
        <f t="shared" si="33"/>
        <v>2100</v>
      </c>
      <c r="P56" s="77">
        <f t="shared" si="33"/>
        <v>2100</v>
      </c>
      <c r="Q56" s="77">
        <f t="shared" si="33"/>
        <v>2100</v>
      </c>
      <c r="R56" s="77">
        <f t="shared" si="33"/>
        <v>2100</v>
      </c>
      <c r="S56" s="77">
        <f t="shared" si="33"/>
        <v>2100</v>
      </c>
      <c r="T56" s="77">
        <f t="shared" si="33"/>
        <v>2100</v>
      </c>
      <c r="U56" s="77">
        <f t="shared" si="33"/>
        <v>2100</v>
      </c>
      <c r="V56" s="77">
        <f t="shared" si="33"/>
        <v>2100</v>
      </c>
    </row>
    <row r="57" spans="1:22" ht="15" x14ac:dyDescent="0.25">
      <c r="A57" s="44"/>
      <c r="B57" s="44"/>
      <c r="C57" s="44"/>
      <c r="D57" s="44"/>
      <c r="E57" s="44"/>
      <c r="F57" s="7"/>
      <c r="G57" s="114"/>
      <c r="H57" s="78"/>
      <c r="I57" s="68" t="s">
        <v>46</v>
      </c>
      <c r="J57" s="69">
        <v>27</v>
      </c>
      <c r="K57" s="30">
        <f>J57+J58+K45</f>
        <v>128</v>
      </c>
      <c r="L57" s="30">
        <f>K57+K58+L45</f>
        <v>-501116.46</v>
      </c>
      <c r="M57" s="30">
        <f t="shared" ref="M57:V57" si="34">L57+L58+M45</f>
        <v>-178862.64197084884</v>
      </c>
      <c r="N57" s="30">
        <f t="shared" si="34"/>
        <v>658790.34109601937</v>
      </c>
      <c r="O57" s="30">
        <f t="shared" si="34"/>
        <v>1292729.0216706912</v>
      </c>
      <c r="P57" s="30">
        <f t="shared" si="34"/>
        <v>1345758.8547453631</v>
      </c>
      <c r="Q57" s="30">
        <f t="shared" si="34"/>
        <v>1336557.1813853632</v>
      </c>
      <c r="R57" s="30">
        <f t="shared" si="34"/>
        <v>1336557.1813853632</v>
      </c>
      <c r="S57" s="30">
        <f t="shared" si="34"/>
        <v>1336557.1813853632</v>
      </c>
      <c r="T57" s="30">
        <f t="shared" si="34"/>
        <v>1336557.1813853632</v>
      </c>
      <c r="U57" s="30">
        <f t="shared" si="34"/>
        <v>1336557.1813853632</v>
      </c>
      <c r="V57" s="30">
        <f t="shared" si="34"/>
        <v>1336557.1813853632</v>
      </c>
    </row>
    <row r="58" spans="1:22" ht="15" x14ac:dyDescent="0.25">
      <c r="A58" s="60"/>
      <c r="B58" s="60"/>
      <c r="C58" s="60"/>
      <c r="D58" s="60"/>
      <c r="E58" s="60"/>
      <c r="F58" s="7"/>
      <c r="G58" s="114"/>
      <c r="H58" s="78"/>
      <c r="I58" s="68" t="s">
        <v>47</v>
      </c>
      <c r="J58" s="69">
        <v>101</v>
      </c>
      <c r="K58" s="30">
        <f>-501244.46</f>
        <v>-501244.46</v>
      </c>
      <c r="L58" s="30">
        <f>L25</f>
        <v>322253.81802915118</v>
      </c>
      <c r="M58" s="30">
        <f t="shared" ref="M58:V58" si="35">M25</f>
        <v>837652.98306686827</v>
      </c>
      <c r="N58" s="80">
        <f t="shared" si="35"/>
        <v>633938.68057467183</v>
      </c>
      <c r="O58" s="30">
        <f t="shared" si="35"/>
        <v>53029.833074671878</v>
      </c>
      <c r="P58" s="30">
        <f t="shared" si="35"/>
        <v>-9201.6733600000007</v>
      </c>
      <c r="Q58" s="30">
        <f t="shared" si="35"/>
        <v>0</v>
      </c>
      <c r="R58" s="30">
        <f t="shared" si="35"/>
        <v>0</v>
      </c>
      <c r="S58" s="30">
        <f t="shared" si="35"/>
        <v>0</v>
      </c>
      <c r="T58" s="30">
        <f t="shared" si="35"/>
        <v>0</v>
      </c>
      <c r="U58" s="30">
        <f t="shared" si="35"/>
        <v>0</v>
      </c>
      <c r="V58" s="30">
        <f t="shared" si="35"/>
        <v>0</v>
      </c>
    </row>
    <row r="59" spans="1:22" s="82" customFormat="1" ht="15" x14ac:dyDescent="0.25">
      <c r="A59" s="60"/>
      <c r="B59" s="60"/>
      <c r="C59" s="60"/>
      <c r="D59" s="60"/>
      <c r="E59" s="60"/>
      <c r="F59" s="7"/>
      <c r="G59" s="114"/>
      <c r="H59" s="81"/>
      <c r="I59" s="68"/>
      <c r="J59" s="6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ht="15" x14ac:dyDescent="0.25">
      <c r="A60" s="73" t="s">
        <v>48</v>
      </c>
      <c r="B60" s="36"/>
      <c r="C60" s="34">
        <f>C58+C57</f>
        <v>0</v>
      </c>
      <c r="D60" s="55"/>
      <c r="E60" s="74"/>
      <c r="F60" s="83"/>
      <c r="G60" s="114"/>
      <c r="H60" s="36"/>
      <c r="I60" s="31" t="s">
        <v>49</v>
      </c>
      <c r="J60" s="35">
        <f>SUM(J56:J59)</f>
        <v>2228</v>
      </c>
      <c r="K60" s="35">
        <f>SUM(K56:K59)</f>
        <v>-499016.46</v>
      </c>
      <c r="L60" s="35">
        <f t="shared" ref="L60:V60" si="36">SUM(L56:L59)</f>
        <v>-176762.64197084884</v>
      </c>
      <c r="M60" s="35">
        <f t="shared" si="36"/>
        <v>660890.34109601937</v>
      </c>
      <c r="N60" s="35">
        <f t="shared" si="36"/>
        <v>1294829.0216706912</v>
      </c>
      <c r="O60" s="35">
        <f t="shared" si="36"/>
        <v>1347858.8547453631</v>
      </c>
      <c r="P60" s="35">
        <f t="shared" si="36"/>
        <v>1338657.1813853632</v>
      </c>
      <c r="Q60" s="35">
        <f t="shared" si="36"/>
        <v>1338657.1813853632</v>
      </c>
      <c r="R60" s="35">
        <f t="shared" si="36"/>
        <v>1338657.1813853632</v>
      </c>
      <c r="S60" s="35">
        <f t="shared" si="36"/>
        <v>1338657.1813853632</v>
      </c>
      <c r="T60" s="35">
        <f t="shared" si="36"/>
        <v>1338657.1813853632</v>
      </c>
      <c r="U60" s="35">
        <f t="shared" si="36"/>
        <v>1338657.1813853632</v>
      </c>
      <c r="V60" s="35">
        <f t="shared" si="36"/>
        <v>1338657.1813853632</v>
      </c>
    </row>
    <row r="61" spans="1:22" ht="15" x14ac:dyDescent="0.25">
      <c r="A61" s="84"/>
      <c r="B61" s="84"/>
      <c r="C61" s="84"/>
      <c r="D61" s="84"/>
      <c r="E61" s="84"/>
      <c r="F61" s="78"/>
      <c r="G61" s="115"/>
      <c r="H61" s="78"/>
      <c r="I61" s="68" t="s">
        <v>50</v>
      </c>
      <c r="J61" s="6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ht="15" x14ac:dyDescent="0.25">
      <c r="A62" s="84"/>
      <c r="B62" s="84"/>
      <c r="C62" s="84"/>
      <c r="D62" s="84"/>
      <c r="E62" s="84"/>
      <c r="F62" s="78"/>
      <c r="G62" s="115"/>
      <c r="H62" s="78"/>
      <c r="I62" s="68" t="s">
        <v>51</v>
      </c>
      <c r="J62" s="69">
        <v>962058</v>
      </c>
      <c r="K62" s="69">
        <v>2558350.4300000002</v>
      </c>
      <c r="L62" s="30">
        <f>K62+L43+L44</f>
        <v>2473420.4300000002</v>
      </c>
      <c r="M62" s="30">
        <f t="shared" ref="M62:V62" si="37">L62+M43+M44</f>
        <v>2388490.4300000002</v>
      </c>
      <c r="N62" s="30">
        <f t="shared" si="37"/>
        <v>2303560.4300000002</v>
      </c>
      <c r="O62" s="30">
        <f t="shared" si="37"/>
        <v>1846130.4300000002</v>
      </c>
      <c r="P62" s="30">
        <f t="shared" si="37"/>
        <v>1409932.9300000002</v>
      </c>
      <c r="Q62" s="30">
        <f t="shared" si="37"/>
        <v>994967.93000000017</v>
      </c>
      <c r="R62" s="30">
        <f>Q62+R43+R44</f>
        <v>601235.43000000017</v>
      </c>
      <c r="S62" s="30">
        <f t="shared" si="37"/>
        <v>0</v>
      </c>
      <c r="T62" s="30">
        <f t="shared" si="37"/>
        <v>0</v>
      </c>
      <c r="U62" s="30">
        <f t="shared" si="37"/>
        <v>0</v>
      </c>
      <c r="V62" s="30">
        <f t="shared" si="37"/>
        <v>0</v>
      </c>
    </row>
    <row r="63" spans="1:22" ht="15" x14ac:dyDescent="0.25">
      <c r="A63" s="84"/>
      <c r="B63" s="84"/>
      <c r="C63" s="84"/>
      <c r="D63" s="84"/>
      <c r="E63" s="84"/>
      <c r="F63" s="78"/>
      <c r="G63" s="115"/>
      <c r="H63" s="78"/>
      <c r="I63" s="68" t="s">
        <v>52</v>
      </c>
      <c r="J63" s="69">
        <f>90+36086+1012653-962058-1</f>
        <v>86770</v>
      </c>
      <c r="K63" s="69">
        <v>53676.659999999989</v>
      </c>
      <c r="L63" s="30">
        <f>SUM(L9,L12)*2/12</f>
        <v>56833.333333333336</v>
      </c>
      <c r="M63" s="30">
        <f t="shared" ref="M63:V63" si="38">SUM(M9,M12)*2/12</f>
        <v>27167.5</v>
      </c>
      <c r="N63" s="30">
        <f t="shared" si="38"/>
        <v>-23526.100000000002</v>
      </c>
      <c r="O63" s="30">
        <f t="shared" si="38"/>
        <v>-23496.621999999999</v>
      </c>
      <c r="P63" s="30">
        <f t="shared" si="38"/>
        <v>1533.4455600000001</v>
      </c>
      <c r="Q63" s="30">
        <f t="shared" si="38"/>
        <v>0</v>
      </c>
      <c r="R63" s="30">
        <f t="shared" si="38"/>
        <v>0</v>
      </c>
      <c r="S63" s="30">
        <f t="shared" si="38"/>
        <v>0</v>
      </c>
      <c r="T63" s="30">
        <f t="shared" si="38"/>
        <v>0</v>
      </c>
      <c r="U63" s="30">
        <f t="shared" si="38"/>
        <v>0</v>
      </c>
      <c r="V63" s="30">
        <f t="shared" si="38"/>
        <v>0</v>
      </c>
    </row>
    <row r="64" spans="1:22" ht="15" x14ac:dyDescent="0.25">
      <c r="A64" s="85"/>
      <c r="B64" s="85"/>
      <c r="C64" s="85"/>
      <c r="D64" s="85"/>
      <c r="E64" s="85"/>
      <c r="F64" s="78"/>
      <c r="G64" s="115"/>
      <c r="H64" s="78"/>
      <c r="I64" s="86" t="s">
        <v>53</v>
      </c>
      <c r="J64" s="87">
        <f>J60+J61+J62+J63</f>
        <v>1051056</v>
      </c>
      <c r="K64" s="87">
        <f>K60+K61+K62+K63</f>
        <v>2113010.6300000004</v>
      </c>
      <c r="L64" s="87">
        <f>L60+L61+L62+L63</f>
        <v>2353491.121362485</v>
      </c>
      <c r="M64" s="87">
        <f>M60+M61+M62+M63</f>
        <v>3076548.2710960195</v>
      </c>
      <c r="N64" s="87">
        <f t="shared" ref="N64:V64" si="39">N60+N61+N62+N63</f>
        <v>3574863.3516706913</v>
      </c>
      <c r="O64" s="87">
        <f t="shared" si="39"/>
        <v>3170492.6627453635</v>
      </c>
      <c r="P64" s="87">
        <f t="shared" si="39"/>
        <v>2750123.5569453631</v>
      </c>
      <c r="Q64" s="87">
        <f t="shared" si="39"/>
        <v>2333625.1113853632</v>
      </c>
      <c r="R64" s="87">
        <f t="shared" si="39"/>
        <v>1939892.6113853634</v>
      </c>
      <c r="S64" s="87">
        <f t="shared" si="39"/>
        <v>1338657.1813853632</v>
      </c>
      <c r="T64" s="87">
        <f t="shared" si="39"/>
        <v>1338657.1813853632</v>
      </c>
      <c r="U64" s="87">
        <f t="shared" si="39"/>
        <v>1338657.1813853632</v>
      </c>
      <c r="V64" s="87">
        <f t="shared" si="39"/>
        <v>1338657.1813853632</v>
      </c>
    </row>
    <row r="65" spans="1:22" ht="15" x14ac:dyDescent="0.25">
      <c r="A65" s="88"/>
      <c r="B65" s="88"/>
      <c r="C65" s="88"/>
      <c r="D65" s="88"/>
      <c r="E65" s="88"/>
      <c r="F65" s="78"/>
      <c r="G65" s="7"/>
      <c r="H65" s="78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1:22" ht="15" x14ac:dyDescent="0.25">
      <c r="A66" s="24" t="s">
        <v>54</v>
      </c>
      <c r="B66" s="56"/>
      <c r="C66" s="89">
        <f>IRR(J47:V47)</f>
        <v>8.7770214865851681E-2</v>
      </c>
      <c r="D66" s="53"/>
      <c r="E66" s="88"/>
      <c r="F66" s="78"/>
      <c r="G66" s="90"/>
      <c r="H66" s="78"/>
      <c r="I66" s="91" t="s">
        <v>55</v>
      </c>
      <c r="J66" s="92">
        <f>ROUND(J64-J55,5)</f>
        <v>0</v>
      </c>
      <c r="K66" s="92">
        <f>ROUND(K64-K55,3)</f>
        <v>0.46</v>
      </c>
      <c r="L66" s="92">
        <f>ROUND(L64-L55,5)</f>
        <v>0.46</v>
      </c>
      <c r="M66" s="92">
        <f>ROUND(M64-M55,5)</f>
        <v>0.46</v>
      </c>
      <c r="N66" s="92">
        <f t="shared" ref="N66:V66" si="40">ROUND(N64-N55,5)</f>
        <v>0.46</v>
      </c>
      <c r="O66" s="92">
        <f t="shared" si="40"/>
        <v>0.46</v>
      </c>
      <c r="P66" s="92">
        <f t="shared" si="40"/>
        <v>0.46</v>
      </c>
      <c r="Q66" s="92">
        <f t="shared" si="40"/>
        <v>0.46</v>
      </c>
      <c r="R66" s="92">
        <f t="shared" si="40"/>
        <v>0.46</v>
      </c>
      <c r="S66" s="92">
        <f t="shared" si="40"/>
        <v>0.46</v>
      </c>
      <c r="T66" s="92">
        <f t="shared" si="40"/>
        <v>0.46</v>
      </c>
      <c r="U66" s="92">
        <f t="shared" si="40"/>
        <v>0.46</v>
      </c>
      <c r="V66" s="92">
        <f t="shared" si="40"/>
        <v>0.46</v>
      </c>
    </row>
    <row r="67" spans="1:22" ht="15" x14ac:dyDescent="0.25">
      <c r="A67" s="93"/>
      <c r="B67" s="94"/>
      <c r="C67" s="95"/>
      <c r="D67" s="94"/>
      <c r="E67" s="94"/>
      <c r="F67" s="78"/>
      <c r="G67" s="90"/>
      <c r="H67" s="78"/>
      <c r="I67" s="91" t="s">
        <v>55</v>
      </c>
      <c r="J67" s="92">
        <f t="shared" ref="J67:V67" si="41">(ROUND(J54,5)&lt;0)*1</f>
        <v>0</v>
      </c>
      <c r="K67" s="92">
        <f t="shared" si="41"/>
        <v>0</v>
      </c>
      <c r="L67" s="92">
        <f>(ROUND(L54,5)&lt;0)*1</f>
        <v>0</v>
      </c>
      <c r="M67" s="92">
        <f t="shared" si="41"/>
        <v>0</v>
      </c>
      <c r="N67" s="92">
        <f t="shared" si="41"/>
        <v>0</v>
      </c>
      <c r="O67" s="92">
        <f t="shared" si="41"/>
        <v>0</v>
      </c>
      <c r="P67" s="92">
        <f t="shared" si="41"/>
        <v>0</v>
      </c>
      <c r="Q67" s="92">
        <f t="shared" si="41"/>
        <v>0</v>
      </c>
      <c r="R67" s="92">
        <f t="shared" si="41"/>
        <v>0</v>
      </c>
      <c r="S67" s="92">
        <f t="shared" si="41"/>
        <v>0</v>
      </c>
      <c r="T67" s="92">
        <f t="shared" si="41"/>
        <v>0</v>
      </c>
      <c r="U67" s="92">
        <f t="shared" si="41"/>
        <v>0</v>
      </c>
      <c r="V67" s="92">
        <f t="shared" si="41"/>
        <v>0</v>
      </c>
    </row>
    <row r="68" spans="1:22" ht="15" x14ac:dyDescent="0.25">
      <c r="A68" s="78"/>
      <c r="B68" s="96"/>
      <c r="C68" s="78"/>
      <c r="D68" s="78"/>
      <c r="E68" s="78"/>
      <c r="F68" s="78"/>
      <c r="G68" s="90"/>
      <c r="H68" s="81"/>
      <c r="I68" s="91" t="s">
        <v>56</v>
      </c>
      <c r="J68" s="97">
        <f>SUM(J66:V67)</f>
        <v>5.5200000000000005</v>
      </c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</row>
    <row r="69" spans="1:22" ht="15" x14ac:dyDescent="0.25">
      <c r="A69" s="98" t="s">
        <v>57</v>
      </c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</row>
    <row r="70" spans="1:22" ht="15" x14ac:dyDescent="0.25">
      <c r="A70" s="7"/>
      <c r="B70" s="7"/>
      <c r="C70" s="110" t="e">
        <f>IRR(C71:C78)</f>
        <v>#NUM!</v>
      </c>
      <c r="D70" s="7"/>
      <c r="E70" s="7"/>
      <c r="F70" s="78"/>
      <c r="G70" s="90"/>
      <c r="H70" s="100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</row>
    <row r="71" spans="1:22" ht="15" x14ac:dyDescent="0.25">
      <c r="A71" s="7"/>
      <c r="B71" s="7"/>
      <c r="C71" s="112">
        <v>962058</v>
      </c>
      <c r="D71" s="7"/>
      <c r="E71" s="7"/>
      <c r="F71" s="78"/>
      <c r="G71" s="101" t="s">
        <v>58</v>
      </c>
      <c r="H71" s="102"/>
      <c r="I71" s="101"/>
      <c r="J71" s="103">
        <f t="shared" ref="J71:V71" si="42">J$3</f>
        <v>2023</v>
      </c>
      <c r="K71" s="103">
        <f t="shared" si="42"/>
        <v>2024</v>
      </c>
      <c r="L71" s="103">
        <f t="shared" si="42"/>
        <v>2025</v>
      </c>
      <c r="M71" s="103">
        <f t="shared" si="42"/>
        <v>2026</v>
      </c>
      <c r="N71" s="103">
        <f t="shared" si="42"/>
        <v>2027</v>
      </c>
      <c r="O71" s="103">
        <f t="shared" si="42"/>
        <v>2028</v>
      </c>
      <c r="P71" s="103">
        <f t="shared" si="42"/>
        <v>2029</v>
      </c>
      <c r="Q71" s="103">
        <f t="shared" si="42"/>
        <v>2030</v>
      </c>
      <c r="R71" s="103">
        <f t="shared" si="42"/>
        <v>2031</v>
      </c>
      <c r="S71" s="103">
        <f t="shared" si="42"/>
        <v>2032</v>
      </c>
      <c r="T71" s="103">
        <f t="shared" si="42"/>
        <v>2033</v>
      </c>
      <c r="U71" s="103">
        <f t="shared" si="42"/>
        <v>2034</v>
      </c>
      <c r="V71" s="103">
        <f t="shared" si="42"/>
        <v>2035</v>
      </c>
    </row>
    <row r="72" spans="1:22" ht="15" x14ac:dyDescent="0.25">
      <c r="A72" s="7"/>
      <c r="B72" s="110"/>
      <c r="C72" s="112">
        <v>-1631020.69</v>
      </c>
      <c r="D72" s="7"/>
      <c r="E72" s="7"/>
      <c r="F72" s="78"/>
      <c r="G72" s="102" t="s">
        <v>59</v>
      </c>
      <c r="H72" s="104"/>
      <c r="I72" s="102"/>
      <c r="J72" s="80">
        <f>I75</f>
        <v>0</v>
      </c>
      <c r="K72" s="80">
        <f>J75</f>
        <v>0</v>
      </c>
      <c r="L72" s="80">
        <f>K75</f>
        <v>-653847</v>
      </c>
      <c r="M72" s="80">
        <f t="shared" ref="M72:V72" si="43">L75</f>
        <v>-331593.18197084882</v>
      </c>
      <c r="N72" s="80">
        <f t="shared" si="43"/>
        <v>0</v>
      </c>
      <c r="O72" s="80">
        <f t="shared" si="43"/>
        <v>0</v>
      </c>
      <c r="P72" s="80">
        <f t="shared" si="43"/>
        <v>0</v>
      </c>
      <c r="Q72" s="80">
        <f t="shared" si="43"/>
        <v>-9201.6733600000007</v>
      </c>
      <c r="R72" s="80">
        <f t="shared" si="43"/>
        <v>-9201.6733600000007</v>
      </c>
      <c r="S72" s="80">
        <f t="shared" si="43"/>
        <v>-9201.6733600000007</v>
      </c>
      <c r="T72" s="80">
        <f t="shared" si="43"/>
        <v>-9201.6733600000007</v>
      </c>
      <c r="U72" s="80">
        <f t="shared" si="43"/>
        <v>-9201.6733600000007</v>
      </c>
      <c r="V72" s="80">
        <f t="shared" si="43"/>
        <v>-9201.6733600000007</v>
      </c>
    </row>
    <row r="73" spans="1:22" ht="15" x14ac:dyDescent="0.25">
      <c r="A73" s="7"/>
      <c r="B73" s="113"/>
      <c r="C73" s="112">
        <v>699846.31628039677</v>
      </c>
      <c r="D73" s="7"/>
      <c r="E73" s="7"/>
      <c r="F73" s="78"/>
      <c r="G73" s="104" t="s">
        <v>60</v>
      </c>
      <c r="H73" s="104"/>
      <c r="I73" s="104"/>
      <c r="J73" s="80">
        <f t="shared" ref="J73:V73" si="44">J23+J72</f>
        <v>0</v>
      </c>
      <c r="K73" s="80">
        <f t="shared" si="44"/>
        <v>-653847</v>
      </c>
      <c r="L73" s="80">
        <f t="shared" si="44"/>
        <v>-331593.18197084882</v>
      </c>
      <c r="M73" s="80">
        <f t="shared" si="44"/>
        <v>674746.40146135923</v>
      </c>
      <c r="N73" s="80">
        <f t="shared" si="44"/>
        <v>845251.57409956248</v>
      </c>
      <c r="O73" s="80">
        <f t="shared" si="44"/>
        <v>70706.444099562505</v>
      </c>
      <c r="P73" s="80">
        <f t="shared" si="44"/>
        <v>-9201.6733600000007</v>
      </c>
      <c r="Q73" s="80">
        <f t="shared" si="44"/>
        <v>-9201.6733600000007</v>
      </c>
      <c r="R73" s="80">
        <f t="shared" si="44"/>
        <v>-9201.6733600000007</v>
      </c>
      <c r="S73" s="80">
        <f t="shared" si="44"/>
        <v>-9201.6733600000007</v>
      </c>
      <c r="T73" s="80">
        <f t="shared" si="44"/>
        <v>-9201.6733600000007</v>
      </c>
      <c r="U73" s="80">
        <f t="shared" si="44"/>
        <v>-9201.6733600000007</v>
      </c>
      <c r="V73" s="80">
        <f t="shared" si="44"/>
        <v>-9201.6733600000007</v>
      </c>
    </row>
    <row r="74" spans="1:22" ht="15" x14ac:dyDescent="0.25">
      <c r="A74" s="78"/>
      <c r="B74" s="113"/>
      <c r="C74" s="112">
        <v>683068.13140409486</v>
      </c>
      <c r="D74" s="78"/>
      <c r="E74" s="78"/>
      <c r="F74" s="78"/>
      <c r="G74" s="104" t="s">
        <v>61</v>
      </c>
      <c r="H74" s="105"/>
      <c r="I74" s="104"/>
      <c r="J74" s="80">
        <f t="shared" ref="J74:V74" si="45">IF(J73&lt;0,0,-J73*$C$24)</f>
        <v>0</v>
      </c>
      <c r="K74" s="80">
        <f t="shared" si="45"/>
        <v>0</v>
      </c>
      <c r="L74" s="80">
        <f t="shared" si="45"/>
        <v>0</v>
      </c>
      <c r="M74" s="80">
        <f t="shared" si="45"/>
        <v>-168686.60036533981</v>
      </c>
      <c r="N74" s="80">
        <f t="shared" si="45"/>
        <v>-211312.89352489062</v>
      </c>
      <c r="O74" s="80">
        <f t="shared" si="45"/>
        <v>-17676.611024890626</v>
      </c>
      <c r="P74" s="80">
        <f t="shared" si="45"/>
        <v>0</v>
      </c>
      <c r="Q74" s="80">
        <f t="shared" si="45"/>
        <v>0</v>
      </c>
      <c r="R74" s="80">
        <f t="shared" si="45"/>
        <v>0</v>
      </c>
      <c r="S74" s="80">
        <f t="shared" si="45"/>
        <v>0</v>
      </c>
      <c r="T74" s="80">
        <f t="shared" si="45"/>
        <v>0</v>
      </c>
      <c r="U74" s="80">
        <f t="shared" si="45"/>
        <v>0</v>
      </c>
      <c r="V74" s="80">
        <f t="shared" si="45"/>
        <v>0</v>
      </c>
    </row>
    <row r="75" spans="1:22" ht="15" x14ac:dyDescent="0.25">
      <c r="A75" s="78"/>
      <c r="B75" s="113"/>
      <c r="C75" s="112">
        <v>666324.82026316377</v>
      </c>
      <c r="D75" s="78"/>
      <c r="E75" s="78"/>
      <c r="F75" s="78"/>
      <c r="G75" s="105" t="s">
        <v>62</v>
      </c>
      <c r="H75" s="105"/>
      <c r="I75" s="105"/>
      <c r="J75" s="106">
        <f>MIN(0,J73)</f>
        <v>0</v>
      </c>
      <c r="K75" s="106">
        <f>MIN(0,K73)</f>
        <v>-653847</v>
      </c>
      <c r="L75" s="106">
        <f t="shared" ref="L75:V75" si="46">MIN(0,L73)</f>
        <v>-331593.18197084882</v>
      </c>
      <c r="M75" s="106">
        <f t="shared" si="46"/>
        <v>0</v>
      </c>
      <c r="N75" s="106">
        <f t="shared" si="46"/>
        <v>0</v>
      </c>
      <c r="O75" s="106">
        <f t="shared" si="46"/>
        <v>0</v>
      </c>
      <c r="P75" s="106">
        <f t="shared" si="46"/>
        <v>-9201.6733600000007</v>
      </c>
      <c r="Q75" s="106">
        <f t="shared" si="46"/>
        <v>-9201.6733600000007</v>
      </c>
      <c r="R75" s="106">
        <f t="shared" si="46"/>
        <v>-9201.6733600000007</v>
      </c>
      <c r="S75" s="106">
        <f t="shared" si="46"/>
        <v>-9201.6733600000007</v>
      </c>
      <c r="T75" s="106">
        <f t="shared" si="46"/>
        <v>-9201.6733600000007</v>
      </c>
      <c r="U75" s="106">
        <f t="shared" si="46"/>
        <v>-9201.6733600000007</v>
      </c>
      <c r="V75" s="106">
        <f t="shared" si="46"/>
        <v>-9201.6733600000007</v>
      </c>
    </row>
    <row r="76" spans="1:22" ht="15" x14ac:dyDescent="0.25">
      <c r="A76" s="78"/>
      <c r="B76" s="113"/>
      <c r="C76" s="112">
        <v>1666846.1147977076</v>
      </c>
      <c r="D76" s="78"/>
      <c r="E76" s="78"/>
      <c r="F76" s="78"/>
      <c r="G76" s="90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1:22" ht="15" x14ac:dyDescent="0.25">
      <c r="B77" s="113"/>
      <c r="C77" s="112">
        <v>15828.394199999999</v>
      </c>
      <c r="J77" s="79">
        <v>2023</v>
      </c>
      <c r="K77" s="79">
        <v>2024</v>
      </c>
      <c r="L77" s="79">
        <v>2025</v>
      </c>
      <c r="M77" s="79">
        <v>2026</v>
      </c>
      <c r="N77" s="79">
        <v>2027</v>
      </c>
      <c r="O77" s="79">
        <v>2028</v>
      </c>
      <c r="P77" s="79">
        <v>2029</v>
      </c>
      <c r="Q77" s="79">
        <v>2030</v>
      </c>
      <c r="R77" s="79">
        <v>2031</v>
      </c>
      <c r="S77" s="79">
        <v>2032</v>
      </c>
      <c r="T77" s="79">
        <v>2033</v>
      </c>
      <c r="U77" s="79">
        <v>2034</v>
      </c>
      <c r="V77" s="79">
        <v>2035</v>
      </c>
    </row>
    <row r="78" spans="1:22" ht="15" x14ac:dyDescent="0.25">
      <c r="B78" s="113"/>
      <c r="C78" s="112">
        <v>-1533.4455600000001</v>
      </c>
      <c r="I78" s="79" t="str">
        <f>I42</f>
        <v>CF available for Equity</v>
      </c>
      <c r="J78" s="65">
        <f>J62</f>
        <v>962058</v>
      </c>
      <c r="K78" s="65">
        <v>1604683.69</v>
      </c>
      <c r="L78" s="30">
        <v>-84930</v>
      </c>
      <c r="M78" s="30">
        <v>-84930</v>
      </c>
      <c r="N78" s="30">
        <v>-84930</v>
      </c>
      <c r="O78" s="30">
        <v>-457430</v>
      </c>
      <c r="P78" s="30">
        <v>-436197.5</v>
      </c>
      <c r="Q78" s="30">
        <v>-414965</v>
      </c>
      <c r="R78" s="30">
        <v>-393732.5</v>
      </c>
      <c r="S78" s="30">
        <v>-601235.43000000017</v>
      </c>
      <c r="T78" s="30">
        <v>0</v>
      </c>
      <c r="U78" s="30">
        <v>0</v>
      </c>
      <c r="V78" s="30">
        <v>0</v>
      </c>
    </row>
    <row r="79" spans="1:22" ht="15" x14ac:dyDescent="0.25">
      <c r="B79" s="113"/>
      <c r="I79" s="108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</row>
    <row r="80" spans="1:22" ht="15" x14ac:dyDescent="0.25">
      <c r="B80" s="113"/>
    </row>
  </sheetData>
  <protectedRanges>
    <protectedRange algorithmName="SHA-512" hashValue="M6g/yH6BwpY/MSXdjbkmv1nWpquwpWABqJ0v7OPlhUSF3GmZ5qQuPwuRCFcnCzn8xhwOi18GS8m9Qoq9R6Yg2g==" saltValue="ffLF/NHAkIirNmN2NW5vqA==" spinCount="100000" sqref="I72:I75 K72:V75 G72:G75 H71:H74" name="BP"/>
  </protectedRanges>
  <dataConsolidate link="1"/>
  <pageMargins left="0.7" right="0.7" top="0.75" bottom="0.75" header="0.3" footer="0.3"/>
  <pageSetup paperSize="9" scale="4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Etats Financiers-VAN 6,5%</vt:lpstr>
      <vt:lpstr>'Etats Financiers-VAN 6,5%'!Zone_d_impression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Laura</cp:lastModifiedBy>
  <dcterms:created xsi:type="dcterms:W3CDTF">2025-05-26T11:20:14Z</dcterms:created>
  <dcterms:modified xsi:type="dcterms:W3CDTF">2025-05-26T14:18:32Z</dcterms:modified>
</cp:coreProperties>
</file>