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2022 CT64FFME\FORMATIONS 2022\220112_1946_Alpi Hivernal_Niv1 et 2_Cascade de glace_ALPES\"/>
    </mc:Choice>
  </mc:AlternateContent>
  <bookViews>
    <workbookView xWindow="0" yWindow="0" windowWidth="28800" windowHeight="11700" firstSheet="3" activeTab="13"/>
  </bookViews>
  <sheets>
    <sheet name="Info" sheetId="1" r:id="rId1"/>
    <sheet name="Base Previ" sheetId="2" r:id="rId2"/>
    <sheet name="Budget Prévi" sheetId="3" r:id="rId3"/>
    <sheet name="Intranet" sheetId="4" r:id="rId4"/>
    <sheet name="Emargement" sheetId="5" r:id="rId5"/>
    <sheet name="Paiement" sheetId="85" r:id="rId6"/>
    <sheet name="Eval Stagiaires" sheetId="134" r:id="rId7"/>
    <sheet name="Bilan de stage" sheetId="147" r:id="rId8"/>
    <sheet name="Evaluation" sheetId="148" r:id="rId9"/>
    <sheet name="Base Réalisé" sheetId="149" r:id="rId10"/>
    <sheet name="CR FI" sheetId="162" r:id="rId11"/>
    <sheet name="Compta" sheetId="163" r:id="rId12"/>
    <sheet name="Feuil1" sheetId="186" r:id="rId13"/>
    <sheet name="Modele" sheetId="6" r:id="rId14"/>
  </sheets>
  <externalReferences>
    <externalReference r:id="rId15"/>
    <externalReference r:id="rId16"/>
    <externalReference r:id="rId17"/>
  </externalReferences>
  <definedNames>
    <definedName name="_xlnm.Print_Area" localSheetId="4">Emargement!$A$1:$I$22</definedName>
    <definedName name="_xlnm.Print_Area" localSheetId="6">'Eval Stagiaires'!$A$1:$G$30</definedName>
    <definedName name="_xlnm.Print_Area" localSheetId="13">Modele!$A$1:$I$55</definedName>
    <definedName name="_xlnm.Print_Area" localSheetId="5">Paiement!$B$1:$S$27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85" l="1"/>
  <c r="J9" i="85"/>
  <c r="J10" i="85"/>
  <c r="J11" i="85"/>
  <c r="J12" i="85"/>
  <c r="J13" i="85"/>
  <c r="J14" i="85"/>
  <c r="J15" i="85"/>
  <c r="J16" i="85"/>
  <c r="J17" i="85"/>
  <c r="J18" i="85"/>
  <c r="J19" i="85"/>
  <c r="J20" i="85"/>
  <c r="J21" i="85"/>
  <c r="J7" i="85"/>
  <c r="I10" i="3" l="1"/>
  <c r="I29" i="3"/>
  <c r="I33" i="2" l="1"/>
  <c r="G57" i="2"/>
  <c r="E34" i="186" l="1"/>
  <c r="B30" i="186"/>
  <c r="K29" i="186"/>
  <c r="K25" i="186"/>
  <c r="E20" i="186"/>
  <c r="B20" i="186"/>
  <c r="D20" i="186" s="1"/>
  <c r="E15" i="186"/>
  <c r="K14" i="186"/>
  <c r="G14" i="186"/>
  <c r="I14" i="186" s="1"/>
  <c r="E13" i="186"/>
  <c r="E11" i="186"/>
  <c r="K10" i="186"/>
  <c r="E10" i="186"/>
  <c r="H5" i="186"/>
  <c r="E5" i="186"/>
  <c r="K4" i="186"/>
  <c r="F4" i="186"/>
  <c r="D4" i="186"/>
  <c r="K3" i="186"/>
  <c r="F3" i="186"/>
  <c r="D3" i="186"/>
  <c r="E1" i="186"/>
  <c r="D44" i="2" l="1"/>
  <c r="T49" i="1"/>
  <c r="T48" i="1"/>
  <c r="T47" i="1"/>
  <c r="T46" i="1"/>
  <c r="T45" i="1"/>
  <c r="T44" i="1"/>
  <c r="T43" i="1"/>
  <c r="T42" i="1"/>
  <c r="B42" i="1"/>
  <c r="K9" i="85" l="1"/>
  <c r="K10" i="85"/>
  <c r="K11" i="85"/>
  <c r="K12" i="85"/>
  <c r="K7" i="85"/>
  <c r="K8" i="85"/>
  <c r="H57" i="149" l="1"/>
  <c r="G57" i="149"/>
  <c r="G88" i="1" l="1"/>
  <c r="H88" i="1"/>
  <c r="D113" i="149" l="1"/>
  <c r="B9" i="5" l="1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9" i="5"/>
  <c r="B1" i="85"/>
  <c r="H44" i="163"/>
  <c r="D25" i="163"/>
  <c r="D18" i="163"/>
  <c r="D16" i="163"/>
  <c r="D20" i="163"/>
  <c r="E2" i="163"/>
  <c r="E39" i="163" s="1"/>
  <c r="B21" i="162"/>
  <c r="E21" i="162" s="1"/>
  <c r="D104" i="149"/>
  <c r="E10" i="162" s="1"/>
  <c r="E35" i="162"/>
  <c r="E32" i="162"/>
  <c r="B31" i="162"/>
  <c r="E27" i="162"/>
  <c r="B27" i="162"/>
  <c r="E15" i="162"/>
  <c r="I14" i="162"/>
  <c r="G14" i="162" s="1"/>
  <c r="E14" i="162"/>
  <c r="E13" i="162"/>
  <c r="E12" i="162"/>
  <c r="E11" i="162"/>
  <c r="D4" i="162"/>
  <c r="C39" i="163" l="1"/>
  <c r="D21" i="162"/>
  <c r="H39" i="163"/>
  <c r="D27" i="162"/>
  <c r="K26" i="162"/>
  <c r="I58" i="2" l="1"/>
  <c r="I59" i="2"/>
  <c r="H56" i="2"/>
  <c r="H56" i="149"/>
  <c r="E58" i="149"/>
  <c r="I58" i="149" s="1"/>
  <c r="E59" i="149"/>
  <c r="I59" i="149" s="1"/>
  <c r="B58" i="149"/>
  <c r="B59" i="149"/>
  <c r="C58" i="149"/>
  <c r="C59" i="149"/>
  <c r="E57" i="149"/>
  <c r="B57" i="149" l="1"/>
  <c r="B47" i="149" l="1"/>
  <c r="B46" i="149"/>
  <c r="B45" i="149"/>
  <c r="B44" i="149"/>
  <c r="M31" i="149"/>
  <c r="F35" i="149"/>
  <c r="D15" i="149"/>
  <c r="D11" i="149"/>
  <c r="M197" i="149"/>
  <c r="M195" i="149"/>
  <c r="M194" i="149"/>
  <c r="A188" i="149"/>
  <c r="A208" i="149" s="1"/>
  <c r="M185" i="149"/>
  <c r="M183" i="149"/>
  <c r="M181" i="149"/>
  <c r="M179" i="149"/>
  <c r="M178" i="149"/>
  <c r="D178" i="149" s="1"/>
  <c r="M177" i="149"/>
  <c r="D177" i="149" s="1"/>
  <c r="M176" i="149"/>
  <c r="D176" i="149" s="1"/>
  <c r="M174" i="149"/>
  <c r="M173" i="149"/>
  <c r="D173" i="149" s="1"/>
  <c r="M172" i="149"/>
  <c r="D172" i="149" s="1"/>
  <c r="M171" i="149"/>
  <c r="D171" i="149" s="1"/>
  <c r="M169" i="149"/>
  <c r="M168" i="149"/>
  <c r="D168" i="149" s="1"/>
  <c r="M167" i="149"/>
  <c r="D167" i="149" s="1"/>
  <c r="M166" i="149"/>
  <c r="D166" i="149" s="1"/>
  <c r="C165" i="149"/>
  <c r="M164" i="149"/>
  <c r="M163" i="149"/>
  <c r="D163" i="149" s="1"/>
  <c r="M162" i="149"/>
  <c r="D162" i="149" s="1"/>
  <c r="M161" i="149"/>
  <c r="D161" i="149" s="1"/>
  <c r="C160" i="149"/>
  <c r="M156" i="149"/>
  <c r="M154" i="149"/>
  <c r="M152" i="149"/>
  <c r="M150" i="149"/>
  <c r="M149" i="149"/>
  <c r="D149" i="149" s="1"/>
  <c r="F156" i="149" s="1"/>
  <c r="D156" i="149" s="1"/>
  <c r="M147" i="149"/>
  <c r="D147" i="149" s="1"/>
  <c r="M146" i="149"/>
  <c r="D146" i="149" s="1"/>
  <c r="M144" i="149"/>
  <c r="M143" i="149"/>
  <c r="D143" i="149" s="1"/>
  <c r="M142" i="149"/>
  <c r="D142" i="149" s="1"/>
  <c r="C141" i="149"/>
  <c r="M140" i="149"/>
  <c r="M139" i="149"/>
  <c r="D139" i="149"/>
  <c r="M138" i="149"/>
  <c r="D138" i="149" s="1"/>
  <c r="M137" i="149"/>
  <c r="D137" i="149" s="1"/>
  <c r="M136" i="149"/>
  <c r="D136" i="149" s="1"/>
  <c r="B135" i="149"/>
  <c r="C135" i="149" s="1"/>
  <c r="M131" i="149"/>
  <c r="M129" i="149"/>
  <c r="D129" i="149" s="1"/>
  <c r="M128" i="149"/>
  <c r="D128" i="149" s="1"/>
  <c r="M122" i="149"/>
  <c r="D122" i="149" s="1"/>
  <c r="M121" i="149"/>
  <c r="D121" i="149" s="1"/>
  <c r="M119" i="149"/>
  <c r="D119" i="149" s="1"/>
  <c r="M115" i="149"/>
  <c r="M113" i="149"/>
  <c r="M112" i="149"/>
  <c r="M106" i="149"/>
  <c r="D106" i="149" s="1"/>
  <c r="M104" i="149"/>
  <c r="M96" i="149"/>
  <c r="M94" i="149"/>
  <c r="D94" i="149" s="1"/>
  <c r="M93" i="149"/>
  <c r="D93" i="149" s="1"/>
  <c r="M91" i="149"/>
  <c r="M89" i="149"/>
  <c r="D89" i="149" s="1"/>
  <c r="M88" i="149"/>
  <c r="D88" i="149" s="1"/>
  <c r="M87" i="149"/>
  <c r="D87" i="149" s="1"/>
  <c r="M83" i="149"/>
  <c r="M81" i="149"/>
  <c r="D81" i="149" s="1"/>
  <c r="G26" i="163" s="1"/>
  <c r="M80" i="149"/>
  <c r="D80" i="149" s="1"/>
  <c r="G25" i="163" s="1"/>
  <c r="M76" i="149"/>
  <c r="M74" i="149"/>
  <c r="D74" i="149" s="1"/>
  <c r="M73" i="149"/>
  <c r="D73" i="149" s="1"/>
  <c r="M69" i="149"/>
  <c r="M67" i="149"/>
  <c r="D67" i="149" s="1"/>
  <c r="G18" i="163" s="1"/>
  <c r="M66" i="149"/>
  <c r="D66" i="149" s="1"/>
  <c r="G17" i="163" s="1"/>
  <c r="M65" i="149"/>
  <c r="D65" i="149" s="1"/>
  <c r="G16" i="163" s="1"/>
  <c r="M61" i="149"/>
  <c r="M59" i="149"/>
  <c r="D59" i="149"/>
  <c r="M58" i="149"/>
  <c r="D58" i="149"/>
  <c r="M57" i="149"/>
  <c r="C47" i="149"/>
  <c r="C46" i="149"/>
  <c r="C45" i="149"/>
  <c r="C44" i="149"/>
  <c r="M39" i="149"/>
  <c r="M37" i="149"/>
  <c r="N35" i="149"/>
  <c r="M35" i="149"/>
  <c r="N34" i="149"/>
  <c r="M34" i="149"/>
  <c r="N33" i="149"/>
  <c r="N32" i="149"/>
  <c r="M32" i="149"/>
  <c r="N31" i="149"/>
  <c r="L31" i="149"/>
  <c r="B31" i="149"/>
  <c r="N30" i="149"/>
  <c r="M30" i="149"/>
  <c r="A4" i="148"/>
  <c r="B4" i="148"/>
  <c r="C4" i="148"/>
  <c r="D4" i="148"/>
  <c r="E4" i="148"/>
  <c r="F4" i="148"/>
  <c r="G4" i="148"/>
  <c r="A5" i="148"/>
  <c r="B5" i="148"/>
  <c r="C5" i="148"/>
  <c r="D5" i="148"/>
  <c r="E5" i="148"/>
  <c r="F5" i="148"/>
  <c r="G5" i="148"/>
  <c r="A6" i="148"/>
  <c r="B6" i="148"/>
  <c r="C6" i="148"/>
  <c r="D6" i="148"/>
  <c r="E6" i="148"/>
  <c r="F6" i="148"/>
  <c r="G6" i="148"/>
  <c r="A7" i="148"/>
  <c r="B7" i="148"/>
  <c r="C7" i="148"/>
  <c r="D7" i="148"/>
  <c r="E7" i="148"/>
  <c r="F7" i="148"/>
  <c r="G7" i="148"/>
  <c r="A8" i="148"/>
  <c r="B8" i="148"/>
  <c r="C8" i="148"/>
  <c r="D8" i="148"/>
  <c r="E8" i="148"/>
  <c r="F8" i="148"/>
  <c r="G8" i="148"/>
  <c r="A9" i="148"/>
  <c r="B9" i="148"/>
  <c r="C9" i="148"/>
  <c r="D9" i="148"/>
  <c r="E9" i="148"/>
  <c r="F9" i="148"/>
  <c r="G9" i="148"/>
  <c r="A10" i="148"/>
  <c r="B10" i="148"/>
  <c r="C10" i="148"/>
  <c r="D10" i="148"/>
  <c r="E10" i="148"/>
  <c r="F10" i="148"/>
  <c r="G10" i="148"/>
  <c r="A11" i="148"/>
  <c r="B11" i="148"/>
  <c r="C11" i="148"/>
  <c r="D11" i="148"/>
  <c r="E11" i="148"/>
  <c r="F11" i="148"/>
  <c r="G11" i="148"/>
  <c r="A12" i="148"/>
  <c r="B12" i="148"/>
  <c r="C12" i="148"/>
  <c r="D12" i="148"/>
  <c r="E12" i="148"/>
  <c r="F12" i="148"/>
  <c r="G12" i="148"/>
  <c r="A13" i="148"/>
  <c r="B13" i="148"/>
  <c r="C13" i="148"/>
  <c r="D13" i="148"/>
  <c r="E13" i="148"/>
  <c r="F13" i="148"/>
  <c r="G13" i="148"/>
  <c r="A14" i="148"/>
  <c r="B14" i="148"/>
  <c r="C14" i="148"/>
  <c r="D14" i="148"/>
  <c r="E14" i="148"/>
  <c r="F14" i="148"/>
  <c r="G14" i="148"/>
  <c r="A15" i="148"/>
  <c r="B15" i="148"/>
  <c r="C15" i="148"/>
  <c r="D15" i="148"/>
  <c r="E15" i="148"/>
  <c r="F15" i="148"/>
  <c r="G15" i="148"/>
  <c r="A16" i="148"/>
  <c r="B16" i="148"/>
  <c r="C16" i="148"/>
  <c r="D16" i="148"/>
  <c r="E16" i="148"/>
  <c r="F16" i="148"/>
  <c r="G16" i="148"/>
  <c r="A17" i="148"/>
  <c r="B17" i="148"/>
  <c r="C17" i="148"/>
  <c r="D17" i="148"/>
  <c r="E17" i="148"/>
  <c r="F17" i="148"/>
  <c r="G17" i="148"/>
  <c r="A18" i="148"/>
  <c r="B18" i="148"/>
  <c r="C18" i="148"/>
  <c r="D18" i="148"/>
  <c r="E18" i="148"/>
  <c r="F18" i="148"/>
  <c r="G18" i="148"/>
  <c r="A19" i="148"/>
  <c r="B19" i="148"/>
  <c r="C19" i="148"/>
  <c r="D19" i="148"/>
  <c r="E19" i="148"/>
  <c r="F19" i="148"/>
  <c r="G19" i="148"/>
  <c r="A20" i="148"/>
  <c r="B20" i="148"/>
  <c r="C20" i="148"/>
  <c r="D20" i="148"/>
  <c r="E20" i="148"/>
  <c r="F20" i="148"/>
  <c r="G20" i="148"/>
  <c r="A21" i="148"/>
  <c r="B21" i="148"/>
  <c r="C21" i="148"/>
  <c r="D21" i="148"/>
  <c r="E21" i="148"/>
  <c r="F21" i="148"/>
  <c r="G21" i="148"/>
  <c r="A22" i="148"/>
  <c r="B22" i="148"/>
  <c r="C22" i="148"/>
  <c r="D22" i="148"/>
  <c r="E22" i="148"/>
  <c r="F22" i="148"/>
  <c r="G22" i="148"/>
  <c r="A23" i="148"/>
  <c r="B23" i="148"/>
  <c r="C23" i="148"/>
  <c r="D23" i="148"/>
  <c r="E23" i="148"/>
  <c r="F23" i="148"/>
  <c r="G23" i="148"/>
  <c r="A24" i="148"/>
  <c r="B24" i="148"/>
  <c r="C24" i="148"/>
  <c r="D24" i="148"/>
  <c r="E24" i="148"/>
  <c r="F24" i="148"/>
  <c r="G24" i="148"/>
  <c r="A25" i="148"/>
  <c r="B25" i="148"/>
  <c r="C25" i="148"/>
  <c r="D25" i="148"/>
  <c r="E25" i="148"/>
  <c r="F25" i="148"/>
  <c r="G25" i="148"/>
  <c r="A26" i="148"/>
  <c r="B26" i="148"/>
  <c r="C26" i="148"/>
  <c r="D26" i="148"/>
  <c r="E26" i="148"/>
  <c r="F26" i="148"/>
  <c r="G26" i="148"/>
  <c r="A27" i="148"/>
  <c r="B27" i="148"/>
  <c r="C27" i="148"/>
  <c r="D27" i="148"/>
  <c r="E27" i="148"/>
  <c r="F27" i="148"/>
  <c r="G27" i="148"/>
  <c r="A28" i="148"/>
  <c r="B28" i="148"/>
  <c r="C28" i="148"/>
  <c r="D28" i="148"/>
  <c r="E28" i="148"/>
  <c r="F28" i="148"/>
  <c r="G28" i="148"/>
  <c r="A29" i="148"/>
  <c r="B29" i="148"/>
  <c r="C29" i="148"/>
  <c r="D29" i="148"/>
  <c r="E29" i="148"/>
  <c r="F29" i="148"/>
  <c r="G29" i="148"/>
  <c r="A30" i="148"/>
  <c r="B30" i="148"/>
  <c r="C30" i="148"/>
  <c r="D30" i="148"/>
  <c r="E30" i="148"/>
  <c r="F30" i="148"/>
  <c r="G30" i="148"/>
  <c r="A31" i="148"/>
  <c r="B31" i="148"/>
  <c r="C31" i="148"/>
  <c r="D31" i="148"/>
  <c r="E31" i="148"/>
  <c r="F31" i="148"/>
  <c r="G31" i="148"/>
  <c r="A32" i="148"/>
  <c r="B32" i="148"/>
  <c r="C32" i="148"/>
  <c r="D32" i="148"/>
  <c r="E32" i="148"/>
  <c r="F32" i="148"/>
  <c r="G32" i="148"/>
  <c r="B3" i="148"/>
  <c r="C3" i="148"/>
  <c r="D3" i="148"/>
  <c r="E3" i="148"/>
  <c r="F3" i="148"/>
  <c r="G3" i="148"/>
  <c r="A3" i="148"/>
  <c r="J1" i="148"/>
  <c r="H1" i="148"/>
  <c r="I2" i="148" s="1"/>
  <c r="A46" i="147"/>
  <c r="A40" i="147"/>
  <c r="C40" i="147" s="1"/>
  <c r="A34" i="147"/>
  <c r="A28" i="147"/>
  <c r="C28" i="147" s="1"/>
  <c r="A22" i="147"/>
  <c r="B53" i="147"/>
  <c r="B55" i="147" s="1"/>
  <c r="G22" i="147"/>
  <c r="F22" i="147"/>
  <c r="E22" i="147"/>
  <c r="C22" i="147"/>
  <c r="B17" i="147"/>
  <c r="G16" i="147"/>
  <c r="F16" i="147"/>
  <c r="E16" i="147"/>
  <c r="C16" i="147"/>
  <c r="B16" i="147"/>
  <c r="B15" i="147"/>
  <c r="G10" i="147"/>
  <c r="F10" i="147"/>
  <c r="E10" i="147"/>
  <c r="D10" i="147"/>
  <c r="G9" i="147"/>
  <c r="F9" i="147"/>
  <c r="E9" i="147"/>
  <c r="D9" i="147"/>
  <c r="G8" i="147"/>
  <c r="G7" i="147"/>
  <c r="D3" i="147"/>
  <c r="H24" i="163" l="1"/>
  <c r="F40" i="147"/>
  <c r="H2" i="148"/>
  <c r="B187" i="149"/>
  <c r="D83" i="149"/>
  <c r="H208" i="149"/>
  <c r="F91" i="149"/>
  <c r="D179" i="149"/>
  <c r="D183" i="149"/>
  <c r="E188" i="149"/>
  <c r="C208" i="149"/>
  <c r="E35" i="149"/>
  <c r="D181" i="149"/>
  <c r="D164" i="149"/>
  <c r="D152" i="149"/>
  <c r="D169" i="149"/>
  <c r="F96" i="149"/>
  <c r="D69" i="149"/>
  <c r="F154" i="149"/>
  <c r="D174" i="149"/>
  <c r="F188" i="149"/>
  <c r="F208" i="149"/>
  <c r="B188" i="149"/>
  <c r="C46" i="147"/>
  <c r="F46" i="147"/>
  <c r="F28" i="147"/>
  <c r="G28" i="147"/>
  <c r="G34" i="147" s="1"/>
  <c r="G40" i="147" s="1"/>
  <c r="G46" i="147" s="1"/>
  <c r="C34" i="147"/>
  <c r="F34" i="147"/>
  <c r="B54" i="147"/>
  <c r="H35" i="149" l="1"/>
  <c r="G3" i="134"/>
  <c r="E3" i="134"/>
  <c r="H48" i="6"/>
  <c r="Z8" i="85"/>
  <c r="Z9" i="85"/>
  <c r="Z10" i="85"/>
  <c r="Z11" i="85"/>
  <c r="Z12" i="85"/>
  <c r="Z13" i="85"/>
  <c r="Z14" i="85"/>
  <c r="Z15" i="85"/>
  <c r="Z16" i="85"/>
  <c r="Z17" i="85"/>
  <c r="Z18" i="85"/>
  <c r="Z19" i="85"/>
  <c r="Z20" i="85"/>
  <c r="Z21" i="85"/>
  <c r="Z22" i="85"/>
  <c r="Y8" i="85"/>
  <c r="Y9" i="85"/>
  <c r="Y10" i="85"/>
  <c r="Y11" i="85"/>
  <c r="Y12" i="85"/>
  <c r="Y13" i="85"/>
  <c r="Y14" i="85"/>
  <c r="Y15" i="85"/>
  <c r="Y16" i="85"/>
  <c r="Y17" i="85"/>
  <c r="Y18" i="85"/>
  <c r="Y19" i="85"/>
  <c r="Y20" i="85"/>
  <c r="Y21" i="85"/>
  <c r="Y22" i="85"/>
  <c r="X8" i="85"/>
  <c r="X9" i="85"/>
  <c r="X10" i="85"/>
  <c r="X11" i="85"/>
  <c r="X12" i="85"/>
  <c r="X13" i="85"/>
  <c r="X14" i="85"/>
  <c r="X15" i="85"/>
  <c r="X16" i="85"/>
  <c r="X17" i="85"/>
  <c r="X18" i="85"/>
  <c r="X19" i="85"/>
  <c r="X20" i="85"/>
  <c r="X21" i="85"/>
  <c r="X22" i="85"/>
  <c r="W8" i="85"/>
  <c r="W9" i="85"/>
  <c r="W10" i="85"/>
  <c r="W11" i="85"/>
  <c r="W12" i="85"/>
  <c r="W13" i="85"/>
  <c r="W14" i="85"/>
  <c r="W15" i="85"/>
  <c r="W16" i="85"/>
  <c r="W17" i="85"/>
  <c r="W18" i="85"/>
  <c r="W19" i="85"/>
  <c r="W20" i="85"/>
  <c r="W21" i="85"/>
  <c r="W22" i="85"/>
  <c r="X7" i="85"/>
  <c r="Z7" i="85"/>
  <c r="Y7" i="85"/>
  <c r="W7" i="85"/>
  <c r="B7" i="85"/>
  <c r="C7" i="85"/>
  <c r="D7" i="85"/>
  <c r="E7" i="85"/>
  <c r="F7" i="85"/>
  <c r="G7" i="85"/>
  <c r="B8" i="85"/>
  <c r="C8" i="85"/>
  <c r="D8" i="85"/>
  <c r="E8" i="85"/>
  <c r="F8" i="85"/>
  <c r="G8" i="85"/>
  <c r="B9" i="85"/>
  <c r="C9" i="85"/>
  <c r="D9" i="85"/>
  <c r="E9" i="85"/>
  <c r="F9" i="85"/>
  <c r="G9" i="85"/>
  <c r="B10" i="85"/>
  <c r="C10" i="85"/>
  <c r="D10" i="85"/>
  <c r="E10" i="85"/>
  <c r="F10" i="85"/>
  <c r="G10" i="85"/>
  <c r="B11" i="85"/>
  <c r="C11" i="85"/>
  <c r="D11" i="85"/>
  <c r="E11" i="85"/>
  <c r="F11" i="85"/>
  <c r="G11" i="85"/>
  <c r="B12" i="85"/>
  <c r="C12" i="85"/>
  <c r="D12" i="85"/>
  <c r="E12" i="85"/>
  <c r="F12" i="85"/>
  <c r="G12" i="85"/>
  <c r="B13" i="85"/>
  <c r="C13" i="85"/>
  <c r="D13" i="85"/>
  <c r="E13" i="85"/>
  <c r="F13" i="85"/>
  <c r="G13" i="85"/>
  <c r="B14" i="85"/>
  <c r="C14" i="85"/>
  <c r="D14" i="85"/>
  <c r="E14" i="85"/>
  <c r="F14" i="85"/>
  <c r="G14" i="85"/>
  <c r="B15" i="85"/>
  <c r="C15" i="85"/>
  <c r="D15" i="85"/>
  <c r="E15" i="85"/>
  <c r="F15" i="85"/>
  <c r="G15" i="85"/>
  <c r="B16" i="85"/>
  <c r="C16" i="85"/>
  <c r="D16" i="85"/>
  <c r="E16" i="85"/>
  <c r="F16" i="85"/>
  <c r="G16" i="85"/>
  <c r="B17" i="85"/>
  <c r="C17" i="85"/>
  <c r="D17" i="85"/>
  <c r="E17" i="85"/>
  <c r="F17" i="85"/>
  <c r="G17" i="85"/>
  <c r="H7" i="85"/>
  <c r="H8" i="85"/>
  <c r="H9" i="85"/>
  <c r="H10" i="85"/>
  <c r="H11" i="85"/>
  <c r="H12" i="85"/>
  <c r="H13" i="85"/>
  <c r="H14" i="85"/>
  <c r="H15" i="85"/>
  <c r="H16" i="85"/>
  <c r="B18" i="85"/>
  <c r="C18" i="85"/>
  <c r="D18" i="85"/>
  <c r="E18" i="85"/>
  <c r="F18" i="85"/>
  <c r="G18" i="85"/>
  <c r="B19" i="85"/>
  <c r="C19" i="85"/>
  <c r="D19" i="85"/>
  <c r="E19" i="85"/>
  <c r="F19" i="85"/>
  <c r="G19" i="85"/>
  <c r="B20" i="85"/>
  <c r="C20" i="85"/>
  <c r="D20" i="85"/>
  <c r="E20" i="85"/>
  <c r="F20" i="85"/>
  <c r="G20" i="85"/>
  <c r="B21" i="85"/>
  <c r="C21" i="85"/>
  <c r="D21" i="85"/>
  <c r="E21" i="85"/>
  <c r="F21" i="85"/>
  <c r="G21" i="85"/>
  <c r="I7" i="85"/>
  <c r="I8" i="85"/>
  <c r="I9" i="85"/>
  <c r="I10" i="85"/>
  <c r="I11" i="85"/>
  <c r="I12" i="85"/>
  <c r="I13" i="85"/>
  <c r="K13" i="85"/>
  <c r="I14" i="85"/>
  <c r="K14" i="85"/>
  <c r="I15" i="85"/>
  <c r="K15" i="85"/>
  <c r="I16" i="85"/>
  <c r="K16" i="85"/>
  <c r="I17" i="85"/>
  <c r="K17" i="85"/>
  <c r="I18" i="85"/>
  <c r="K18" i="85"/>
  <c r="I19" i="85"/>
  <c r="K19" i="85"/>
  <c r="I20" i="85"/>
  <c r="K20" i="85"/>
  <c r="I21" i="85"/>
  <c r="K21" i="85"/>
  <c r="H17" i="85"/>
  <c r="H19" i="85"/>
  <c r="H20" i="85"/>
  <c r="H21" i="85"/>
  <c r="H18" i="85"/>
  <c r="R22" i="85"/>
  <c r="Q22" i="85"/>
  <c r="O22" i="85"/>
  <c r="N22" i="85"/>
  <c r="D3" i="85"/>
  <c r="G2" i="85"/>
  <c r="B2" i="85"/>
  <c r="J1" i="85"/>
  <c r="F1" i="85"/>
  <c r="E53" i="6"/>
  <c r="H47" i="6"/>
  <c r="D41" i="6"/>
  <c r="E40" i="6"/>
  <c r="D40" i="6"/>
  <c r="D39" i="6"/>
  <c r="D38" i="6"/>
  <c r="E37" i="6"/>
  <c r="D37" i="6"/>
  <c r="D36" i="6"/>
  <c r="E34" i="6"/>
  <c r="D33" i="6"/>
  <c r="E32" i="6"/>
  <c r="D32" i="6"/>
  <c r="M10" i="85" l="1"/>
  <c r="P10" i="85" s="1"/>
  <c r="M21" i="85"/>
  <c r="M19" i="85"/>
  <c r="M16" i="85"/>
  <c r="M14" i="85"/>
  <c r="M20" i="85"/>
  <c r="M18" i="85"/>
  <c r="M17" i="85"/>
  <c r="M15" i="85"/>
  <c r="M13" i="85"/>
  <c r="F3" i="85"/>
  <c r="D21" i="149" s="1"/>
  <c r="I3" i="85"/>
  <c r="D23" i="149" l="1"/>
  <c r="G21" i="149" s="1"/>
  <c r="D148" i="149"/>
  <c r="D150" i="149" s="1"/>
  <c r="D131" i="149"/>
  <c r="D140" i="149"/>
  <c r="D144" i="149"/>
  <c r="D154" i="149"/>
  <c r="I2" i="6"/>
  <c r="E16" i="6"/>
  <c r="E15" i="6"/>
  <c r="I12" i="6"/>
  <c r="F18" i="6"/>
  <c r="F15" i="6"/>
  <c r="E14" i="6"/>
  <c r="B20" i="6" s="1"/>
  <c r="E13" i="6"/>
  <c r="B17" i="6" s="1"/>
  <c r="E6" i="6"/>
  <c r="E18" i="6"/>
  <c r="I4" i="6"/>
  <c r="C8" i="5"/>
  <c r="B8" i="5"/>
  <c r="E4" i="5" s="1"/>
  <c r="A8" i="5"/>
  <c r="D7" i="5"/>
  <c r="C4" i="5"/>
  <c r="E2" i="5"/>
  <c r="E1" i="5"/>
  <c r="A3" i="5"/>
  <c r="A2" i="5"/>
  <c r="G1" i="5"/>
  <c r="A1" i="5"/>
  <c r="D194" i="149" l="1"/>
  <c r="G32" i="163"/>
  <c r="H9" i="163"/>
  <c r="I30" i="162"/>
  <c r="I10" i="162"/>
  <c r="D31" i="162"/>
  <c r="E31" i="162" s="1"/>
  <c r="F83" i="149"/>
  <c r="D185" i="149"/>
  <c r="D197" i="149" s="1"/>
  <c r="D91" i="149"/>
  <c r="G19" i="163" s="1"/>
  <c r="F131" i="149"/>
  <c r="B37" i="162" s="1"/>
  <c r="F181" i="149"/>
  <c r="F152" i="149"/>
  <c r="F69" i="149"/>
  <c r="F183" i="149"/>
  <c r="F104" i="149"/>
  <c r="E20" i="6"/>
  <c r="B19" i="6"/>
  <c r="G20" i="6"/>
  <c r="D19" i="6"/>
  <c r="D105" i="2"/>
  <c r="E41" i="163" s="1"/>
  <c r="D37" i="162" l="1"/>
  <c r="I35" i="162" s="1"/>
  <c r="G35" i="162"/>
  <c r="F185" i="149"/>
  <c r="H8" i="163"/>
  <c r="B34" i="2"/>
  <c r="B34" i="149" s="1"/>
  <c r="C34" i="2"/>
  <c r="C34" i="149" s="1"/>
  <c r="G34" i="149" s="1"/>
  <c r="J43" i="149" l="1"/>
  <c r="J48" i="149" s="1"/>
  <c r="H34" i="149"/>
  <c r="E37" i="162"/>
  <c r="K35" i="162"/>
  <c r="E1" i="3"/>
  <c r="I46" i="2" l="1"/>
  <c r="I47" i="2"/>
  <c r="D164" i="2"/>
  <c r="F34" i="2"/>
  <c r="F34" i="149" s="1"/>
  <c r="K65" i="1"/>
  <c r="B20" i="3" l="1"/>
  <c r="D20" i="3" s="1"/>
  <c r="H5" i="3"/>
  <c r="E5" i="3"/>
  <c r="D4" i="3"/>
  <c r="K3" i="3"/>
  <c r="C57" i="2"/>
  <c r="C57" i="149" s="1"/>
  <c r="B47" i="2"/>
  <c r="D47" i="2" s="1"/>
  <c r="B46" i="2"/>
  <c r="D46" i="2" s="1"/>
  <c r="B45" i="2"/>
  <c r="B44" i="2"/>
  <c r="E65" i="1"/>
  <c r="E66" i="1"/>
  <c r="B33" i="2" s="1"/>
  <c r="B33" i="149" s="1"/>
  <c r="E67" i="1"/>
  <c r="E64" i="1"/>
  <c r="C65" i="1"/>
  <c r="E8" i="147" s="1"/>
  <c r="C66" i="1"/>
  <c r="C67" i="1"/>
  <c r="C64" i="1"/>
  <c r="K66" i="1"/>
  <c r="K67" i="1"/>
  <c r="H66" i="1"/>
  <c r="H67" i="1"/>
  <c r="L67" i="1"/>
  <c r="I43" i="149" l="1"/>
  <c r="I48" i="149" s="1"/>
  <c r="H33" i="149"/>
  <c r="D7" i="147"/>
  <c r="E7" i="147"/>
  <c r="B32" i="2"/>
  <c r="B32" i="149" s="1"/>
  <c r="D8" i="147"/>
  <c r="B4" i="6"/>
  <c r="E4" i="6"/>
  <c r="E20" i="3"/>
  <c r="H32" i="149" l="1"/>
  <c r="H43" i="149"/>
  <c r="D17" i="2"/>
  <c r="D45" i="2" s="1"/>
  <c r="D11" i="2"/>
  <c r="D15" i="2"/>
  <c r="A189" i="2"/>
  <c r="F189" i="2" s="1"/>
  <c r="D179" i="2"/>
  <c r="D178" i="2"/>
  <c r="D177" i="2"/>
  <c r="D173" i="2"/>
  <c r="D169" i="2"/>
  <c r="D168" i="2"/>
  <c r="D163" i="2"/>
  <c r="D150" i="2"/>
  <c r="F157" i="2" s="1"/>
  <c r="D157" i="2" s="1"/>
  <c r="G14" i="3" s="1"/>
  <c r="D145" i="2"/>
  <c r="D139" i="2"/>
  <c r="D130" i="2"/>
  <c r="D129" i="2"/>
  <c r="E34" i="3" s="1"/>
  <c r="D123" i="2"/>
  <c r="D122" i="2"/>
  <c r="D95" i="2"/>
  <c r="D94" i="2"/>
  <c r="F97" i="2" s="1"/>
  <c r="F92" i="2"/>
  <c r="B30" i="3" s="1"/>
  <c r="D82" i="2"/>
  <c r="D26" i="163" s="1"/>
  <c r="E24" i="163" s="1"/>
  <c r="D74" i="2"/>
  <c r="D67" i="2"/>
  <c r="D17" i="163" s="1"/>
  <c r="F59" i="2"/>
  <c r="F59" i="149" s="1"/>
  <c r="F58" i="2"/>
  <c r="F58" i="149" s="1"/>
  <c r="F57" i="2"/>
  <c r="E47" i="2"/>
  <c r="C47" i="2"/>
  <c r="N47" i="2" s="1"/>
  <c r="E46" i="2"/>
  <c r="C46" i="2"/>
  <c r="N46" i="2" s="1"/>
  <c r="E45" i="2"/>
  <c r="C45" i="2"/>
  <c r="N45" i="2" s="1"/>
  <c r="C44" i="2"/>
  <c r="N44" i="2" s="1"/>
  <c r="C43" i="2"/>
  <c r="B43" i="2"/>
  <c r="M35" i="2"/>
  <c r="F35" i="2"/>
  <c r="E35" i="2"/>
  <c r="H35" i="2" s="1"/>
  <c r="E34" i="2"/>
  <c r="E34" i="149" s="1"/>
  <c r="H34" i="2"/>
  <c r="N33" i="2"/>
  <c r="E33" i="2"/>
  <c r="B22" i="186" s="1"/>
  <c r="I43" i="2"/>
  <c r="I48" i="2" s="1"/>
  <c r="N32" i="2"/>
  <c r="L31" i="2"/>
  <c r="N30" i="2"/>
  <c r="D23" i="2"/>
  <c r="B30" i="2"/>
  <c r="B30" i="149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G70" i="1"/>
  <c r="G89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70" i="1"/>
  <c r="H87" i="1"/>
  <c r="H77" i="1"/>
  <c r="K94" i="1"/>
  <c r="C89" i="1"/>
  <c r="O67" i="1"/>
  <c r="L66" i="1"/>
  <c r="C33" i="2" s="1"/>
  <c r="O66" i="1"/>
  <c r="H43" i="2"/>
  <c r="H48" i="2" s="1"/>
  <c r="C59" i="1"/>
  <c r="C55" i="1"/>
  <c r="B53" i="1"/>
  <c r="J41" i="1"/>
  <c r="B37" i="1"/>
  <c r="A37" i="1"/>
  <c r="N64" i="1" s="1"/>
  <c r="B36" i="1"/>
  <c r="D30" i="1"/>
  <c r="T27" i="1"/>
  <c r="B27" i="1"/>
  <c r="T26" i="1"/>
  <c r="G25" i="1"/>
  <c r="C25" i="1"/>
  <c r="D22" i="1"/>
  <c r="T19" i="1"/>
  <c r="B19" i="1"/>
  <c r="T18" i="1"/>
  <c r="G17" i="1"/>
  <c r="C17" i="1"/>
  <c r="T15" i="1"/>
  <c r="B15" i="1"/>
  <c r="T14" i="1"/>
  <c r="C13" i="1"/>
  <c r="T11" i="1"/>
  <c r="B11" i="1"/>
  <c r="T10" i="1"/>
  <c r="C9" i="1"/>
  <c r="K15" i="3" l="1"/>
  <c r="K15" i="186"/>
  <c r="K50" i="2"/>
  <c r="F50" i="2" s="1"/>
  <c r="D50" i="2" s="1"/>
  <c r="E28" i="186" s="1"/>
  <c r="D30" i="186"/>
  <c r="E30" i="186" s="1"/>
  <c r="D22" i="186"/>
  <c r="E22" i="186"/>
  <c r="D70" i="2"/>
  <c r="E13" i="3" s="1"/>
  <c r="K14" i="3"/>
  <c r="I14" i="3"/>
  <c r="F33" i="2"/>
  <c r="F33" i="149" s="1"/>
  <c r="C33" i="149"/>
  <c r="G33" i="149" s="1"/>
  <c r="F57" i="149"/>
  <c r="I57" i="149" s="1"/>
  <c r="D61" i="149" s="1"/>
  <c r="I57" i="2"/>
  <c r="D62" i="2" s="1"/>
  <c r="E24" i="186" s="1"/>
  <c r="D34" i="6"/>
  <c r="E28" i="6"/>
  <c r="E5" i="162"/>
  <c r="D4" i="147"/>
  <c r="G2" i="134"/>
  <c r="F28" i="6"/>
  <c r="E31" i="6" s="1"/>
  <c r="D3" i="3"/>
  <c r="D3" i="162"/>
  <c r="D2" i="147"/>
  <c r="B2" i="134"/>
  <c r="G13" i="6"/>
  <c r="F4" i="3"/>
  <c r="F4" i="162"/>
  <c r="E3" i="147"/>
  <c r="E33" i="6"/>
  <c r="F3" i="134"/>
  <c r="G14" i="6"/>
  <c r="C3" i="5"/>
  <c r="F3" i="3"/>
  <c r="F3" i="162"/>
  <c r="E2" i="147"/>
  <c r="F2" i="134"/>
  <c r="B22" i="3"/>
  <c r="D22" i="3" s="1"/>
  <c r="E33" i="149"/>
  <c r="B23" i="162" s="1"/>
  <c r="H30" i="149"/>
  <c r="H29" i="149" s="1"/>
  <c r="E192" i="149" s="1"/>
  <c r="G43" i="149"/>
  <c r="B43" i="1"/>
  <c r="F7" i="5" s="1"/>
  <c r="E7" i="5"/>
  <c r="Q66" i="1"/>
  <c r="D33" i="2"/>
  <c r="D33" i="149" s="1"/>
  <c r="Q67" i="1"/>
  <c r="D34" i="2"/>
  <c r="D34" i="149" s="1"/>
  <c r="D180" i="2"/>
  <c r="D30" i="3"/>
  <c r="E30" i="3" s="1"/>
  <c r="A92" i="1"/>
  <c r="K4" i="3"/>
  <c r="H70" i="1"/>
  <c r="K64" i="1"/>
  <c r="B92" i="1"/>
  <c r="C161" i="2"/>
  <c r="C136" i="2"/>
  <c r="H64" i="1"/>
  <c r="H65" i="1"/>
  <c r="D84" i="2"/>
  <c r="E11" i="3" s="1"/>
  <c r="D184" i="2"/>
  <c r="D186" i="2"/>
  <c r="F186" i="2" s="1"/>
  <c r="F23" i="2"/>
  <c r="D165" i="2"/>
  <c r="F184" i="2"/>
  <c r="G33" i="2"/>
  <c r="F132" i="2"/>
  <c r="F155" i="2"/>
  <c r="D155" i="2" s="1"/>
  <c r="B189" i="2"/>
  <c r="F21" i="2"/>
  <c r="G34" i="2"/>
  <c r="J43" i="2"/>
  <c r="J48" i="2" s="1"/>
  <c r="D149" i="2"/>
  <c r="D151" i="2" s="1"/>
  <c r="D182" i="2"/>
  <c r="F182" i="2" s="1"/>
  <c r="Q65" i="1"/>
  <c r="D32" i="2"/>
  <c r="H44" i="2" s="1"/>
  <c r="G43" i="2"/>
  <c r="D77" i="2"/>
  <c r="E16" i="186" s="1"/>
  <c r="D116" i="2"/>
  <c r="E45" i="163" s="1"/>
  <c r="D132" i="2"/>
  <c r="B188" i="2"/>
  <c r="E189" i="2"/>
  <c r="A209" i="2"/>
  <c r="F70" i="2"/>
  <c r="D92" i="2"/>
  <c r="E14" i="186" s="1"/>
  <c r="D97" i="2"/>
  <c r="E31" i="186" s="1"/>
  <c r="D170" i="2"/>
  <c r="D175" i="2"/>
  <c r="O64" i="1"/>
  <c r="F42" i="1"/>
  <c r="J42" i="1" s="1"/>
  <c r="K18" i="3" l="1"/>
  <c r="K18" i="186"/>
  <c r="K19" i="3"/>
  <c r="K19" i="186"/>
  <c r="K20" i="3"/>
  <c r="K20" i="186"/>
  <c r="K21" i="3"/>
  <c r="K21" i="186"/>
  <c r="D32" i="163"/>
  <c r="B36" i="186"/>
  <c r="K12" i="3"/>
  <c r="K12" i="186"/>
  <c r="E22" i="3"/>
  <c r="J46" i="149"/>
  <c r="J47" i="149"/>
  <c r="J45" i="149"/>
  <c r="J44" i="149"/>
  <c r="I46" i="149"/>
  <c r="I44" i="149"/>
  <c r="I45" i="149"/>
  <c r="I47" i="149"/>
  <c r="D32" i="149"/>
  <c r="H45" i="2"/>
  <c r="H46" i="2"/>
  <c r="H47" i="2"/>
  <c r="G48" i="2"/>
  <c r="H45" i="149"/>
  <c r="H47" i="149"/>
  <c r="H46" i="149"/>
  <c r="H48" i="149"/>
  <c r="I60" i="2"/>
  <c r="E24" i="3"/>
  <c r="E29" i="163"/>
  <c r="F62" i="2"/>
  <c r="E25" i="162"/>
  <c r="H29" i="163"/>
  <c r="F61" i="149"/>
  <c r="E14" i="3"/>
  <c r="D19" i="163"/>
  <c r="E15" i="163" s="1"/>
  <c r="F43" i="1"/>
  <c r="E43" i="1" s="1"/>
  <c r="B44" i="1"/>
  <c r="G7" i="5" s="1"/>
  <c r="E16" i="3"/>
  <c r="E42" i="163"/>
  <c r="D23" i="162"/>
  <c r="E23" i="162"/>
  <c r="F7" i="147"/>
  <c r="L65" i="1"/>
  <c r="C32" i="2" s="1"/>
  <c r="C32" i="149" s="1"/>
  <c r="F8" i="147"/>
  <c r="L64" i="1"/>
  <c r="C30" i="2" s="1"/>
  <c r="H4" i="6"/>
  <c r="C22" i="6" s="1"/>
  <c r="J46" i="2"/>
  <c r="J47" i="2"/>
  <c r="I45" i="2"/>
  <c r="J45" i="2"/>
  <c r="F84" i="2"/>
  <c r="D195" i="2"/>
  <c r="B36" i="3"/>
  <c r="E31" i="3"/>
  <c r="E12" i="3"/>
  <c r="F116" i="2"/>
  <c r="E15" i="3"/>
  <c r="D140" i="2"/>
  <c r="D141" i="2" s="1"/>
  <c r="K16" i="186" s="1"/>
  <c r="E10" i="3"/>
  <c r="E42" i="1"/>
  <c r="F105" i="2"/>
  <c r="K42" i="1"/>
  <c r="Q64" i="1"/>
  <c r="D30" i="2"/>
  <c r="D196" i="2"/>
  <c r="F77" i="2"/>
  <c r="E193" i="2"/>
  <c r="F202" i="2"/>
  <c r="D22" i="163"/>
  <c r="I44" i="2"/>
  <c r="H209" i="2"/>
  <c r="C209" i="2"/>
  <c r="E209" i="2"/>
  <c r="J44" i="2"/>
  <c r="K43" i="1"/>
  <c r="J43" i="1"/>
  <c r="E36" i="186" l="1"/>
  <c r="K35" i="186"/>
  <c r="I35" i="186"/>
  <c r="G35" i="186"/>
  <c r="D36" i="186"/>
  <c r="K41" i="186"/>
  <c r="G200" i="2"/>
  <c r="G44" i="2"/>
  <c r="G47" i="2"/>
  <c r="G45" i="2"/>
  <c r="G46" i="2"/>
  <c r="D30" i="149"/>
  <c r="G47" i="149" s="1"/>
  <c r="F47" i="149" s="1"/>
  <c r="F44" i="1"/>
  <c r="K44" i="1" s="1"/>
  <c r="B45" i="1"/>
  <c r="H7" i="5" s="1"/>
  <c r="E32" i="2"/>
  <c r="B21" i="186" s="1"/>
  <c r="G32" i="149"/>
  <c r="B31" i="2"/>
  <c r="C30" i="149"/>
  <c r="G30" i="149" s="1"/>
  <c r="G29" i="3"/>
  <c r="K29" i="3" s="1"/>
  <c r="H44" i="6"/>
  <c r="F32" i="2"/>
  <c r="F32" i="149" s="1"/>
  <c r="G32" i="2"/>
  <c r="L68" i="1"/>
  <c r="M31" i="2"/>
  <c r="F30" i="2"/>
  <c r="F30" i="149" s="1"/>
  <c r="K35" i="3"/>
  <c r="D36" i="3"/>
  <c r="G35" i="3"/>
  <c r="I35" i="3"/>
  <c r="E36" i="3"/>
  <c r="D202" i="2"/>
  <c r="E28" i="3"/>
  <c r="D153" i="2"/>
  <c r="E9" i="163" s="1"/>
  <c r="K16" i="3"/>
  <c r="E30" i="2"/>
  <c r="B19" i="186" s="1"/>
  <c r="B46" i="1"/>
  <c r="E44" i="1"/>
  <c r="J44" i="1"/>
  <c r="D19" i="186" l="1"/>
  <c r="E19" i="186"/>
  <c r="D21" i="186"/>
  <c r="E21" i="186" s="1"/>
  <c r="G46" i="149"/>
  <c r="F46" i="149" s="1"/>
  <c r="F46" i="2"/>
  <c r="G48" i="149"/>
  <c r="D96" i="149"/>
  <c r="G20" i="163" s="1"/>
  <c r="H15" i="163" s="1"/>
  <c r="G45" i="149"/>
  <c r="F45" i="149" s="1"/>
  <c r="F47" i="2"/>
  <c r="F45" i="1"/>
  <c r="F46" i="1" s="1"/>
  <c r="I7" i="5"/>
  <c r="B47" i="1"/>
  <c r="D39" i="149"/>
  <c r="H37" i="163" s="1"/>
  <c r="B21" i="3"/>
  <c r="D21" i="3" s="1"/>
  <c r="E32" i="149"/>
  <c r="B22" i="162" s="1"/>
  <c r="B19" i="3"/>
  <c r="E30" i="149"/>
  <c r="B20" i="162" s="1"/>
  <c r="D20" i="162" s="1"/>
  <c r="D39" i="2"/>
  <c r="F153" i="2"/>
  <c r="D198" i="2"/>
  <c r="E8" i="163" s="1"/>
  <c r="D37" i="2"/>
  <c r="E27" i="163" s="1"/>
  <c r="G29" i="2"/>
  <c r="E37" i="163" l="1"/>
  <c r="B26" i="186"/>
  <c r="D26" i="186" s="1"/>
  <c r="E45" i="1"/>
  <c r="J45" i="1"/>
  <c r="K45" i="1"/>
  <c r="F45" i="2"/>
  <c r="F44" i="2"/>
  <c r="F47" i="1"/>
  <c r="B48" i="1"/>
  <c r="F39" i="149"/>
  <c r="H11" i="163"/>
  <c r="F37" i="2"/>
  <c r="D28" i="163"/>
  <c r="B28" i="163" s="1"/>
  <c r="A28" i="163" s="1"/>
  <c r="B26" i="3"/>
  <c r="E11" i="163"/>
  <c r="D22" i="162"/>
  <c r="E22" i="162" s="1"/>
  <c r="E21" i="3"/>
  <c r="G29" i="149"/>
  <c r="G35" i="149" s="1"/>
  <c r="D37" i="149"/>
  <c r="F39" i="2"/>
  <c r="G35" i="2"/>
  <c r="J46" i="1"/>
  <c r="E46" i="1"/>
  <c r="K46" i="1"/>
  <c r="F48" i="1" l="1"/>
  <c r="B49" i="1"/>
  <c r="E47" i="1"/>
  <c r="J47" i="1"/>
  <c r="K47" i="1"/>
  <c r="G28" i="163"/>
  <c r="H27" i="163"/>
  <c r="D26" i="3"/>
  <c r="F37" i="149"/>
  <c r="K25" i="3"/>
  <c r="D19" i="3"/>
  <c r="E19" i="3" s="1"/>
  <c r="E48" i="1" l="1"/>
  <c r="K48" i="1"/>
  <c r="J48" i="1"/>
  <c r="B50" i="1" s="1"/>
  <c r="H5" i="162"/>
  <c r="D16" i="149"/>
  <c r="D21" i="6"/>
  <c r="D16" i="2"/>
  <c r="G15" i="6"/>
  <c r="H1" i="5" l="1"/>
  <c r="D17" i="149"/>
  <c r="F49" i="1"/>
  <c r="D50" i="1"/>
  <c r="B5" i="134"/>
  <c r="F34" i="6"/>
  <c r="B4" i="134" l="1"/>
  <c r="D16" i="147"/>
  <c r="D35" i="6"/>
  <c r="D115" i="149"/>
  <c r="D44" i="149"/>
  <c r="D76" i="149"/>
  <c r="F76" i="149" l="1"/>
  <c r="H42" i="163"/>
  <c r="D22" i="147"/>
  <c r="D34" i="147"/>
  <c r="D40" i="147"/>
  <c r="D28" i="147"/>
  <c r="D46" i="147"/>
  <c r="H41" i="163"/>
  <c r="F115" i="149"/>
  <c r="D195" i="149"/>
  <c r="G44" i="149"/>
  <c r="F50" i="149"/>
  <c r="P20" i="85"/>
  <c r="S20" i="85" s="1"/>
  <c r="P15" i="85"/>
  <c r="S15" i="85" s="1"/>
  <c r="P21" i="85"/>
  <c r="S21" i="85" s="1"/>
  <c r="P14" i="85"/>
  <c r="S14" i="85" s="1"/>
  <c r="P16" i="85"/>
  <c r="S16" i="85" s="1"/>
  <c r="P19" i="85"/>
  <c r="S19" i="85" s="1"/>
  <c r="P17" i="85"/>
  <c r="S17" i="85" s="1"/>
  <c r="P18" i="85"/>
  <c r="S18" i="85" s="1"/>
  <c r="P13" i="85"/>
  <c r="S13" i="85" s="1"/>
  <c r="S10" i="85" l="1"/>
  <c r="D52" i="149"/>
  <c r="F44" i="149"/>
  <c r="F201" i="149"/>
  <c r="G30" i="162" s="1"/>
  <c r="K30" i="162" s="1"/>
  <c r="D50" i="149"/>
  <c r="G22" i="163" l="1"/>
  <c r="E29" i="162"/>
  <c r="D201" i="149"/>
  <c r="E24" i="162"/>
  <c r="G23" i="163"/>
  <c r="F52" i="149"/>
  <c r="D192" i="149"/>
  <c r="M4" i="148"/>
  <c r="O4" i="148"/>
  <c r="L4" i="148"/>
  <c r="N4" i="148"/>
  <c r="N26" i="148"/>
  <c r="L26" i="148"/>
  <c r="M26" i="148"/>
  <c r="O26" i="148"/>
  <c r="O18" i="148"/>
  <c r="L18" i="148"/>
  <c r="N18" i="148"/>
  <c r="M18" i="148"/>
  <c r="N17" i="148"/>
  <c r="O17" i="148"/>
  <c r="L17" i="148"/>
  <c r="M17" i="148"/>
  <c r="N10" i="148"/>
  <c r="L10" i="148"/>
  <c r="O10" i="148"/>
  <c r="M10" i="148"/>
  <c r="M15" i="148"/>
  <c r="O15" i="148"/>
  <c r="N15" i="148"/>
  <c r="L15" i="148"/>
  <c r="L13" i="148"/>
  <c r="O13" i="148"/>
  <c r="M13" i="148"/>
  <c r="N13" i="148"/>
  <c r="N7" i="148"/>
  <c r="O7" i="148"/>
  <c r="M7" i="148"/>
  <c r="L7" i="148"/>
  <c r="N5" i="148"/>
  <c r="M5" i="148"/>
  <c r="O5" i="148"/>
  <c r="L5" i="148"/>
  <c r="N31" i="148"/>
  <c r="O31" i="148"/>
  <c r="L31" i="148"/>
  <c r="M31" i="148"/>
  <c r="M30" i="148"/>
  <c r="L30" i="148"/>
  <c r="O30" i="148"/>
  <c r="N30" i="148"/>
  <c r="L29" i="148"/>
  <c r="M29" i="148"/>
  <c r="O29" i="148"/>
  <c r="N29" i="148"/>
  <c r="N23" i="148"/>
  <c r="O23" i="148"/>
  <c r="M23" i="148"/>
  <c r="L23" i="148"/>
  <c r="M22" i="148"/>
  <c r="N22" i="148"/>
  <c r="L22" i="148"/>
  <c r="O22" i="148"/>
  <c r="L21" i="148"/>
  <c r="M21" i="148"/>
  <c r="N21" i="148"/>
  <c r="O21" i="148"/>
  <c r="N14" i="148"/>
  <c r="L14" i="148"/>
  <c r="O14" i="148"/>
  <c r="M14" i="148"/>
  <c r="M6" i="148"/>
  <c r="L6" i="148"/>
  <c r="O6" i="148"/>
  <c r="N6" i="148"/>
  <c r="O20" i="148"/>
  <c r="M20" i="148"/>
  <c r="L20" i="148"/>
  <c r="N20" i="148"/>
  <c r="O19" i="148"/>
  <c r="L19" i="148"/>
  <c r="N19" i="148"/>
  <c r="M19" i="148"/>
  <c r="O28" i="148"/>
  <c r="N28" i="148"/>
  <c r="M28" i="148"/>
  <c r="L28" i="148"/>
  <c r="O11" i="148"/>
  <c r="L11" i="148"/>
  <c r="N11" i="148"/>
  <c r="M11" i="148"/>
  <c r="N27" i="148"/>
  <c r="M27" i="148"/>
  <c r="O27" i="148"/>
  <c r="L27" i="148"/>
  <c r="O12" i="148"/>
  <c r="L12" i="148"/>
  <c r="N12" i="148"/>
  <c r="M12" i="148"/>
  <c r="N25" i="148"/>
  <c r="L25" i="148"/>
  <c r="O25" i="148"/>
  <c r="M25" i="148"/>
  <c r="L16" i="148"/>
  <c r="M16" i="148"/>
  <c r="N16" i="148"/>
  <c r="O16" i="148"/>
  <c r="M3" i="148"/>
  <c r="N3" i="148"/>
  <c r="L9" i="148"/>
  <c r="O9" i="148"/>
  <c r="M9" i="148"/>
  <c r="N9" i="148"/>
  <c r="L3" i="148"/>
  <c r="N8" i="148"/>
  <c r="M8" i="148"/>
  <c r="L8" i="148"/>
  <c r="O8" i="148"/>
  <c r="N32" i="148"/>
  <c r="L32" i="148"/>
  <c r="M32" i="148"/>
  <c r="O32" i="148"/>
  <c r="N24" i="148"/>
  <c r="M24" i="148"/>
  <c r="O24" i="148"/>
  <c r="L24" i="148"/>
  <c r="O3" i="148"/>
  <c r="D120" i="149" l="1"/>
  <c r="D124" i="149" s="1"/>
  <c r="D108" i="149"/>
  <c r="H21" i="163"/>
  <c r="N2" i="148"/>
  <c r="O2" i="148"/>
  <c r="M2" i="148"/>
  <c r="L2" i="148"/>
  <c r="E20" i="162"/>
  <c r="H45" i="163" l="1"/>
  <c r="F108" i="149"/>
  <c r="D196" i="149"/>
  <c r="E9" i="162"/>
  <c r="G31" i="163"/>
  <c r="H30" i="163" s="1"/>
  <c r="H33" i="163" s="1"/>
  <c r="D193" i="149"/>
  <c r="F124" i="149"/>
  <c r="B41" i="162"/>
  <c r="D41" i="162" s="1"/>
  <c r="E41" i="162" s="1"/>
  <c r="K15" i="162"/>
  <c r="D199" i="149" l="1"/>
  <c r="F199" i="149" s="1"/>
  <c r="G204" i="149" s="1"/>
  <c r="G207" i="149" s="1"/>
  <c r="D204" i="149" s="1"/>
  <c r="E10" i="6"/>
  <c r="E7" i="6"/>
  <c r="G206" i="149" l="1"/>
  <c r="G205" i="149"/>
  <c r="E205" i="149" s="1"/>
  <c r="D188" i="149"/>
  <c r="G208" i="149" s="1"/>
  <c r="F9" i="6"/>
  <c r="E9" i="6"/>
  <c r="E8" i="6"/>
  <c r="D208" i="149" l="1"/>
  <c r="I11" i="6"/>
  <c r="B11" i="6" s="1"/>
  <c r="E11" i="6"/>
  <c r="B6" i="6" l="1"/>
  <c r="E16" i="162" l="1"/>
  <c r="M52" i="149" l="1"/>
  <c r="M50" i="149"/>
  <c r="K16" i="162" l="1"/>
  <c r="M108" i="149" l="1"/>
  <c r="M192" i="149"/>
  <c r="M201" i="149"/>
  <c r="E39" i="162" l="1"/>
  <c r="E42" i="162" s="1"/>
  <c r="M196" i="149" l="1"/>
  <c r="M124" i="149"/>
  <c r="M193" i="149"/>
  <c r="M199" i="149" l="1"/>
  <c r="D207" i="149" l="1"/>
  <c r="D206" i="149" l="1"/>
  <c r="M188" i="149"/>
  <c r="E38" i="3"/>
  <c r="F125" i="2"/>
  <c r="D194" i="2"/>
  <c r="E38" i="186"/>
  <c r="E44" i="163"/>
  <c r="D197" i="2"/>
  <c r="F109" i="2"/>
  <c r="C45" i="162"/>
  <c r="B43" i="162"/>
  <c r="E44" i="162"/>
  <c r="P22" i="85"/>
  <c r="D46" i="163"/>
  <c r="G44" i="186"/>
  <c r="H44" i="186"/>
  <c r="D189" i="2"/>
  <c r="I46" i="186"/>
  <c r="E40" i="186"/>
  <c r="B40" i="186"/>
  <c r="D40" i="186"/>
  <c r="E40" i="3"/>
  <c r="B40" i="3"/>
  <c r="D40" i="3"/>
  <c r="S11" i="85"/>
  <c r="P11" i="85"/>
  <c r="E43" i="3"/>
  <c r="H45" i="162"/>
  <c r="E45" i="162"/>
  <c r="G45" i="162"/>
  <c r="C44" i="186"/>
  <c r="B42" i="186"/>
  <c r="E44" i="186"/>
  <c r="H43" i="6"/>
  <c r="M11" i="85"/>
  <c r="K44" i="162"/>
  <c r="E43" i="162"/>
  <c r="I46" i="162"/>
  <c r="G46" i="163"/>
  <c r="F52" i="2"/>
  <c r="C44" i="3"/>
  <c r="B42" i="3"/>
  <c r="E42" i="186"/>
  <c r="E43" i="186"/>
  <c r="K43" i="3"/>
  <c r="S12" i="85"/>
  <c r="G44" i="3"/>
  <c r="E42" i="3"/>
  <c r="E44" i="3"/>
  <c r="H44" i="3"/>
  <c r="K42" i="3"/>
  <c r="G42" i="3"/>
  <c r="D25" i="85"/>
  <c r="G208" i="2"/>
  <c r="D208" i="2"/>
  <c r="E9" i="3"/>
  <c r="E41" i="3"/>
  <c r="H46" i="163"/>
  <c r="G206" i="2"/>
  <c r="E206" i="2"/>
  <c r="D31" i="163"/>
  <c r="E30" i="163"/>
  <c r="M12" i="85"/>
  <c r="P12" i="85"/>
  <c r="K42" i="162"/>
  <c r="K43" i="162"/>
  <c r="G43" i="162"/>
  <c r="E43" i="163"/>
  <c r="E46" i="163"/>
  <c r="K43" i="186"/>
  <c r="D109" i="2"/>
  <c r="E9" i="186"/>
  <c r="E41" i="186"/>
  <c r="K42" i="186"/>
  <c r="G42" i="186"/>
  <c r="G10" i="162"/>
  <c r="K10" i="162"/>
  <c r="E10" i="163"/>
  <c r="E12" i="163"/>
  <c r="E36" i="163"/>
  <c r="E38" i="163"/>
  <c r="E40" i="163"/>
  <c r="G209" i="149"/>
  <c r="G210" i="2"/>
  <c r="E7" i="163"/>
  <c r="G205" i="2"/>
  <c r="G207" i="2"/>
  <c r="D207" i="2"/>
  <c r="F200" i="2"/>
  <c r="G10" i="3"/>
  <c r="K10" i="3"/>
  <c r="K41" i="3"/>
  <c r="H38" i="163"/>
  <c r="H40" i="163"/>
  <c r="H43" i="163"/>
  <c r="M9" i="85"/>
  <c r="P9" i="85"/>
  <c r="S9" i="85"/>
  <c r="D23" i="163"/>
  <c r="E21" i="163"/>
  <c r="E33" i="163"/>
  <c r="M8" i="85"/>
  <c r="P8" i="85"/>
  <c r="S8" i="85"/>
  <c r="G209" i="2"/>
  <c r="D209" i="2"/>
  <c r="D121" i="2"/>
  <c r="D125" i="2"/>
  <c r="M22" i="85"/>
  <c r="D209" i="149"/>
  <c r="H7" i="163"/>
  <c r="H10" i="163"/>
  <c r="H12" i="163"/>
  <c r="H36" i="163"/>
  <c r="D52" i="2"/>
  <c r="D193" i="2"/>
  <c r="D200" i="2"/>
  <c r="D205" i="2"/>
  <c r="I46" i="3"/>
  <c r="D24" i="85"/>
  <c r="M7" i="85"/>
  <c r="P7" i="85"/>
  <c r="S7" i="85"/>
  <c r="S22" i="85"/>
</calcChain>
</file>

<file path=xl/comments1.xml><?xml version="1.0" encoding="utf-8"?>
<comments xmlns="http://schemas.openxmlformats.org/spreadsheetml/2006/main">
  <authors>
    <author>François</author>
  </authors>
  <commentList>
    <comment ref="O64" authorId="0" shapeId="0">
      <text>
        <r>
          <rPr>
            <b/>
            <sz val="9"/>
            <color indexed="81"/>
            <rFont val="Tahoma"/>
            <family val="2"/>
          </rPr>
          <t>Modifier si nécessaire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UT18</author>
  </authors>
  <commentList>
    <comment ref="F37" authorId="0" shapeId="0">
      <text>
        <r>
          <rPr>
            <b/>
            <sz val="9"/>
            <color indexed="81"/>
            <rFont val="Tahoma"/>
            <family val="2"/>
          </rPr>
          <t>UT18:</t>
        </r>
        <r>
          <rPr>
            <sz val="9"/>
            <color indexed="81"/>
            <rFont val="Tahoma"/>
            <family val="2"/>
          </rPr>
          <t xml:space="preserve">
Part par Stagiaire
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UT18:</t>
        </r>
        <r>
          <rPr>
            <sz val="9"/>
            <color indexed="81"/>
            <rFont val="Tahoma"/>
            <family val="2"/>
          </rPr>
          <t xml:space="preserve">
Part par Stagiaire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E42" authorId="0" shapeId="0">
      <text>
        <r>
          <rPr>
            <b/>
            <sz val="8"/>
            <color indexed="81"/>
            <rFont val="Tahoma"/>
            <family val="2"/>
          </rPr>
          <t>Insérer l'excédent</t>
        </r>
      </text>
    </comment>
    <comment ref="K42" authorId="0" shapeId="0">
      <text>
        <r>
          <rPr>
            <b/>
            <sz val="8"/>
            <color indexed="81"/>
            <rFont val="Tahoma"/>
            <family val="2"/>
          </rPr>
          <t>Insérer le déficit</t>
        </r>
      </text>
    </comment>
  </commentList>
</comments>
</file>

<file path=xl/comments4.xml><?xml version="1.0" encoding="utf-8"?>
<comments xmlns="http://schemas.openxmlformats.org/spreadsheetml/2006/main">
  <authors>
    <author xml:space="preserve"> </author>
  </authors>
  <commentList>
    <comment ref="E43" authorId="0" shapeId="0">
      <text>
        <r>
          <rPr>
            <b/>
            <sz val="8"/>
            <color indexed="81"/>
            <rFont val="Tahoma"/>
            <family val="2"/>
          </rPr>
          <t>Insérer l'excédent</t>
        </r>
      </text>
    </comment>
    <comment ref="K43" authorId="0" shapeId="0">
      <text>
        <r>
          <rPr>
            <b/>
            <sz val="8"/>
            <color indexed="81"/>
            <rFont val="Tahoma"/>
            <family val="2"/>
          </rPr>
          <t>Insérer le déficit</t>
        </r>
      </text>
    </comment>
  </commentList>
</comments>
</file>

<file path=xl/comments5.xml><?xml version="1.0" encoding="utf-8"?>
<comments xmlns="http://schemas.openxmlformats.org/spreadsheetml/2006/main">
  <authors>
    <author xml:space="preserve"> </author>
  </authors>
  <commentList>
    <comment ref="E42" authorId="0" shapeId="0">
      <text>
        <r>
          <rPr>
            <b/>
            <sz val="8"/>
            <color indexed="81"/>
            <rFont val="Tahoma"/>
            <family val="2"/>
          </rPr>
          <t>Insérer l'excédent</t>
        </r>
      </text>
    </comment>
    <comment ref="K42" authorId="0" shapeId="0">
      <text>
        <r>
          <rPr>
            <b/>
            <sz val="8"/>
            <color indexed="81"/>
            <rFont val="Tahoma"/>
            <family val="2"/>
          </rPr>
          <t>Insérer le déficit</t>
        </r>
      </text>
    </comment>
  </commentList>
</comments>
</file>

<file path=xl/sharedStrings.xml><?xml version="1.0" encoding="utf-8"?>
<sst xmlns="http://schemas.openxmlformats.org/spreadsheetml/2006/main" count="1278" uniqueCount="644">
  <si>
    <t>Informations générales relatives au stage Montagne &amp; Escalade</t>
  </si>
  <si>
    <t>Renseigner ou rectifier éventuellement les cases</t>
  </si>
  <si>
    <t>abc</t>
  </si>
  <si>
    <t xml:space="preserve">Cocher "x" les cases </t>
  </si>
  <si>
    <t>x</t>
  </si>
  <si>
    <t>correspondant au stage créé</t>
  </si>
  <si>
    <r>
      <rPr>
        <i/>
        <u/>
        <sz val="9"/>
        <rFont val="Arial"/>
        <family val="2"/>
      </rPr>
      <t>Actualiser</t>
    </r>
    <r>
      <rPr>
        <i/>
        <sz val="9"/>
        <rFont val="Arial"/>
        <family val="2"/>
      </rPr>
      <t xml:space="preserve"> si nécessaire les cases</t>
    </r>
  </si>
  <si>
    <t>xx</t>
  </si>
  <si>
    <t>Case protégée (modification exceptionnelle)</t>
  </si>
  <si>
    <t>Ne pas modifier les cases</t>
  </si>
  <si>
    <t>Contenu automatique</t>
  </si>
  <si>
    <t>DEFINITION</t>
  </si>
  <si>
    <t>Finalité de la formation</t>
  </si>
  <si>
    <t>Sélectionner ou compléter</t>
  </si>
  <si>
    <t>Découverte</t>
  </si>
  <si>
    <t>Initiation</t>
  </si>
  <si>
    <t>Techniques</t>
  </si>
  <si>
    <t>Maitrise</t>
  </si>
  <si>
    <t>Perfectionnement</t>
  </si>
  <si>
    <t>Expertise</t>
  </si>
  <si>
    <t>Performance</t>
  </si>
  <si>
    <t>Haut niveau</t>
  </si>
  <si>
    <t>Spécialisation</t>
  </si>
  <si>
    <t>Gestionnaire</t>
  </si>
  <si>
    <t>Activité concernée</t>
  </si>
  <si>
    <t>Escalade</t>
  </si>
  <si>
    <t>Escalade falaise</t>
  </si>
  <si>
    <t>Terrain d'aventure</t>
  </si>
  <si>
    <t>Montagne</t>
  </si>
  <si>
    <t>Orientation montagne</t>
  </si>
  <si>
    <t>Sécurité glacier</t>
  </si>
  <si>
    <t>Montagne Hivernale</t>
  </si>
  <si>
    <t>Neige &amp; avalanche</t>
  </si>
  <si>
    <t>Alpinisme</t>
  </si>
  <si>
    <t>Rando Montagne</t>
  </si>
  <si>
    <t>Raquette à neige</t>
  </si>
  <si>
    <t>Ski alpinisme</t>
  </si>
  <si>
    <t>Canyon</t>
  </si>
  <si>
    <t>EPI</t>
  </si>
  <si>
    <t>Sites naturels</t>
  </si>
  <si>
    <t>Secourisme</t>
  </si>
  <si>
    <t>Niveau de passeport visé en fin de stage</t>
  </si>
  <si>
    <t>Premiers pas</t>
  </si>
  <si>
    <t>Passeport 
Blanc</t>
  </si>
  <si>
    <t>Passeport Jaune</t>
  </si>
  <si>
    <t>Passeport Orange</t>
  </si>
  <si>
    <t>Passeport Vert/bleu</t>
  </si>
  <si>
    <t>Passeport Rouge/Violet</t>
  </si>
  <si>
    <t>Couleur de passeport
 en fin de stage</t>
  </si>
  <si>
    <t>Avec validation</t>
  </si>
  <si>
    <t>Sélectionner et taper "x" dans la case</t>
  </si>
  <si>
    <t>Niveau visé</t>
  </si>
  <si>
    <t>Niveau pré-requis en début de stage</t>
  </si>
  <si>
    <t>Sélectionner 
le niveau pré-requis ("Validé" ou "Estimé")</t>
  </si>
  <si>
    <t>Débutant</t>
  </si>
  <si>
    <t>Passeport Blanc</t>
  </si>
  <si>
    <t>Niveau pré-requis
 en début de stage
 en fin de stage</t>
  </si>
  <si>
    <t>Validé</t>
  </si>
  <si>
    <t>Estimé</t>
  </si>
  <si>
    <t>REFERENCES DU STAGE</t>
  </si>
  <si>
    <t>Stage M&amp;E n°</t>
  </si>
  <si>
    <t>Recopier le N° attribué par l'Intranet fédéral IFI</t>
  </si>
  <si>
    <t>Code FFME :</t>
  </si>
  <si>
    <t>(Non disponible)</t>
  </si>
  <si>
    <t>Organisateur</t>
  </si>
  <si>
    <t>CR</t>
  </si>
  <si>
    <t>Sélectionner le Comité organisateur</t>
  </si>
  <si>
    <t>et taper "x" dans la case verte correspondante</t>
  </si>
  <si>
    <t>DUREE, DATES et LIEUX</t>
  </si>
  <si>
    <t>Nombre de jours</t>
  </si>
  <si>
    <r>
      <t xml:space="preserve">1) Indiquer le </t>
    </r>
    <r>
      <rPr>
        <u/>
        <sz val="10"/>
        <color rgb="FFFF0000"/>
        <rFont val="Arial"/>
        <family val="2"/>
      </rPr>
      <t>nombre</t>
    </r>
    <r>
      <rPr>
        <sz val="10"/>
        <color rgb="FFFF0000"/>
        <rFont val="Arial"/>
        <family val="2"/>
      </rPr>
      <t xml:space="preserve"> de jours prévu</t>
    </r>
  </si>
  <si>
    <t>1er jour</t>
  </si>
  <si>
    <t>Lieu :</t>
  </si>
  <si>
    <r>
      <t xml:space="preserve">2)Indiquer la </t>
    </r>
    <r>
      <rPr>
        <u/>
        <sz val="10"/>
        <color rgb="FFFF0000"/>
        <rFont val="Arial"/>
        <family val="2"/>
      </rPr>
      <t>date</t>
    </r>
    <r>
      <rPr>
        <sz val="10"/>
        <color rgb="FFFF0000"/>
        <rFont val="Arial"/>
        <family val="2"/>
      </rPr>
      <t xml:space="preserve"> au format</t>
    </r>
  </si>
  <si>
    <t>et le lieu du 1er jour</t>
  </si>
  <si>
    <t>Jour 2</t>
  </si>
  <si>
    <t>Jour 3</t>
  </si>
  <si>
    <t>Jour 4</t>
  </si>
  <si>
    <t>Jour 5</t>
  </si>
  <si>
    <t>Jour 6</t>
  </si>
  <si>
    <t>Jour 7</t>
  </si>
  <si>
    <t>Jour 8</t>
  </si>
  <si>
    <t>Dernier jour</t>
  </si>
  <si>
    <t>Affichage automatique : ne pas modifier</t>
  </si>
  <si>
    <t>Nombre de jours (contrôle)</t>
  </si>
  <si>
    <t>HEBERGEMENT - RESTAURATION</t>
  </si>
  <si>
    <t>Mode principal</t>
  </si>
  <si>
    <t>Pension complète</t>
  </si>
  <si>
    <t>X</t>
  </si>
  <si>
    <r>
      <rPr>
        <sz val="10"/>
        <color rgb="FFFF0000"/>
        <rFont val="Wingdings"/>
        <charset val="2"/>
      </rPr>
      <t>ç</t>
    </r>
    <r>
      <rPr>
        <sz val="10"/>
        <color rgb="FFFF0000"/>
        <rFont val="Arial"/>
        <family val="2"/>
      </rPr>
      <t>Sélectionner ou compléter</t>
    </r>
  </si>
  <si>
    <t>Demi pension</t>
  </si>
  <si>
    <t>Bivouac</t>
  </si>
  <si>
    <t>Repas seul</t>
  </si>
  <si>
    <t>Autonomie</t>
  </si>
  <si>
    <t>ENCADREMENT</t>
  </si>
  <si>
    <t>Prénom</t>
  </si>
  <si>
    <t>NOM</t>
  </si>
  <si>
    <t>Qualification</t>
  </si>
  <si>
    <t>Pro</t>
  </si>
  <si>
    <t>Statut</t>
  </si>
  <si>
    <t>Comité</t>
  </si>
  <si>
    <t>Nb de jours</t>
  </si>
  <si>
    <t>Responsable :</t>
  </si>
  <si>
    <t>Cadre 2</t>
  </si>
  <si>
    <t>Cadre 3</t>
  </si>
  <si>
    <t>Cadre 4</t>
  </si>
  <si>
    <t>é</t>
  </si>
  <si>
    <t xml:space="preserve">Sélectionner les cadres et taper le </t>
  </si>
  <si>
    <t>n° correspondant</t>
  </si>
  <si>
    <t>dans la case verte</t>
  </si>
  <si>
    <t xml:space="preserve">Pour une inscription nouvelle, </t>
  </si>
  <si>
    <t>renseigner le Fichier Encadrement</t>
  </si>
  <si>
    <t>dans la feuille 3-FICHIERS</t>
  </si>
  <si>
    <t>REFERENCES BANCAIRES DE L'ORGANISATEUR</t>
  </si>
  <si>
    <t>Banque</t>
  </si>
  <si>
    <t>Guichet</t>
  </si>
  <si>
    <t>N° compte</t>
  </si>
  <si>
    <t>Clé</t>
  </si>
  <si>
    <t>Domiciliation</t>
  </si>
  <si>
    <t>AURIOL</t>
  </si>
  <si>
    <t>Philippe</t>
  </si>
  <si>
    <t>BILLY</t>
  </si>
  <si>
    <t>BARTHEZ</t>
  </si>
  <si>
    <t>Beñat</t>
  </si>
  <si>
    <t>François</t>
  </si>
  <si>
    <t>BENOIT-CATTIN</t>
  </si>
  <si>
    <t>Etienne</t>
  </si>
  <si>
    <t>CAMP</t>
  </si>
  <si>
    <t>Jean-François</t>
  </si>
  <si>
    <t>COUFFIGNAN</t>
  </si>
  <si>
    <t>Régis</t>
  </si>
  <si>
    <t>DUBOSCQ</t>
  </si>
  <si>
    <t>Christophe</t>
  </si>
  <si>
    <t>DUREAU</t>
  </si>
  <si>
    <t>Jocelyne</t>
  </si>
  <si>
    <t>FORSBACH</t>
  </si>
  <si>
    <t>J-Baptiste</t>
  </si>
  <si>
    <t>GOEMARE</t>
  </si>
  <si>
    <t>J-Pierre</t>
  </si>
  <si>
    <t>LEFLOCH</t>
  </si>
  <si>
    <t>Bernard</t>
  </si>
  <si>
    <t>MIRASSOU</t>
  </si>
  <si>
    <t>Jean-Marie</t>
  </si>
  <si>
    <t>PERIGAUD</t>
  </si>
  <si>
    <t>PRAT</t>
  </si>
  <si>
    <t>Françoise</t>
  </si>
  <si>
    <t>STUTTGE</t>
  </si>
  <si>
    <t>Mahjoub</t>
  </si>
  <si>
    <t>TOBJI</t>
  </si>
  <si>
    <t xml:space="preserve">Jean-Baptiste </t>
  </si>
  <si>
    <t>Rémy</t>
  </si>
  <si>
    <t>LABORDE</t>
  </si>
  <si>
    <t>Damien</t>
  </si>
  <si>
    <t>LACAZE</t>
  </si>
  <si>
    <t>Statut fédéral</t>
  </si>
  <si>
    <t>Diplôme professionnel</t>
  </si>
  <si>
    <t>Initiateur</t>
  </si>
  <si>
    <t>Moniteur</t>
  </si>
  <si>
    <t>Cadre technique</t>
  </si>
  <si>
    <t>Instructeur</t>
  </si>
  <si>
    <t>AMM</t>
  </si>
  <si>
    <t>BEES</t>
  </si>
  <si>
    <t>GHM</t>
  </si>
  <si>
    <t>Bases budgétaires prévisionnelles</t>
  </si>
  <si>
    <r>
      <t xml:space="preserve">Le "Budget prévisionnel du stage" (modèle Intranet FFME) </t>
    </r>
    <r>
      <rPr>
        <b/>
        <i/>
        <sz val="10"/>
        <rFont val="Arial"/>
        <family val="2"/>
      </rPr>
      <t xml:space="preserve">s'établit automatiquement </t>
    </r>
    <r>
      <rPr>
        <i/>
        <sz val="10"/>
        <rFont val="Arial"/>
        <family val="2"/>
      </rPr>
      <t xml:space="preserve">à partir de cette feuille
Imprimer/enregistrer la feuille "5-BUDGET PREVI" en ".pdf" pour le joindre au dossier du stage dans IFI 
</t>
    </r>
    <r>
      <rPr>
        <b/>
        <i/>
        <sz val="11"/>
        <color rgb="FFFF0000"/>
        <rFont val="Arial"/>
        <family val="2"/>
      </rPr>
      <t>Ne pas exporter le fichier excel !</t>
    </r>
    <r>
      <rPr>
        <i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/>
    </r>
  </si>
  <si>
    <r>
      <t xml:space="preserve">La feuille </t>
    </r>
    <r>
      <rPr>
        <b/>
        <i/>
        <sz val="10"/>
        <rFont val="Arial"/>
        <family val="2"/>
      </rPr>
      <t>20-COMPTA</t>
    </r>
    <r>
      <rPr>
        <i/>
        <sz val="10"/>
        <rFont val="Arial"/>
        <family val="2"/>
      </rPr>
      <t xml:space="preserve"> (Comptes de résultats) </t>
    </r>
    <r>
      <rPr>
        <b/>
        <i/>
        <sz val="10"/>
        <rFont val="Arial"/>
        <family val="2"/>
      </rPr>
      <t>s'établit également automatiquement</t>
    </r>
  </si>
  <si>
    <r>
      <rPr>
        <i/>
        <u/>
        <sz val="9"/>
        <rFont val="Arial"/>
        <family val="2"/>
      </rPr>
      <t>Renseigner</t>
    </r>
    <r>
      <rPr>
        <i/>
        <sz val="9"/>
        <rFont val="Arial"/>
        <family val="2"/>
      </rPr>
      <t xml:space="preserve"> ou </t>
    </r>
    <r>
      <rPr>
        <i/>
        <u/>
        <sz val="9"/>
        <rFont val="Arial"/>
        <family val="2"/>
      </rPr>
      <t>rectifier</t>
    </r>
    <r>
      <rPr>
        <i/>
        <sz val="9"/>
        <rFont val="Arial"/>
        <family val="2"/>
      </rPr>
      <t xml:space="preserve"> éventuellement les cases</t>
    </r>
  </si>
  <si>
    <t>(Références : modification exceptionnelle)</t>
  </si>
  <si>
    <t>Dates et Durée effective :</t>
  </si>
  <si>
    <t>Premier jour</t>
  </si>
  <si>
    <t>Nombre de jours :</t>
  </si>
  <si>
    <r>
      <t>Nombre de stagiaires</t>
    </r>
    <r>
      <rPr>
        <i/>
        <sz val="11"/>
        <rFont val="Arial"/>
        <family val="2"/>
      </rPr>
      <t xml:space="preserve"> (prévisionnel)</t>
    </r>
    <r>
      <rPr>
        <b/>
        <i/>
        <sz val="11"/>
        <rFont val="Arial"/>
        <family val="2"/>
      </rPr>
      <t xml:space="preserve"> :</t>
    </r>
  </si>
  <si>
    <t>licenciés</t>
  </si>
  <si>
    <t>en convention</t>
  </si>
  <si>
    <t>Total</t>
  </si>
  <si>
    <t xml:space="preserve">Montants affichés par </t>
  </si>
  <si>
    <t>Stage</t>
  </si>
  <si>
    <t>Stagiaire</t>
  </si>
  <si>
    <t>Références</t>
  </si>
  <si>
    <t>Encadrement, animation : rémunération :</t>
  </si>
  <si>
    <t>Jours</t>
  </si>
  <si>
    <t>Rémunération</t>
  </si>
  <si>
    <t>Valorisation</t>
  </si>
  <si>
    <t>Tarifs/jour</t>
  </si>
  <si>
    <t>Comptabilisation bénévolat Instructeur</t>
  </si>
  <si>
    <t>Bénévole</t>
  </si>
  <si>
    <t>Encadrement technique interne</t>
  </si>
  <si>
    <t>Totaux encadrement</t>
  </si>
  <si>
    <t>Professionnel(s) (comptabilisation)</t>
  </si>
  <si>
    <t>Bénévole(s) (valorisation)</t>
  </si>
  <si>
    <t>Hébergement/restauration stagiaires et encadrement :</t>
  </si>
  <si>
    <t>Encadrement</t>
  </si>
  <si>
    <t>Nb/personne</t>
  </si>
  <si>
    <t>Tarif unitaire</t>
  </si>
  <si>
    <t>Nombre</t>
  </si>
  <si>
    <t>Rappel : jours de présence sur le stage :</t>
  </si>
  <si>
    <t>Hébergement/restauration stagiaires</t>
  </si>
  <si>
    <t>Hébergement/restauration encadrement</t>
  </si>
  <si>
    <t>Transports et Déplacements :</t>
  </si>
  <si>
    <t>Nombre AR
d'aller-retour</t>
  </si>
  <si>
    <t>Km (aller-retour)</t>
  </si>
  <si>
    <t>Indemnité km</t>
  </si>
  <si>
    <t>Péage</t>
  </si>
  <si>
    <t>Coût</t>
  </si>
  <si>
    <t>Pau</t>
  </si>
  <si>
    <t xml:space="preserve"> Indemnité km</t>
  </si>
  <si>
    <t>Transports &amp; Déplacements</t>
  </si>
  <si>
    <t>Matériel, documentation collective, consommables</t>
  </si>
  <si>
    <t xml:space="preserve">Achat de matériel ou d'équipement </t>
  </si>
  <si>
    <t>Achat de documentation, cartes, etc.</t>
  </si>
  <si>
    <t>Consommables</t>
  </si>
  <si>
    <t>Par stage</t>
  </si>
  <si>
    <t>Achats moyens collectifs</t>
  </si>
  <si>
    <t>Mise à disposition de matériel, etc…</t>
  </si>
  <si>
    <t>Matériel individuel (par stagiaire/jour)</t>
  </si>
  <si>
    <t>Matériel collectif (par journée)</t>
  </si>
  <si>
    <t>Par jour : Matériel collectif mis à disposition</t>
  </si>
  <si>
    <t>Matériel mis à disposition, …</t>
  </si>
  <si>
    <t>Locations</t>
  </si>
  <si>
    <t>Location de salle, d'équipement, etc.)</t>
  </si>
  <si>
    <t>Location de matériel, etc.)</t>
  </si>
  <si>
    <t>Manuels, documentation et équipement stagiaires</t>
  </si>
  <si>
    <t>Manuel de référence</t>
  </si>
  <si>
    <t>Manuel fédéral</t>
  </si>
  <si>
    <t>Livre, topo, mémento</t>
  </si>
  <si>
    <t>Livre, topo</t>
  </si>
  <si>
    <t>Documentation, CD, etc.</t>
  </si>
  <si>
    <t>Documentation remise</t>
  </si>
  <si>
    <t>Documentation  des stagiaires</t>
  </si>
  <si>
    <t>Equipement personnel (boutique FFME)</t>
  </si>
  <si>
    <t>Equipement personnel (hors boutique)</t>
  </si>
  <si>
    <t>Equipement individuel des stagiaires</t>
  </si>
  <si>
    <t>Organisation/préparation/coordination/gestion</t>
  </si>
  <si>
    <t>Par journée</t>
  </si>
  <si>
    <t>Par stagiaire</t>
  </si>
  <si>
    <t>Organisation, gestion</t>
  </si>
  <si>
    <t>Frais généraux (% sur total hors héb stagiaires)</t>
  </si>
  <si>
    <t xml:space="preserve">% </t>
  </si>
  <si>
    <t>Frais généraux</t>
  </si>
  <si>
    <t xml:space="preserve"> (sur budget totalhors hébergt/restaur° stagiaires)</t>
  </si>
  <si>
    <t>Préparation pédagogique, coordination</t>
  </si>
  <si>
    <t>Par</t>
  </si>
  <si>
    <t>Préparation pédagogique</t>
  </si>
  <si>
    <t>Frais de gestion du Comité Régional</t>
  </si>
  <si>
    <t>Par stage (% sur budget total péda)</t>
  </si>
  <si>
    <t xml:space="preserve">% coût péda par stage </t>
  </si>
  <si>
    <t>Frais (% sur budget total péda)</t>
  </si>
  <si>
    <t>"Droits régionaux"</t>
  </si>
  <si>
    <t>Frais de gestion du siège (FFME)</t>
  </si>
  <si>
    <t>Droits fédéraux par stage</t>
  </si>
  <si>
    <t>Droits fédéraux par stagiaire</t>
  </si>
  <si>
    <t>"Droits fédéraux"</t>
  </si>
  <si>
    <t>Participations et subventions FFME</t>
  </si>
  <si>
    <t>Par stagiaire licencié</t>
  </si>
  <si>
    <t>% Remise sur coûts de gestion</t>
  </si>
  <si>
    <t>% Remise</t>
  </si>
  <si>
    <t>Remise sur coûts de gestion</t>
  </si>
  <si>
    <t>Participation CR</t>
  </si>
  <si>
    <t>Participation Fédération</t>
  </si>
  <si>
    <t>Par stagiaire en convention</t>
  </si>
  <si>
    <t>Participations FFME (par stage)</t>
  </si>
  <si>
    <t>Participations FFME (stagiaires licenciés)</t>
  </si>
  <si>
    <t>(licencié)</t>
  </si>
  <si>
    <t>Participation siège (stagiaires en convention)</t>
  </si>
  <si>
    <t>(en convention)</t>
  </si>
  <si>
    <t>Subventions publiques</t>
  </si>
  <si>
    <t>Département (CG)</t>
  </si>
  <si>
    <t>Subventions globales ré-affectées</t>
  </si>
  <si>
    <t>Subventions spécifiques</t>
  </si>
  <si>
    <r>
      <t>Subventions individualisées (</t>
    </r>
    <r>
      <rPr>
        <i/>
        <u/>
        <sz val="10"/>
        <rFont val="Arial"/>
        <family val="2"/>
      </rPr>
      <t>par stagiaire</t>
    </r>
    <r>
      <rPr>
        <i/>
        <sz val="10"/>
        <rFont val="Arial"/>
        <family val="2"/>
      </rPr>
      <t>)</t>
    </r>
  </si>
  <si>
    <t>Région (Conseil Ral)</t>
  </si>
  <si>
    <t>CNDS</t>
  </si>
  <si>
    <t>Autre(s) : communes, etc.</t>
  </si>
  <si>
    <t>Subventions ré-affectées (par stage)</t>
  </si>
  <si>
    <t>Subventions spécifiques (par stage)</t>
  </si>
  <si>
    <t>Subventions spécifiques (par stagiaire)</t>
  </si>
  <si>
    <t>Coût pédagogique brut (sans arrondi)</t>
  </si>
  <si>
    <t>Charges externes (rétrocédées)</t>
  </si>
  <si>
    <t>Frais de gestion CR (rétrocédés)</t>
  </si>
  <si>
    <t>Droits fédéraux (rétrocédés)</t>
  </si>
  <si>
    <t>Coûts internes</t>
  </si>
  <si>
    <t>Subventions (déduction)</t>
  </si>
  <si>
    <t>Coût pédagogique net</t>
  </si>
  <si>
    <t>Facturation individuelle</t>
  </si>
  <si>
    <t>Montant facturé</t>
  </si>
  <si>
    <t>par stagiaire licencié FFME</t>
  </si>
  <si>
    <t>subventions publiques spécifiques éventuelles déduites</t>
  </si>
  <si>
    <t>Acompte inscription</t>
  </si>
  <si>
    <t>par stagiaire en convention</t>
  </si>
  <si>
    <t>Coût de revient réel</t>
  </si>
  <si>
    <t>par stagiaire</t>
  </si>
  <si>
    <t>(hors subventions et prestations à titre gratuit)</t>
  </si>
  <si>
    <t>Participation CT</t>
  </si>
  <si>
    <t>Nouvelle-Aquitaine</t>
  </si>
  <si>
    <t xml:space="preserve">Numéro : </t>
  </si>
  <si>
    <t>1er jour :</t>
  </si>
  <si>
    <t>DEPENSES</t>
  </si>
  <si>
    <t>RECETTES</t>
  </si>
  <si>
    <t>1 :</t>
  </si>
  <si>
    <t>°</t>
  </si>
  <si>
    <t>Organisation et gestion du stage</t>
  </si>
  <si>
    <t>2a</t>
  </si>
  <si>
    <t>Subventions &amp; contributions F.F.M.E.</t>
  </si>
  <si>
    <t>Matériel spécifique (achat)</t>
  </si>
  <si>
    <t>Fédération</t>
  </si>
  <si>
    <t>Fournitures (achat)</t>
  </si>
  <si>
    <t>Contribution pour stagiaires en convention</t>
  </si>
  <si>
    <t>Documentation</t>
  </si>
  <si>
    <t>Comité régional</t>
  </si>
  <si>
    <t>Matériel mis à disposition (valorisation)</t>
  </si>
  <si>
    <t>Comité départemental</t>
  </si>
  <si>
    <t>2 :</t>
  </si>
  <si>
    <t>Frais de l'encadrement</t>
  </si>
  <si>
    <t>2b</t>
  </si>
  <si>
    <t>Coût journalier</t>
  </si>
  <si>
    <t>Région</t>
  </si>
  <si>
    <t>Département</t>
  </si>
  <si>
    <t>Commune(s) et autres</t>
  </si>
  <si>
    <t>Jeunesse et Sports/CNDS</t>
  </si>
  <si>
    <t>Hébergement, restauration</t>
  </si>
  <si>
    <t>Autres</t>
  </si>
  <si>
    <t>Déplacements</t>
  </si>
  <si>
    <t>2c</t>
  </si>
  <si>
    <t>Bénévolat</t>
  </si>
  <si>
    <t>Encadrement bénévole (valorisation)</t>
  </si>
  <si>
    <t>Valorisation encadrement bénévole</t>
  </si>
  <si>
    <t>3 :</t>
  </si>
  <si>
    <t>Frais stagiaires</t>
  </si>
  <si>
    <t>Participation des stagiaires pour leur hébergement / restauration</t>
  </si>
  <si>
    <t>Hébergement/restauration</t>
  </si>
  <si>
    <t>Documentation remise aux stagiaires</t>
  </si>
  <si>
    <t>Equipement individuel</t>
  </si>
  <si>
    <t>4 :</t>
  </si>
  <si>
    <t>Frais de gestion du siège</t>
  </si>
  <si>
    <t>Droits fédéraux</t>
  </si>
  <si>
    <t>Frais de gestion du stage</t>
  </si>
  <si>
    <t>Droits par stagiaire</t>
  </si>
  <si>
    <t>Frais de gestion par stagiaire</t>
  </si>
  <si>
    <t>5 :</t>
  </si>
  <si>
    <t xml:space="preserve">Frais de gestion du C.R. </t>
  </si>
  <si>
    <t>Total des charges</t>
  </si>
  <si>
    <t>Total des produits</t>
  </si>
  <si>
    <t>6 :</t>
  </si>
  <si>
    <t>TOTAUX EGAUX</t>
  </si>
  <si>
    <t xml:space="preserve">Commentaires : </t>
  </si>
  <si>
    <r>
      <t>Administratifs</t>
    </r>
    <r>
      <rPr>
        <sz val="6"/>
        <rFont val="Arial"/>
        <family val="2"/>
      </rPr>
      <t xml:space="preserve"> (secrétariat, courrier, téléphone, …)</t>
    </r>
  </si>
  <si>
    <r>
      <t xml:space="preserve">Le coût total pour un stagiaire F.F.M.E. est de (rubriques 1 + 3 + 4) : </t>
    </r>
    <r>
      <rPr>
        <b/>
        <sz val="11"/>
        <rFont val="Arial"/>
        <family val="2"/>
      </rPr>
      <t xml:space="preserve"> </t>
    </r>
  </si>
  <si>
    <r>
      <t>Participat° stagiaires (hors frais du siège et frais d'héberge</t>
    </r>
    <r>
      <rPr>
        <b/>
        <vertAlign val="superscript"/>
        <sz val="9"/>
        <rFont val="Arial"/>
        <family val="2"/>
      </rPr>
      <t>nt</t>
    </r>
    <r>
      <rPr>
        <b/>
        <sz val="9"/>
        <rFont val="Arial"/>
        <family val="2"/>
      </rPr>
      <t xml:space="preserve"> / restaurat°)</t>
    </r>
  </si>
  <si>
    <t>Stage  n°</t>
  </si>
  <si>
    <t>Intitulé de la formation</t>
  </si>
  <si>
    <t xml:space="preserve">Initiateur </t>
  </si>
  <si>
    <t>Entraineur</t>
  </si>
  <si>
    <t>Equipeur (gestion équipement de sites)</t>
  </si>
  <si>
    <t>Traceur</t>
  </si>
  <si>
    <t>Traceur national</t>
  </si>
  <si>
    <t xml:space="preserve">Ouvreur </t>
  </si>
  <si>
    <t>Juge</t>
  </si>
  <si>
    <t>Arbitre</t>
  </si>
  <si>
    <t>Président de Jury</t>
  </si>
  <si>
    <t xml:space="preserve">Recyclage </t>
  </si>
  <si>
    <t>Animateur</t>
  </si>
  <si>
    <t>Montagne et Escalade</t>
  </si>
  <si>
    <t xml:space="preserve">Budget prévisionnel </t>
  </si>
  <si>
    <t>1 de club - Escalade</t>
  </si>
  <si>
    <t>2 d équipe - Escalade</t>
  </si>
  <si>
    <t>randonnée montagne</t>
  </si>
  <si>
    <t>alpinisme</t>
  </si>
  <si>
    <t>escalade</t>
  </si>
  <si>
    <t>randonnée</t>
  </si>
  <si>
    <t>raquette</t>
  </si>
  <si>
    <t>SAE</t>
  </si>
  <si>
    <t>Ski de montagne</t>
  </si>
  <si>
    <t>Surf de montagne</t>
  </si>
  <si>
    <t>Cascade de Glace</t>
  </si>
  <si>
    <t>escalad arbre</t>
  </si>
  <si>
    <t>Escalade Artificielle</t>
  </si>
  <si>
    <t>Goulottes et Courses d arêtes</t>
  </si>
  <si>
    <t>Grandes Courses</t>
  </si>
  <si>
    <t>grandes voies</t>
  </si>
  <si>
    <t>ski alpinisme</t>
  </si>
  <si>
    <t>terrain d aventure</t>
  </si>
  <si>
    <t>via ferrata</t>
  </si>
  <si>
    <t>canyon</t>
  </si>
  <si>
    <t>Cartes et Orientation</t>
  </si>
  <si>
    <t>Neige et avalanche</t>
  </si>
  <si>
    <t>raquette à neige</t>
  </si>
  <si>
    <t>ski de montagne</t>
  </si>
  <si>
    <t>d arbitres - Escalade</t>
  </si>
  <si>
    <t>d ouvreurs escalade</t>
  </si>
  <si>
    <t>de SAE (gestion et animation)</t>
  </si>
  <si>
    <t>de club escalade</t>
  </si>
  <si>
    <t>régional escalade</t>
  </si>
  <si>
    <t>national escalade</t>
  </si>
  <si>
    <t>de bloc</t>
  </si>
  <si>
    <t>de voie</t>
  </si>
  <si>
    <t>de jury</t>
  </si>
  <si>
    <t>régional - Escalade</t>
  </si>
  <si>
    <t>national ski de montagne</t>
  </si>
  <si>
    <t xml:space="preserve">ski de montagne Initiateur </t>
  </si>
  <si>
    <t xml:space="preserve">ski de montagne moniteur </t>
  </si>
  <si>
    <t>Tarif Horaire brut patronal</t>
  </si>
  <si>
    <t>Nombre d'heure par stage</t>
  </si>
  <si>
    <t>Montant Conseillé</t>
  </si>
  <si>
    <t>N° LICENCE</t>
  </si>
  <si>
    <t>PRENOM</t>
  </si>
  <si>
    <t>CLUB</t>
  </si>
  <si>
    <t>DATE DE NAISSANCE</t>
  </si>
  <si>
    <t>TEL</t>
  </si>
  <si>
    <t>PORTABLE</t>
  </si>
  <si>
    <t>MAIL</t>
  </si>
  <si>
    <t>NOM PAP</t>
  </si>
  <si>
    <t>PRENOM PAP</t>
  </si>
  <si>
    <t>ADRESSE1 PAP</t>
  </si>
  <si>
    <t>ADRESSE2 PAP</t>
  </si>
  <si>
    <t>CP PAP</t>
  </si>
  <si>
    <t>VILLE PAP</t>
  </si>
  <si>
    <t>TEL PAP</t>
  </si>
  <si>
    <t>MAIL PAP</t>
  </si>
  <si>
    <t>ADRESSE</t>
  </si>
  <si>
    <t>CP</t>
  </si>
  <si>
    <t>VILLE</t>
  </si>
  <si>
    <t>DIPLÖME</t>
  </si>
  <si>
    <t>N Licence</t>
  </si>
  <si>
    <t>Dates :</t>
  </si>
  <si>
    <t>Stage Montagne &amp; Escalade n°</t>
  </si>
  <si>
    <t>Nombre d'inscrits :</t>
  </si>
  <si>
    <t>Licenciés :</t>
  </si>
  <si>
    <t>Feuille de présence (émargement)</t>
  </si>
  <si>
    <r>
      <t xml:space="preserve">ATTESTATION de FORMATION
</t>
    </r>
    <r>
      <rPr>
        <b/>
        <i/>
        <sz val="18"/>
        <rFont val="Calibri"/>
        <family val="2"/>
        <scheme val="minor"/>
      </rPr>
      <t>Stage Montagne &amp; Escalade</t>
    </r>
  </si>
  <si>
    <t>atteste que :</t>
  </si>
  <si>
    <t>demeurant</t>
  </si>
  <si>
    <t>Licence FFME n°</t>
  </si>
  <si>
    <t>a participé au stage Montagne &amp; Escalade n°</t>
  </si>
  <si>
    <t>du</t>
  </si>
  <si>
    <t>à</t>
  </si>
  <si>
    <t>Fait le</t>
  </si>
  <si>
    <t>L'</t>
  </si>
  <si>
    <t>Gestion : Comité Régional Aquitaine FFME
Centre Nelson Paillou - Rue du Professeur Garrigou-Lagrange - 64000 PAU - Tel : 05 59 14 18 91</t>
  </si>
  <si>
    <r>
      <t>Sélectionner toute la plage des attestations individuelles à éditer, colonnes A à I
Dans "mise en page" : "zone d'impression", puis "définir".
Imprimer l'ensemble en .</t>
    </r>
    <r>
      <rPr>
        <u/>
        <sz val="10"/>
        <rFont val="Arial"/>
        <family val="2"/>
      </rPr>
      <t>pdf</t>
    </r>
    <r>
      <rPr>
        <sz val="10"/>
        <rFont val="Arial"/>
        <family val="2"/>
      </rPr>
      <t>.
Pour éditer les attestations individuelles à remettre :
- sélectionner les pages du .pdf (les n° d'ordre correspondent aux factures)
- imprimer les pages sélectionnées (pdf ou papier, selon demande).</t>
    </r>
  </si>
  <si>
    <r>
      <rPr>
        <b/>
        <sz val="14"/>
        <color indexed="12"/>
        <rFont val="Arial Black"/>
        <family val="2"/>
      </rPr>
      <t>ffme</t>
    </r>
    <r>
      <rPr>
        <b/>
        <sz val="10"/>
        <color indexed="12"/>
        <rFont val="Arial Black"/>
        <family val="2"/>
      </rPr>
      <t xml:space="preserve">
Comité Territorial Aquitaine</t>
    </r>
  </si>
  <si>
    <t>info@ct64.ffme.fr
http://www.ffme.fr/formation/page/formation-et-stages.html</t>
  </si>
  <si>
    <t>Numéro</t>
  </si>
  <si>
    <t>FACTURE</t>
  </si>
  <si>
    <r>
      <t xml:space="preserve">Facture n° </t>
    </r>
    <r>
      <rPr>
        <b/>
        <sz val="10"/>
        <rFont val="Arial"/>
        <family val="2"/>
      </rPr>
      <t>F</t>
    </r>
  </si>
  <si>
    <t>Stage de formation</t>
  </si>
  <si>
    <t>Montagne &amp; Escalade</t>
  </si>
  <si>
    <t>Stage n°</t>
  </si>
  <si>
    <t>Club :</t>
  </si>
  <si>
    <t>Participant :</t>
  </si>
  <si>
    <t>Frais de formation</t>
  </si>
  <si>
    <t>Coût pédagogique</t>
  </si>
  <si>
    <t>Hébergement/Restauration</t>
  </si>
  <si>
    <t>TOTAL à régler</t>
  </si>
  <si>
    <t>Acompte versé</t>
  </si>
  <si>
    <t/>
  </si>
  <si>
    <t>Reste à régler</t>
  </si>
  <si>
    <r>
      <rPr>
        <i/>
        <sz val="10"/>
        <rFont val="Arial"/>
        <family val="2"/>
      </rPr>
      <t>Règlement par chèque ou virement à réception - Rappeler références facture + nom</t>
    </r>
    <r>
      <rPr>
        <sz val="10"/>
        <rFont val="Arial"/>
        <family val="2"/>
      </rPr>
      <t xml:space="preserve">
</t>
    </r>
  </si>
  <si>
    <t>ffme</t>
  </si>
  <si>
    <t>Sélectionner toute la plage des factures à imprimer, colonnes A à H
Dans "mise en page" : "zone d'impression", puis "définir".
Imprimer l'ensemble en .pdf (et papier pour la compta).
Pour éditer des factures individuelles :
- sélectionner les pages du .pdf (les n° correspondent aux factures)
- imprimer les pages sélectionnées (pdf ou papier, selon demande).</t>
  </si>
  <si>
    <t>date 1er jour :</t>
  </si>
  <si>
    <t>au</t>
  </si>
  <si>
    <t>Paiement</t>
  </si>
  <si>
    <t>Règlement</t>
  </si>
  <si>
    <t>Facturation</t>
  </si>
  <si>
    <t>N° club</t>
  </si>
  <si>
    <t>SEXE</t>
  </si>
  <si>
    <t>Date Nais.</t>
  </si>
  <si>
    <t>Téléphone</t>
  </si>
  <si>
    <t>Mobile</t>
  </si>
  <si>
    <t>Courriel</t>
  </si>
  <si>
    <t>Montant dû</t>
  </si>
  <si>
    <t>Acompte
inscription</t>
  </si>
  <si>
    <t>Autres versements 
reçus avant le stage</t>
  </si>
  <si>
    <t>Chèque 
sur place</t>
  </si>
  <si>
    <t>Solde dû</t>
  </si>
  <si>
    <t>perso</t>
  </si>
  <si>
    <t>club</t>
  </si>
  <si>
    <t>Facture remise</t>
  </si>
  <si>
    <t>Tarif</t>
  </si>
  <si>
    <t>Stagiaire licencié FFME</t>
  </si>
  <si>
    <t>Stagiaire en convention</t>
  </si>
  <si>
    <t>Montant Spécifique</t>
  </si>
  <si>
    <t>IBAN</t>
  </si>
  <si>
    <t>BIC</t>
  </si>
  <si>
    <t>Stage Montagne &amp; Escalade</t>
  </si>
  <si>
    <t>Document à remettre à chaque stagiaire. Puis, après complément, à numériser et transmettre au CR en complément du bilan de stage.</t>
  </si>
  <si>
    <t>Fiche d’évaluation</t>
  </si>
  <si>
    <t>Thème</t>
  </si>
  <si>
    <t>++</t>
  </si>
  <si>
    <t>+</t>
  </si>
  <si>
    <t>-</t>
  </si>
  <si>
    <t>--</t>
  </si>
  <si>
    <t>Commentaires et suggestions</t>
  </si>
  <si>
    <t>Organisation générale</t>
  </si>
  <si>
    <t>Durée</t>
  </si>
  <si>
    <t>Déroulement</t>
  </si>
  <si>
    <t>Durée des séquences</t>
  </si>
  <si>
    <t>Contenu</t>
  </si>
  <si>
    <t>Présentation, méthodes</t>
  </si>
  <si>
    <t>Moyens utilisés</t>
  </si>
  <si>
    <t>Apports théoriques</t>
  </si>
  <si>
    <t>Apports pratiques</t>
  </si>
  <si>
    <t>Equilibre théorie/pratique</t>
  </si>
  <si>
    <t>Réponse à tes attentes</t>
  </si>
  <si>
    <t>Qu’est-ce qui a le mieux répondu à ton attente ?</t>
  </si>
  <si>
    <t>Et le moins bien ?</t>
  </si>
  <si>
    <t>Qu’as-tu trouvé que tu n’attendais pas (mais qui t’a intéressé/e) ?</t>
  </si>
  <si>
    <t>Quand, éventuellement, as-tu eu le sentiment de perdre ton temps ?</t>
  </si>
  <si>
    <t>Que retiens-tu en priorité ?</t>
  </si>
  <si>
    <t>Remarque, suggestion ou commentaire particulier ?</t>
  </si>
  <si>
    <t>NOM :</t>
  </si>
  <si>
    <t>Mél :</t>
  </si>
  <si>
    <t>@</t>
  </si>
  <si>
    <t>Prochain souhait de formation ?</t>
  </si>
  <si>
    <t>Merci ! Et à bientôt.</t>
  </si>
  <si>
    <r>
      <t xml:space="preserve">Pour entrer en relation avec le Pôle Formation du CR Aquitaine : </t>
    </r>
    <r>
      <rPr>
        <i/>
        <u/>
        <sz val="10"/>
        <color rgb="FF0000FF"/>
        <rFont val="Arial"/>
        <family val="2"/>
      </rPr>
      <t>formation.aquitaine@ffme.fr</t>
    </r>
    <r>
      <rPr>
        <i/>
        <sz val="10"/>
        <color rgb="FF0000FF"/>
        <rFont val="Arial"/>
        <family val="2"/>
      </rPr>
      <t xml:space="preserve">  - Tél : 05 59 14 19 81 </t>
    </r>
  </si>
  <si>
    <t>BILAN DE STAGE</t>
  </si>
  <si>
    <t>N° de stage</t>
  </si>
  <si>
    <t>Autres cadres présents</t>
  </si>
  <si>
    <t>1) Déroulement</t>
  </si>
  <si>
    <t>Heures sur le terrain :</t>
  </si>
  <si>
    <t>h</t>
  </si>
  <si>
    <t>Heures en salle :</t>
  </si>
  <si>
    <t>2) Planning de déroulement du stage</t>
  </si>
  <si>
    <t>Contenu, thèmes</t>
  </si>
  <si>
    <t>3) Résultats</t>
  </si>
  <si>
    <t>M</t>
  </si>
  <si>
    <t>F</t>
  </si>
  <si>
    <t>Ensemble</t>
  </si>
  <si>
    <t>Document à "imprimer"en .pdf et à  joindre au bilan du stage dans l'Intranet fédéral
Masquer les lignes sans objet</t>
  </si>
  <si>
    <t>Jour 1</t>
  </si>
  <si>
    <t>Résultats</t>
  </si>
  <si>
    <t>N° Licence</t>
  </si>
  <si>
    <t>Commentaire</t>
  </si>
  <si>
    <t>oui M</t>
  </si>
  <si>
    <t>oui F</t>
  </si>
  <si>
    <t>non M</t>
  </si>
  <si>
    <t>non F</t>
  </si>
  <si>
    <t>globalement atteint</t>
  </si>
  <si>
    <t>en voie d'acquisition</t>
  </si>
  <si>
    <t>non atteint</t>
  </si>
  <si>
    <t>Bilan financier</t>
  </si>
  <si>
    <r>
      <t xml:space="preserve">Le "Compte-rendu financier du stage" (modèle Intranet FFME) </t>
    </r>
    <r>
      <rPr>
        <b/>
        <i/>
        <sz val="10"/>
        <rFont val="Arial"/>
        <family val="2"/>
      </rPr>
      <t xml:space="preserve">s'établit automatiquement </t>
    </r>
    <r>
      <rPr>
        <i/>
        <sz val="10"/>
        <rFont val="Arial"/>
        <family val="2"/>
      </rPr>
      <t xml:space="preserve">à partir de cette feuille
</t>
    </r>
    <r>
      <rPr>
        <b/>
        <i/>
        <sz val="10"/>
        <rFont val="Arial"/>
        <family val="2"/>
      </rPr>
      <t>I</t>
    </r>
    <r>
      <rPr>
        <b/>
        <i/>
        <sz val="11"/>
        <rFont val="Arial"/>
        <family val="2"/>
      </rPr>
      <t xml:space="preserve">mprimer/enregistrer la feuille "19-CR FI" en ".pdf" </t>
    </r>
    <r>
      <rPr>
        <i/>
        <sz val="11"/>
        <rFont val="Arial"/>
        <family val="2"/>
      </rPr>
      <t>pour la joindre au dossier du stage dans IFI</t>
    </r>
    <r>
      <rPr>
        <b/>
        <i/>
        <sz val="11"/>
        <rFont val="Arial"/>
        <family val="2"/>
      </rPr>
      <t xml:space="preserve"> </t>
    </r>
  </si>
  <si>
    <r>
      <t xml:space="preserve">(Ne pas exporter le fichier excel)
</t>
    </r>
    <r>
      <rPr>
        <b/>
        <i/>
        <sz val="10"/>
        <rFont val="Arial"/>
        <family val="2"/>
      </rPr>
      <t>La feuille 20-COMPTA (Comptes de résultats) s'établit également automatiquement</t>
    </r>
  </si>
  <si>
    <r>
      <rPr>
        <i/>
        <u/>
        <sz val="9"/>
        <rFont val="Arial"/>
        <family val="2"/>
      </rPr>
      <t>Vérifier</t>
    </r>
    <r>
      <rPr>
        <i/>
        <sz val="9"/>
        <rFont val="Arial"/>
        <family val="2"/>
      </rPr>
      <t xml:space="preserve"> et </t>
    </r>
    <r>
      <rPr>
        <i/>
        <u/>
        <sz val="9"/>
        <rFont val="Arial"/>
        <family val="2"/>
      </rPr>
      <t>rectifier</t>
    </r>
    <r>
      <rPr>
        <i/>
        <sz val="9"/>
        <rFont val="Arial"/>
        <family val="2"/>
      </rPr>
      <t xml:space="preserve"> éventuellement les cases</t>
    </r>
  </si>
  <si>
    <r>
      <t>Nombre de stagiaires</t>
    </r>
    <r>
      <rPr>
        <i/>
        <sz val="11"/>
        <rFont val="Arial"/>
        <family val="2"/>
      </rPr>
      <t/>
    </r>
  </si>
  <si>
    <t>Encadrement, animation : coût de l'encadrement</t>
  </si>
  <si>
    <t>Nb Jours</t>
  </si>
  <si>
    <t>Rém. Totale</t>
  </si>
  <si>
    <t>Rapprochement</t>
  </si>
  <si>
    <t>Hébergement/restauration stagiaires et encadrement</t>
  </si>
  <si>
    <t>Prêt de matériel, etc…</t>
  </si>
  <si>
    <t>Prêt de matériel, …</t>
  </si>
  <si>
    <t>Location de salle</t>
  </si>
  <si>
    <t>Location de matériel, d'équipement, etc.</t>
  </si>
  <si>
    <t>Manuel</t>
  </si>
  <si>
    <t>Doc remise</t>
  </si>
  <si>
    <t>Frais généraux (% sur budget total)</t>
  </si>
  <si>
    <t>Frais généraux  (sur budget total hors rest°/hébergt stagiaires)</t>
  </si>
  <si>
    <t>% coût pédagogique</t>
  </si>
  <si>
    <t>% sur coût pédagogique</t>
  </si>
  <si>
    <t>Par stage (% coût pédagogique)</t>
  </si>
  <si>
    <t>Remise (% sur coûts de gestion)</t>
  </si>
  <si>
    <t>Participations FFME (par stagiaire licencié)</t>
  </si>
  <si>
    <t>Subventions individualisées (par stagiaire)</t>
  </si>
  <si>
    <t xml:space="preserve">sans déduction subventions publiques spécifiques éventuelles </t>
  </si>
  <si>
    <t>(hors subventions)</t>
  </si>
  <si>
    <t>Voiture Personnelle</t>
  </si>
  <si>
    <t>Location</t>
  </si>
  <si>
    <t>Bus, Avion, Train</t>
  </si>
  <si>
    <t>Total Facturé</t>
  </si>
  <si>
    <t>par Stagiaire</t>
  </si>
  <si>
    <t>Compte rendu financier du stage Montagne &amp; Escalade</t>
  </si>
  <si>
    <t>Document à "imprimer"en .pdf et à  joindre au dossier de création du stage dans l'Intranet fédéral</t>
  </si>
  <si>
    <t>Dernier jour :</t>
  </si>
  <si>
    <t>Contribution stagiaire en convention</t>
  </si>
  <si>
    <t>Bénévolat encadrement</t>
  </si>
  <si>
    <r>
      <t xml:space="preserve">Le coût total pour un stagiaire F.F.M.E. est de (rubriques 1 + 3 + 4 ) : </t>
    </r>
    <r>
      <rPr>
        <b/>
        <sz val="11"/>
        <rFont val="Arial"/>
        <family val="2"/>
      </rPr>
      <t xml:space="preserve"> </t>
    </r>
  </si>
  <si>
    <t>Comptes de résultats (prévisionnel et réalisé)</t>
  </si>
  <si>
    <t>de l'organisateur</t>
  </si>
  <si>
    <t xml:space="preserve">Calculs automatiques : ne pas modifier </t>
  </si>
  <si>
    <t>Prévisionnel</t>
  </si>
  <si>
    <t>Réalisé</t>
  </si>
  <si>
    <t>Ressources</t>
  </si>
  <si>
    <t>Participation stagiaires</t>
  </si>
  <si>
    <t>Subventions FFME</t>
  </si>
  <si>
    <t>Total ressources financières</t>
  </si>
  <si>
    <t>Total ressources économiques</t>
  </si>
  <si>
    <t>Charges</t>
  </si>
  <si>
    <t>Achats</t>
  </si>
  <si>
    <t>dont :</t>
  </si>
  <si>
    <t>Documentation stagiaires</t>
  </si>
  <si>
    <t>Equipement individuel stagiaires</t>
  </si>
  <si>
    <t>Hébergement, restauration stagiaires</t>
  </si>
  <si>
    <t>Hébergement, restauration encadrement</t>
  </si>
  <si>
    <t>Honoraires formateurs pro</t>
  </si>
  <si>
    <t>Reversements FFME</t>
  </si>
  <si>
    <t>dont</t>
  </si>
  <si>
    <t>CR Aquitaine</t>
  </si>
  <si>
    <t>Total charges externes</t>
  </si>
  <si>
    <t>Valeur ajoutée économique</t>
  </si>
  <si>
    <t>Bénévoles</t>
  </si>
  <si>
    <t>Valeur ajoutée financière</t>
  </si>
  <si>
    <t>Valeur ajoutée préparation &amp; gestion</t>
  </si>
  <si>
    <t>Matériel mis à disposition</t>
  </si>
  <si>
    <t>Valeur ajoutée gestionnaire</t>
  </si>
  <si>
    <t>Contribution aux Frais généraux</t>
  </si>
  <si>
    <t>Solde net</t>
  </si>
  <si>
    <t>Total Prévisionnel</t>
  </si>
  <si>
    <t>Virement</t>
  </si>
  <si>
    <t>Niveau 1</t>
  </si>
  <si>
    <t>Niveau 2</t>
  </si>
  <si>
    <t>Supplémentaire</t>
  </si>
  <si>
    <t>=NBVAL(A8:A19)-NB.SI.ENS(A8:A19;"")</t>
  </si>
  <si>
    <t>Ailefroide</t>
  </si>
  <si>
    <t>Passeport canyon blanc</t>
  </si>
  <si>
    <t>Équipeur sites sportifs escalade</t>
  </si>
  <si>
    <t>Initiateur SAE</t>
  </si>
  <si>
    <t>Gestionnaire d EPI</t>
  </si>
  <si>
    <t>DUREE SPECIAL</t>
  </si>
  <si>
    <t>1er Jour</t>
  </si>
  <si>
    <t>Nombres de stagiaires</t>
  </si>
  <si>
    <t>Tarifs Spéciaux</t>
  </si>
  <si>
    <t>Jours Réduits</t>
  </si>
  <si>
    <t>Co-Encadrants</t>
  </si>
  <si>
    <t>Tarif Co-Encadrants</t>
  </si>
  <si>
    <t>TARIF Total</t>
  </si>
  <si>
    <t>Tarif/ Stagiaires</t>
  </si>
  <si>
    <t>Frais de gestion des Comités Territoriaux 64-40</t>
  </si>
  <si>
    <t xml:space="preserve">Tarifs Herbergement </t>
  </si>
  <si>
    <t>Sur Montant Facturé</t>
  </si>
  <si>
    <t>Sur Montant Spécifique</t>
  </si>
  <si>
    <t>charles</t>
  </si>
  <si>
    <t>charli</t>
  </si>
  <si>
    <t>charlo</t>
  </si>
  <si>
    <t>charly</t>
  </si>
  <si>
    <t>charlu</t>
  </si>
  <si>
    <t>charla</t>
  </si>
  <si>
    <t>Oui</t>
  </si>
  <si>
    <t>Non</t>
  </si>
  <si>
    <t>Peut-Etre</t>
  </si>
  <si>
    <t>Surement</t>
  </si>
  <si>
    <t>Pourquoi pas</t>
  </si>
  <si>
    <t>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</si>
</sst>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-* #,##0.00\ &quot;€&quot;_-;\-* #,##0.00\ &quot;€&quot;_-;_-* &quot;-&quot;??\ &quot;€&quot;_-;_-@_-"/>
    <numFmt numFmtId="164" formatCode="#,##0\ [$€-1];[Red]\-#,##0\ [$€-1]"/>
    <numFmt numFmtId="165" formatCode="[$-F800]dddd\,\ mmmm\ dd\,\ yyyy"/>
    <numFmt numFmtId="166" formatCode="d/m;@"/>
    <numFmt numFmtId="167" formatCode="_-* #,##0\ &quot;€&quot;_-;\-* #,##0\ &quot;€&quot;_-;_-* &quot;-&quot;??\ &quot;€&quot;_-;_-@_-"/>
    <numFmt numFmtId="168" formatCode="#,##0\ &quot;€&quot;"/>
    <numFmt numFmtId="169" formatCode="#,##0.00\ &quot;€&quot;"/>
    <numFmt numFmtId="170" formatCode="#,##0.00\ [$€-1];[Red]\-#,##0.00\ [$€-1]"/>
    <numFmt numFmtId="171" formatCode="_-* #,##0.00\ [$€-40C]_-;\-* #,##0.00\ [$€-40C]_-;_-* &quot;-&quot;??\ [$€-40C]_-;_-@_-"/>
    <numFmt numFmtId="172" formatCode="0.0%"/>
    <numFmt numFmtId="173" formatCode="_-* #,##0\ [$€]_-;\-* #,##0\ [$€]_-;_-* &quot;-&quot;??\ [$€]_-;_-@_-"/>
    <numFmt numFmtId="174" formatCode="[$-40C]dd\-mmm\-yy;@"/>
    <numFmt numFmtId="175" formatCode="0.0"/>
    <numFmt numFmtId="176" formatCode="[$-40C]d\-mmm\-yy;@"/>
    <numFmt numFmtId="177" formatCode="[$-40C]d\ mmmm\ yyyy;@"/>
    <numFmt numFmtId="178" formatCode="[$-40C]yy\-mm"/>
    <numFmt numFmtId="179" formatCode="0#&quot; &quot;##&quot; &quot;##&quot; &quot;##&quot; &quot;##"/>
    <numFmt numFmtId="180" formatCode="h:mm;@"/>
    <numFmt numFmtId="181" formatCode="_-* #,##0.000\ &quot;€&quot;_-;\-* #,##0.000\ &quot;€&quot;_-;_-* &quot;-&quot;??\ &quot;€&quot;_-;_-@_-"/>
  </numFmts>
  <fonts count="1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name val="Arial"/>
      <family val="2"/>
    </font>
    <font>
      <i/>
      <sz val="9"/>
      <name val="Arial"/>
      <family val="2"/>
    </font>
    <font>
      <sz val="10"/>
      <color indexed="12"/>
      <name val="Arial"/>
      <family val="2"/>
    </font>
    <font>
      <b/>
      <i/>
      <sz val="11"/>
      <color indexed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i/>
      <u/>
      <sz val="9"/>
      <name val="Arial"/>
      <family val="2"/>
    </font>
    <font>
      <b/>
      <i/>
      <sz val="10"/>
      <color indexed="10"/>
      <name val="Arial"/>
      <family val="2"/>
    </font>
    <font>
      <b/>
      <i/>
      <sz val="9"/>
      <color rgb="FFFF0000"/>
      <name val="Arial"/>
      <family val="2"/>
    </font>
    <font>
      <i/>
      <sz val="10"/>
      <color rgb="FFFF0000"/>
      <name val="Arial"/>
      <family val="2"/>
    </font>
    <font>
      <i/>
      <sz val="10"/>
      <color indexed="10"/>
      <name val="Arial"/>
      <family val="2"/>
    </font>
    <font>
      <b/>
      <sz val="10"/>
      <color rgb="FF0000FF"/>
      <name val="Arial"/>
      <family val="2"/>
    </font>
    <font>
      <b/>
      <sz val="10"/>
      <name val="Arial"/>
      <family val="2"/>
    </font>
    <font>
      <b/>
      <i/>
      <sz val="10"/>
      <color rgb="FFC0000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i/>
      <sz val="10"/>
      <color rgb="FFC00000"/>
      <name val="Arial"/>
      <family val="2"/>
    </font>
    <font>
      <i/>
      <sz val="10"/>
      <color rgb="FF00FF0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  <font>
      <b/>
      <i/>
      <sz val="10"/>
      <color rgb="FFFF0000"/>
      <name val="Arial"/>
      <family val="2"/>
    </font>
    <font>
      <b/>
      <i/>
      <sz val="10"/>
      <name val="Arial"/>
      <family val="2"/>
    </font>
    <font>
      <b/>
      <sz val="10"/>
      <color rgb="FFC00000"/>
      <name val="Arial"/>
      <family val="2"/>
    </font>
    <font>
      <sz val="11"/>
      <name val="Arial"/>
      <family val="2"/>
    </font>
    <font>
      <b/>
      <i/>
      <sz val="12"/>
      <color indexed="12"/>
      <name val="Arial"/>
      <family val="2"/>
    </font>
    <font>
      <b/>
      <i/>
      <sz val="11"/>
      <color indexed="12"/>
      <name val="Arial"/>
      <family val="2"/>
    </font>
    <font>
      <sz val="8"/>
      <name val="Arial"/>
      <family val="2"/>
    </font>
    <font>
      <i/>
      <sz val="10"/>
      <color indexed="12"/>
      <name val="Arial"/>
      <family val="2"/>
    </font>
    <font>
      <b/>
      <i/>
      <sz val="9"/>
      <color rgb="FFC00000"/>
      <name val="Arial"/>
      <family val="2"/>
    </font>
    <font>
      <sz val="11"/>
      <color rgb="FFC00000"/>
      <name val="Arial"/>
      <family val="2"/>
    </font>
    <font>
      <b/>
      <sz val="12"/>
      <color indexed="12"/>
      <name val="Arial"/>
      <family val="2"/>
    </font>
    <font>
      <u/>
      <sz val="10"/>
      <color rgb="FFFF0000"/>
      <name val="Arial"/>
      <family val="2"/>
    </font>
    <font>
      <sz val="11"/>
      <color indexed="12"/>
      <name val="Arial"/>
      <family val="2"/>
    </font>
    <font>
      <b/>
      <sz val="10"/>
      <color indexed="12"/>
      <name val="Arial"/>
      <family val="2"/>
    </font>
    <font>
      <sz val="10"/>
      <color theme="0" tint="-4.9989318521683403E-2"/>
      <name val="Arial"/>
      <family val="2"/>
    </font>
    <font>
      <sz val="10"/>
      <color rgb="FF0070C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Wingdings"/>
      <charset val="2"/>
    </font>
    <font>
      <sz val="10"/>
      <color theme="2" tint="-9.9978637043366805E-2"/>
      <name val="Arial"/>
      <family val="2"/>
    </font>
    <font>
      <b/>
      <sz val="10"/>
      <name val="Wingdings"/>
      <charset val="2"/>
    </font>
    <font>
      <sz val="10"/>
      <color theme="0" tint="-0.14999847407452621"/>
      <name val="Arial"/>
      <family val="2"/>
    </font>
    <font>
      <i/>
      <sz val="9"/>
      <color rgb="FFFF0000"/>
      <name val="Arial"/>
      <family val="2"/>
    </font>
    <font>
      <sz val="9"/>
      <name val="Arial"/>
      <family val="2"/>
    </font>
    <font>
      <sz val="9"/>
      <color rgb="FFC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002060"/>
      <name val="Arial"/>
      <family val="2"/>
    </font>
    <font>
      <b/>
      <i/>
      <sz val="18"/>
      <color indexed="12"/>
      <name val="Tempus Sans ITC"/>
      <family val="5"/>
    </font>
    <font>
      <b/>
      <i/>
      <sz val="11"/>
      <color rgb="FFFF0000"/>
      <name val="Arial"/>
      <family val="2"/>
    </font>
    <font>
      <sz val="10"/>
      <color rgb="FF0000FF"/>
      <name val="Arial"/>
      <family val="2"/>
    </font>
    <font>
      <b/>
      <i/>
      <sz val="11"/>
      <name val="Arial"/>
      <family val="2"/>
    </font>
    <font>
      <b/>
      <i/>
      <sz val="11"/>
      <color rgb="FFC00000"/>
      <name val="Arial"/>
      <family val="2"/>
    </font>
    <font>
      <b/>
      <i/>
      <sz val="9"/>
      <color indexed="10"/>
      <name val="Arial"/>
      <family val="2"/>
    </font>
    <font>
      <b/>
      <sz val="11"/>
      <color rgb="FFC00000"/>
      <name val="Arial"/>
      <family val="2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i/>
      <sz val="11"/>
      <name val="Arial"/>
      <family val="2"/>
    </font>
    <font>
      <b/>
      <sz val="11"/>
      <color rgb="FFFF0000"/>
      <name val="Arial"/>
      <family val="2"/>
    </font>
    <font>
      <b/>
      <i/>
      <sz val="10"/>
      <color rgb="FF002060"/>
      <name val="Arial"/>
      <family val="2"/>
    </font>
    <font>
      <i/>
      <sz val="11"/>
      <color rgb="FFC00000"/>
      <name val="Arial"/>
      <family val="2"/>
    </font>
    <font>
      <i/>
      <sz val="10"/>
      <color rgb="FF002060"/>
      <name val="Arial"/>
      <family val="2"/>
    </font>
    <font>
      <sz val="10"/>
      <color indexed="10"/>
      <name val="Arial"/>
      <family val="2"/>
    </font>
    <font>
      <b/>
      <sz val="10"/>
      <color rgb="FF002060"/>
      <name val="Arial"/>
      <family val="2"/>
    </font>
    <font>
      <i/>
      <sz val="10"/>
      <color theme="0"/>
      <name val="Arial"/>
      <family val="2"/>
    </font>
    <font>
      <b/>
      <sz val="10"/>
      <color rgb="FF0070C0"/>
      <name val="Arial"/>
      <family val="2"/>
    </font>
    <font>
      <sz val="11"/>
      <color rgb="FFFF0000"/>
      <name val="Arial"/>
      <family val="2"/>
    </font>
    <font>
      <sz val="8"/>
      <color rgb="FFC00000"/>
      <name val="Arial"/>
      <family val="2"/>
    </font>
    <font>
      <sz val="12"/>
      <color rgb="FF002060"/>
      <name val="Arial"/>
      <family val="2"/>
    </font>
    <font>
      <i/>
      <sz val="11"/>
      <color rgb="FF0000FF"/>
      <name val="Arial"/>
      <family val="2"/>
    </font>
    <font>
      <sz val="9"/>
      <color rgb="FF0000FF"/>
      <name val="Arial"/>
      <family val="2"/>
    </font>
    <font>
      <sz val="12"/>
      <color rgb="FF0000FF"/>
      <name val="Arial"/>
      <family val="2"/>
    </font>
    <font>
      <sz val="12"/>
      <color rgb="FFC00000"/>
      <name val="Arial"/>
      <family val="2"/>
    </font>
    <font>
      <b/>
      <i/>
      <sz val="11"/>
      <color rgb="FF00B050"/>
      <name val="Arial"/>
      <family val="2"/>
    </font>
    <font>
      <i/>
      <sz val="10"/>
      <color rgb="FF008000"/>
      <name val="Arial"/>
      <family val="2"/>
    </font>
    <font>
      <sz val="11"/>
      <color rgb="FF008000"/>
      <name val="Arial"/>
      <family val="2"/>
    </font>
    <font>
      <sz val="12"/>
      <color rgb="FF008000"/>
      <name val="Arial"/>
      <family val="2"/>
    </font>
    <font>
      <sz val="12"/>
      <color rgb="FFFF0000"/>
      <name val="Arial"/>
      <family val="2"/>
    </font>
    <font>
      <i/>
      <u/>
      <sz val="10"/>
      <name val="Arial"/>
      <family val="2"/>
    </font>
    <font>
      <b/>
      <sz val="11"/>
      <color rgb="FF008E40"/>
      <name val="Arial"/>
      <family val="2"/>
    </font>
    <font>
      <sz val="10"/>
      <color rgb="FF008E40"/>
      <name val="Arial"/>
      <family val="2"/>
    </font>
    <font>
      <sz val="11"/>
      <color rgb="FF008E40"/>
      <name val="Arial"/>
      <family val="2"/>
    </font>
    <font>
      <sz val="12"/>
      <color rgb="FF008E40"/>
      <name val="Arial"/>
      <family val="2"/>
    </font>
    <font>
      <sz val="9"/>
      <color rgb="FF008E40"/>
      <name val="Arial"/>
      <family val="2"/>
    </font>
    <font>
      <b/>
      <i/>
      <sz val="9"/>
      <color rgb="FF008E40"/>
      <name val="Arial"/>
      <family val="2"/>
    </font>
    <font>
      <sz val="11"/>
      <color rgb="FF7030A0"/>
      <name val="Arial"/>
      <family val="2"/>
    </font>
    <font>
      <b/>
      <sz val="12"/>
      <color rgb="FF0000FF"/>
      <name val="Arial"/>
      <family val="2"/>
    </font>
    <font>
      <b/>
      <sz val="12"/>
      <color rgb="FFC00000"/>
      <name val="Arial"/>
      <family val="2"/>
    </font>
    <font>
      <b/>
      <sz val="16"/>
      <color indexed="9"/>
      <name val="Arial Baltic"/>
      <family val="2"/>
      <charset val="186"/>
    </font>
    <font>
      <b/>
      <u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6"/>
      <name val="Arial"/>
      <family val="2"/>
    </font>
    <font>
      <sz val="10"/>
      <color rgb="FFFFFFFF"/>
      <name val="Arial"/>
      <family val="2"/>
    </font>
    <font>
      <i/>
      <sz val="12"/>
      <name val="Arial"/>
      <family val="2"/>
    </font>
    <font>
      <i/>
      <sz val="8"/>
      <name val="Arial"/>
      <family val="2"/>
    </font>
    <font>
      <sz val="10"/>
      <color indexed="9"/>
      <name val="Arial"/>
      <family val="2"/>
    </font>
    <font>
      <b/>
      <vertAlign val="superscript"/>
      <sz val="9"/>
      <name val="Arial"/>
      <family val="2"/>
    </font>
    <font>
      <sz val="8"/>
      <color theme="0"/>
      <name val="Arial"/>
      <family val="2"/>
    </font>
    <font>
      <b/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Arial"/>
      <family val="2"/>
    </font>
    <font>
      <b/>
      <sz val="18"/>
      <name val="Calibri"/>
      <family val="2"/>
      <scheme val="minor"/>
    </font>
    <font>
      <b/>
      <i/>
      <sz val="18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0070C0"/>
      <name val="Arial"/>
      <family val="2"/>
    </font>
    <font>
      <sz val="11"/>
      <color theme="0"/>
      <name val="Arial"/>
      <family val="2"/>
    </font>
    <font>
      <b/>
      <sz val="11"/>
      <name val="Calibri"/>
      <family val="2"/>
      <scheme val="minor"/>
    </font>
    <font>
      <b/>
      <sz val="11"/>
      <name val="Wingdings"/>
      <charset val="2"/>
    </font>
    <font>
      <b/>
      <sz val="10"/>
      <color indexed="12"/>
      <name val="Arial Black"/>
      <family val="2"/>
    </font>
    <font>
      <b/>
      <sz val="14"/>
      <color indexed="12"/>
      <name val="Arial Black"/>
      <family val="2"/>
    </font>
    <font>
      <sz val="9"/>
      <name val="Times New Roman"/>
      <family val="1"/>
    </font>
    <font>
      <b/>
      <sz val="9"/>
      <color indexed="12"/>
      <name val="Calibri"/>
      <family val="2"/>
      <scheme val="minor"/>
    </font>
    <font>
      <u/>
      <sz val="10"/>
      <name val="Arial"/>
      <family val="2"/>
    </font>
    <font>
      <b/>
      <i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0000FF"/>
      <name val="Arial"/>
      <family val="2"/>
    </font>
    <font>
      <b/>
      <sz val="9"/>
      <color indexed="12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i/>
      <sz val="10"/>
      <color rgb="FF0000FF"/>
      <name val="Arial"/>
      <family val="2"/>
    </font>
    <font>
      <i/>
      <u/>
      <sz val="10"/>
      <color rgb="FF0000FF"/>
      <name val="Arial"/>
      <family val="2"/>
    </font>
    <font>
      <i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Arial"/>
      <family val="2"/>
    </font>
    <font>
      <sz val="11"/>
      <color rgb="FF000000"/>
      <name val="Calibri"/>
      <family val="2"/>
    </font>
    <font>
      <b/>
      <i/>
      <sz val="18"/>
      <color rgb="FFFF0000"/>
      <name val="Tempus Sans ITC"/>
      <family val="5"/>
    </font>
    <font>
      <b/>
      <i/>
      <sz val="12"/>
      <color theme="0"/>
      <name val="Arial"/>
      <family val="2"/>
    </font>
    <font>
      <b/>
      <i/>
      <sz val="11"/>
      <color theme="0"/>
      <name val="Arial"/>
      <family val="2"/>
    </font>
    <font>
      <b/>
      <i/>
      <sz val="11"/>
      <color rgb="FF0000FF"/>
      <name val="Arial"/>
      <family val="2"/>
    </font>
    <font>
      <b/>
      <u/>
      <sz val="12"/>
      <color rgb="FF0000FF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BDEFEE"/>
        <bgColor indexed="64"/>
      </patternFill>
    </fill>
    <fill>
      <patternFill patternType="solid">
        <fgColor rgb="FF79D0F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Dashed">
        <color indexed="64"/>
      </right>
      <top/>
      <bottom/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rgb="FFFF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FFCC00"/>
      </left>
      <right style="thin">
        <color rgb="FFFFCC00"/>
      </right>
      <top style="thin">
        <color rgb="FFFFCC00"/>
      </top>
      <bottom style="thin">
        <color rgb="FFFFCC00"/>
      </bottom>
      <diagonal/>
    </border>
    <border>
      <left style="thin">
        <color rgb="FFFFCC00"/>
      </left>
      <right/>
      <top style="thin">
        <color rgb="FFFFCC00"/>
      </top>
      <bottom style="thin">
        <color rgb="FFFFCC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FF"/>
      </right>
      <top/>
      <bottom/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indexed="64"/>
      </right>
      <top style="medium">
        <color rgb="FF0000FF"/>
      </top>
      <bottom style="medium">
        <color rgb="FF0000FF"/>
      </bottom>
      <diagonal/>
    </border>
    <border>
      <left style="medium">
        <color indexed="64"/>
      </left>
      <right style="thin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medium">
        <color indexed="64"/>
      </right>
      <top style="medium">
        <color rgb="FF0000FF"/>
      </top>
      <bottom style="medium">
        <color rgb="FF0000FF"/>
      </bottom>
      <diagonal/>
    </border>
    <border>
      <left style="medium">
        <color indexed="64"/>
      </left>
      <right style="medium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/>
    <xf numFmtId="0" fontId="125" fillId="0" borderId="0" applyNumberFormat="0" applyFill="0" applyBorder="0" applyAlignment="0" applyProtection="0"/>
  </cellStyleXfs>
  <cellXfs count="1361">
    <xf numFmtId="0" fontId="0" fillId="0" borderId="0" xfId="0"/>
    <xf numFmtId="0" fontId="0" fillId="0" borderId="0" xfId="0" applyBorder="1" applyAlignment="1" applyProtection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 applyProtection="1">
      <alignment horizontal="right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" fontId="6" fillId="3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7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164" fontId="8" fillId="0" borderId="0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10" fillId="0" borderId="0" xfId="0" applyFont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Border="1" applyAlignment="1" applyProtection="1">
      <alignment horizontal="right"/>
    </xf>
    <xf numFmtId="0" fontId="10" fillId="0" borderId="0" xfId="0" applyFont="1" applyFill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vertical="center"/>
    </xf>
    <xf numFmtId="0" fontId="15" fillId="6" borderId="3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horizontal="left" vertical="center" wrapText="1"/>
    </xf>
    <xf numFmtId="0" fontId="16" fillId="5" borderId="5" xfId="0" applyFont="1" applyFill="1" applyBorder="1" applyAlignment="1" applyProtection="1">
      <alignment vertical="center"/>
    </xf>
    <xf numFmtId="0" fontId="12" fillId="0" borderId="10" xfId="0" applyFont="1" applyFill="1" applyBorder="1" applyAlignment="1" applyProtection="1">
      <alignment wrapText="1"/>
    </xf>
    <xf numFmtId="0" fontId="12" fillId="0" borderId="11" xfId="0" applyFont="1" applyFill="1" applyBorder="1" applyAlignment="1" applyProtection="1">
      <alignment horizontal="right" vertical="center"/>
    </xf>
    <xf numFmtId="0" fontId="18" fillId="3" borderId="12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12" fillId="0" borderId="15" xfId="0" applyFont="1" applyFill="1" applyBorder="1" applyAlignment="1" applyProtection="1">
      <alignment wrapText="1"/>
    </xf>
    <xf numFmtId="0" fontId="22" fillId="3" borderId="16" xfId="0" applyFont="1" applyFill="1" applyBorder="1" applyAlignment="1" applyProtection="1">
      <alignment horizontal="center"/>
      <protection locked="0"/>
    </xf>
    <xf numFmtId="0" fontId="18" fillId="3" borderId="16" xfId="0" applyFont="1" applyFill="1" applyBorder="1" applyAlignment="1" applyProtection="1">
      <alignment horizontal="center" vertical="center"/>
      <protection locked="0"/>
    </xf>
    <xf numFmtId="0" fontId="20" fillId="0" borderId="18" xfId="0" applyFont="1" applyFill="1" applyBorder="1" applyAlignment="1" applyProtection="1">
      <alignment vertical="center"/>
    </xf>
    <xf numFmtId="0" fontId="21" fillId="0" borderId="18" xfId="0" applyFont="1" applyFill="1" applyBorder="1" applyAlignment="1" applyProtection="1">
      <alignment vertical="center"/>
    </xf>
    <xf numFmtId="0" fontId="0" fillId="0" borderId="0" xfId="0" applyFill="1" applyBorder="1" applyAlignment="1">
      <alignment vertical="center"/>
    </xf>
    <xf numFmtId="0" fontId="7" fillId="4" borderId="8" xfId="0" applyFont="1" applyFill="1" applyBorder="1" applyAlignment="1" applyProtection="1">
      <alignment horizontal="center" textRotation="90" wrapText="1"/>
    </xf>
    <xf numFmtId="0" fontId="7" fillId="4" borderId="8" xfId="0" applyFont="1" applyFill="1" applyBorder="1" applyAlignment="1" applyProtection="1">
      <alignment textRotation="90" wrapText="1"/>
    </xf>
    <xf numFmtId="0" fontId="12" fillId="0" borderId="0" xfId="0" applyFont="1" applyFill="1" applyBorder="1" applyAlignment="1" applyProtection="1">
      <alignment wrapText="1"/>
    </xf>
    <xf numFmtId="0" fontId="12" fillId="0" borderId="2" xfId="0" applyFont="1" applyFill="1" applyBorder="1" applyAlignment="1" applyProtection="1">
      <alignment horizontal="right" vertical="center"/>
    </xf>
    <xf numFmtId="0" fontId="18" fillId="3" borderId="1" xfId="0" applyFont="1" applyFill="1" applyBorder="1" applyAlignment="1" applyProtection="1">
      <alignment horizontal="center"/>
      <protection locked="0"/>
    </xf>
    <xf numFmtId="0" fontId="18" fillId="3" borderId="1" xfId="0" applyFont="1" applyFill="1" applyBorder="1" applyAlignment="1" applyProtection="1">
      <alignment horizontal="center" vertical="center"/>
      <protection locked="0"/>
    </xf>
    <xf numFmtId="0" fontId="7" fillId="5" borderId="21" xfId="0" applyFont="1" applyFill="1" applyBorder="1" applyAlignment="1" applyProtection="1">
      <alignment vertical="center"/>
    </xf>
    <xf numFmtId="0" fontId="20" fillId="0" borderId="15" xfId="0" applyFont="1" applyFill="1" applyBorder="1" applyAlignment="1" applyProtection="1">
      <alignment horizontal="right" vertical="center"/>
    </xf>
    <xf numFmtId="0" fontId="26" fillId="0" borderId="15" xfId="0" applyFont="1" applyFill="1" applyBorder="1" applyAlignment="1" applyProtection="1">
      <alignment vertical="center"/>
    </xf>
    <xf numFmtId="0" fontId="7" fillId="0" borderId="24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14" fillId="6" borderId="25" xfId="0" applyFont="1" applyFill="1" applyBorder="1" applyAlignment="1" applyProtection="1">
      <alignment horizontal="left" vertical="center" wrapText="1"/>
    </xf>
    <xf numFmtId="0" fontId="15" fillId="6" borderId="26" xfId="0" applyFont="1" applyFill="1" applyBorder="1" applyAlignment="1" applyProtection="1">
      <alignment horizontal="left" vertical="center" wrapText="1"/>
    </xf>
    <xf numFmtId="0" fontId="28" fillId="0" borderId="27" xfId="0" applyFont="1" applyBorder="1" applyAlignment="1" applyProtection="1">
      <alignment horizontal="left" vertical="center" wrapText="1"/>
    </xf>
    <xf numFmtId="0" fontId="29" fillId="2" borderId="28" xfId="0" applyFont="1" applyFill="1" applyBorder="1" applyAlignment="1" applyProtection="1">
      <alignment horizontal="center" vertical="center"/>
      <protection locked="0"/>
    </xf>
    <xf numFmtId="0" fontId="12" fillId="0" borderId="29" xfId="0" applyFont="1" applyFill="1" applyBorder="1" applyAlignment="1" applyProtection="1">
      <alignment horizontal="left" vertical="center"/>
    </xf>
    <xf numFmtId="0" fontId="30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 wrapText="1"/>
    </xf>
    <xf numFmtId="0" fontId="28" fillId="0" borderId="24" xfId="0" applyFont="1" applyFill="1" applyBorder="1" applyAlignment="1" applyProtection="1">
      <alignment horizontal="left" vertical="center"/>
    </xf>
    <xf numFmtId="0" fontId="32" fillId="8" borderId="27" xfId="0" applyFont="1" applyFill="1" applyBorder="1" applyAlignment="1" applyProtection="1">
      <alignment horizontal="center" vertical="center"/>
    </xf>
    <xf numFmtId="0" fontId="7" fillId="0" borderId="29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6" fillId="0" borderId="26" xfId="0" applyFont="1" applyBorder="1" applyAlignment="1" applyProtection="1">
      <alignment horizontal="left" vertical="center" wrapText="1"/>
    </xf>
    <xf numFmtId="0" fontId="27" fillId="4" borderId="1" xfId="0" applyFont="1" applyFill="1" applyBorder="1" applyAlignment="1" applyProtection="1">
      <alignment horizontal="center" vertical="center"/>
    </xf>
    <xf numFmtId="0" fontId="34" fillId="4" borderId="1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16" fillId="5" borderId="30" xfId="0" applyFont="1" applyFill="1" applyBorder="1" applyAlignment="1" applyProtection="1">
      <alignment vertical="center"/>
    </xf>
    <xf numFmtId="0" fontId="27" fillId="5" borderId="28" xfId="0" applyFont="1" applyFill="1" applyBorder="1" applyAlignment="1" applyProtection="1">
      <alignment horizontal="center" vertical="center" wrapText="1"/>
    </xf>
    <xf numFmtId="0" fontId="22" fillId="3" borderId="12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vertical="center"/>
    </xf>
    <xf numFmtId="0" fontId="28" fillId="0" borderId="3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 wrapText="1"/>
    </xf>
    <xf numFmtId="0" fontId="35" fillId="7" borderId="1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right" vertical="center" wrapText="1"/>
    </xf>
    <xf numFmtId="165" fontId="37" fillId="0" borderId="0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vertical="center"/>
    </xf>
    <xf numFmtId="0" fontId="15" fillId="0" borderId="3" xfId="0" applyFont="1" applyBorder="1" applyAlignment="1" applyProtection="1">
      <alignment horizontal="left" vertical="center" wrapText="1"/>
    </xf>
    <xf numFmtId="0" fontId="23" fillId="0" borderId="25" xfId="0" applyFont="1" applyBorder="1" applyAlignment="1" applyProtection="1">
      <alignment horizontal="center" vertical="center" wrapText="1"/>
    </xf>
    <xf numFmtId="0" fontId="39" fillId="9" borderId="0" xfId="0" applyFont="1" applyFill="1" applyAlignment="1" applyProtection="1">
      <alignment vertical="center"/>
    </xf>
    <xf numFmtId="166" fontId="40" fillId="0" borderId="0" xfId="0" applyNumberFormat="1" applyFont="1" applyAlignment="1" applyProtection="1">
      <alignment vertical="center"/>
    </xf>
    <xf numFmtId="0" fontId="23" fillId="0" borderId="3" xfId="0" applyFont="1" applyBorder="1" applyAlignment="1" applyProtection="1">
      <alignment horizontal="left" vertical="center" wrapText="1"/>
    </xf>
    <xf numFmtId="0" fontId="12" fillId="0" borderId="0" xfId="0" applyFont="1" applyFill="1" applyAlignment="1" applyProtection="1">
      <alignment vertical="center"/>
    </xf>
    <xf numFmtId="0" fontId="7" fillId="0" borderId="3" xfId="0" applyFont="1" applyBorder="1" applyAlignment="1" applyProtection="1">
      <alignment horizontal="left" vertical="center" wrapText="1"/>
    </xf>
    <xf numFmtId="0" fontId="41" fillId="5" borderId="1" xfId="0" applyFont="1" applyFill="1" applyBorder="1" applyAlignment="1" applyProtection="1">
      <alignment horizontal="center" vertical="center" wrapText="1"/>
    </xf>
    <xf numFmtId="165" fontId="37" fillId="0" borderId="3" xfId="0" applyNumberFormat="1" applyFont="1" applyFill="1" applyBorder="1" applyAlignment="1" applyProtection="1">
      <alignment horizontal="left" vertical="center" wrapText="1"/>
    </xf>
    <xf numFmtId="0" fontId="41" fillId="0" borderId="3" xfId="0" applyFont="1" applyBorder="1" applyAlignment="1" applyProtection="1">
      <alignment horizontal="right" vertical="center" wrapText="1"/>
    </xf>
    <xf numFmtId="0" fontId="23" fillId="0" borderId="3" xfId="0" applyFont="1" applyBorder="1" applyAlignment="1" applyProtection="1">
      <alignment horizontal="right" vertical="center" wrapText="1"/>
    </xf>
    <xf numFmtId="0" fontId="23" fillId="0" borderId="0" xfId="0" applyFont="1" applyFill="1" applyBorder="1" applyAlignment="1" applyProtection="1">
      <alignment horizontal="left" vertical="center" wrapText="1"/>
    </xf>
    <xf numFmtId="0" fontId="26" fillId="0" borderId="24" xfId="0" applyFont="1" applyFill="1" applyBorder="1" applyAlignment="1" applyProtection="1">
      <alignment horizontal="center" vertical="center"/>
    </xf>
    <xf numFmtId="165" fontId="37" fillId="0" borderId="0" xfId="0" applyNumberFormat="1" applyFont="1" applyFill="1" applyBorder="1" applyAlignment="1" applyProtection="1">
      <alignment horizontal="left" vertical="center" wrapText="1"/>
    </xf>
    <xf numFmtId="0" fontId="23" fillId="0" borderId="0" xfId="0" applyFont="1" applyFill="1" applyBorder="1" applyAlignment="1" applyProtection="1">
      <alignment horizontal="right" vertical="center" wrapText="1"/>
    </xf>
    <xf numFmtId="0" fontId="15" fillId="0" borderId="31" xfId="0" applyFont="1" applyBorder="1" applyAlignment="1" applyProtection="1">
      <alignment horizontal="left" vertical="center" wrapText="1"/>
    </xf>
    <xf numFmtId="0" fontId="33" fillId="5" borderId="32" xfId="0" applyFont="1" applyFill="1" applyBorder="1" applyAlignment="1" applyProtection="1">
      <alignment horizontal="center" vertical="center"/>
    </xf>
    <xf numFmtId="0" fontId="23" fillId="0" borderId="16" xfId="0" applyFont="1" applyBorder="1" applyAlignment="1" applyProtection="1">
      <alignment horizontal="right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/>
    <xf numFmtId="0" fontId="17" fillId="0" borderId="0" xfId="0" applyFont="1" applyFill="1" applyAlignment="1" applyProtection="1">
      <alignment horizontal="left" vertical="center"/>
    </xf>
    <xf numFmtId="0" fontId="43" fillId="0" borderId="0" xfId="0" applyFont="1" applyAlignment="1" applyProtection="1">
      <alignment vertical="center"/>
    </xf>
    <xf numFmtId="0" fontId="23" fillId="0" borderId="1" xfId="0" applyFont="1" applyBorder="1" applyAlignment="1" applyProtection="1">
      <alignment horizontal="left" vertical="center" wrapText="1"/>
    </xf>
    <xf numFmtId="0" fontId="15" fillId="0" borderId="24" xfId="0" applyFont="1" applyFill="1" applyBorder="1" applyAlignment="1" applyProtection="1">
      <alignment horizontal="left" vertical="center" wrapText="1"/>
    </xf>
    <xf numFmtId="0" fontId="23" fillId="0" borderId="24" xfId="0" applyFont="1" applyFill="1" applyBorder="1" applyAlignment="1" applyProtection="1">
      <alignment horizontal="center" vertical="center"/>
    </xf>
    <xf numFmtId="0" fontId="23" fillId="0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Fill="1" applyBorder="1" applyAlignment="1" applyProtection="1">
      <alignment vertical="center"/>
    </xf>
    <xf numFmtId="167" fontId="7" fillId="0" borderId="0" xfId="1" applyNumberFormat="1" applyFont="1" applyFill="1" applyBorder="1" applyAlignment="1" applyProtection="1">
      <alignment vertical="center"/>
    </xf>
    <xf numFmtId="167" fontId="16" fillId="0" borderId="24" xfId="1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left" vertical="center"/>
    </xf>
    <xf numFmtId="44" fontId="4" fillId="0" borderId="0" xfId="1" applyFont="1" applyFill="1" applyBorder="1" applyAlignment="1" applyProtection="1">
      <alignment horizontal="right" vertical="center" wrapText="1"/>
    </xf>
    <xf numFmtId="0" fontId="17" fillId="0" borderId="0" xfId="0" applyFont="1" applyFill="1" applyBorder="1" applyAlignment="1" applyProtection="1">
      <alignment vertical="center"/>
    </xf>
    <xf numFmtId="167" fontId="7" fillId="0" borderId="0" xfId="1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/>
    <xf numFmtId="0" fontId="15" fillId="0" borderId="26" xfId="0" applyFont="1" applyFill="1" applyBorder="1" applyAlignment="1" applyProtection="1">
      <alignment horizontal="left" vertical="center" wrapText="1"/>
    </xf>
    <xf numFmtId="0" fontId="3" fillId="0" borderId="26" xfId="0" applyFont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0" fontId="15" fillId="3" borderId="25" xfId="0" applyFont="1" applyFill="1" applyBorder="1" applyAlignment="1" applyProtection="1">
      <alignment horizontal="center" vertical="center"/>
      <protection locked="0"/>
    </xf>
    <xf numFmtId="0" fontId="24" fillId="5" borderId="25" xfId="0" applyFont="1" applyFill="1" applyBorder="1" applyAlignment="1" applyProtection="1">
      <alignment vertical="center"/>
    </xf>
    <xf numFmtId="0" fontId="24" fillId="5" borderId="26" xfId="0" applyFont="1" applyFill="1" applyBorder="1" applyAlignment="1" applyProtection="1">
      <alignment vertical="center"/>
    </xf>
    <xf numFmtId="0" fontId="24" fillId="5" borderId="21" xfId="0" applyFont="1" applyFill="1" applyBorder="1" applyAlignment="1" applyProtection="1">
      <alignment vertical="center"/>
    </xf>
    <xf numFmtId="0" fontId="24" fillId="5" borderId="26" xfId="0" applyFont="1" applyFill="1" applyBorder="1" applyAlignment="1" applyProtection="1">
      <alignment horizontal="left" vertical="center"/>
    </xf>
    <xf numFmtId="0" fontId="24" fillId="5" borderId="1" xfId="0" applyFont="1" applyFill="1" applyBorder="1" applyAlignment="1" applyProtection="1">
      <alignment horizontal="center" vertical="center"/>
    </xf>
    <xf numFmtId="0" fontId="24" fillId="5" borderId="21" xfId="0" applyFont="1" applyFill="1" applyBorder="1" applyAlignment="1" applyProtection="1">
      <alignment horizontal="center" vertical="center"/>
    </xf>
    <xf numFmtId="0" fontId="23" fillId="0" borderId="3" xfId="0" applyFont="1" applyFill="1" applyBorder="1" applyAlignment="1" applyProtection="1">
      <alignment horizontal="left" vertical="center" wrapText="1"/>
    </xf>
    <xf numFmtId="0" fontId="44" fillId="0" borderId="0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left" vertical="center" wrapText="1"/>
    </xf>
    <xf numFmtId="0" fontId="24" fillId="0" borderId="0" xfId="0" applyFont="1" applyFill="1" applyBorder="1" applyAlignment="1" applyProtection="1">
      <alignment horizontal="center" vertical="center" wrapText="1"/>
    </xf>
    <xf numFmtId="0" fontId="17" fillId="0" borderId="0" xfId="0" applyFont="1" applyFill="1" applyAlignment="1" applyProtection="1">
      <alignment vertical="center" wrapText="1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/>
    </xf>
    <xf numFmtId="0" fontId="14" fillId="6" borderId="25" xfId="0" applyFont="1" applyFill="1" applyBorder="1" applyAlignment="1" applyProtection="1">
      <alignment vertical="center"/>
    </xf>
    <xf numFmtId="0" fontId="15" fillId="6" borderId="26" xfId="0" applyFont="1" applyFill="1" applyBorder="1" applyAlignment="1" applyProtection="1">
      <alignment vertical="center"/>
    </xf>
    <xf numFmtId="0" fontId="24" fillId="5" borderId="3" xfId="0" applyFont="1" applyFill="1" applyBorder="1" applyAlignment="1" applyProtection="1">
      <alignment horizontal="center" vertical="center" wrapText="1"/>
    </xf>
    <xf numFmtId="0" fontId="47" fillId="0" borderId="1" xfId="3" applyFont="1" applyBorder="1" applyAlignment="1" applyProtection="1">
      <alignment horizontal="center"/>
    </xf>
    <xf numFmtId="0" fontId="24" fillId="5" borderId="25" xfId="0" applyNumberFormat="1" applyFont="1" applyFill="1" applyBorder="1" applyAlignment="1" applyProtection="1">
      <alignment horizontal="left" vertical="center"/>
    </xf>
    <xf numFmtId="0" fontId="0" fillId="5" borderId="21" xfId="0" applyFill="1" applyBorder="1" applyProtection="1"/>
    <xf numFmtId="0" fontId="24" fillId="5" borderId="1" xfId="0" applyFont="1" applyFill="1" applyBorder="1" applyAlignment="1" applyProtection="1">
      <alignment vertical="center"/>
    </xf>
    <xf numFmtId="0" fontId="0" fillId="0" borderId="0" xfId="0" applyFill="1"/>
    <xf numFmtId="0" fontId="56" fillId="5" borderId="47" xfId="0" applyFont="1" applyFill="1" applyBorder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 wrapText="1"/>
    </xf>
    <xf numFmtId="0" fontId="23" fillId="0" borderId="0" xfId="0" applyFont="1" applyAlignment="1">
      <alignment vertical="center"/>
    </xf>
    <xf numFmtId="0" fontId="57" fillId="0" borderId="0" xfId="0" applyFont="1" applyFill="1" applyAlignment="1" applyProtection="1">
      <alignment horizontal="center" vertical="center" wrapText="1"/>
    </xf>
    <xf numFmtId="0" fontId="58" fillId="5" borderId="1" xfId="0" applyFont="1" applyFill="1" applyBorder="1" applyAlignment="1" applyProtection="1">
      <alignment horizontal="center" vertical="center" wrapText="1"/>
    </xf>
    <xf numFmtId="0" fontId="60" fillId="0" borderId="0" xfId="0" applyFont="1" applyFill="1" applyBorder="1" applyAlignment="1" applyProtection="1">
      <alignment horizontal="center" vertical="center" wrapText="1"/>
    </xf>
    <xf numFmtId="0" fontId="47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47" fillId="0" borderId="48" xfId="0" applyFont="1" applyBorder="1" applyAlignment="1" applyProtection="1">
      <alignment horizontal="center" vertical="center"/>
    </xf>
    <xf numFmtId="0" fontId="47" fillId="0" borderId="21" xfId="0" applyFont="1" applyBorder="1" applyAlignment="1" applyProtection="1">
      <alignment horizontal="center" vertical="center"/>
    </xf>
    <xf numFmtId="0" fontId="60" fillId="7" borderId="1" xfId="0" applyFont="1" applyFill="1" applyBorder="1" applyAlignment="1" applyProtection="1">
      <alignment horizontal="center" vertical="center" wrapText="1"/>
      <protection locked="0"/>
    </xf>
    <xf numFmtId="0" fontId="23" fillId="0" borderId="21" xfId="0" applyFont="1" applyFill="1" applyBorder="1" applyAlignment="1" applyProtection="1">
      <alignment horizontal="center" vertical="center"/>
    </xf>
    <xf numFmtId="0" fontId="58" fillId="0" borderId="0" xfId="0" applyFont="1" applyFill="1" applyBorder="1" applyAlignment="1" applyProtection="1">
      <alignment horizontal="center" vertical="center" wrapText="1"/>
    </xf>
    <xf numFmtId="167" fontId="58" fillId="5" borderId="32" xfId="1" applyNumberFormat="1" applyFont="1" applyFill="1" applyBorder="1" applyAlignment="1" applyProtection="1">
      <alignment horizontal="center" vertical="center"/>
    </xf>
    <xf numFmtId="167" fontId="34" fillId="5" borderId="49" xfId="1" applyNumberFormat="1" applyFont="1" applyFill="1" applyBorder="1" applyAlignment="1" applyProtection="1">
      <alignment horizontal="center" vertical="center"/>
    </xf>
    <xf numFmtId="0" fontId="47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/>
    </xf>
    <xf numFmtId="167" fontId="64" fillId="5" borderId="1" xfId="1" applyNumberFormat="1" applyFont="1" applyFill="1" applyBorder="1" applyAlignment="1" applyProtection="1">
      <alignment horizontal="center" vertical="center"/>
    </xf>
    <xf numFmtId="0" fontId="0" fillId="0" borderId="0" xfId="0" applyBorder="1"/>
    <xf numFmtId="167" fontId="20" fillId="4" borderId="1" xfId="1" applyNumberFormat="1" applyFont="1" applyFill="1" applyBorder="1" applyAlignment="1" applyProtection="1">
      <alignment horizontal="center" vertical="center"/>
    </xf>
    <xf numFmtId="0" fontId="7" fillId="0" borderId="25" xfId="0" applyFont="1" applyFill="1" applyBorder="1" applyProtection="1"/>
    <xf numFmtId="0" fontId="20" fillId="4" borderId="1" xfId="1" applyNumberFormat="1" applyFont="1" applyFill="1" applyBorder="1" applyAlignment="1" applyProtection="1">
      <alignment horizontal="right" vertical="center"/>
    </xf>
    <xf numFmtId="167" fontId="20" fillId="4" borderId="1" xfId="1" applyNumberFormat="1" applyFont="1" applyFill="1" applyBorder="1" applyAlignment="1" applyProtection="1">
      <alignment horizontal="right" vertical="center"/>
    </xf>
    <xf numFmtId="167" fontId="20" fillId="0" borderId="0" xfId="1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Protection="1"/>
    <xf numFmtId="167" fontId="58" fillId="11" borderId="32" xfId="1" applyNumberFormat="1" applyFont="1" applyFill="1" applyBorder="1" applyAlignment="1" applyProtection="1">
      <alignment horizontal="center" vertical="center"/>
    </xf>
    <xf numFmtId="0" fontId="51" fillId="0" borderId="54" xfId="0" applyFont="1" applyFill="1" applyBorder="1" applyProtection="1"/>
    <xf numFmtId="167" fontId="34" fillId="11" borderId="49" xfId="1" applyNumberFormat="1" applyFont="1" applyFill="1" applyBorder="1" applyAlignment="1" applyProtection="1">
      <alignment horizontal="center" vertical="center"/>
    </xf>
    <xf numFmtId="164" fontId="55" fillId="0" borderId="0" xfId="0" applyNumberFormat="1" applyFont="1" applyFill="1" applyBorder="1" applyAlignment="1" applyProtection="1">
      <alignment vertical="center"/>
    </xf>
    <xf numFmtId="164" fontId="68" fillId="0" borderId="0" xfId="0" applyNumberFormat="1" applyFont="1" applyFill="1" applyBorder="1" applyAlignment="1" applyProtection="1">
      <alignment horizontal="center" vertical="center"/>
    </xf>
    <xf numFmtId="167" fontId="58" fillId="0" borderId="50" xfId="1" applyNumberFormat="1" applyFont="1" applyFill="1" applyBorder="1" applyAlignment="1" applyProtection="1">
      <alignment horizontal="center" vertical="center"/>
    </xf>
    <xf numFmtId="0" fontId="51" fillId="0" borderId="0" xfId="0" applyFont="1" applyFill="1" applyBorder="1" applyProtection="1"/>
    <xf numFmtId="167" fontId="34" fillId="0" borderId="55" xfId="1" applyNumberFormat="1" applyFont="1" applyFill="1" applyBorder="1" applyAlignment="1" applyProtection="1">
      <alignment horizontal="center" vertical="center"/>
    </xf>
    <xf numFmtId="167" fontId="58" fillId="0" borderId="0" xfId="1" applyNumberFormat="1" applyFont="1" applyFill="1" applyBorder="1" applyAlignment="1" applyProtection="1">
      <alignment horizontal="center" vertical="center"/>
    </xf>
    <xf numFmtId="164" fontId="23" fillId="0" borderId="0" xfId="0" applyNumberFormat="1" applyFont="1" applyFill="1" applyBorder="1" applyAlignment="1" applyProtection="1">
      <alignment vertical="center"/>
    </xf>
    <xf numFmtId="164" fontId="12" fillId="0" borderId="0" xfId="0" applyNumberFormat="1" applyFont="1" applyFill="1" applyBorder="1" applyAlignment="1" applyProtection="1">
      <alignment horizontal="center" vertical="center"/>
    </xf>
    <xf numFmtId="164" fontId="62" fillId="0" borderId="0" xfId="0" applyNumberFormat="1" applyFont="1" applyFill="1" applyBorder="1" applyAlignment="1" applyProtection="1">
      <alignment horizontal="center" vertical="center"/>
    </xf>
    <xf numFmtId="0" fontId="47" fillId="0" borderId="0" xfId="0" applyFont="1" applyFill="1" applyBorder="1" applyProtection="1"/>
    <xf numFmtId="167" fontId="70" fillId="0" borderId="0" xfId="1" applyNumberFormat="1" applyFont="1" applyFill="1" applyBorder="1" applyAlignment="1" applyProtection="1">
      <alignment horizontal="center" vertical="center"/>
    </xf>
    <xf numFmtId="164" fontId="55" fillId="0" borderId="0" xfId="0" applyNumberFormat="1" applyFont="1" applyFill="1" applyBorder="1" applyAlignment="1" applyProtection="1">
      <alignment horizontal="right" vertical="center"/>
    </xf>
    <xf numFmtId="1" fontId="24" fillId="5" borderId="1" xfId="0" applyNumberFormat="1" applyFont="1" applyFill="1" applyBorder="1" applyAlignment="1" applyProtection="1">
      <alignment horizontal="center" vertical="center"/>
    </xf>
    <xf numFmtId="0" fontId="23" fillId="0" borderId="0" xfId="0" applyFont="1" applyAlignment="1">
      <alignment horizontal="right" vertical="center"/>
    </xf>
    <xf numFmtId="167" fontId="34" fillId="0" borderId="0" xfId="1" applyNumberFormat="1" applyFont="1" applyFill="1" applyBorder="1" applyAlignment="1" applyProtection="1">
      <alignment horizontal="center" vertical="center"/>
    </xf>
    <xf numFmtId="0" fontId="47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59" fillId="7" borderId="1" xfId="0" applyFont="1" applyFill="1" applyBorder="1" applyAlignment="1" applyProtection="1">
      <alignment horizontal="center" vertical="center" wrapText="1"/>
      <protection locked="0"/>
    </xf>
    <xf numFmtId="169" fontId="48" fillId="5" borderId="1" xfId="0" applyNumberFormat="1" applyFont="1" applyFill="1" applyBorder="1" applyAlignment="1" applyProtection="1">
      <alignment horizontal="right" vertical="center"/>
    </xf>
    <xf numFmtId="169" fontId="74" fillId="7" borderId="1" xfId="0" applyNumberFormat="1" applyFont="1" applyFill="1" applyBorder="1" applyAlignment="1" applyProtection="1">
      <alignment horizontal="left" vertical="center"/>
      <protection locked="0"/>
    </xf>
    <xf numFmtId="44" fontId="64" fillId="5" borderId="1" xfId="1" applyNumberFormat="1" applyFont="1" applyFill="1" applyBorder="1" applyAlignment="1" applyProtection="1">
      <alignment horizontal="center" vertical="center"/>
    </xf>
    <xf numFmtId="169" fontId="74" fillId="7" borderId="1" xfId="0" applyNumberFormat="1" applyFont="1" applyFill="1" applyBorder="1" applyAlignment="1" applyProtection="1">
      <alignment horizontal="right" vertical="center"/>
      <protection locked="0"/>
    </xf>
    <xf numFmtId="170" fontId="23" fillId="0" borderId="0" xfId="0" applyNumberFormat="1" applyFont="1" applyFill="1" applyBorder="1" applyAlignment="1" applyProtection="1">
      <alignment vertical="center"/>
    </xf>
    <xf numFmtId="169" fontId="48" fillId="0" borderId="0" xfId="0" applyNumberFormat="1" applyFont="1" applyFill="1" applyBorder="1" applyAlignment="1" applyProtection="1">
      <alignment horizontal="right" vertical="center"/>
    </xf>
    <xf numFmtId="44" fontId="61" fillId="0" borderId="0" xfId="1" applyFont="1" applyFill="1" applyBorder="1" applyAlignment="1" applyProtection="1">
      <alignment horizontal="right" vertical="center"/>
    </xf>
    <xf numFmtId="167" fontId="62" fillId="0" borderId="0" xfId="1" applyNumberFormat="1" applyFont="1" applyFill="1" applyBorder="1" applyAlignment="1" applyProtection="1">
      <alignment horizontal="center" vertical="center"/>
    </xf>
    <xf numFmtId="164" fontId="58" fillId="0" borderId="48" xfId="0" applyNumberFormat="1" applyFont="1" applyFill="1" applyBorder="1" applyAlignment="1" applyProtection="1">
      <alignment horizontal="center" vertical="center"/>
    </xf>
    <xf numFmtId="0" fontId="57" fillId="0" borderId="0" xfId="0" applyFont="1" applyAlignment="1" applyProtection="1">
      <alignment horizontal="center" vertical="center" wrapText="1"/>
    </xf>
    <xf numFmtId="164" fontId="75" fillId="7" borderId="1" xfId="0" applyNumberFormat="1" applyFont="1" applyFill="1" applyBorder="1" applyAlignment="1" applyProtection="1">
      <alignment vertical="center"/>
      <protection locked="0"/>
    </xf>
    <xf numFmtId="167" fontId="75" fillId="7" borderId="1" xfId="1" applyNumberFormat="1" applyFont="1" applyFill="1" applyBorder="1" applyAlignment="1" applyProtection="1">
      <alignment horizontal="center" vertical="center"/>
      <protection locked="0"/>
    </xf>
    <xf numFmtId="0" fontId="5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Fill="1" applyBorder="1" applyAlignment="1" applyProtection="1">
      <alignment vertical="center"/>
    </xf>
    <xf numFmtId="0" fontId="57" fillId="0" borderId="0" xfId="0" applyFont="1" applyFill="1" applyBorder="1" applyAlignment="1" applyProtection="1">
      <alignment horizontal="center" vertical="center" wrapText="1"/>
    </xf>
    <xf numFmtId="164" fontId="58" fillId="0" borderId="0" xfId="0" applyNumberFormat="1" applyFont="1" applyFill="1" applyBorder="1" applyAlignment="1" applyProtection="1">
      <alignment horizontal="center" vertical="center"/>
    </xf>
    <xf numFmtId="167" fontId="59" fillId="7" borderId="1" xfId="1" applyNumberFormat="1" applyFont="1" applyFill="1" applyBorder="1" applyAlignment="1" applyProtection="1">
      <alignment horizontal="center" vertical="center"/>
      <protection locked="0"/>
    </xf>
    <xf numFmtId="164" fontId="76" fillId="0" borderId="0" xfId="0" applyNumberFormat="1" applyFont="1" applyFill="1" applyBorder="1" applyAlignment="1" applyProtection="1">
      <alignment horizontal="center" vertical="center"/>
    </xf>
    <xf numFmtId="164" fontId="59" fillId="7" borderId="27" xfId="0" applyNumberFormat="1" applyFont="1" applyFill="1" applyBorder="1" applyAlignment="1" applyProtection="1">
      <alignment vertical="center"/>
      <protection locked="0"/>
    </xf>
    <xf numFmtId="170" fontId="59" fillId="7" borderId="27" xfId="0" applyNumberFormat="1" applyFont="1" applyFill="1" applyBorder="1" applyAlignment="1" applyProtection="1">
      <alignment vertical="center"/>
      <protection locked="0"/>
    </xf>
    <xf numFmtId="0" fontId="47" fillId="0" borderId="0" xfId="0" applyFont="1" applyFill="1" applyBorder="1" applyAlignment="1" applyProtection="1"/>
    <xf numFmtId="0" fontId="47" fillId="0" borderId="0" xfId="0" applyFont="1" applyFill="1" applyBorder="1" applyAlignment="1" applyProtection="1">
      <alignment horizontal="left"/>
    </xf>
    <xf numFmtId="164" fontId="59" fillId="7" borderId="1" xfId="0" applyNumberFormat="1" applyFont="1" applyFill="1" applyBorder="1" applyAlignment="1" applyProtection="1">
      <alignment vertical="center"/>
      <protection locked="0"/>
    </xf>
    <xf numFmtId="0" fontId="47" fillId="0" borderId="0" xfId="0" applyFont="1" applyBorder="1" applyAlignment="1" applyProtection="1"/>
    <xf numFmtId="170" fontId="7" fillId="0" borderId="0" xfId="0" applyNumberFormat="1" applyFont="1" applyFill="1" applyBorder="1" applyAlignment="1" applyProtection="1">
      <alignment vertical="center"/>
    </xf>
    <xf numFmtId="0" fontId="7" fillId="0" borderId="21" xfId="0" applyFont="1" applyFill="1" applyBorder="1" applyAlignment="1" applyProtection="1">
      <alignment horizontal="right" vertical="center"/>
    </xf>
    <xf numFmtId="167" fontId="34" fillId="5" borderId="1" xfId="1" applyNumberFormat="1" applyFont="1" applyFill="1" applyBorder="1" applyAlignment="1" applyProtection="1">
      <alignment horizontal="center" vertical="center"/>
      <protection locked="0"/>
    </xf>
    <xf numFmtId="0" fontId="7" fillId="0" borderId="26" xfId="0" applyFont="1" applyFill="1" applyBorder="1" applyAlignment="1" applyProtection="1">
      <alignment horizontal="left" vertical="center"/>
    </xf>
    <xf numFmtId="0" fontId="7" fillId="0" borderId="48" xfId="0" applyFont="1" applyFill="1" applyBorder="1" applyAlignment="1" applyProtection="1">
      <alignment horizontal="center" vertical="center"/>
    </xf>
    <xf numFmtId="164" fontId="34" fillId="0" borderId="0" xfId="0" applyNumberFormat="1" applyFont="1" applyFill="1" applyBorder="1" applyAlignment="1" applyProtection="1">
      <alignment horizontal="center" vertical="center"/>
    </xf>
    <xf numFmtId="172" fontId="7" fillId="0" borderId="0" xfId="0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right" vertical="center"/>
    </xf>
    <xf numFmtId="0" fontId="7" fillId="0" borderId="26" xfId="0" applyFont="1" applyFill="1" applyBorder="1" applyAlignment="1" applyProtection="1">
      <alignment horizontal="right" vertical="center"/>
    </xf>
    <xf numFmtId="167" fontId="34" fillId="7" borderId="1" xfId="1" applyNumberFormat="1" applyFont="1" applyFill="1" applyBorder="1" applyAlignment="1" applyProtection="1">
      <alignment horizontal="center" vertical="center"/>
      <protection locked="0"/>
    </xf>
    <xf numFmtId="167" fontId="20" fillId="4" borderId="1" xfId="1" applyNumberFormat="1" applyFont="1" applyFill="1" applyBorder="1" applyAlignment="1" applyProtection="1">
      <alignment vertical="center"/>
    </xf>
    <xf numFmtId="167" fontId="34" fillId="5" borderId="1" xfId="1" applyNumberFormat="1" applyFont="1" applyFill="1" applyBorder="1" applyAlignment="1" applyProtection="1">
      <alignment horizontal="center" vertical="center"/>
    </xf>
    <xf numFmtId="164" fontId="70" fillId="0" borderId="0" xfId="0" applyNumberFormat="1" applyFont="1" applyFill="1" applyBorder="1" applyAlignment="1" applyProtection="1">
      <alignment horizontal="center" vertical="center"/>
    </xf>
    <xf numFmtId="167" fontId="78" fillId="0" borderId="0" xfId="1" applyNumberFormat="1" applyFont="1" applyFill="1" applyBorder="1" applyAlignment="1" applyProtection="1">
      <alignment vertical="center"/>
    </xf>
    <xf numFmtId="167" fontId="79" fillId="0" borderId="0" xfId="1" applyNumberFormat="1" applyFont="1" applyFill="1" applyBorder="1" applyAlignment="1" applyProtection="1">
      <alignment vertical="center"/>
    </xf>
    <xf numFmtId="164" fontId="79" fillId="0" borderId="0" xfId="0" applyNumberFormat="1" applyFont="1" applyFill="1" applyBorder="1" applyAlignment="1" applyProtection="1">
      <alignment horizontal="center" vertical="center"/>
    </xf>
    <xf numFmtId="172" fontId="59" fillId="7" borderId="1" xfId="2" applyNumberFormat="1" applyFont="1" applyFill="1" applyBorder="1" applyAlignment="1" applyProtection="1">
      <alignment horizontal="right" vertical="center"/>
      <protection locked="0"/>
    </xf>
    <xf numFmtId="167" fontId="34" fillId="0" borderId="0" xfId="1" applyNumberFormat="1" applyFont="1" applyFill="1" applyBorder="1" applyAlignment="1" applyProtection="1">
      <alignment vertical="center"/>
    </xf>
    <xf numFmtId="164" fontId="80" fillId="0" borderId="0" xfId="0" applyNumberFormat="1" applyFont="1" applyFill="1" applyBorder="1" applyAlignment="1" applyProtection="1">
      <alignment vertical="center"/>
      <protection locked="0"/>
    </xf>
    <xf numFmtId="164" fontId="79" fillId="0" borderId="0" xfId="0" applyNumberFormat="1" applyFont="1" applyFill="1" applyBorder="1" applyAlignment="1" applyProtection="1">
      <alignment horizontal="right" vertical="center"/>
    </xf>
    <xf numFmtId="167" fontId="59" fillId="7" borderId="27" xfId="1" applyNumberFormat="1" applyFont="1" applyFill="1" applyBorder="1" applyAlignment="1" applyProtection="1">
      <alignment horizontal="center" vertical="center"/>
      <protection locked="0"/>
    </xf>
    <xf numFmtId="9" fontId="7" fillId="0" borderId="0" xfId="0" applyNumberFormat="1" applyFont="1" applyFill="1" applyBorder="1" applyAlignment="1" applyProtection="1">
      <alignment vertical="center"/>
    </xf>
    <xf numFmtId="167" fontId="83" fillId="11" borderId="32" xfId="1" applyNumberFormat="1" applyFont="1" applyFill="1" applyBorder="1" applyAlignment="1" applyProtection="1">
      <alignment horizontal="center" vertical="center"/>
    </xf>
    <xf numFmtId="167" fontId="85" fillId="11" borderId="49" xfId="1" applyNumberFormat="1" applyFont="1" applyFill="1" applyBorder="1" applyAlignment="1" applyProtection="1">
      <alignment horizontal="center" vertical="center"/>
    </xf>
    <xf numFmtId="0" fontId="87" fillId="0" borderId="0" xfId="0" applyFont="1" applyFill="1" applyBorder="1" applyProtection="1"/>
    <xf numFmtId="0" fontId="88" fillId="0" borderId="0" xfId="0" applyFont="1" applyFill="1" applyBorder="1" applyAlignment="1" applyProtection="1">
      <alignment horizontal="center" vertical="center" wrapText="1"/>
    </xf>
    <xf numFmtId="167" fontId="89" fillId="0" borderId="0" xfId="1" applyNumberFormat="1" applyFont="1" applyFill="1" applyBorder="1" applyAlignment="1" applyProtection="1">
      <alignment horizontal="center" vertical="center"/>
    </xf>
    <xf numFmtId="167" fontId="28" fillId="0" borderId="0" xfId="1" applyNumberFormat="1" applyFont="1" applyFill="1" applyBorder="1" applyAlignment="1" applyProtection="1">
      <alignment vertical="center"/>
    </xf>
    <xf numFmtId="164" fontId="89" fillId="0" borderId="0" xfId="0" applyNumberFormat="1" applyFont="1" applyFill="1" applyBorder="1" applyAlignment="1" applyProtection="1">
      <alignment horizontal="center" vertical="center"/>
    </xf>
    <xf numFmtId="167" fontId="85" fillId="5" borderId="1" xfId="1" applyNumberFormat="1" applyFont="1" applyFill="1" applyBorder="1" applyAlignment="1" applyProtection="1">
      <alignment vertical="center"/>
    </xf>
    <xf numFmtId="9" fontId="84" fillId="5" borderId="1" xfId="2" applyFont="1" applyFill="1" applyBorder="1" applyAlignment="1" applyProtection="1">
      <alignment vertical="center"/>
    </xf>
    <xf numFmtId="9" fontId="7" fillId="12" borderId="0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167" fontId="58" fillId="11" borderId="49" xfId="1" applyNumberFormat="1" applyFont="1" applyFill="1" applyBorder="1" applyAlignment="1" applyProtection="1">
      <alignment horizontal="center" vertical="center"/>
    </xf>
    <xf numFmtId="164" fontId="58" fillId="5" borderId="61" xfId="0" applyNumberFormat="1" applyFont="1" applyFill="1" applyBorder="1" applyAlignment="1" applyProtection="1">
      <alignment vertical="center"/>
    </xf>
    <xf numFmtId="164" fontId="58" fillId="5" borderId="33" xfId="0" applyNumberFormat="1" applyFont="1" applyFill="1" applyBorder="1" applyAlignment="1" applyProtection="1">
      <alignment vertical="center"/>
    </xf>
    <xf numFmtId="164" fontId="91" fillId="5" borderId="33" xfId="0" applyNumberFormat="1" applyFont="1" applyFill="1" applyBorder="1" applyAlignment="1" applyProtection="1">
      <alignment vertical="center"/>
    </xf>
    <xf numFmtId="0" fontId="47" fillId="12" borderId="62" xfId="0" applyFont="1" applyFill="1" applyBorder="1" applyAlignment="1" applyProtection="1">
      <alignment vertical="center"/>
    </xf>
    <xf numFmtId="0" fontId="47" fillId="12" borderId="2" xfId="0" applyFont="1" applyFill="1" applyBorder="1" applyAlignment="1" applyProtection="1">
      <alignment vertical="center"/>
    </xf>
    <xf numFmtId="49" fontId="15" fillId="0" borderId="0" xfId="0" applyNumberFormat="1" applyFont="1" applyAlignment="1" applyProtection="1">
      <alignment horizontal="right" vertical="center"/>
    </xf>
    <xf numFmtId="49" fontId="94" fillId="0" borderId="63" xfId="0" applyNumberFormat="1" applyFont="1" applyBorder="1" applyAlignment="1" applyProtection="1">
      <alignment horizontal="right" vertical="center"/>
    </xf>
    <xf numFmtId="49" fontId="95" fillId="0" borderId="29" xfId="0" applyNumberFormat="1" applyFont="1" applyBorder="1" applyAlignment="1" applyProtection="1">
      <alignment horizontal="right" vertical="center"/>
    </xf>
    <xf numFmtId="49" fontId="95" fillId="0" borderId="28" xfId="0" applyNumberFormat="1" applyFont="1" applyBorder="1" applyAlignment="1" applyProtection="1">
      <alignment horizontal="right" vertical="center"/>
    </xf>
    <xf numFmtId="49" fontId="15" fillId="0" borderId="29" xfId="0" applyNumberFormat="1" applyFont="1" applyBorder="1" applyAlignment="1" applyProtection="1">
      <alignment horizontal="right" vertical="center"/>
    </xf>
    <xf numFmtId="49" fontId="96" fillId="14" borderId="25" xfId="0" applyNumberFormat="1" applyFont="1" applyFill="1" applyBorder="1" applyAlignment="1" applyProtection="1">
      <alignment horizontal="right" vertical="center"/>
    </xf>
    <xf numFmtId="49" fontId="94" fillId="0" borderId="25" xfId="0" applyNumberFormat="1" applyFont="1" applyBorder="1" applyAlignment="1" applyProtection="1">
      <alignment horizontal="right" vertical="center"/>
    </xf>
    <xf numFmtId="49" fontId="15" fillId="0" borderId="64" xfId="0" applyNumberFormat="1" applyFont="1" applyBorder="1" applyAlignment="1" applyProtection="1">
      <alignment horizontal="right" vertical="center"/>
    </xf>
    <xf numFmtId="49" fontId="23" fillId="0" borderId="28" xfId="0" applyNumberFormat="1" applyFont="1" applyBorder="1" applyAlignment="1" applyProtection="1">
      <alignment horizontal="right" vertical="center"/>
    </xf>
    <xf numFmtId="49" fontId="15" fillId="0" borderId="63" xfId="0" applyNumberFormat="1" applyFont="1" applyBorder="1" applyAlignment="1" applyProtection="1">
      <alignment horizontal="right" vertical="center"/>
    </xf>
    <xf numFmtId="49" fontId="15" fillId="0" borderId="28" xfId="0" applyNumberFormat="1" applyFont="1" applyBorder="1" applyAlignment="1" applyProtection="1">
      <alignment horizontal="right" vertical="top"/>
    </xf>
    <xf numFmtId="0" fontId="0" fillId="0" borderId="0" xfId="0" applyAlignment="1" applyProtection="1">
      <alignment wrapText="1"/>
    </xf>
    <xf numFmtId="168" fontId="31" fillId="15" borderId="0" xfId="0" applyNumberFormat="1" applyFont="1" applyFill="1" applyBorder="1" applyAlignment="1" applyProtection="1">
      <alignment horizontal="center" vertical="center" wrapText="1"/>
    </xf>
    <xf numFmtId="168" fontId="31" fillId="15" borderId="24" xfId="0" applyNumberFormat="1" applyFont="1" applyFill="1" applyBorder="1" applyAlignment="1" applyProtection="1">
      <alignment horizontal="center" vertical="center" wrapText="1"/>
    </xf>
    <xf numFmtId="169" fontId="31" fillId="15" borderId="0" xfId="0" applyNumberFormat="1" applyFont="1" applyFill="1" applyBorder="1" applyAlignment="1" applyProtection="1">
      <alignment horizontal="center" vertical="center" wrapText="1"/>
    </xf>
    <xf numFmtId="0" fontId="31" fillId="0" borderId="24" xfId="0" applyFont="1" applyBorder="1" applyAlignment="1" applyProtection="1">
      <alignment horizontal="justify" vertical="center" wrapText="1"/>
    </xf>
    <xf numFmtId="0" fontId="96" fillId="14" borderId="26" xfId="0" applyFont="1" applyFill="1" applyBorder="1" applyAlignment="1" applyProtection="1">
      <alignment horizontal="justify" vertical="center" wrapText="1"/>
    </xf>
    <xf numFmtId="0" fontId="28" fillId="0" borderId="24" xfId="0" applyFont="1" applyBorder="1" applyAlignment="1" applyProtection="1">
      <alignment horizontal="right" vertical="center" wrapText="1"/>
    </xf>
    <xf numFmtId="0" fontId="98" fillId="0" borderId="65" xfId="0" applyFont="1" applyBorder="1" applyAlignment="1" applyProtection="1"/>
    <xf numFmtId="0" fontId="28" fillId="0" borderId="24" xfId="0" applyFont="1" applyBorder="1" applyAlignment="1" applyProtection="1">
      <alignment vertical="top"/>
    </xf>
    <xf numFmtId="0" fontId="18" fillId="0" borderId="2" xfId="0" applyFont="1" applyBorder="1" applyAlignment="1" applyProtection="1">
      <alignment vertical="center"/>
    </xf>
    <xf numFmtId="0" fontId="31" fillId="0" borderId="0" xfId="0" applyFont="1" applyBorder="1" applyAlignment="1" applyProtection="1">
      <alignment horizontal="center" vertical="center" wrapText="1"/>
    </xf>
    <xf numFmtId="0" fontId="31" fillId="0" borderId="24" xfId="0" applyFont="1" applyBorder="1" applyAlignment="1" applyProtection="1">
      <alignment horizontal="center" vertical="center" wrapText="1"/>
    </xf>
    <xf numFmtId="0" fontId="28" fillId="0" borderId="24" xfId="0" applyFont="1" applyBorder="1" applyAlignment="1" applyProtection="1">
      <alignment horizontal="center" vertical="center"/>
    </xf>
    <xf numFmtId="0" fontId="23" fillId="0" borderId="65" xfId="0" applyFont="1" applyBorder="1" applyAlignment="1" applyProtection="1">
      <alignment vertical="center"/>
    </xf>
    <xf numFmtId="0" fontId="100" fillId="0" borderId="2" xfId="0" applyFont="1" applyBorder="1" applyAlignment="1" applyProtection="1">
      <alignment horizontal="center" vertical="center" wrapText="1"/>
    </xf>
    <xf numFmtId="0" fontId="31" fillId="7" borderId="2" xfId="0" applyFont="1" applyFill="1" applyBorder="1" applyAlignment="1" applyProtection="1">
      <alignment horizontal="center" vertical="center" wrapText="1"/>
    </xf>
    <xf numFmtId="0" fontId="31" fillId="7" borderId="35" xfId="0" applyFont="1" applyFill="1" applyBorder="1" applyAlignment="1" applyProtection="1">
      <alignment horizontal="center" vertical="center" wrapText="1"/>
    </xf>
    <xf numFmtId="0" fontId="31" fillId="0" borderId="35" xfId="0" applyFont="1" applyBorder="1" applyAlignment="1" applyProtection="1">
      <alignment horizontal="justify" vertical="center" wrapText="1"/>
    </xf>
    <xf numFmtId="0" fontId="31" fillId="16" borderId="0" xfId="0" applyFont="1" applyFill="1" applyBorder="1" applyAlignment="1" applyProtection="1">
      <alignment horizontal="center" vertical="center" wrapText="1"/>
    </xf>
    <xf numFmtId="0" fontId="31" fillId="16" borderId="2" xfId="0" applyFont="1" applyFill="1" applyBorder="1" applyAlignment="1" applyProtection="1">
      <alignment horizontal="center" vertical="center" wrapText="1"/>
    </xf>
    <xf numFmtId="0" fontId="96" fillId="14" borderId="21" xfId="0" applyFont="1" applyFill="1" applyBorder="1" applyAlignment="1" applyProtection="1">
      <alignment horizontal="justify" vertical="center" wrapText="1"/>
    </xf>
    <xf numFmtId="0" fontId="28" fillId="0" borderId="24" xfId="0" applyFont="1" applyBorder="1" applyAlignment="1" applyProtection="1">
      <alignment vertical="center" wrapText="1"/>
    </xf>
    <xf numFmtId="0" fontId="101" fillId="0" borderId="65" xfId="0" applyFont="1" applyBorder="1" applyAlignment="1" applyProtection="1"/>
    <xf numFmtId="0" fontId="0" fillId="0" borderId="0" xfId="0" applyProtection="1"/>
    <xf numFmtId="0" fontId="23" fillId="0" borderId="68" xfId="0" applyFont="1" applyBorder="1" applyAlignment="1" applyProtection="1">
      <alignment horizontal="justify" vertical="center" wrapText="1"/>
    </xf>
    <xf numFmtId="168" fontId="23" fillId="15" borderId="8" xfId="0" applyNumberFormat="1" applyFont="1" applyFill="1" applyBorder="1" applyAlignment="1" applyProtection="1">
      <alignment vertical="center"/>
    </xf>
    <xf numFmtId="168" fontId="23" fillId="15" borderId="29" xfId="0" applyNumberFormat="1" applyFont="1" applyFill="1" applyBorder="1" applyAlignment="1" applyProtection="1">
      <alignment vertical="center"/>
    </xf>
    <xf numFmtId="168" fontId="23" fillId="0" borderId="8" xfId="0" applyNumberFormat="1" applyFont="1" applyFill="1" applyBorder="1" applyAlignment="1" applyProtection="1">
      <alignment vertical="center"/>
    </xf>
    <xf numFmtId="169" fontId="23" fillId="0" borderId="8" xfId="0" applyNumberFormat="1" applyFont="1" applyBorder="1" applyAlignment="1" applyProtection="1">
      <alignment vertical="center"/>
    </xf>
    <xf numFmtId="168" fontId="23" fillId="15" borderId="27" xfId="0" applyNumberFormat="1" applyFont="1" applyFill="1" applyBorder="1" applyAlignment="1" applyProtection="1">
      <alignment vertical="center"/>
    </xf>
    <xf numFmtId="168" fontId="23" fillId="0" borderId="68" xfId="0" applyNumberFormat="1" applyFont="1" applyBorder="1" applyAlignment="1" applyProtection="1">
      <alignment horizontal="justify" vertical="center" wrapText="1"/>
    </xf>
    <xf numFmtId="168" fontId="23" fillId="0" borderId="8" xfId="0" applyNumberFormat="1" applyFont="1" applyBorder="1" applyAlignment="1" applyProtection="1">
      <alignment vertical="center"/>
    </xf>
    <xf numFmtId="168" fontId="23" fillId="0" borderId="68" xfId="0" applyNumberFormat="1" applyFont="1" applyBorder="1" applyAlignment="1" applyProtection="1">
      <alignment vertical="center"/>
    </xf>
    <xf numFmtId="168" fontId="7" fillId="14" borderId="1" xfId="0" applyNumberFormat="1" applyFont="1" applyFill="1" applyBorder="1" applyAlignment="1" applyProtection="1">
      <alignment horizontal="right" vertical="center" wrapText="1"/>
    </xf>
    <xf numFmtId="168" fontId="23" fillId="15" borderId="1" xfId="0" applyNumberFormat="1" applyFont="1" applyFill="1" applyBorder="1" applyAlignment="1" applyProtection="1">
      <alignment horizontal="right" vertical="center" wrapText="1"/>
    </xf>
    <xf numFmtId="168" fontId="6" fillId="0" borderId="69" xfId="0" applyNumberFormat="1" applyFont="1" applyBorder="1" applyAlignment="1" applyProtection="1">
      <alignment vertical="center"/>
    </xf>
    <xf numFmtId="168" fontId="28" fillId="0" borderId="70" xfId="0" applyNumberFormat="1" applyFont="1" applyBorder="1" applyAlignment="1" applyProtection="1">
      <alignment vertical="center"/>
    </xf>
    <xf numFmtId="0" fontId="0" fillId="0" borderId="24" xfId="0" applyBorder="1" applyAlignment="1" applyProtection="1">
      <alignment vertical="top"/>
    </xf>
    <xf numFmtId="0" fontId="0" fillId="0" borderId="26" xfId="0" applyBorder="1" applyAlignment="1" applyProtection="1">
      <alignment vertical="center"/>
    </xf>
    <xf numFmtId="49" fontId="15" fillId="0" borderId="28" xfId="0" applyNumberFormat="1" applyFont="1" applyBorder="1" applyAlignment="1" applyProtection="1">
      <alignment horizontal="right" vertical="center"/>
    </xf>
    <xf numFmtId="0" fontId="0" fillId="0" borderId="29" xfId="0" applyBorder="1" applyAlignment="1" applyProtection="1">
      <alignment horizontal="justify" vertical="center" wrapText="1"/>
    </xf>
    <xf numFmtId="49" fontId="94" fillId="0" borderId="63" xfId="0" applyNumberFormat="1" applyFont="1" applyBorder="1" applyAlignment="1" applyProtection="1">
      <alignment horizontal="right" vertical="center" wrapText="1"/>
    </xf>
    <xf numFmtId="49" fontId="95" fillId="0" borderId="0" xfId="0" applyNumberFormat="1" applyFont="1" applyBorder="1" applyAlignment="1" applyProtection="1">
      <alignment horizontal="right" vertical="center"/>
    </xf>
    <xf numFmtId="49" fontId="94" fillId="0" borderId="63" xfId="0" applyNumberFormat="1" applyFont="1" applyBorder="1" applyAlignment="1" applyProtection="1">
      <alignment horizontal="right" vertical="top"/>
    </xf>
    <xf numFmtId="0" fontId="0" fillId="0" borderId="29" xfId="0" applyBorder="1" applyAlignment="1" applyProtection="1">
      <alignment vertical="top"/>
    </xf>
    <xf numFmtId="49" fontId="15" fillId="0" borderId="0" xfId="0" applyNumberFormat="1" applyFont="1" applyAlignment="1">
      <alignment horizontal="right" vertical="center"/>
    </xf>
    <xf numFmtId="49" fontId="95" fillId="0" borderId="29" xfId="0" applyNumberFormat="1" applyFont="1" applyFill="1" applyBorder="1" applyAlignment="1" applyProtection="1">
      <alignment horizontal="right" vertical="center"/>
    </xf>
    <xf numFmtId="168" fontId="23" fillId="0" borderId="29" xfId="0" applyNumberFormat="1" applyFont="1" applyFill="1" applyBorder="1" applyAlignment="1" applyProtection="1">
      <alignment vertical="center"/>
    </xf>
    <xf numFmtId="169" fontId="18" fillId="0" borderId="66" xfId="0" applyNumberFormat="1" applyFont="1" applyBorder="1" applyAlignment="1" applyProtection="1">
      <alignment vertical="center"/>
    </xf>
    <xf numFmtId="0" fontId="28" fillId="0" borderId="24" xfId="0" applyFont="1" applyBorder="1" applyAlignment="1" applyProtection="1">
      <alignment vertical="center"/>
    </xf>
    <xf numFmtId="49" fontId="15" fillId="0" borderId="65" xfId="0" applyNumberFormat="1" applyFont="1" applyBorder="1" applyAlignment="1" applyProtection="1">
      <alignment horizontal="right" vertical="center"/>
    </xf>
    <xf numFmtId="49" fontId="15" fillId="0" borderId="24" xfId="0" applyNumberFormat="1" applyFont="1" applyBorder="1" applyAlignment="1" applyProtection="1">
      <alignment horizontal="right" vertical="top"/>
    </xf>
    <xf numFmtId="174" fontId="99" fillId="0" borderId="26" xfId="0" applyNumberFormat="1" applyFont="1" applyBorder="1" applyAlignment="1" applyProtection="1">
      <alignment horizontal="center" vertical="center"/>
    </xf>
    <xf numFmtId="0" fontId="31" fillId="0" borderId="24" xfId="0" applyFont="1" applyBorder="1" applyAlignment="1" applyProtection="1">
      <alignment horizontal="left" vertical="center"/>
    </xf>
    <xf numFmtId="0" fontId="0" fillId="0" borderId="0" xfId="0" applyAlignment="1">
      <alignment wrapText="1"/>
    </xf>
    <xf numFmtId="0" fontId="31" fillId="0" borderId="0" xfId="0" applyFont="1" applyFill="1" applyBorder="1" applyAlignment="1" applyProtection="1">
      <alignment horizontal="justify" vertical="center" wrapText="1"/>
    </xf>
    <xf numFmtId="168" fontId="31" fillId="0" borderId="0" xfId="0" applyNumberFormat="1" applyFont="1" applyFill="1" applyBorder="1" applyAlignment="1" applyProtection="1">
      <alignment horizontal="center" vertical="center" wrapText="1"/>
    </xf>
    <xf numFmtId="169" fontId="31" fillId="0" borderId="0" xfId="0" applyNumberFormat="1" applyFont="1" applyFill="1" applyBorder="1" applyAlignment="1" applyProtection="1">
      <alignment horizontal="center" vertical="center" wrapText="1"/>
    </xf>
    <xf numFmtId="0" fontId="0" fillId="0" borderId="24" xfId="0" applyBorder="1" applyAlignment="1" applyProtection="1">
      <alignment vertical="top" wrapText="1"/>
    </xf>
    <xf numFmtId="0" fontId="23" fillId="0" borderId="0" xfId="0" applyFont="1" applyAlignment="1" applyProtection="1">
      <alignment horizontal="center" vertical="center" wrapText="1"/>
    </xf>
    <xf numFmtId="0" fontId="31" fillId="16" borderId="24" xfId="0" applyFont="1" applyFill="1" applyBorder="1" applyAlignment="1" applyProtection="1">
      <alignment horizontal="center" vertical="center" wrapText="1"/>
    </xf>
    <xf numFmtId="168" fontId="103" fillId="0" borderId="0" xfId="0" applyNumberFormat="1" applyFont="1" applyFill="1" applyBorder="1" applyAlignment="1" applyProtection="1">
      <alignment horizontal="center" vertical="center" wrapText="1"/>
    </xf>
    <xf numFmtId="0" fontId="31" fillId="0" borderId="35" xfId="0" applyFont="1" applyFill="1" applyBorder="1" applyAlignment="1" applyProtection="1">
      <alignment vertical="center" wrapText="1"/>
    </xf>
    <xf numFmtId="0" fontId="31" fillId="0" borderId="2" xfId="0" applyFont="1" applyFill="1" applyBorder="1" applyAlignment="1" applyProtection="1">
      <alignment horizontal="center" vertical="center" wrapText="1"/>
    </xf>
    <xf numFmtId="0" fontId="31" fillId="0" borderId="35" xfId="0" applyFont="1" applyBorder="1" applyAlignment="1" applyProtection="1">
      <alignment horizontal="left" vertical="center"/>
    </xf>
    <xf numFmtId="0" fontId="31" fillId="0" borderId="2" xfId="0" applyFont="1" applyFill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15" fillId="0" borderId="68" xfId="0" applyFont="1" applyBorder="1" applyAlignment="1" applyProtection="1">
      <alignment horizontal="justify" vertical="center" wrapText="1"/>
    </xf>
    <xf numFmtId="0" fontId="15" fillId="0" borderId="8" xfId="0" applyFont="1" applyBorder="1" applyAlignment="1" applyProtection="1">
      <alignment horizontal="justify" vertical="center" wrapText="1"/>
    </xf>
    <xf numFmtId="168" fontId="23" fillId="0" borderId="27" xfId="0" applyNumberFormat="1" applyFont="1" applyFill="1" applyBorder="1" applyAlignment="1" applyProtection="1">
      <alignment vertical="center"/>
    </xf>
    <xf numFmtId="0" fontId="0" fillId="0" borderId="8" xfId="0" applyBorder="1"/>
    <xf numFmtId="0" fontId="0" fillId="0" borderId="27" xfId="0" applyBorder="1"/>
    <xf numFmtId="0" fontId="15" fillId="0" borderId="35" xfId="0" applyFont="1" applyBorder="1" applyAlignment="1" applyProtection="1">
      <alignment horizontal="center" vertical="center"/>
    </xf>
    <xf numFmtId="0" fontId="0" fillId="0" borderId="67" xfId="0" applyBorder="1" applyAlignment="1" applyProtection="1"/>
    <xf numFmtId="0" fontId="69" fillId="7" borderId="1" xfId="0" applyFont="1" applyFill="1" applyBorder="1" applyAlignment="1" applyProtection="1">
      <alignment horizontal="center" vertical="center"/>
    </xf>
    <xf numFmtId="0" fontId="69" fillId="7" borderId="16" xfId="0" applyFont="1" applyFill="1" applyBorder="1" applyAlignment="1" applyProtection="1">
      <alignment horizontal="center" vertical="center"/>
    </xf>
    <xf numFmtId="0" fontId="60" fillId="7" borderId="1" xfId="0" applyFont="1" applyFill="1" applyBorder="1" applyAlignment="1" applyProtection="1">
      <alignment horizontal="center" vertical="center" wrapText="1"/>
    </xf>
    <xf numFmtId="1" fontId="58" fillId="5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3" fillId="0" borderId="0" xfId="0" applyFont="1"/>
    <xf numFmtId="0" fontId="92" fillId="13" borderId="0" xfId="0" applyFont="1" applyFill="1" applyBorder="1" applyAlignment="1" applyProtection="1">
      <alignment vertical="center"/>
    </xf>
    <xf numFmtId="0" fontId="92" fillId="13" borderId="2" xfId="0" applyFont="1" applyFill="1" applyBorder="1" applyAlignment="1" applyProtection="1">
      <alignment vertical="center"/>
    </xf>
    <xf numFmtId="2" fontId="76" fillId="5" borderId="1" xfId="1" applyNumberFormat="1" applyFont="1" applyFill="1" applyBorder="1" applyAlignment="1" applyProtection="1">
      <alignment horizontal="right" vertical="center"/>
      <protection locked="0"/>
    </xf>
    <xf numFmtId="0" fontId="23" fillId="0" borderId="0" xfId="0" applyFont="1" applyAlignment="1">
      <alignment horizontal="right"/>
    </xf>
    <xf numFmtId="165" fontId="15" fillId="0" borderId="0" xfId="0" applyNumberFormat="1" applyFont="1" applyAlignment="1">
      <alignment horizontal="center"/>
    </xf>
    <xf numFmtId="0" fontId="108" fillId="6" borderId="0" xfId="0" applyFont="1" applyFill="1" applyAlignment="1" applyProtection="1">
      <alignment vertical="center"/>
    </xf>
    <xf numFmtId="0" fontId="105" fillId="0" borderId="0" xfId="0" applyFont="1" applyFill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vertical="top"/>
    </xf>
    <xf numFmtId="0" fontId="23" fillId="0" borderId="0" xfId="0" applyFont="1" applyAlignment="1">
      <alignment horizontal="right" vertical="top"/>
    </xf>
    <xf numFmtId="0" fontId="0" fillId="0" borderId="0" xfId="0" applyAlignment="1" applyProtection="1">
      <alignment horizontal="center" vertical="top"/>
      <protection locked="0"/>
    </xf>
    <xf numFmtId="49" fontId="0" fillId="0" borderId="0" xfId="0" applyNumberFormat="1" applyAlignment="1" applyProtection="1">
      <alignment horizontal="center" vertical="top"/>
      <protection locked="0"/>
    </xf>
    <xf numFmtId="0" fontId="55" fillId="0" borderId="0" xfId="0" applyFont="1" applyAlignment="1" applyProtection="1"/>
    <xf numFmtId="0" fontId="6" fillId="0" borderId="0" xfId="0" applyFont="1" applyAlignment="1" applyProtection="1"/>
    <xf numFmtId="0" fontId="28" fillId="0" borderId="0" xfId="0" applyFont="1" applyAlignment="1"/>
    <xf numFmtId="0" fontId="15" fillId="0" borderId="0" xfId="0" applyFont="1" applyAlignment="1"/>
    <xf numFmtId="49" fontId="123" fillId="0" borderId="0" xfId="0" applyNumberFormat="1" applyFont="1" applyBorder="1" applyAlignment="1">
      <alignment horizontal="left"/>
    </xf>
    <xf numFmtId="0" fontId="23" fillId="0" borderId="0" xfId="0" applyFont="1" applyFill="1" applyAlignment="1">
      <alignment horizontal="left" vertical="top" wrapText="1"/>
    </xf>
    <xf numFmtId="0" fontId="18" fillId="0" borderId="0" xfId="0" applyFont="1" applyAlignment="1">
      <alignment vertical="center"/>
    </xf>
    <xf numFmtId="0" fontId="23" fillId="0" borderId="0" xfId="0" applyFont="1" applyFill="1" applyAlignment="1">
      <alignment vertical="top" wrapText="1"/>
    </xf>
    <xf numFmtId="0" fontId="0" fillId="0" borderId="0" xfId="0" applyAlignment="1">
      <alignment horizontal="right"/>
    </xf>
    <xf numFmtId="0" fontId="19" fillId="0" borderId="0" xfId="0" applyFont="1" applyFill="1" applyAlignment="1">
      <alignment vertical="center"/>
    </xf>
    <xf numFmtId="167" fontId="19" fillId="0" borderId="0" xfId="1" applyNumberFormat="1" applyFont="1" applyFill="1" applyAlignment="1">
      <alignment vertical="center"/>
    </xf>
    <xf numFmtId="0" fontId="23" fillId="0" borderId="0" xfId="3"/>
    <xf numFmtId="0" fontId="31" fillId="0" borderId="0" xfId="0" applyFont="1" applyBorder="1" applyAlignment="1" applyProtection="1">
      <alignment horizontal="left" vertical="center"/>
    </xf>
    <xf numFmtId="0" fontId="31" fillId="0" borderId="2" xfId="0" applyFont="1" applyBorder="1" applyAlignment="1" applyProtection="1">
      <alignment horizontal="left" vertical="center"/>
    </xf>
    <xf numFmtId="0" fontId="31" fillId="0" borderId="24" xfId="0" applyFont="1" applyBorder="1" applyAlignment="1" applyProtection="1">
      <alignment horizontal="left" vertical="center" wrapText="1"/>
    </xf>
    <xf numFmtId="0" fontId="31" fillId="0" borderId="35" xfId="0" applyFont="1" applyBorder="1" applyAlignment="1" applyProtection="1">
      <alignment horizontal="left" vertical="center" wrapText="1"/>
    </xf>
    <xf numFmtId="0" fontId="18" fillId="0" borderId="26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justify" vertical="center" wrapText="1"/>
    </xf>
    <xf numFmtId="0" fontId="31" fillId="0" borderId="2" xfId="0" applyFont="1" applyBorder="1" applyAlignment="1" applyProtection="1">
      <alignment horizontal="justify" vertical="center" wrapText="1"/>
    </xf>
    <xf numFmtId="0" fontId="0" fillId="0" borderId="0" xfId="0" applyAlignment="1" applyProtection="1">
      <alignment horizontal="justify" vertical="center" wrapText="1"/>
    </xf>
    <xf numFmtId="0" fontId="0" fillId="0" borderId="2" xfId="0" applyBorder="1" applyAlignment="1" applyProtection="1">
      <alignment horizontal="justify" vertical="center" wrapText="1"/>
    </xf>
    <xf numFmtId="0" fontId="126" fillId="0" borderId="0" xfId="3" applyFont="1" applyAlignment="1" applyProtection="1">
      <alignment horizontal="center" vertical="center"/>
    </xf>
    <xf numFmtId="0" fontId="26" fillId="0" borderId="0" xfId="3" applyFont="1" applyAlignment="1" applyProtection="1">
      <alignment horizontal="right"/>
    </xf>
    <xf numFmtId="49" fontId="123" fillId="0" borderId="0" xfId="3" applyNumberFormat="1" applyFont="1" applyBorder="1" applyAlignment="1" applyProtection="1">
      <alignment horizontal="left"/>
    </xf>
    <xf numFmtId="0" fontId="128" fillId="0" borderId="0" xfId="3" applyFont="1" applyAlignment="1" applyProtection="1">
      <alignment horizontal="center"/>
    </xf>
    <xf numFmtId="0" fontId="23" fillId="0" borderId="0" xfId="3" applyProtection="1"/>
    <xf numFmtId="0" fontId="129" fillId="0" borderId="0" xfId="3" applyFont="1" applyAlignment="1" applyProtection="1">
      <alignment horizontal="right" vertical="center"/>
    </xf>
    <xf numFmtId="0" fontId="129" fillId="0" borderId="0" xfId="3" applyFont="1" applyAlignment="1" applyProtection="1">
      <alignment horizontal="left" vertical="center"/>
    </xf>
    <xf numFmtId="0" fontId="130" fillId="0" borderId="0" xfId="3" applyFont="1" applyAlignment="1" applyProtection="1">
      <alignment horizontal="right" vertical="center"/>
    </xf>
    <xf numFmtId="0" fontId="130" fillId="0" borderId="0" xfId="3" applyFont="1" applyAlignment="1" applyProtection="1">
      <alignment horizontal="left" vertical="center"/>
    </xf>
    <xf numFmtId="0" fontId="15" fillId="0" borderId="0" xfId="3" applyFont="1" applyAlignment="1"/>
    <xf numFmtId="0" fontId="23" fillId="0" borderId="0" xfId="3" applyAlignment="1">
      <alignment vertical="center"/>
    </xf>
    <xf numFmtId="0" fontId="120" fillId="0" borderId="0" xfId="3" applyFont="1" applyAlignment="1" applyProtection="1">
      <alignment vertical="center" wrapText="1"/>
    </xf>
    <xf numFmtId="0" fontId="19" fillId="0" borderId="0" xfId="3" applyFont="1" applyFill="1" applyAlignment="1"/>
    <xf numFmtId="167" fontId="19" fillId="0" borderId="0" xfId="1" applyNumberFormat="1" applyFont="1" applyFill="1" applyAlignment="1"/>
    <xf numFmtId="0" fontId="19" fillId="0" borderId="0" xfId="3" applyFont="1" applyFill="1" applyAlignment="1">
      <alignment vertical="center"/>
    </xf>
    <xf numFmtId="0" fontId="23" fillId="0" borderId="0" xfId="3" applyFill="1"/>
    <xf numFmtId="0" fontId="105" fillId="6" borderId="0" xfId="0" applyFont="1" applyFill="1" applyAlignment="1" applyProtection="1">
      <alignment vertical="center"/>
    </xf>
    <xf numFmtId="0" fontId="105" fillId="6" borderId="0" xfId="0" applyFont="1" applyFill="1" applyAlignment="1" applyProtection="1">
      <alignment horizontal="left"/>
    </xf>
    <xf numFmtId="0" fontId="1" fillId="6" borderId="0" xfId="0" applyFont="1" applyFill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0" fillId="6" borderId="0" xfId="0" applyFill="1" applyProtection="1"/>
    <xf numFmtId="0" fontId="23" fillId="0" borderId="0" xfId="0" applyFont="1" applyAlignment="1" applyProtection="1">
      <alignment horizontal="right"/>
    </xf>
    <xf numFmtId="0" fontId="108" fillId="6" borderId="0" xfId="0" applyFont="1" applyFill="1" applyAlignment="1" applyProtection="1">
      <alignment horizontal="left" vertical="center"/>
    </xf>
    <xf numFmtId="0" fontId="15" fillId="6" borderId="0" xfId="0" applyFont="1" applyFill="1" applyAlignment="1" applyProtection="1">
      <alignment horizontal="center"/>
    </xf>
    <xf numFmtId="0" fontId="15" fillId="18" borderId="0" xfId="0" applyFont="1" applyFill="1" applyBorder="1" applyAlignment="1" applyProtection="1">
      <alignment horizontal="center"/>
    </xf>
    <xf numFmtId="0" fontId="15" fillId="0" borderId="0" xfId="0" applyFont="1" applyBorder="1" applyAlignment="1" applyProtection="1">
      <alignment horizontal="center"/>
    </xf>
    <xf numFmtId="49" fontId="15" fillId="0" borderId="0" xfId="0" applyNumberFormat="1" applyFont="1" applyAlignment="1" applyProtection="1">
      <alignment horizontal="center"/>
    </xf>
    <xf numFmtId="49" fontId="23" fillId="0" borderId="0" xfId="0" applyNumberFormat="1" applyFont="1" applyAlignment="1" applyProtection="1">
      <alignment horizontal="center"/>
    </xf>
    <xf numFmtId="0" fontId="109" fillId="20" borderId="0" xfId="0" applyFont="1" applyFill="1" applyAlignment="1">
      <alignment vertical="top"/>
    </xf>
    <xf numFmtId="0" fontId="110" fillId="20" borderId="0" xfId="0" applyFont="1" applyFill="1" applyAlignment="1">
      <alignment vertical="top"/>
    </xf>
    <xf numFmtId="0" fontId="23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105" fillId="0" borderId="9" xfId="0" applyFont="1" applyBorder="1"/>
    <xf numFmtId="0" fontId="0" fillId="0" borderId="45" xfId="0" applyBorder="1"/>
    <xf numFmtId="0" fontId="0" fillId="0" borderId="46" xfId="0" applyBorder="1"/>
    <xf numFmtId="0" fontId="0" fillId="0" borderId="9" xfId="0" applyBorder="1" applyAlignment="1">
      <alignment horizontal="center" textRotation="90"/>
    </xf>
    <xf numFmtId="0" fontId="0" fillId="0" borderId="48" xfId="0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23" fillId="0" borderId="0" xfId="0" applyFont="1" applyAlignment="1">
      <alignment horizontal="center" textRotation="90"/>
    </xf>
    <xf numFmtId="0" fontId="23" fillId="0" borderId="72" xfId="0" applyFont="1" applyFill="1" applyBorder="1" applyAlignment="1">
      <alignment horizontal="center" textRotation="90"/>
    </xf>
    <xf numFmtId="0" fontId="23" fillId="0" borderId="8" xfId="0" applyFont="1" applyFill="1" applyBorder="1" applyAlignment="1">
      <alignment horizontal="center" textRotation="90" wrapText="1"/>
    </xf>
    <xf numFmtId="0" fontId="23" fillId="0" borderId="8" xfId="0" applyFont="1" applyFill="1" applyBorder="1" applyAlignment="1">
      <alignment horizontal="center" textRotation="90"/>
    </xf>
    <xf numFmtId="0" fontId="23" fillId="0" borderId="27" xfId="0" applyFont="1" applyFill="1" applyBorder="1" applyAlignment="1">
      <alignment horizontal="center" textRotation="90" wrapText="1"/>
    </xf>
    <xf numFmtId="0" fontId="23" fillId="0" borderId="73" xfId="0" applyFont="1" applyFill="1" applyBorder="1" applyAlignment="1">
      <alignment horizontal="center" textRotation="90"/>
    </xf>
    <xf numFmtId="0" fontId="23" fillId="0" borderId="74" xfId="0" applyFont="1" applyFill="1" applyBorder="1" applyAlignment="1">
      <alignment horizontal="center" textRotation="90"/>
    </xf>
    <xf numFmtId="0" fontId="23" fillId="0" borderId="58" xfId="0" applyFont="1" applyFill="1" applyBorder="1" applyAlignment="1">
      <alignment horizontal="center" textRotation="90"/>
    </xf>
    <xf numFmtId="44" fontId="0" fillId="0" borderId="1" xfId="1" applyNumberFormat="1" applyFont="1" applyFill="1" applyBorder="1" applyProtection="1">
      <protection locked="0"/>
    </xf>
    <xf numFmtId="44" fontId="0" fillId="0" borderId="1" xfId="1" applyFont="1" applyFill="1" applyBorder="1" applyProtection="1">
      <protection locked="0"/>
    </xf>
    <xf numFmtId="0" fontId="0" fillId="0" borderId="40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75" xfId="0" applyBorder="1" applyProtection="1">
      <protection locked="0"/>
    </xf>
    <xf numFmtId="167" fontId="31" fillId="0" borderId="41" xfId="0" applyNumberFormat="1" applyFont="1" applyBorder="1" applyProtection="1"/>
    <xf numFmtId="0" fontId="0" fillId="4" borderId="42" xfId="0" applyFill="1" applyBorder="1"/>
    <xf numFmtId="0" fontId="0" fillId="4" borderId="43" xfId="0" applyFill="1" applyBorder="1"/>
    <xf numFmtId="0" fontId="23" fillId="0" borderId="0" xfId="0" applyFont="1" applyAlignment="1">
      <alignment horizontal="center"/>
    </xf>
    <xf numFmtId="0" fontId="23" fillId="4" borderId="0" xfId="0" applyFont="1" applyFill="1"/>
    <xf numFmtId="0" fontId="0" fillId="4" borderId="0" xfId="0" applyFill="1"/>
    <xf numFmtId="167" fontId="0" fillId="4" borderId="0" xfId="1" applyNumberFormat="1" applyFont="1" applyFill="1" applyProtection="1"/>
    <xf numFmtId="14" fontId="0" fillId="0" borderId="19" xfId="0" applyNumberFormat="1" applyBorder="1" applyAlignment="1" applyProtection="1">
      <alignment horizontal="left"/>
    </xf>
    <xf numFmtId="179" fontId="0" fillId="0" borderId="19" xfId="0" applyNumberFormat="1" applyBorder="1" applyAlignment="1" applyProtection="1">
      <alignment horizontal="left"/>
    </xf>
    <xf numFmtId="0" fontId="0" fillId="0" borderId="19" xfId="0" applyNumberFormat="1" applyBorder="1" applyAlignment="1" applyProtection="1">
      <alignment horizontal="left"/>
    </xf>
    <xf numFmtId="0" fontId="125" fillId="0" borderId="22" xfId="4" applyBorder="1" applyAlignment="1">
      <alignment horizontal="center" textRotation="90"/>
    </xf>
    <xf numFmtId="14" fontId="125" fillId="0" borderId="19" xfId="4" applyNumberFormat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8" fillId="0" borderId="0" xfId="0" applyFont="1" applyAlignment="1">
      <alignment horizontal="left" vertical="center"/>
    </xf>
    <xf numFmtId="0" fontId="8" fillId="0" borderId="0" xfId="0" applyFont="1" applyAlignme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69" fillId="0" borderId="0" xfId="0" applyFont="1" applyAlignment="1">
      <alignment horizontal="left"/>
    </xf>
    <xf numFmtId="165" fontId="28" fillId="0" borderId="0" xfId="0" applyNumberFormat="1" applyFont="1" applyAlignment="1"/>
    <xf numFmtId="0" fontId="69" fillId="0" borderId="0" xfId="0" applyFont="1" applyAlignment="1">
      <alignment horizontal="left" vertical="top"/>
    </xf>
    <xf numFmtId="0" fontId="136" fillId="0" borderId="24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8" fillId="0" borderId="0" xfId="0" applyFont="1"/>
    <xf numFmtId="0" fontId="8" fillId="0" borderId="27" xfId="0" applyFont="1" applyBorder="1" applyAlignment="1">
      <alignment vertical="top" wrapText="1"/>
    </xf>
    <xf numFmtId="0" fontId="99" fillId="0" borderId="0" xfId="0" applyFont="1"/>
    <xf numFmtId="0" fontId="0" fillId="0" borderId="0" xfId="0" applyProtection="1">
      <protection locked="0"/>
    </xf>
    <xf numFmtId="0" fontId="126" fillId="0" borderId="0" xfId="0" applyFont="1" applyAlignment="1" applyProtection="1">
      <alignment horizontal="right" vertical="center"/>
    </xf>
    <xf numFmtId="0" fontId="126" fillId="0" borderId="0" xfId="0" applyFont="1" applyAlignment="1" applyProtection="1">
      <alignment horizontal="left" vertical="center"/>
    </xf>
    <xf numFmtId="0" fontId="132" fillId="0" borderId="0" xfId="0" applyFont="1" applyAlignment="1" applyProtection="1">
      <alignment horizontal="center" vertical="center"/>
    </xf>
    <xf numFmtId="49" fontId="113" fillId="0" borderId="0" xfId="0" applyNumberFormat="1" applyFont="1" applyBorder="1" applyProtection="1"/>
    <xf numFmtId="0" fontId="113" fillId="0" borderId="0" xfId="0" applyFont="1" applyAlignment="1" applyProtection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Alignment="1"/>
    <xf numFmtId="0" fontId="126" fillId="0" borderId="0" xfId="0" applyFont="1" applyAlignment="1" applyProtection="1"/>
    <xf numFmtId="0" fontId="113" fillId="0" borderId="0" xfId="0" applyFont="1" applyAlignment="1" applyProtection="1"/>
    <xf numFmtId="0" fontId="113" fillId="0" borderId="0" xfId="0" applyFont="1" applyAlignment="1" applyProtection="1">
      <alignment horizontal="center"/>
    </xf>
    <xf numFmtId="0" fontId="15" fillId="0" borderId="26" xfId="0" applyFont="1" applyBorder="1" applyAlignment="1" applyProtection="1">
      <alignment horizontal="left"/>
    </xf>
    <xf numFmtId="0" fontId="15" fillId="0" borderId="26" xfId="0" applyFont="1" applyBorder="1" applyAlignment="1" applyProtection="1">
      <alignment horizontal="center"/>
    </xf>
    <xf numFmtId="0" fontId="0" fillId="0" borderId="26" xfId="0" applyBorder="1" applyProtection="1"/>
    <xf numFmtId="0" fontId="0" fillId="0" borderId="26" xfId="0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135" fillId="0" borderId="0" xfId="0" applyFont="1" applyFill="1" applyAlignment="1">
      <alignment vertical="center" textRotation="90"/>
    </xf>
    <xf numFmtId="0" fontId="109" fillId="20" borderId="0" xfId="0" applyFont="1" applyFill="1" applyAlignment="1" applyProtection="1">
      <alignment vertical="top"/>
    </xf>
    <xf numFmtId="0" fontId="110" fillId="20" borderId="0" xfId="0" applyFont="1" applyFill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23" fillId="0" borderId="0" xfId="0" applyFont="1" applyAlignment="1" applyProtection="1">
      <alignment horizontal="left" vertical="top"/>
    </xf>
    <xf numFmtId="0" fontId="23" fillId="0" borderId="0" xfId="0" applyFont="1" applyAlignment="1" applyProtection="1">
      <alignment horizontal="right" vertical="top"/>
    </xf>
    <xf numFmtId="0" fontId="0" fillId="0" borderId="0" xfId="0" applyAlignment="1" applyProtection="1">
      <alignment horizontal="center" vertical="top"/>
    </xf>
    <xf numFmtId="0" fontId="140" fillId="6" borderId="0" xfId="0" applyFont="1" applyFill="1" applyAlignment="1" applyProtection="1">
      <alignment horizontal="right" vertical="center"/>
    </xf>
    <xf numFmtId="0" fontId="140" fillId="6" borderId="0" xfId="0" applyFont="1" applyFill="1" applyBorder="1" applyAlignment="1" applyProtection="1">
      <alignment vertical="center"/>
    </xf>
    <xf numFmtId="0" fontId="26" fillId="0" borderId="68" xfId="0" applyFont="1" applyFill="1" applyBorder="1" applyAlignment="1" applyProtection="1">
      <alignment horizontal="center" vertical="center" wrapText="1"/>
    </xf>
    <xf numFmtId="0" fontId="141" fillId="0" borderId="85" xfId="0" applyFont="1" applyBorder="1" applyAlignment="1">
      <alignment horizontal="center"/>
    </xf>
    <xf numFmtId="0" fontId="141" fillId="0" borderId="86" xfId="0" applyFont="1" applyBorder="1" applyAlignment="1">
      <alignment horizontal="center"/>
    </xf>
    <xf numFmtId="0" fontId="141" fillId="0" borderId="87" xfId="0" applyFont="1" applyBorder="1" applyAlignment="1">
      <alignment horizontal="center"/>
    </xf>
    <xf numFmtId="167" fontId="23" fillId="0" borderId="0" xfId="1" applyNumberFormat="1" applyFont="1" applyAlignment="1">
      <alignment horizontal="center" textRotation="90"/>
    </xf>
    <xf numFmtId="0" fontId="23" fillId="0" borderId="88" xfId="0" applyFont="1" applyBorder="1" applyAlignment="1">
      <alignment horizontal="center" textRotation="90" wrapText="1"/>
    </xf>
    <xf numFmtId="0" fontId="0" fillId="0" borderId="45" xfId="0" applyBorder="1" applyAlignment="1" applyProtection="1">
      <alignment horizontal="left" textRotation="90"/>
    </xf>
    <xf numFmtId="0" fontId="23" fillId="0" borderId="46" xfId="0" applyFont="1" applyBorder="1" applyAlignment="1" applyProtection="1">
      <alignment horizontal="left" textRotation="90"/>
    </xf>
    <xf numFmtId="0" fontId="0" fillId="0" borderId="88" xfId="0" applyBorder="1" applyAlignment="1" applyProtection="1">
      <alignment horizontal="left" textRotation="90"/>
    </xf>
    <xf numFmtId="0" fontId="23" fillId="0" borderId="45" xfId="0" applyFont="1" applyBorder="1" applyAlignment="1" applyProtection="1">
      <alignment horizontal="center" textRotation="90"/>
    </xf>
    <xf numFmtId="0" fontId="0" fillId="0" borderId="18" xfId="0" applyBorder="1" applyAlignment="1" applyProtection="1">
      <alignment horizontal="center" textRotation="90"/>
    </xf>
    <xf numFmtId="0" fontId="23" fillId="0" borderId="18" xfId="0" applyFont="1" applyBorder="1" applyAlignment="1" applyProtection="1">
      <alignment horizontal="center" textRotation="90" wrapText="1"/>
    </xf>
    <xf numFmtId="0" fontId="7" fillId="0" borderId="88" xfId="0" applyFont="1" applyFill="1" applyBorder="1" applyAlignment="1">
      <alignment horizontal="center" vertical="center" wrapText="1"/>
    </xf>
    <xf numFmtId="0" fontId="15" fillId="12" borderId="67" xfId="0" applyFont="1" applyFill="1" applyBorder="1" applyAlignment="1">
      <alignment horizontal="center" vertical="center" wrapText="1"/>
    </xf>
    <xf numFmtId="0" fontId="0" fillId="0" borderId="32" xfId="0" applyBorder="1" applyAlignment="1">
      <alignment vertical="center"/>
    </xf>
    <xf numFmtId="0" fontId="23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124" fillId="0" borderId="0" xfId="0" applyFont="1"/>
    <xf numFmtId="0" fontId="58" fillId="7" borderId="1" xfId="0" applyFont="1" applyFill="1" applyBorder="1" applyAlignment="1" applyProtection="1">
      <alignment horizontal="center" vertical="center" wrapText="1"/>
    </xf>
    <xf numFmtId="0" fontId="26" fillId="4" borderId="27" xfId="0" applyFont="1" applyFill="1" applyBorder="1" applyAlignment="1" applyProtection="1">
      <alignment horizontal="center" vertical="center"/>
    </xf>
    <xf numFmtId="0" fontId="26" fillId="4" borderId="28" xfId="0" applyFont="1" applyFill="1" applyBorder="1" applyAlignment="1" applyProtection="1">
      <alignment horizontal="center" vertical="center"/>
    </xf>
    <xf numFmtId="44" fontId="59" fillId="7" borderId="1" xfId="1" applyFont="1" applyFill="1" applyBorder="1" applyAlignment="1" applyProtection="1">
      <alignment horizontal="center" vertical="center" wrapText="1"/>
      <protection locked="0"/>
    </xf>
    <xf numFmtId="0" fontId="69" fillId="7" borderId="1" xfId="0" applyFont="1" applyFill="1" applyBorder="1" applyAlignment="1" applyProtection="1">
      <alignment horizontal="center" vertical="center"/>
      <protection locked="0"/>
    </xf>
    <xf numFmtId="44" fontId="59" fillId="7" borderId="1" xfId="0" applyNumberFormat="1" applyFont="1" applyFill="1" applyBorder="1" applyAlignment="1" applyProtection="1">
      <alignment horizontal="center" vertical="center" wrapText="1"/>
      <protection locked="0"/>
    </xf>
    <xf numFmtId="167" fontId="20" fillId="4" borderId="91" xfId="1" applyNumberFormat="1" applyFont="1" applyFill="1" applyBorder="1" applyAlignment="1" applyProtection="1">
      <alignment vertical="center"/>
    </xf>
    <xf numFmtId="167" fontId="59" fillId="7" borderId="1" xfId="0" applyNumberFormat="1" applyFont="1" applyFill="1" applyBorder="1" applyAlignment="1" applyProtection="1">
      <alignment horizontal="center" vertical="center" wrapText="1"/>
      <protection locked="0"/>
    </xf>
    <xf numFmtId="167" fontId="58" fillId="0" borderId="18" xfId="1" applyNumberFormat="1" applyFont="1" applyFill="1" applyBorder="1" applyAlignment="1" applyProtection="1">
      <alignment horizontal="center" vertical="center"/>
    </xf>
    <xf numFmtId="44" fontId="20" fillId="4" borderId="1" xfId="1" applyNumberFormat="1" applyFont="1" applyFill="1" applyBorder="1" applyAlignment="1" applyProtection="1">
      <alignment vertical="center"/>
    </xf>
    <xf numFmtId="44" fontId="20" fillId="0" borderId="3" xfId="1" applyNumberFormat="1" applyFont="1" applyFill="1" applyBorder="1" applyAlignment="1" applyProtection="1">
      <alignment vertical="center"/>
    </xf>
    <xf numFmtId="44" fontId="20" fillId="0" borderId="24" xfId="1" applyNumberFormat="1" applyFont="1" applyFill="1" applyBorder="1" applyAlignment="1" applyProtection="1">
      <alignment vertical="center"/>
    </xf>
    <xf numFmtId="167" fontId="59" fillId="7" borderId="1" xfId="1" applyNumberFormat="1" applyFont="1" applyFill="1" applyBorder="1" applyAlignment="1" applyProtection="1">
      <alignment horizontal="center" vertical="center" wrapText="1"/>
      <protection locked="0"/>
    </xf>
    <xf numFmtId="172" fontId="20" fillId="4" borderId="1" xfId="2" applyNumberFormat="1" applyFont="1" applyFill="1" applyBorder="1" applyAlignment="1" applyProtection="1">
      <alignment vertical="center"/>
    </xf>
    <xf numFmtId="167" fontId="20" fillId="0" borderId="0" xfId="1" applyNumberFormat="1" applyFont="1" applyFill="1" applyBorder="1" applyAlignment="1" applyProtection="1">
      <alignment vertical="center"/>
    </xf>
    <xf numFmtId="172" fontId="59" fillId="7" borderId="68" xfId="2" applyNumberFormat="1" applyFont="1" applyFill="1" applyBorder="1" applyAlignment="1" applyProtection="1">
      <alignment horizontal="right" vertical="center" wrapText="1"/>
      <protection locked="0"/>
    </xf>
    <xf numFmtId="44" fontId="34" fillId="5" borderId="1" xfId="1" applyNumberFormat="1" applyFont="1" applyFill="1" applyBorder="1" applyAlignment="1" applyProtection="1">
      <alignment horizontal="center" vertical="center"/>
    </xf>
    <xf numFmtId="44" fontId="34" fillId="5" borderId="13" xfId="1" applyNumberFormat="1" applyFont="1" applyFill="1" applyBorder="1" applyAlignment="1" applyProtection="1">
      <alignment horizontal="center" vertical="center"/>
    </xf>
    <xf numFmtId="44" fontId="59" fillId="7" borderId="27" xfId="1" applyFont="1" applyFill="1" applyBorder="1" applyAlignment="1" applyProtection="1">
      <alignment horizontal="center" vertical="center" wrapText="1"/>
      <protection locked="0"/>
    </xf>
    <xf numFmtId="167" fontId="76" fillId="5" borderId="1" xfId="1" applyNumberFormat="1" applyFont="1" applyFill="1" applyBorder="1" applyAlignment="1" applyProtection="1">
      <alignment horizontal="center" vertical="center"/>
    </xf>
    <xf numFmtId="164" fontId="91" fillId="5" borderId="94" xfId="0" applyNumberFormat="1" applyFont="1" applyFill="1" applyBorder="1" applyAlignment="1" applyProtection="1">
      <alignment vertical="center"/>
    </xf>
    <xf numFmtId="0" fontId="47" fillId="12" borderId="2" xfId="0" applyFont="1" applyFill="1" applyBorder="1" applyAlignment="1" applyProtection="1">
      <alignment horizontal="right" vertical="center"/>
    </xf>
    <xf numFmtId="167" fontId="64" fillId="23" borderId="1" xfId="1" applyNumberFormat="1" applyFont="1" applyFill="1" applyBorder="1" applyAlignment="1" applyProtection="1">
      <alignment horizontal="center" vertical="center"/>
    </xf>
    <xf numFmtId="49" fontId="94" fillId="0" borderId="95" xfId="0" applyNumberFormat="1" applyFont="1" applyBorder="1" applyAlignment="1" applyProtection="1">
      <alignment horizontal="right" vertical="center"/>
    </xf>
    <xf numFmtId="0" fontId="23" fillId="0" borderId="98" xfId="0" applyFont="1" applyBorder="1" applyAlignment="1" applyProtection="1">
      <alignment horizontal="justify" vertical="center" wrapText="1"/>
    </xf>
    <xf numFmtId="0" fontId="15" fillId="0" borderId="98" xfId="0" applyFont="1" applyBorder="1" applyAlignment="1" applyProtection="1">
      <alignment horizontal="justify" vertical="center" wrapText="1"/>
    </xf>
    <xf numFmtId="168" fontId="23" fillId="0" borderId="98" xfId="0" applyNumberFormat="1" applyFont="1" applyBorder="1" applyAlignment="1" applyProtection="1">
      <alignment vertical="center"/>
    </xf>
    <xf numFmtId="49" fontId="15" fillId="0" borderId="29" xfId="0" applyNumberFormat="1" applyFont="1" applyBorder="1" applyAlignment="1">
      <alignment horizontal="right" vertical="center"/>
    </xf>
    <xf numFmtId="0" fontId="31" fillId="0" borderId="0" xfId="0" applyFont="1" applyAlignment="1"/>
    <xf numFmtId="49" fontId="94" fillId="0" borderId="95" xfId="0" applyNumberFormat="1" applyFont="1" applyBorder="1" applyAlignment="1" applyProtection="1">
      <alignment horizontal="right" vertical="center" wrapText="1"/>
    </xf>
    <xf numFmtId="0" fontId="94" fillId="0" borderId="96" xfId="0" applyFont="1" applyBorder="1" applyAlignment="1" applyProtection="1">
      <alignment horizontal="justify" vertical="center" wrapText="1"/>
    </xf>
    <xf numFmtId="0" fontId="94" fillId="0" borderId="97" xfId="0" applyFont="1" applyBorder="1" applyAlignment="1" applyProtection="1">
      <alignment horizontal="justify" vertical="center" wrapText="1"/>
    </xf>
    <xf numFmtId="0" fontId="94" fillId="0" borderId="96" xfId="0" applyFont="1" applyBorder="1" applyAlignment="1" applyProtection="1">
      <alignment horizontal="left" vertical="center" wrapText="1"/>
    </xf>
    <xf numFmtId="0" fontId="94" fillId="0" borderId="97" xfId="0" applyFont="1" applyBorder="1" applyAlignment="1" applyProtection="1">
      <alignment horizontal="left" vertical="center" wrapText="1"/>
    </xf>
    <xf numFmtId="49" fontId="15" fillId="0" borderId="28" xfId="0" applyNumberFormat="1" applyFont="1" applyBorder="1" applyAlignment="1">
      <alignment horizontal="right" vertical="center"/>
    </xf>
    <xf numFmtId="0" fontId="0" fillId="0" borderId="24" xfId="0" applyBorder="1" applyAlignment="1">
      <alignment wrapText="1"/>
    </xf>
    <xf numFmtId="49" fontId="94" fillId="0" borderId="29" xfId="0" applyNumberFormat="1" applyFont="1" applyBorder="1" applyAlignment="1" applyProtection="1">
      <alignment horizontal="right" vertical="top"/>
    </xf>
    <xf numFmtId="168" fontId="23" fillId="0" borderId="98" xfId="0" applyNumberFormat="1" applyFont="1" applyFill="1" applyBorder="1" applyAlignment="1" applyProtection="1">
      <alignment vertical="center"/>
    </xf>
    <xf numFmtId="168" fontId="23" fillId="0" borderId="98" xfId="0" applyNumberFormat="1" applyFont="1" applyBorder="1" applyAlignment="1" applyProtection="1">
      <alignment horizontal="justify" vertical="center" wrapText="1"/>
    </xf>
    <xf numFmtId="0" fontId="94" fillId="0" borderId="0" xfId="0" applyFont="1" applyBorder="1" applyAlignment="1" applyProtection="1">
      <alignment horizontal="left" vertical="center" wrapText="1"/>
    </xf>
    <xf numFmtId="168" fontId="23" fillId="0" borderId="29" xfId="0" applyNumberFormat="1" applyFont="1" applyBorder="1" applyAlignment="1" applyProtection="1">
      <alignment vertical="center"/>
    </xf>
    <xf numFmtId="168" fontId="23" fillId="0" borderId="8" xfId="0" applyNumberFormat="1" applyFont="1" applyBorder="1" applyAlignment="1" applyProtection="1">
      <alignment horizontal="justify" vertical="center" wrapText="1"/>
    </xf>
    <xf numFmtId="49" fontId="94" fillId="0" borderId="29" xfId="0" applyNumberFormat="1" applyFont="1" applyFill="1" applyBorder="1" applyAlignment="1" applyProtection="1">
      <alignment horizontal="right" vertical="center"/>
    </xf>
    <xf numFmtId="0" fontId="94" fillId="0" borderId="0" xfId="0" applyFont="1" applyFill="1" applyBorder="1" applyAlignment="1" applyProtection="1">
      <alignment horizontal="left" vertical="center"/>
    </xf>
    <xf numFmtId="0" fontId="94" fillId="0" borderId="2" xfId="0" applyFont="1" applyFill="1" applyBorder="1" applyAlignment="1" applyProtection="1">
      <alignment horizontal="left" vertical="center"/>
    </xf>
    <xf numFmtId="168" fontId="0" fillId="0" borderId="8" xfId="0" applyNumberFormat="1" applyFill="1" applyBorder="1" applyProtection="1"/>
    <xf numFmtId="0" fontId="94" fillId="0" borderId="96" xfId="0" applyFont="1" applyBorder="1" applyAlignment="1" applyProtection="1">
      <alignment horizontal="left" vertical="center"/>
    </xf>
    <xf numFmtId="168" fontId="23" fillId="0" borderId="95" xfId="0" applyNumberFormat="1" applyFont="1" applyFill="1" applyBorder="1" applyAlignment="1" applyProtection="1">
      <alignment vertical="center"/>
    </xf>
    <xf numFmtId="168" fontId="31" fillId="0" borderId="96" xfId="0" applyNumberFormat="1" applyFont="1" applyFill="1" applyBorder="1" applyAlignment="1" applyProtection="1">
      <alignment horizontal="center" vertical="center" wrapText="1"/>
    </xf>
    <xf numFmtId="0" fontId="31" fillId="0" borderId="96" xfId="0" applyFont="1" applyFill="1" applyBorder="1" applyAlignment="1" applyProtection="1">
      <alignment horizontal="center" vertical="center" wrapText="1"/>
    </xf>
    <xf numFmtId="0" fontId="31" fillId="0" borderId="97" xfId="0" applyFont="1" applyFill="1" applyBorder="1" applyAlignment="1" applyProtection="1">
      <alignment horizontal="center" vertical="center" wrapText="1"/>
    </xf>
    <xf numFmtId="0" fontId="0" fillId="0" borderId="29" xfId="0" applyBorder="1"/>
    <xf numFmtId="0" fontId="7" fillId="0" borderId="0" xfId="0" applyFont="1"/>
    <xf numFmtId="169" fontId="23" fillId="15" borderId="1" xfId="0" applyNumberFormat="1" applyFont="1" applyFill="1" applyBorder="1" applyAlignment="1" applyProtection="1">
      <alignment horizontal="right" vertical="center" wrapText="1"/>
    </xf>
    <xf numFmtId="169" fontId="28" fillId="0" borderId="70" xfId="0" applyNumberFormat="1" applyFont="1" applyBorder="1" applyAlignment="1" applyProtection="1">
      <alignment vertical="center"/>
    </xf>
    <xf numFmtId="0" fontId="0" fillId="0" borderId="24" xfId="0" applyBorder="1" applyAlignment="1" applyProtection="1">
      <alignment vertical="center"/>
    </xf>
    <xf numFmtId="49" fontId="15" fillId="0" borderId="24" xfId="0" applyNumberFormat="1" applyFont="1" applyBorder="1" applyAlignment="1" applyProtection="1">
      <alignment horizontal="right" vertical="center"/>
    </xf>
    <xf numFmtId="0" fontId="0" fillId="0" borderId="24" xfId="0" applyBorder="1" applyAlignment="1" applyProtection="1">
      <alignment vertical="center" wrapText="1"/>
    </xf>
    <xf numFmtId="168" fontId="18" fillId="0" borderId="24" xfId="0" applyNumberFormat="1" applyFont="1" applyBorder="1" applyAlignment="1" applyProtection="1">
      <alignment horizontal="center" vertical="center"/>
    </xf>
    <xf numFmtId="1" fontId="31" fillId="7" borderId="2" xfId="0" applyNumberFormat="1" applyFont="1" applyFill="1" applyBorder="1" applyAlignment="1" applyProtection="1">
      <alignment horizontal="center" vertical="center" wrapText="1"/>
    </xf>
    <xf numFmtId="0" fontId="143" fillId="6" borderId="0" xfId="0" applyFont="1" applyFill="1" applyBorder="1" applyAlignment="1" applyProtection="1">
      <alignment horizontal="center" vertical="center" wrapText="1"/>
    </xf>
    <xf numFmtId="0" fontId="143" fillId="6" borderId="99" xfId="0" applyFont="1" applyFill="1" applyBorder="1" applyAlignment="1" applyProtection="1">
      <alignment horizontal="right" vertical="center"/>
    </xf>
    <xf numFmtId="0" fontId="143" fillId="6" borderId="99" xfId="0" applyFont="1" applyFill="1" applyBorder="1" applyAlignment="1" applyProtection="1">
      <alignment horizontal="center" vertical="center"/>
    </xf>
    <xf numFmtId="0" fontId="143" fillId="6" borderId="99" xfId="0" applyFont="1" applyFill="1" applyBorder="1" applyAlignment="1" applyProtection="1">
      <alignment horizontal="center" vertical="center" wrapText="1"/>
    </xf>
    <xf numFmtId="0" fontId="143" fillId="0" borderId="0" xfId="0" applyFont="1" applyFill="1" applyBorder="1" applyAlignment="1" applyProtection="1">
      <alignment horizontal="center" vertical="center" wrapText="1"/>
    </xf>
    <xf numFmtId="0" fontId="145" fillId="0" borderId="0" xfId="0" applyFont="1" applyFill="1" applyAlignment="1">
      <alignment vertical="center"/>
    </xf>
    <xf numFmtId="0" fontId="144" fillId="0" borderId="0" xfId="0" applyFont="1" applyFill="1" applyAlignment="1" applyProtection="1">
      <alignment horizontal="center" vertical="center"/>
    </xf>
    <xf numFmtId="0" fontId="0" fillId="0" borderId="0" xfId="0" applyFill="1" applyBorder="1" applyProtection="1"/>
    <xf numFmtId="0" fontId="145" fillId="0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145" fillId="0" borderId="0" xfId="0" applyFont="1" applyFill="1" applyAlignment="1">
      <alignment horizontal="center" vertical="center"/>
    </xf>
    <xf numFmtId="0" fontId="93" fillId="0" borderId="29" xfId="0" applyFont="1" applyFill="1" applyBorder="1" applyAlignment="1" applyProtection="1">
      <alignment vertical="center"/>
    </xf>
    <xf numFmtId="0" fontId="93" fillId="0" borderId="0" xfId="0" applyFont="1" applyFill="1" applyBorder="1" applyAlignment="1" applyProtection="1">
      <alignment vertical="center"/>
    </xf>
    <xf numFmtId="0" fontId="93" fillId="0" borderId="48" xfId="0" applyFont="1" applyFill="1" applyBorder="1" applyAlignment="1" applyProtection="1">
      <alignment vertical="center"/>
    </xf>
    <xf numFmtId="0" fontId="93" fillId="0" borderId="22" xfId="0" applyFont="1" applyFill="1" applyBorder="1" applyAlignment="1" applyProtection="1">
      <alignment vertical="center"/>
    </xf>
    <xf numFmtId="0" fontId="93" fillId="0" borderId="25" xfId="0" applyFont="1" applyFill="1" applyBorder="1" applyAlignment="1" applyProtection="1">
      <alignment vertical="center"/>
    </xf>
    <xf numFmtId="0" fontId="28" fillId="0" borderId="0" xfId="0" applyFont="1" applyBorder="1" applyAlignment="1" applyProtection="1">
      <alignment horizontal="right" vertical="center"/>
    </xf>
    <xf numFmtId="0" fontId="93" fillId="0" borderId="72" xfId="0" applyFont="1" applyFill="1" applyBorder="1" applyAlignment="1" applyProtection="1">
      <alignment vertical="center"/>
    </xf>
    <xf numFmtId="167" fontId="59" fillId="11" borderId="19" xfId="1" applyNumberFormat="1" applyFont="1" applyFill="1" applyBorder="1" applyAlignment="1" applyProtection="1">
      <alignment horizontal="center" vertical="center" wrapText="1"/>
    </xf>
    <xf numFmtId="167" fontId="59" fillId="11" borderId="100" xfId="1" applyNumberFormat="1" applyFont="1" applyFill="1" applyBorder="1" applyAlignment="1" applyProtection="1">
      <alignment horizontal="center" vertical="center" wrapText="1"/>
    </xf>
    <xf numFmtId="0" fontId="93" fillId="0" borderId="101" xfId="0" applyFont="1" applyFill="1" applyBorder="1" applyAlignment="1" applyProtection="1">
      <alignment vertical="center"/>
    </xf>
    <xf numFmtId="0" fontId="93" fillId="6" borderId="104" xfId="0" applyFont="1" applyFill="1" applyBorder="1" applyAlignment="1" applyProtection="1">
      <alignment vertical="center"/>
    </xf>
    <xf numFmtId="167" fontId="90" fillId="6" borderId="105" xfId="1" applyNumberFormat="1" applyFont="1" applyFill="1" applyBorder="1" applyAlignment="1" applyProtection="1">
      <alignment vertical="center"/>
    </xf>
    <xf numFmtId="0" fontId="93" fillId="6" borderId="106" xfId="0" applyFont="1" applyFill="1" applyBorder="1" applyAlignment="1" applyProtection="1">
      <alignment vertical="center"/>
    </xf>
    <xf numFmtId="167" fontId="90" fillId="6" borderId="107" xfId="1" applyNumberFormat="1" applyFont="1" applyFill="1" applyBorder="1" applyAlignment="1" applyProtection="1">
      <alignment vertical="center"/>
    </xf>
    <xf numFmtId="167" fontId="59" fillId="11" borderId="73" xfId="1" applyNumberFormat="1" applyFont="1" applyFill="1" applyBorder="1" applyAlignment="1" applyProtection="1">
      <alignment horizontal="center" vertical="center" wrapText="1"/>
    </xf>
    <xf numFmtId="167" fontId="75" fillId="6" borderId="19" xfId="1" applyNumberFormat="1" applyFont="1" applyFill="1" applyBorder="1" applyAlignment="1" applyProtection="1">
      <alignment vertical="center"/>
    </xf>
    <xf numFmtId="0" fontId="93" fillId="0" borderId="38" xfId="0" applyFont="1" applyFill="1" applyBorder="1" applyAlignment="1" applyProtection="1">
      <alignment vertical="center"/>
    </xf>
    <xf numFmtId="0" fontId="93" fillId="0" borderId="10" xfId="0" applyFont="1" applyFill="1" applyBorder="1" applyAlignment="1" applyProtection="1">
      <alignment vertical="center"/>
    </xf>
    <xf numFmtId="0" fontId="8" fillId="0" borderId="15" xfId="0" applyFont="1" applyFill="1" applyBorder="1" applyAlignment="1" applyProtection="1">
      <alignment horizontal="right" vertical="center"/>
    </xf>
    <xf numFmtId="167" fontId="75" fillId="0" borderId="23" xfId="1" applyNumberFormat="1" applyFont="1" applyFill="1" applyBorder="1" applyAlignment="1" applyProtection="1">
      <alignment vertical="center"/>
    </xf>
    <xf numFmtId="0" fontId="93" fillId="0" borderId="15" xfId="0" applyFont="1" applyFill="1" applyBorder="1" applyAlignment="1" applyProtection="1">
      <alignment vertical="center"/>
    </xf>
    <xf numFmtId="0" fontId="93" fillId="0" borderId="56" xfId="0" applyFont="1" applyFill="1" applyBorder="1" applyAlignment="1" applyProtection="1">
      <alignment vertical="center"/>
    </xf>
    <xf numFmtId="167" fontId="8" fillId="24" borderId="19" xfId="1" applyNumberFormat="1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left" vertical="center"/>
    </xf>
    <xf numFmtId="44" fontId="7" fillId="25" borderId="40" xfId="1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93" fillId="0" borderId="52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/>
    </xf>
    <xf numFmtId="167" fontId="8" fillId="0" borderId="19" xfId="1" applyNumberFormat="1" applyFont="1" applyFill="1" applyBorder="1" applyAlignment="1" applyProtection="1">
      <alignment vertical="center"/>
    </xf>
    <xf numFmtId="167" fontId="135" fillId="21" borderId="19" xfId="1" applyNumberFormat="1" applyFont="1" applyFill="1" applyBorder="1" applyAlignment="1" applyProtection="1">
      <alignment vertical="center"/>
    </xf>
    <xf numFmtId="0" fontId="135" fillId="0" borderId="15" xfId="0" applyFont="1" applyFill="1" applyBorder="1" applyAlignment="1" applyProtection="1">
      <alignment horizontal="right" vertical="center"/>
    </xf>
    <xf numFmtId="167" fontId="135" fillId="0" borderId="43" xfId="1" applyNumberFormat="1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right" vertical="center"/>
    </xf>
    <xf numFmtId="167" fontId="135" fillId="0" borderId="73" xfId="1" applyNumberFormat="1" applyFont="1" applyFill="1" applyBorder="1" applyAlignment="1" applyProtection="1">
      <alignment vertical="center"/>
    </xf>
    <xf numFmtId="167" fontId="8" fillId="3" borderId="19" xfId="1" applyNumberFormat="1" applyFont="1" applyFill="1" applyBorder="1" applyAlignment="1" applyProtection="1">
      <alignment vertical="center"/>
    </xf>
    <xf numFmtId="167" fontId="28" fillId="12" borderId="100" xfId="1" applyNumberFormat="1" applyFont="1" applyFill="1" applyBorder="1" applyAlignment="1" applyProtection="1">
      <alignment vertical="center"/>
    </xf>
    <xf numFmtId="0" fontId="147" fillId="3" borderId="110" xfId="0" applyFont="1" applyFill="1" applyBorder="1" applyAlignment="1" applyProtection="1">
      <alignment vertical="center"/>
    </xf>
    <xf numFmtId="167" fontId="90" fillId="3" borderId="111" xfId="1" applyNumberFormat="1" applyFont="1" applyFill="1" applyBorder="1" applyAlignment="1" applyProtection="1">
      <alignment vertical="center"/>
    </xf>
    <xf numFmtId="0" fontId="147" fillId="3" borderId="112" xfId="0" applyFont="1" applyFill="1" applyBorder="1" applyAlignment="1" applyProtection="1">
      <alignment vertical="center"/>
    </xf>
    <xf numFmtId="167" fontId="90" fillId="3" borderId="113" xfId="1" applyNumberFormat="1" applyFont="1" applyFill="1" applyBorder="1" applyAlignment="1" applyProtection="1">
      <alignment vertical="center"/>
    </xf>
    <xf numFmtId="167" fontId="28" fillId="12" borderId="73" xfId="1" applyNumberFormat="1" applyFont="1" applyFill="1" applyBorder="1" applyAlignment="1" applyProtection="1">
      <alignment vertical="center"/>
    </xf>
    <xf numFmtId="167" fontId="18" fillId="3" borderId="19" xfId="1" applyNumberFormat="1" applyFont="1" applyFill="1" applyBorder="1" applyAlignment="1" applyProtection="1">
      <alignment vertical="center"/>
    </xf>
    <xf numFmtId="167" fontId="28" fillId="12" borderId="19" xfId="1" applyNumberFormat="1" applyFont="1" applyFill="1" applyBorder="1" applyAlignment="1" applyProtection="1">
      <alignment vertical="center"/>
    </xf>
    <xf numFmtId="0" fontId="15" fillId="3" borderId="0" xfId="0" applyFont="1" applyFill="1" applyBorder="1" applyAlignment="1" applyProtection="1">
      <alignment vertical="center"/>
    </xf>
    <xf numFmtId="0" fontId="18" fillId="3" borderId="0" xfId="0" applyFont="1" applyFill="1" applyBorder="1" applyAlignment="1" applyProtection="1">
      <alignment horizontal="right" vertical="center"/>
    </xf>
    <xf numFmtId="0" fontId="41" fillId="0" borderId="10" xfId="0" applyFont="1" applyFill="1" applyBorder="1" applyAlignment="1" applyProtection="1">
      <alignment horizontal="center" vertical="center"/>
    </xf>
    <xf numFmtId="167" fontId="18" fillId="3" borderId="13" xfId="1" applyNumberFormat="1" applyFont="1" applyFill="1" applyBorder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14" fillId="6" borderId="3" xfId="0" applyFont="1" applyFill="1" applyBorder="1" applyAlignment="1" applyProtection="1">
      <alignment horizontal="left" vertical="center" wrapText="1"/>
    </xf>
    <xf numFmtId="0" fontId="23" fillId="0" borderId="1" xfId="3" applyFont="1" applyBorder="1" applyAlignment="1" applyProtection="1">
      <alignment horizontal="center"/>
    </xf>
    <xf numFmtId="0" fontId="24" fillId="5" borderId="25" xfId="0" applyFont="1" applyFill="1" applyBorder="1" applyAlignment="1" applyProtection="1">
      <alignment horizontal="left" vertical="center"/>
    </xf>
    <xf numFmtId="0" fontId="24" fillId="5" borderId="21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/>
    </xf>
    <xf numFmtId="0" fontId="47" fillId="0" borderId="0" xfId="0" applyFont="1" applyBorder="1" applyAlignment="1" applyProtection="1">
      <alignment horizontal="left"/>
    </xf>
    <xf numFmtId="0" fontId="47" fillId="0" borderId="2" xfId="0" applyFont="1" applyBorder="1" applyAlignment="1" applyProtection="1">
      <alignment horizontal="left"/>
    </xf>
    <xf numFmtId="168" fontId="18" fillId="0" borderId="24" xfId="0" applyNumberFormat="1" applyFont="1" applyBorder="1" applyAlignment="1" applyProtection="1">
      <alignment horizontal="center" vertical="top"/>
    </xf>
    <xf numFmtId="0" fontId="94" fillId="0" borderId="65" xfId="0" applyFont="1" applyBorder="1" applyAlignment="1" applyProtection="1">
      <alignment horizontal="left" vertical="center" wrapText="1"/>
    </xf>
    <xf numFmtId="0" fontId="94" fillId="0" borderId="67" xfId="0" applyFont="1" applyBorder="1" applyAlignment="1" applyProtection="1">
      <alignment horizontal="left" vertical="center" wrapText="1"/>
    </xf>
    <xf numFmtId="0" fontId="94" fillId="0" borderId="65" xfId="0" applyFont="1" applyBorder="1" applyAlignment="1" applyProtection="1">
      <alignment horizontal="left" vertical="center"/>
    </xf>
    <xf numFmtId="0" fontId="31" fillId="0" borderId="0" xfId="0" applyFont="1" applyBorder="1" applyAlignment="1" applyProtection="1">
      <alignment horizontal="left" vertical="center" wrapText="1"/>
    </xf>
    <xf numFmtId="0" fontId="31" fillId="0" borderId="2" xfId="0" applyFont="1" applyBorder="1" applyAlignment="1" applyProtection="1">
      <alignment horizontal="left" vertical="center" wrapText="1"/>
    </xf>
    <xf numFmtId="0" fontId="31" fillId="0" borderId="0" xfId="0" applyFont="1" applyBorder="1" applyAlignment="1" applyProtection="1">
      <alignment horizontal="left" vertical="center"/>
    </xf>
    <xf numFmtId="0" fontId="31" fillId="0" borderId="2" xfId="0" applyFont="1" applyBorder="1" applyAlignment="1" applyProtection="1">
      <alignment horizontal="left" vertical="center"/>
    </xf>
    <xf numFmtId="0" fontId="94" fillId="0" borderId="67" xfId="0" applyFont="1" applyBorder="1" applyAlignment="1" applyProtection="1">
      <alignment horizontal="justify" vertical="center" wrapText="1"/>
    </xf>
    <xf numFmtId="0" fontId="18" fillId="0" borderId="26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justify" vertical="center" wrapText="1"/>
    </xf>
    <xf numFmtId="0" fontId="31" fillId="0" borderId="2" xfId="0" applyFont="1" applyBorder="1" applyAlignment="1" applyProtection="1">
      <alignment horizontal="justify" vertical="center" wrapText="1"/>
    </xf>
    <xf numFmtId="0" fontId="0" fillId="0" borderId="0" xfId="0" applyAlignment="1" applyProtection="1">
      <alignment horizontal="justify" vertical="center" wrapText="1"/>
    </xf>
    <xf numFmtId="0" fontId="0" fillId="0" borderId="2" xfId="0" applyBorder="1" applyAlignment="1" applyProtection="1">
      <alignment horizontal="justify" vertical="center" wrapText="1"/>
    </xf>
    <xf numFmtId="165" fontId="15" fillId="0" borderId="0" xfId="0" applyNumberFormat="1" applyFont="1" applyAlignment="1" applyProtection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13" fillId="0" borderId="0" xfId="0" applyFont="1" applyAlignment="1" applyProtection="1">
      <alignment horizontal="left"/>
    </xf>
    <xf numFmtId="0" fontId="23" fillId="0" borderId="0" xfId="3" applyBorder="1" applyAlignment="1" applyProtection="1">
      <alignment horizontal="center"/>
    </xf>
    <xf numFmtId="0" fontId="26" fillId="0" borderId="0" xfId="3" applyFont="1" applyAlignment="1" applyProtection="1">
      <alignment horizontal="center"/>
    </xf>
    <xf numFmtId="0" fontId="7" fillId="4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vertical="center"/>
    </xf>
    <xf numFmtId="0" fontId="0" fillId="5" borderId="5" xfId="0" applyFill="1" applyBorder="1" applyAlignment="1" applyProtection="1">
      <alignment vertical="center"/>
    </xf>
    <xf numFmtId="0" fontId="0" fillId="0" borderId="5" xfId="0" applyFill="1" applyBorder="1" applyAlignment="1" applyProtection="1">
      <alignment vertical="center"/>
    </xf>
    <xf numFmtId="0" fontId="0" fillId="0" borderId="6" xfId="0" applyFill="1" applyBorder="1" applyAlignment="1" applyProtection="1">
      <alignment vertical="center"/>
    </xf>
    <xf numFmtId="0" fontId="0" fillId="7" borderId="8" xfId="0" applyFill="1" applyBorder="1" applyAlignment="1" applyProtection="1">
      <alignment horizontal="center" vertical="center"/>
    </xf>
    <xf numFmtId="0" fontId="0" fillId="7" borderId="9" xfId="0" applyFill="1" applyBorder="1" applyAlignment="1" applyProtection="1">
      <alignment horizontal="center" vertical="center"/>
    </xf>
    <xf numFmtId="0" fontId="17" fillId="0" borderId="0" xfId="0" applyFont="1" applyAlignment="1" applyProtection="1"/>
    <xf numFmtId="0" fontId="18" fillId="3" borderId="12" xfId="0" applyFont="1" applyFill="1" applyBorder="1" applyAlignment="1" applyProtection="1">
      <alignment horizontal="center" vertical="center"/>
    </xf>
    <xf numFmtId="0" fontId="18" fillId="3" borderId="13" xfId="0" applyFont="1" applyFill="1" applyBorder="1" applyAlignment="1" applyProtection="1">
      <alignment horizontal="center" vertical="center"/>
    </xf>
    <xf numFmtId="0" fontId="19" fillId="0" borderId="0" xfId="0" applyFont="1" applyAlignment="1" applyProtection="1">
      <alignment vertical="center"/>
    </xf>
    <xf numFmtId="0" fontId="18" fillId="0" borderId="0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textRotation="90" wrapText="1"/>
    </xf>
    <xf numFmtId="0" fontId="7" fillId="7" borderId="9" xfId="0" applyFont="1" applyFill="1" applyBorder="1" applyAlignment="1" applyProtection="1">
      <alignment horizontal="center" textRotation="90" wrapText="1"/>
    </xf>
    <xf numFmtId="0" fontId="18" fillId="3" borderId="17" xfId="0" applyFont="1" applyFill="1" applyBorder="1" applyAlignment="1" applyProtection="1">
      <alignment horizontal="center" vertical="center"/>
    </xf>
    <xf numFmtId="0" fontId="22" fillId="0" borderId="18" xfId="0" applyFont="1" applyFill="1" applyBorder="1" applyAlignment="1" applyProtection="1">
      <alignment horizontal="center"/>
    </xf>
    <xf numFmtId="0" fontId="18" fillId="0" borderId="18" xfId="0" applyFont="1" applyFill="1" applyBorder="1" applyAlignment="1" applyProtection="1">
      <alignment horizontal="center" vertical="center"/>
    </xf>
    <xf numFmtId="0" fontId="23" fillId="0" borderId="5" xfId="0" applyFont="1" applyFill="1" applyBorder="1" applyAlignment="1" applyProtection="1">
      <alignment vertical="center"/>
    </xf>
    <xf numFmtId="0" fontId="23" fillId="0" borderId="6" xfId="0" applyFont="1" applyFill="1" applyBorder="1" applyAlignment="1" applyProtection="1">
      <alignment vertical="center"/>
    </xf>
    <xf numFmtId="0" fontId="23" fillId="7" borderId="9" xfId="0" applyFont="1" applyFill="1" applyBorder="1" applyAlignment="1" applyProtection="1">
      <alignment vertical="center"/>
    </xf>
    <xf numFmtId="0" fontId="18" fillId="3" borderId="1" xfId="0" applyFont="1" applyFill="1" applyBorder="1" applyAlignment="1" applyProtection="1">
      <alignment horizontal="center" vertical="center"/>
    </xf>
    <xf numFmtId="0" fontId="18" fillId="3" borderId="19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/>
    </xf>
    <xf numFmtId="0" fontId="24" fillId="0" borderId="0" xfId="0" applyFont="1" applyFill="1" applyBorder="1" applyAlignment="1" applyProtection="1">
      <alignment vertical="center"/>
    </xf>
    <xf numFmtId="0" fontId="18" fillId="0" borderId="2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left"/>
    </xf>
    <xf numFmtId="0" fontId="18" fillId="0" borderId="22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left"/>
    </xf>
    <xf numFmtId="0" fontId="18" fillId="0" borderId="15" xfId="0" applyFont="1" applyFill="1" applyBorder="1" applyAlignment="1" applyProtection="1">
      <alignment horizontal="center"/>
    </xf>
    <xf numFmtId="0" fontId="24" fillId="0" borderId="15" xfId="0" applyFont="1" applyFill="1" applyBorder="1" applyAlignment="1" applyProtection="1">
      <alignment vertical="center"/>
    </xf>
    <xf numFmtId="0" fontId="18" fillId="0" borderId="15" xfId="0" applyFont="1" applyFill="1" applyBorder="1" applyAlignment="1" applyProtection="1">
      <alignment horizontal="center" vertical="center"/>
    </xf>
    <xf numFmtId="0" fontId="18" fillId="0" borderId="23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23" fillId="7" borderId="8" xfId="0" applyFont="1" applyFill="1" applyBorder="1" applyAlignment="1" applyProtection="1">
      <alignment horizontal="center" vertical="center"/>
    </xf>
    <xf numFmtId="0" fontId="23" fillId="7" borderId="9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vertical="center"/>
    </xf>
    <xf numFmtId="0" fontId="33" fillId="5" borderId="27" xfId="0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left" vertical="center"/>
    </xf>
    <xf numFmtId="0" fontId="23" fillId="0" borderId="24" xfId="0" applyFont="1" applyFill="1" applyBorder="1" applyAlignment="1" applyProtection="1">
      <alignment textRotation="90" wrapText="1"/>
    </xf>
    <xf numFmtId="0" fontId="23" fillId="0" borderId="0" xfId="0" applyFont="1" applyFill="1" applyBorder="1" applyAlignment="1" applyProtection="1">
      <alignment textRotation="90" wrapText="1"/>
    </xf>
    <xf numFmtId="167" fontId="38" fillId="0" borderId="0" xfId="1" applyNumberFormat="1" applyFont="1" applyFill="1" applyBorder="1" applyAlignment="1" applyProtection="1">
      <alignment horizontal="right" vertical="center" wrapText="1"/>
    </xf>
    <xf numFmtId="0" fontId="23" fillId="0" borderId="0" xfId="0" applyFont="1" applyFill="1" applyBorder="1" applyAlignment="1" applyProtection="1">
      <alignment horizontal="center" textRotation="90"/>
    </xf>
    <xf numFmtId="0" fontId="23" fillId="0" borderId="0" xfId="0" applyFont="1" applyFill="1" applyBorder="1" applyAlignment="1" applyProtection="1">
      <alignment horizontal="center" textRotation="90" wrapText="1"/>
    </xf>
    <xf numFmtId="0" fontId="15" fillId="3" borderId="25" xfId="0" applyFont="1" applyFill="1" applyBorder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left" vertical="center"/>
    </xf>
    <xf numFmtId="0" fontId="0" fillId="10" borderId="1" xfId="0" applyFill="1" applyBorder="1" applyAlignment="1" applyProtection="1">
      <alignment vertical="center"/>
    </xf>
    <xf numFmtId="0" fontId="45" fillId="4" borderId="3" xfId="0" applyFont="1" applyFill="1" applyBorder="1" applyAlignment="1" applyProtection="1">
      <alignment vertical="center"/>
    </xf>
    <xf numFmtId="168" fontId="51" fillId="0" borderId="10" xfId="1" applyNumberFormat="1" applyFont="1" applyFill="1" applyBorder="1" applyAlignment="1" applyProtection="1">
      <alignment horizontal="center" vertical="center"/>
    </xf>
    <xf numFmtId="168" fontId="51" fillId="0" borderId="15" xfId="1" applyNumberFormat="1" applyFont="1" applyFill="1" applyBorder="1" applyAlignment="1" applyProtection="1">
      <alignment horizontal="center" vertical="center"/>
    </xf>
    <xf numFmtId="168" fontId="51" fillId="0" borderId="23" xfId="1" applyNumberFormat="1" applyFont="1" applyFill="1" applyBorder="1" applyAlignment="1" applyProtection="1">
      <alignment horizontal="center" vertical="center"/>
    </xf>
    <xf numFmtId="168" fontId="51" fillId="0" borderId="0" xfId="1" applyNumberFormat="1" applyFont="1" applyFill="1" applyBorder="1" applyAlignment="1" applyProtection="1">
      <alignment horizontal="center" vertical="center"/>
    </xf>
    <xf numFmtId="0" fontId="45" fillId="4" borderId="0" xfId="0" applyFont="1" applyFill="1" applyAlignment="1" applyProtection="1">
      <alignment vertical="center"/>
    </xf>
    <xf numFmtId="0" fontId="31" fillId="0" borderId="36" xfId="0" applyFont="1" applyBorder="1" applyAlignment="1" applyProtection="1">
      <alignment horizontal="center" vertical="center" wrapText="1"/>
    </xf>
    <xf numFmtId="0" fontId="31" fillId="0" borderId="37" xfId="0" applyFont="1" applyBorder="1" applyAlignment="1" applyProtection="1">
      <alignment horizontal="center" vertical="center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8" xfId="0" applyFont="1" applyFill="1" applyBorder="1" applyAlignment="1" applyProtection="1">
      <alignment horizontal="center" vertical="center" wrapText="1"/>
    </xf>
    <xf numFmtId="0" fontId="31" fillId="0" borderId="39" xfId="0" applyFont="1" applyBorder="1" applyAlignment="1" applyProtection="1">
      <alignment horizontal="center" vertical="center" wrapText="1"/>
    </xf>
    <xf numFmtId="0" fontId="4" fillId="7" borderId="25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horizontal="left" vertical="center"/>
    </xf>
    <xf numFmtId="0" fontId="15" fillId="3" borderId="40" xfId="0" applyFont="1" applyFill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</xf>
    <xf numFmtId="0" fontId="15" fillId="0" borderId="38" xfId="0" applyFont="1" applyFill="1" applyBorder="1" applyAlignment="1" applyProtection="1">
      <alignment horizontal="center" vertical="center"/>
    </xf>
    <xf numFmtId="0" fontId="15" fillId="3" borderId="19" xfId="0" applyFont="1" applyFill="1" applyBorder="1" applyAlignment="1" applyProtection="1">
      <alignment horizontal="center" vertical="center"/>
    </xf>
    <xf numFmtId="0" fontId="4" fillId="7" borderId="25" xfId="0" applyFont="1" applyFill="1" applyBorder="1" applyAlignment="1" applyProtection="1">
      <alignment vertical="center" wrapText="1"/>
    </xf>
    <xf numFmtId="0" fontId="46" fillId="0" borderId="0" xfId="0" applyFont="1" applyProtection="1"/>
    <xf numFmtId="0" fontId="12" fillId="0" borderId="0" xfId="0" applyFont="1" applyProtection="1"/>
    <xf numFmtId="0" fontId="15" fillId="3" borderId="41" xfId="0" applyFont="1" applyFill="1" applyBorder="1" applyAlignment="1" applyProtection="1">
      <alignment horizontal="center" vertical="center"/>
    </xf>
    <xf numFmtId="0" fontId="15" fillId="3" borderId="42" xfId="0" applyFont="1" applyFill="1" applyBorder="1" applyAlignment="1" applyProtection="1">
      <alignment horizontal="center" vertical="center"/>
    </xf>
    <xf numFmtId="0" fontId="15" fillId="3" borderId="43" xfId="0" applyFont="1" applyFill="1" applyBorder="1" applyAlignment="1" applyProtection="1">
      <alignment horizontal="center" vertical="center"/>
    </xf>
    <xf numFmtId="0" fontId="15" fillId="3" borderId="44" xfId="0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>
      <alignment horizontal="center" vertical="center"/>
    </xf>
    <xf numFmtId="0" fontId="15" fillId="3" borderId="13" xfId="0" applyFont="1" applyFill="1" applyBorder="1" applyAlignment="1" applyProtection="1">
      <alignment horizontal="center" vertical="center"/>
    </xf>
    <xf numFmtId="0" fontId="15" fillId="6" borderId="26" xfId="0" applyFont="1" applyFill="1" applyBorder="1" applyAlignment="1" applyProtection="1">
      <alignment horizontal="center" vertical="center"/>
    </xf>
    <xf numFmtId="0" fontId="0" fillId="6" borderId="26" xfId="0" applyFill="1" applyBorder="1" applyAlignment="1" applyProtection="1">
      <alignment vertical="center"/>
    </xf>
    <xf numFmtId="0" fontId="0" fillId="6" borderId="26" xfId="0" applyFill="1" applyBorder="1" applyProtection="1"/>
    <xf numFmtId="0" fontId="0" fillId="6" borderId="2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4" fillId="5" borderId="1" xfId="0" applyFont="1" applyFill="1" applyBorder="1" applyProtection="1"/>
    <xf numFmtId="0" fontId="24" fillId="5" borderId="1" xfId="0" applyFont="1" applyFill="1" applyBorder="1" applyAlignment="1" applyProtection="1">
      <alignment horizontal="center"/>
    </xf>
    <xf numFmtId="0" fontId="17" fillId="0" borderId="0" xfId="0" applyFont="1" applyProtection="1"/>
    <xf numFmtId="0" fontId="15" fillId="0" borderId="0" xfId="0" applyFont="1" applyAlignment="1" applyProtection="1">
      <alignment horizontal="center" vertical="center"/>
    </xf>
    <xf numFmtId="172" fontId="34" fillId="5" borderId="1" xfId="2" applyNumberFormat="1" applyFont="1" applyFill="1" applyBorder="1" applyAlignment="1" applyProtection="1">
      <alignment horizontal="center" vertical="center"/>
      <protection locked="0"/>
    </xf>
    <xf numFmtId="44" fontId="34" fillId="5" borderId="1" xfId="1" applyFont="1" applyFill="1" applyBorder="1" applyAlignment="1" applyProtection="1">
      <alignment horizontal="center" vertical="center"/>
      <protection locked="0"/>
    </xf>
    <xf numFmtId="167" fontId="34" fillId="5" borderId="27" xfId="1" applyNumberFormat="1" applyFont="1" applyFill="1" applyBorder="1" applyAlignment="1" applyProtection="1">
      <alignment horizontal="center" vertical="center"/>
      <protection locked="0"/>
    </xf>
    <xf numFmtId="0" fontId="107" fillId="17" borderId="0" xfId="0" applyFont="1" applyFill="1" applyProtection="1">
      <protection locked="0"/>
    </xf>
    <xf numFmtId="0" fontId="13" fillId="0" borderId="0" xfId="0" applyFont="1" applyAlignment="1" applyProtection="1">
      <alignment horizontal="center" vertical="center" wrapText="1"/>
    </xf>
    <xf numFmtId="0" fontId="54" fillId="7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vertical="center"/>
    </xf>
    <xf numFmtId="0" fontId="15" fillId="0" borderId="0" xfId="0" applyFont="1" applyBorder="1" applyAlignment="1" applyProtection="1">
      <alignment horizontal="right" vertical="center" wrapText="1"/>
    </xf>
    <xf numFmtId="0" fontId="0" fillId="0" borderId="0" xfId="0" applyBorder="1" applyAlignment="1" applyProtection="1"/>
    <xf numFmtId="0" fontId="15" fillId="0" borderId="0" xfId="0" applyFont="1" applyFill="1" applyBorder="1" applyAlignment="1" applyProtection="1">
      <alignment horizontal="right" vertical="center" wrapText="1"/>
    </xf>
    <xf numFmtId="0" fontId="55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Alignment="1" applyProtection="1"/>
    <xf numFmtId="0" fontId="55" fillId="0" borderId="0" xfId="0" applyFont="1" applyFill="1" applyBorder="1" applyAlignment="1" applyProtection="1">
      <alignment horizontal="left"/>
    </xf>
    <xf numFmtId="0" fontId="55" fillId="0" borderId="0" xfId="0" applyFont="1" applyFill="1" applyBorder="1" applyAlignment="1" applyProtection="1">
      <alignment vertical="center"/>
    </xf>
    <xf numFmtId="0" fontId="59" fillId="0" borderId="0" xfId="0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right"/>
    </xf>
    <xf numFmtId="0" fontId="23" fillId="0" borderId="0" xfId="0" applyFont="1" applyProtection="1"/>
    <xf numFmtId="0" fontId="61" fillId="0" borderId="48" xfId="0" applyFont="1" applyFill="1" applyBorder="1" applyAlignment="1" applyProtection="1">
      <alignment horizontal="left"/>
    </xf>
    <xf numFmtId="0" fontId="61" fillId="0" borderId="0" xfId="0" applyFont="1" applyFill="1" applyBorder="1" applyAlignment="1" applyProtection="1">
      <alignment horizontal="left"/>
    </xf>
    <xf numFmtId="0" fontId="7" fillId="0" borderId="48" xfId="0" applyFont="1" applyBorder="1" applyAlignment="1" applyProtection="1">
      <alignment horizontal="right"/>
    </xf>
    <xf numFmtId="0" fontId="55" fillId="0" borderId="21" xfId="0" applyFont="1" applyFill="1" applyBorder="1" applyAlignment="1" applyProtection="1">
      <alignment horizontal="center" vertical="center" wrapText="1"/>
    </xf>
    <xf numFmtId="0" fontId="62" fillId="0" borderId="0" xfId="0" applyFont="1" applyFill="1" applyBorder="1" applyAlignment="1" applyProtection="1">
      <alignment horizontal="left" vertical="center"/>
    </xf>
    <xf numFmtId="0" fontId="7" fillId="0" borderId="24" xfId="0" applyFont="1" applyFill="1" applyBorder="1" applyAlignment="1" applyProtection="1">
      <alignment horizontal="right"/>
    </xf>
    <xf numFmtId="0" fontId="55" fillId="0" borderId="24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/>
    </xf>
    <xf numFmtId="0" fontId="55" fillId="0" borderId="48" xfId="0" applyFont="1" applyFill="1" applyBorder="1" applyAlignment="1" applyProtection="1">
      <alignment vertical="center"/>
    </xf>
    <xf numFmtId="0" fontId="61" fillId="0" borderId="0" xfId="0" applyFont="1" applyFill="1" applyBorder="1" applyProtection="1"/>
    <xf numFmtId="167" fontId="7" fillId="0" borderId="1" xfId="1" applyNumberFormat="1" applyFont="1" applyFill="1" applyBorder="1" applyAlignment="1" applyProtection="1">
      <alignment horizontal="center" vertical="center"/>
    </xf>
    <xf numFmtId="0" fontId="45" fillId="0" borderId="0" xfId="0" applyFont="1" applyFill="1" applyAlignment="1" applyProtection="1">
      <alignment vertical="center"/>
    </xf>
    <xf numFmtId="0" fontId="26" fillId="0" borderId="0" xfId="0" applyFont="1" applyFill="1" applyBorder="1" applyAlignment="1" applyProtection="1">
      <alignment vertical="center"/>
    </xf>
    <xf numFmtId="0" fontId="24" fillId="5" borderId="51" xfId="0" applyFont="1" applyFill="1" applyBorder="1" applyAlignment="1" applyProtection="1"/>
    <xf numFmtId="0" fontId="24" fillId="5" borderId="7" xfId="0" applyFont="1" applyFill="1" applyBorder="1" applyAlignment="1" applyProtection="1"/>
    <xf numFmtId="0" fontId="23" fillId="0" borderId="0" xfId="0" applyFont="1" applyFill="1" applyAlignment="1" applyProtection="1">
      <alignment vertical="center"/>
    </xf>
    <xf numFmtId="0" fontId="0" fillId="0" borderId="0" xfId="0" applyBorder="1" applyProtection="1"/>
    <xf numFmtId="0" fontId="65" fillId="0" borderId="51" xfId="0" applyFont="1" applyFill="1" applyBorder="1" applyAlignment="1" applyProtection="1"/>
    <xf numFmtId="0" fontId="23" fillId="0" borderId="7" xfId="0" applyFont="1" applyFill="1" applyBorder="1" applyAlignment="1" applyProtection="1"/>
    <xf numFmtId="167" fontId="60" fillId="7" borderId="1" xfId="0" applyNumberFormat="1" applyFont="1" applyFill="1" applyBorder="1" applyAlignment="1" applyProtection="1">
      <alignment horizontal="center" vertical="center" wrapText="1"/>
    </xf>
    <xf numFmtId="167" fontId="20" fillId="5" borderId="1" xfId="1" applyNumberFormat="1" applyFont="1" applyFill="1" applyBorder="1" applyAlignment="1" applyProtection="1">
      <alignment horizontal="center" vertical="center"/>
    </xf>
    <xf numFmtId="0" fontId="15" fillId="0" borderId="3" xfId="0" applyFont="1" applyBorder="1" applyAlignment="1" applyProtection="1"/>
    <xf numFmtId="0" fontId="39" fillId="9" borderId="0" xfId="0" applyFont="1" applyFill="1" applyAlignment="1" applyProtection="1">
      <alignment horizontal="right" vertical="center"/>
    </xf>
    <xf numFmtId="0" fontId="15" fillId="0" borderId="48" xfId="0" applyFont="1" applyBorder="1" applyAlignment="1" applyProtection="1"/>
    <xf numFmtId="0" fontId="45" fillId="0" borderId="0" xfId="0" applyFont="1" applyFill="1" applyAlignment="1" applyProtection="1">
      <alignment horizontal="right" vertical="center"/>
    </xf>
    <xf numFmtId="0" fontId="66" fillId="0" borderId="0" xfId="0" applyFont="1" applyAlignment="1" applyProtection="1">
      <alignment horizontal="center"/>
    </xf>
    <xf numFmtId="0" fontId="69" fillId="0" borderId="0" xfId="0" applyFont="1" applyFill="1" applyBorder="1" applyAlignment="1" applyProtection="1">
      <alignment horizontal="center" vertical="center"/>
    </xf>
    <xf numFmtId="0" fontId="66" fillId="0" borderId="0" xfId="0" applyFont="1" applyFill="1" applyBorder="1" applyAlignment="1" applyProtection="1">
      <alignment horizontal="center"/>
    </xf>
    <xf numFmtId="0" fontId="67" fillId="0" borderId="52" xfId="0" applyFont="1" applyFill="1" applyBorder="1" applyAlignment="1" applyProtection="1">
      <alignment horizontal="right"/>
    </xf>
    <xf numFmtId="0" fontId="67" fillId="0" borderId="3" xfId="0" applyFont="1" applyFill="1" applyBorder="1" applyAlignment="1" applyProtection="1">
      <alignment horizontal="right"/>
    </xf>
    <xf numFmtId="0" fontId="15" fillId="0" borderId="0" xfId="0" applyFont="1" applyFill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/>
    </xf>
    <xf numFmtId="0" fontId="55" fillId="0" borderId="48" xfId="0" applyFont="1" applyFill="1" applyBorder="1" applyAlignment="1" applyProtection="1">
      <alignment horizontal="left" vertical="center"/>
    </xf>
    <xf numFmtId="0" fontId="15" fillId="0" borderId="0" xfId="0" applyFont="1" applyBorder="1" applyAlignment="1" applyProtection="1">
      <alignment horizontal="center" vertical="center"/>
    </xf>
    <xf numFmtId="0" fontId="26" fillId="0" borderId="48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/>
    </xf>
    <xf numFmtId="0" fontId="7" fillId="4" borderId="25" xfId="0" applyFont="1" applyFill="1" applyBorder="1" applyAlignment="1" applyProtection="1">
      <alignment horizontal="center"/>
    </xf>
    <xf numFmtId="0" fontId="71" fillId="5" borderId="1" xfId="0" applyFont="1" applyFill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vertical="center"/>
    </xf>
    <xf numFmtId="0" fontId="7" fillId="0" borderId="48" xfId="0" applyFont="1" applyBorder="1" applyAlignment="1" applyProtection="1">
      <alignment horizontal="center" vertical="center"/>
    </xf>
    <xf numFmtId="0" fontId="26" fillId="0" borderId="21" xfId="0" applyFont="1" applyBorder="1" applyAlignment="1" applyProtection="1">
      <alignment horizontal="center" vertical="center"/>
    </xf>
    <xf numFmtId="0" fontId="7" fillId="0" borderId="25" xfId="0" applyFont="1" applyBorder="1" applyAlignment="1" applyProtection="1">
      <alignment horizontal="left" vertical="center"/>
    </xf>
    <xf numFmtId="0" fontId="23" fillId="0" borderId="0" xfId="0" applyFont="1" applyAlignment="1" applyProtection="1">
      <alignment horizontal="right" vertical="center"/>
    </xf>
    <xf numFmtId="0" fontId="24" fillId="9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164" fontId="72" fillId="0" borderId="24" xfId="0" applyNumberFormat="1" applyFont="1" applyFill="1" applyBorder="1" applyAlignment="1" applyProtection="1">
      <alignment vertical="center"/>
    </xf>
    <xf numFmtId="0" fontId="15" fillId="0" borderId="0" xfId="0" applyFont="1" applyFill="1" applyAlignment="1" applyProtection="1">
      <alignment horizontal="right" vertical="center"/>
    </xf>
    <xf numFmtId="164" fontId="72" fillId="0" borderId="0" xfId="0" applyNumberFormat="1" applyFont="1" applyFill="1" applyBorder="1" applyAlignment="1" applyProtection="1">
      <alignment vertical="center"/>
    </xf>
    <xf numFmtId="0" fontId="23" fillId="0" borderId="0" xfId="0" applyFont="1" applyBorder="1" applyAlignment="1" applyProtection="1">
      <alignment vertical="center" wrapText="1"/>
    </xf>
    <xf numFmtId="0" fontId="61" fillId="0" borderId="1" xfId="0" applyFont="1" applyFill="1" applyBorder="1" applyProtection="1"/>
    <xf numFmtId="0" fontId="23" fillId="0" borderId="1" xfId="0" applyFont="1" applyBorder="1" applyAlignment="1" applyProtection="1">
      <alignment vertical="center" wrapText="1"/>
    </xf>
    <xf numFmtId="0" fontId="24" fillId="4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73" fillId="7" borderId="40" xfId="0" applyFont="1" applyFill="1" applyBorder="1" applyAlignment="1" applyProtection="1">
      <alignment horizontal="center"/>
    </xf>
    <xf numFmtId="0" fontId="73" fillId="7" borderId="25" xfId="0" applyFont="1" applyFill="1" applyBorder="1" applyAlignment="1" applyProtection="1">
      <alignment horizontal="center"/>
    </xf>
    <xf numFmtId="0" fontId="59" fillId="7" borderId="1" xfId="0" applyFont="1" applyFill="1" applyBorder="1" applyAlignment="1" applyProtection="1">
      <alignment horizontal="center" vertical="center" wrapText="1"/>
    </xf>
    <xf numFmtId="169" fontId="59" fillId="0" borderId="0" xfId="0" applyNumberFormat="1" applyFont="1" applyFill="1" applyBorder="1" applyAlignment="1" applyProtection="1">
      <alignment horizontal="right" vertical="center"/>
    </xf>
    <xf numFmtId="170" fontId="24" fillId="4" borderId="1" xfId="0" applyNumberFormat="1" applyFont="1" applyFill="1" applyBorder="1" applyAlignment="1" applyProtection="1">
      <alignment vertical="center"/>
    </xf>
    <xf numFmtId="0" fontId="23" fillId="0" borderId="1" xfId="0" applyFont="1" applyBorder="1" applyAlignment="1" applyProtection="1">
      <alignment horizontal="center" vertical="center"/>
    </xf>
    <xf numFmtId="0" fontId="73" fillId="0" borderId="51" xfId="0" applyFont="1" applyFill="1" applyBorder="1" applyAlignment="1" applyProtection="1">
      <alignment horizontal="center"/>
    </xf>
    <xf numFmtId="0" fontId="73" fillId="0" borderId="3" xfId="0" applyFont="1" applyFill="1" applyBorder="1" applyAlignment="1" applyProtection="1">
      <alignment horizontal="center"/>
    </xf>
    <xf numFmtId="0" fontId="60" fillId="0" borderId="3" xfId="0" applyFont="1" applyFill="1" applyBorder="1" applyAlignment="1" applyProtection="1">
      <alignment horizontal="center" vertical="center" wrapText="1"/>
    </xf>
    <xf numFmtId="0" fontId="73" fillId="0" borderId="0" xfId="0" applyFont="1" applyFill="1" applyBorder="1" applyAlignment="1" applyProtection="1">
      <alignment horizontal="center"/>
    </xf>
    <xf numFmtId="171" fontId="60" fillId="0" borderId="0" xfId="0" applyNumberFormat="1" applyFont="1" applyFill="1" applyBorder="1" applyAlignment="1" applyProtection="1">
      <alignment horizontal="center" vertical="center" wrapText="1"/>
    </xf>
    <xf numFmtId="0" fontId="55" fillId="0" borderId="48" xfId="0" applyFont="1" applyFill="1" applyBorder="1" applyAlignment="1" applyProtection="1">
      <alignment horizontal="left"/>
    </xf>
    <xf numFmtId="0" fontId="55" fillId="0" borderId="24" xfId="0" applyFont="1" applyFill="1" applyBorder="1" applyAlignment="1" applyProtection="1">
      <alignment horizontal="left"/>
    </xf>
    <xf numFmtId="0" fontId="7" fillId="0" borderId="0" xfId="0" applyFont="1" applyBorder="1" applyAlignment="1" applyProtection="1">
      <alignment horizontal="right"/>
    </xf>
    <xf numFmtId="0" fontId="7" fillId="0" borderId="48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right" vertical="center"/>
    </xf>
    <xf numFmtId="170" fontId="20" fillId="4" borderId="1" xfId="0" applyNumberFormat="1" applyFont="1" applyFill="1" applyBorder="1" applyAlignment="1" applyProtection="1">
      <alignment vertical="center"/>
    </xf>
    <xf numFmtId="0" fontId="7" fillId="0" borderId="25" xfId="0" applyFont="1" applyFill="1" applyBorder="1" applyAlignment="1" applyProtection="1">
      <alignment vertical="center"/>
    </xf>
    <xf numFmtId="164" fontId="75" fillId="0" borderId="0" xfId="0" applyNumberFormat="1" applyFont="1" applyFill="1" applyBorder="1" applyAlignment="1" applyProtection="1">
      <alignment vertical="center"/>
    </xf>
    <xf numFmtId="0" fontId="67" fillId="0" borderId="0" xfId="0" applyFont="1" applyFill="1" applyBorder="1" applyAlignment="1" applyProtection="1">
      <alignment horizontal="right"/>
    </xf>
    <xf numFmtId="0" fontId="7" fillId="0" borderId="48" xfId="0" applyFont="1" applyBorder="1" applyAlignment="1" applyProtection="1"/>
    <xf numFmtId="0" fontId="7" fillId="0" borderId="21" xfId="0" applyFont="1" applyBorder="1" applyAlignment="1" applyProtection="1">
      <alignment horizontal="right"/>
    </xf>
    <xf numFmtId="0" fontId="7" fillId="0" borderId="0" xfId="0" applyFont="1" applyBorder="1" applyAlignment="1" applyProtection="1"/>
    <xf numFmtId="0" fontId="23" fillId="0" borderId="25" xfId="0" applyFont="1" applyBorder="1" applyAlignment="1" applyProtection="1">
      <alignment horizontal="left" vertical="center"/>
    </xf>
    <xf numFmtId="0" fontId="7" fillId="0" borderId="48" xfId="0" applyFont="1" applyFill="1" applyBorder="1" applyAlignment="1" applyProtection="1"/>
    <xf numFmtId="0" fontId="7" fillId="0" borderId="26" xfId="0" applyFont="1" applyFill="1" applyBorder="1" applyAlignment="1" applyProtection="1">
      <alignment horizontal="right"/>
    </xf>
    <xf numFmtId="170" fontId="75" fillId="0" borderId="26" xfId="0" applyNumberFormat="1" applyFont="1" applyFill="1" applyBorder="1" applyAlignment="1" applyProtection="1">
      <alignment vertical="center"/>
    </xf>
    <xf numFmtId="170" fontId="20" fillId="0" borderId="0" xfId="0" applyNumberFormat="1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horizontal="left" vertical="center"/>
    </xf>
    <xf numFmtId="0" fontId="7" fillId="0" borderId="26" xfId="0" applyFont="1" applyBorder="1" applyAlignment="1" applyProtection="1">
      <alignment horizontal="right"/>
    </xf>
    <xf numFmtId="170" fontId="75" fillId="0" borderId="5" xfId="0" applyNumberFormat="1" applyFont="1" applyFill="1" applyBorder="1" applyAlignment="1" applyProtection="1">
      <alignment vertical="center"/>
    </xf>
    <xf numFmtId="0" fontId="7" fillId="0" borderId="21" xfId="0" applyFont="1" applyBorder="1" applyAlignment="1" applyProtection="1">
      <alignment horizontal="left"/>
    </xf>
    <xf numFmtId="170" fontId="75" fillId="0" borderId="0" xfId="0" applyNumberFormat="1" applyFont="1" applyFill="1" applyBorder="1" applyAlignment="1" applyProtection="1">
      <alignment vertical="center"/>
    </xf>
    <xf numFmtId="0" fontId="55" fillId="0" borderId="48" xfId="0" applyFont="1" applyFill="1" applyBorder="1" applyProtection="1"/>
    <xf numFmtId="164" fontId="20" fillId="4" borderId="1" xfId="0" applyNumberFormat="1" applyFont="1" applyFill="1" applyBorder="1" applyAlignment="1" applyProtection="1">
      <alignment vertical="center"/>
    </xf>
    <xf numFmtId="167" fontId="75" fillId="0" borderId="0" xfId="1" applyNumberFormat="1" applyFont="1" applyFill="1" applyBorder="1" applyAlignment="1" applyProtection="1">
      <alignment horizontal="center" vertical="center"/>
    </xf>
    <xf numFmtId="167" fontId="76" fillId="0" borderId="0" xfId="1" applyNumberFormat="1" applyFont="1" applyFill="1" applyBorder="1" applyAlignment="1" applyProtection="1">
      <alignment horizontal="center" vertical="center"/>
    </xf>
    <xf numFmtId="172" fontId="34" fillId="5" borderId="25" xfId="0" applyNumberFormat="1" applyFont="1" applyFill="1" applyBorder="1" applyAlignment="1" applyProtection="1">
      <alignment vertical="center"/>
    </xf>
    <xf numFmtId="167" fontId="76" fillId="0" borderId="29" xfId="1" applyNumberFormat="1" applyFont="1" applyFill="1" applyBorder="1" applyAlignment="1" applyProtection="1">
      <alignment horizontal="center" vertical="center"/>
    </xf>
    <xf numFmtId="172" fontId="20" fillId="4" borderId="1" xfId="0" applyNumberFormat="1" applyFont="1" applyFill="1" applyBorder="1" applyAlignment="1" applyProtection="1">
      <alignment vertical="center"/>
    </xf>
    <xf numFmtId="172" fontId="59" fillId="0" borderId="0" xfId="0" applyNumberFormat="1" applyFont="1" applyFill="1" applyBorder="1" applyAlignment="1" applyProtection="1">
      <alignment vertical="center"/>
    </xf>
    <xf numFmtId="167" fontId="59" fillId="0" borderId="0" xfId="1" applyNumberFormat="1" applyFont="1" applyFill="1" applyBorder="1" applyAlignment="1" applyProtection="1">
      <alignment horizontal="center" vertical="center"/>
    </xf>
    <xf numFmtId="0" fontId="55" fillId="0" borderId="0" xfId="0" applyFont="1" applyFill="1" applyBorder="1" applyProtection="1"/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/>
    </xf>
    <xf numFmtId="172" fontId="20" fillId="0" borderId="26" xfId="0" applyNumberFormat="1" applyFont="1" applyFill="1" applyBorder="1" applyAlignment="1" applyProtection="1">
      <alignment vertical="center"/>
    </xf>
    <xf numFmtId="9" fontId="75" fillId="0" borderId="0" xfId="0" applyNumberFormat="1" applyFont="1" applyFill="1" applyBorder="1" applyAlignment="1" applyProtection="1">
      <alignment horizontal="right" vertical="center"/>
    </xf>
    <xf numFmtId="0" fontId="23" fillId="0" borderId="1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/>
    </xf>
    <xf numFmtId="0" fontId="61" fillId="0" borderId="51" xfId="0" applyFont="1" applyFill="1" applyBorder="1" applyAlignment="1" applyProtection="1">
      <alignment vertical="center"/>
    </xf>
    <xf numFmtId="0" fontId="61" fillId="0" borderId="3" xfId="0" applyFont="1" applyFill="1" applyBorder="1" applyAlignment="1" applyProtection="1">
      <alignment horizontal="left" vertical="center" wrapText="1"/>
    </xf>
    <xf numFmtId="44" fontId="80" fillId="0" borderId="0" xfId="1" applyFont="1" applyFill="1" applyBorder="1" applyAlignment="1" applyProtection="1">
      <alignment vertical="center"/>
    </xf>
    <xf numFmtId="0" fontId="7" fillId="0" borderId="24" xfId="0" applyFont="1" applyBorder="1" applyAlignment="1" applyProtection="1">
      <alignment horizontal="right"/>
    </xf>
    <xf numFmtId="164" fontId="81" fillId="0" borderId="0" xfId="0" applyNumberFormat="1" applyFont="1" applyFill="1" applyBorder="1" applyAlignment="1" applyProtection="1">
      <alignment vertical="center"/>
    </xf>
    <xf numFmtId="164" fontId="80" fillId="0" borderId="0" xfId="0" applyNumberFormat="1" applyFont="1" applyFill="1" applyBorder="1" applyAlignment="1" applyProtection="1">
      <alignment vertical="center"/>
    </xf>
    <xf numFmtId="0" fontId="23" fillId="0" borderId="25" xfId="0" applyFont="1" applyBorder="1" applyAlignment="1" applyProtection="1">
      <alignment vertical="center"/>
    </xf>
    <xf numFmtId="0" fontId="7" fillId="0" borderId="56" xfId="0" applyFont="1" applyBorder="1" applyAlignment="1" applyProtection="1"/>
    <xf numFmtId="0" fontId="24" fillId="0" borderId="0" xfId="0" applyFont="1" applyFill="1" applyAlignment="1" applyProtection="1">
      <alignment vertical="center"/>
    </xf>
    <xf numFmtId="0" fontId="7" fillId="0" borderId="30" xfId="0" applyFont="1" applyBorder="1" applyAlignment="1" applyProtection="1"/>
    <xf numFmtId="0" fontId="7" fillId="0" borderId="57" xfId="0" applyFont="1" applyBorder="1" applyAlignment="1" applyProtection="1">
      <alignment horizontal="right"/>
    </xf>
    <xf numFmtId="167" fontId="34" fillId="5" borderId="13" xfId="1" applyNumberFormat="1" applyFont="1" applyFill="1" applyBorder="1" applyAlignment="1" applyProtection="1">
      <alignment horizontal="center" vertical="center"/>
    </xf>
    <xf numFmtId="0" fontId="61" fillId="0" borderId="48" xfId="0" applyFont="1" applyFill="1" applyBorder="1" applyAlignment="1" applyProtection="1">
      <alignment vertical="center"/>
    </xf>
    <xf numFmtId="0" fontId="61" fillId="0" borderId="0" xfId="0" applyFont="1" applyFill="1" applyBorder="1" applyAlignment="1" applyProtection="1">
      <alignment horizontal="left" vertical="center" wrapText="1"/>
    </xf>
    <xf numFmtId="9" fontId="79" fillId="0" borderId="0" xfId="2" applyFont="1" applyFill="1" applyBorder="1" applyAlignment="1" applyProtection="1">
      <alignment vertical="center"/>
    </xf>
    <xf numFmtId="9" fontId="80" fillId="0" borderId="0" xfId="0" applyNumberFormat="1" applyFont="1" applyFill="1" applyBorder="1" applyAlignment="1" applyProtection="1">
      <alignment vertical="center"/>
    </xf>
    <xf numFmtId="0" fontId="7" fillId="0" borderId="56" xfId="0" applyFont="1" applyBorder="1" applyAlignment="1" applyProtection="1">
      <alignment horizontal="right"/>
    </xf>
    <xf numFmtId="0" fontId="7" fillId="0" borderId="52" xfId="0" applyFont="1" applyBorder="1" applyAlignment="1" applyProtection="1"/>
    <xf numFmtId="167" fontId="20" fillId="0" borderId="26" xfId="1" applyNumberFormat="1" applyFont="1" applyFill="1" applyBorder="1" applyAlignment="1" applyProtection="1">
      <alignment vertical="center"/>
    </xf>
    <xf numFmtId="0" fontId="23" fillId="0" borderId="26" xfId="0" applyFont="1" applyBorder="1" applyAlignment="1" applyProtection="1">
      <alignment horizontal="left" vertical="center"/>
    </xf>
    <xf numFmtId="0" fontId="7" fillId="0" borderId="35" xfId="0" applyFont="1" applyBorder="1" applyAlignment="1" applyProtection="1">
      <alignment horizontal="right"/>
    </xf>
    <xf numFmtId="9" fontId="75" fillId="0" borderId="0" xfId="0" applyNumberFormat="1" applyFont="1" applyFill="1" applyBorder="1" applyAlignment="1" applyProtection="1">
      <alignment vertical="center"/>
    </xf>
    <xf numFmtId="0" fontId="61" fillId="0" borderId="48" xfId="0" applyFont="1" applyBorder="1" applyAlignment="1" applyProtection="1"/>
    <xf numFmtId="0" fontId="7" fillId="0" borderId="40" xfId="0" applyFont="1" applyBorder="1" applyAlignment="1" applyProtection="1">
      <alignment horizontal="right"/>
    </xf>
    <xf numFmtId="0" fontId="7" fillId="0" borderId="58" xfId="0" applyFont="1" applyBorder="1" applyAlignment="1" applyProtection="1"/>
    <xf numFmtId="0" fontId="7" fillId="0" borderId="0" xfId="0" applyFont="1" applyFill="1" applyBorder="1" applyAlignment="1" applyProtection="1">
      <alignment horizontal="left"/>
    </xf>
    <xf numFmtId="167" fontId="76" fillId="5" borderId="13" xfId="1" applyNumberFormat="1" applyFont="1" applyFill="1" applyBorder="1" applyAlignment="1" applyProtection="1">
      <alignment horizontal="center" vertical="center"/>
    </xf>
    <xf numFmtId="0" fontId="84" fillId="0" borderId="0" xfId="0" applyFont="1" applyAlignment="1" applyProtection="1">
      <alignment vertical="center"/>
    </xf>
    <xf numFmtId="9" fontId="86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center" vertical="center" wrapText="1"/>
    </xf>
    <xf numFmtId="0" fontId="7" fillId="12" borderId="48" xfId="0" applyFont="1" applyFill="1" applyBorder="1" applyAlignment="1" applyProtection="1">
      <alignment horizontal="left"/>
    </xf>
    <xf numFmtId="0" fontId="7" fillId="12" borderId="0" xfId="0" applyFont="1" applyFill="1" applyBorder="1" applyAlignment="1" applyProtection="1">
      <alignment horizontal="right"/>
    </xf>
    <xf numFmtId="0" fontId="7" fillId="12" borderId="0" xfId="0" applyFont="1" applyFill="1" applyAlignment="1" applyProtection="1">
      <alignment horizontal="left" vertical="center"/>
    </xf>
    <xf numFmtId="0" fontId="7" fillId="12" borderId="0" xfId="0" applyFont="1" applyFill="1" applyBorder="1" applyAlignment="1" applyProtection="1">
      <alignment horizontal="left" vertical="center"/>
    </xf>
    <xf numFmtId="0" fontId="0" fillId="12" borderId="0" xfId="0" applyFill="1" applyBorder="1" applyAlignment="1" applyProtection="1">
      <alignment vertical="center"/>
    </xf>
    <xf numFmtId="0" fontId="61" fillId="0" borderId="0" xfId="0" applyFont="1" applyFill="1" applyBorder="1" applyAlignment="1" applyProtection="1">
      <alignment horizontal="left" vertical="center"/>
    </xf>
    <xf numFmtId="0" fontId="0" fillId="0" borderId="48" xfId="0" applyBorder="1" applyAlignment="1" applyProtection="1">
      <alignment horizontal="center"/>
    </xf>
    <xf numFmtId="0" fontId="23" fillId="0" borderId="0" xfId="0" applyFont="1" applyBorder="1" applyAlignment="1" applyProtection="1">
      <alignment horizontal="right"/>
    </xf>
    <xf numFmtId="164" fontId="60" fillId="7" borderId="59" xfId="0" applyNumberFormat="1" applyFont="1" applyFill="1" applyBorder="1" applyAlignment="1" applyProtection="1">
      <alignment vertical="center"/>
    </xf>
    <xf numFmtId="173" fontId="23" fillId="0" borderId="0" xfId="0" applyNumberFormat="1" applyFont="1" applyAlignment="1" applyProtection="1">
      <alignment horizontal="left" vertical="center"/>
    </xf>
    <xf numFmtId="164" fontId="90" fillId="0" borderId="59" xfId="0" applyNumberFormat="1" applyFont="1" applyFill="1" applyBorder="1" applyAlignment="1" applyProtection="1">
      <alignment vertical="center"/>
    </xf>
    <xf numFmtId="173" fontId="0" fillId="0" borderId="0" xfId="0" applyNumberFormat="1" applyAlignment="1" applyProtection="1">
      <alignment horizontal="center" vertical="center"/>
    </xf>
    <xf numFmtId="0" fontId="0" fillId="0" borderId="48" xfId="0" applyBorder="1" applyProtection="1"/>
    <xf numFmtId="0" fontId="23" fillId="0" borderId="48" xfId="0" applyFont="1" applyBorder="1" applyProtection="1"/>
    <xf numFmtId="0" fontId="23" fillId="0" borderId="0" xfId="0" applyFont="1" applyAlignment="1" applyProtection="1">
      <alignment horizontal="left" vertical="center"/>
    </xf>
    <xf numFmtId="164" fontId="0" fillId="0" borderId="0" xfId="0" applyNumberFormat="1" applyProtection="1"/>
    <xf numFmtId="0" fontId="0" fillId="12" borderId="48" xfId="0" applyFill="1" applyBorder="1" applyAlignment="1" applyProtection="1">
      <alignment vertical="center"/>
    </xf>
    <xf numFmtId="0" fontId="23" fillId="12" borderId="0" xfId="0" applyFont="1" applyFill="1" applyBorder="1" applyAlignment="1" applyProtection="1">
      <alignment horizontal="right" vertical="center"/>
    </xf>
    <xf numFmtId="0" fontId="23" fillId="12" borderId="0" xfId="0" applyFont="1" applyFill="1" applyAlignment="1" applyProtection="1">
      <alignment horizontal="left" vertical="center"/>
    </xf>
    <xf numFmtId="0" fontId="0" fillId="12" borderId="0" xfId="0" applyFill="1" applyAlignment="1" applyProtection="1">
      <alignment vertical="center"/>
    </xf>
    <xf numFmtId="0" fontId="0" fillId="0" borderId="8" xfId="0" applyBorder="1" applyProtection="1"/>
    <xf numFmtId="0" fontId="0" fillId="0" borderId="27" xfId="0" applyBorder="1" applyProtection="1"/>
    <xf numFmtId="49" fontId="15" fillId="0" borderId="29" xfId="0" applyNumberFormat="1" applyFont="1" applyBorder="1" applyAlignment="1" applyProtection="1">
      <alignment vertical="center"/>
    </xf>
    <xf numFmtId="49" fontId="15" fillId="0" borderId="0" xfId="0" applyNumberFormat="1" applyFont="1" applyBorder="1" applyAlignment="1" applyProtection="1">
      <alignment vertical="center"/>
    </xf>
    <xf numFmtId="49" fontId="15" fillId="0" borderId="2" xfId="0" applyNumberFormat="1" applyFont="1" applyBorder="1" applyAlignment="1" applyProtection="1">
      <alignment vertical="center"/>
    </xf>
    <xf numFmtId="0" fontId="0" fillId="0" borderId="8" xfId="0" applyBorder="1" applyAlignment="1" applyProtection="1"/>
    <xf numFmtId="49" fontId="15" fillId="0" borderId="28" xfId="0" applyNumberFormat="1" applyFont="1" applyBorder="1" applyAlignment="1" applyProtection="1">
      <alignment vertical="center"/>
    </xf>
    <xf numFmtId="49" fontId="15" fillId="0" borderId="24" xfId="0" applyNumberFormat="1" applyFont="1" applyBorder="1" applyAlignment="1" applyProtection="1">
      <alignment vertical="center"/>
    </xf>
    <xf numFmtId="49" fontId="15" fillId="0" borderId="35" xfId="0" applyNumberFormat="1" applyFont="1" applyBorder="1" applyAlignment="1" applyProtection="1">
      <alignment vertical="center"/>
    </xf>
    <xf numFmtId="0" fontId="0" fillId="0" borderId="27" xfId="0" applyBorder="1" applyAlignment="1" applyProtection="1"/>
    <xf numFmtId="0" fontId="125" fillId="0" borderId="0" xfId="4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/>
    <xf numFmtId="0" fontId="1" fillId="6" borderId="0" xfId="0" applyFont="1" applyFill="1" applyAlignment="1" applyProtection="1">
      <alignment horizontal="right"/>
    </xf>
    <xf numFmtId="0" fontId="23" fillId="0" borderId="0" xfId="0" applyFont="1" applyAlignment="1" applyProtection="1">
      <alignment horizontal="left"/>
    </xf>
    <xf numFmtId="0" fontId="105" fillId="0" borderId="0" xfId="0" applyFont="1" applyFill="1" applyAlignment="1" applyProtection="1">
      <alignment horizontal="right"/>
    </xf>
    <xf numFmtId="0" fontId="105" fillId="0" borderId="0" xfId="0" applyFont="1" applyFill="1" applyAlignment="1" applyProtection="1">
      <alignment horizontal="center" vertical="center"/>
    </xf>
    <xf numFmtId="0" fontId="15" fillId="0" borderId="0" xfId="0" applyFont="1" applyFill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23" fillId="0" borderId="0" xfId="0" applyFont="1" applyFill="1" applyAlignment="1" applyProtection="1">
      <alignment horizontal="right"/>
    </xf>
    <xf numFmtId="49" fontId="15" fillId="0" borderId="0" xfId="0" applyNumberFormat="1" applyFont="1" applyFill="1" applyAlignment="1" applyProtection="1">
      <alignment horizontal="center"/>
    </xf>
    <xf numFmtId="0" fontId="109" fillId="0" borderId="0" xfId="0" applyFont="1" applyAlignment="1" applyProtection="1">
      <alignment vertical="top"/>
    </xf>
    <xf numFmtId="0" fontId="110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49" fontId="0" fillId="0" borderId="0" xfId="0" applyNumberFormat="1" applyAlignment="1" applyProtection="1">
      <alignment horizontal="center" vertical="top"/>
    </xf>
    <xf numFmtId="0" fontId="0" fillId="0" borderId="45" xfId="0" applyBorder="1" applyAlignment="1" applyProtection="1">
      <alignment horizontal="center" textRotation="90"/>
    </xf>
    <xf numFmtId="0" fontId="23" fillId="0" borderId="46" xfId="0" applyFont="1" applyBorder="1" applyAlignment="1" applyProtection="1">
      <alignment horizontal="center" textRotation="90"/>
    </xf>
    <xf numFmtId="14" fontId="0" fillId="0" borderId="36" xfId="0" applyNumberFormat="1" applyBorder="1" applyAlignment="1" applyProtection="1">
      <alignment horizontal="center" vertical="center"/>
    </xf>
    <xf numFmtId="14" fontId="0" fillId="0" borderId="39" xfId="0" applyNumberFormat="1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21" xfId="0" applyBorder="1" applyAlignment="1" applyProtection="1">
      <alignment vertical="center"/>
    </xf>
    <xf numFmtId="14" fontId="0" fillId="0" borderId="1" xfId="0" applyNumberFormat="1" applyBorder="1" applyAlignment="1" applyProtection="1">
      <alignment vertical="center"/>
    </xf>
    <xf numFmtId="49" fontId="0" fillId="0" borderId="1" xfId="0" applyNumberFormat="1" applyBorder="1" applyAlignment="1" applyProtection="1">
      <alignment horizontal="right" vertical="center"/>
    </xf>
    <xf numFmtId="49" fontId="0" fillId="0" borderId="19" xfId="0" applyNumberFormat="1" applyBorder="1" applyAlignment="1" applyProtection="1">
      <alignment horizontal="right" vertical="center"/>
    </xf>
    <xf numFmtId="0" fontId="0" fillId="0" borderId="26" xfId="0" applyNumberFormat="1" applyBorder="1" applyAlignment="1" applyProtection="1">
      <alignment horizontal="left"/>
      <protection locked="0"/>
    </xf>
    <xf numFmtId="0" fontId="113" fillId="0" borderId="0" xfId="0" applyFont="1" applyProtection="1"/>
    <xf numFmtId="0" fontId="28" fillId="0" borderId="0" xfId="0" applyFont="1" applyAlignment="1" applyProtection="1">
      <alignment horizontal="right"/>
    </xf>
    <xf numFmtId="0" fontId="28" fillId="0" borderId="0" xfId="0" applyFont="1" applyAlignment="1" applyProtection="1"/>
    <xf numFmtId="0" fontId="132" fillId="0" borderId="0" xfId="0" applyFont="1" applyAlignment="1" applyProtection="1">
      <alignment horizontal="right" vertical="center"/>
    </xf>
    <xf numFmtId="0" fontId="114" fillId="0" borderId="0" xfId="3" applyFont="1" applyAlignment="1" applyProtection="1">
      <alignment readingOrder="1"/>
    </xf>
    <xf numFmtId="0" fontId="95" fillId="0" borderId="0" xfId="3" applyFont="1" applyAlignment="1" applyProtection="1">
      <alignment readingOrder="1"/>
    </xf>
    <xf numFmtId="0" fontId="15" fillId="0" borderId="0" xfId="0" applyFont="1" applyAlignment="1" applyProtection="1">
      <alignment vertical="center"/>
    </xf>
    <xf numFmtId="0" fontId="132" fillId="0" borderId="0" xfId="0" applyFont="1" applyAlignment="1" applyProtection="1">
      <alignment vertical="center"/>
    </xf>
    <xf numFmtId="0" fontId="113" fillId="0" borderId="0" xfId="0" applyFont="1" applyBorder="1" applyAlignment="1" applyProtection="1">
      <alignment horizontal="left"/>
    </xf>
    <xf numFmtId="175" fontId="113" fillId="0" borderId="1" xfId="0" applyNumberFormat="1" applyFont="1" applyBorder="1" applyProtection="1"/>
    <xf numFmtId="0" fontId="7" fillId="0" borderId="68" xfId="0" applyFont="1" applyBorder="1" applyAlignment="1" applyProtection="1">
      <alignment horizontal="center"/>
    </xf>
    <xf numFmtId="0" fontId="0" fillId="0" borderId="76" xfId="0" applyBorder="1" applyProtection="1"/>
    <xf numFmtId="180" fontId="0" fillId="0" borderId="77" xfId="0" applyNumberFormat="1" applyBorder="1" applyAlignment="1" applyProtection="1">
      <alignment horizontal="center"/>
    </xf>
    <xf numFmtId="0" fontId="0" fillId="0" borderId="78" xfId="0" applyBorder="1" applyProtection="1"/>
    <xf numFmtId="0" fontId="0" fillId="0" borderId="18" xfId="0" applyBorder="1" applyProtection="1"/>
    <xf numFmtId="0" fontId="0" fillId="0" borderId="79" xfId="0" applyBorder="1" applyProtection="1"/>
    <xf numFmtId="0" fontId="0" fillId="0" borderId="77" xfId="0" applyBorder="1" applyProtection="1"/>
    <xf numFmtId="176" fontId="113" fillId="0" borderId="80" xfId="0" applyNumberFormat="1" applyFont="1" applyFill="1" applyBorder="1" applyAlignment="1" applyProtection="1">
      <alignment horizontal="center"/>
    </xf>
    <xf numFmtId="0" fontId="0" fillId="0" borderId="45" xfId="0" applyBorder="1" applyProtection="1"/>
    <xf numFmtId="180" fontId="0" fillId="0" borderId="1" xfId="0" applyNumberFormat="1" applyBorder="1" applyAlignment="1" applyProtection="1">
      <alignment horizontal="center"/>
    </xf>
    <xf numFmtId="0" fontId="0" fillId="0" borderId="10" xfId="0" applyBorder="1" applyProtection="1"/>
    <xf numFmtId="180" fontId="0" fillId="0" borderId="27" xfId="0" applyNumberFormat="1" applyBorder="1" applyAlignment="1" applyProtection="1">
      <alignment horizontal="center"/>
    </xf>
    <xf numFmtId="0" fontId="0" fillId="0" borderId="36" xfId="0" applyBorder="1" applyProtection="1"/>
    <xf numFmtId="180" fontId="0" fillId="0" borderId="37" xfId="0" applyNumberFormat="1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Border="1" applyProtection="1"/>
    <xf numFmtId="0" fontId="0" fillId="0" borderId="82" xfId="0" applyBorder="1" applyProtection="1"/>
    <xf numFmtId="0" fontId="0" fillId="0" borderId="37" xfId="0" applyBorder="1" applyProtection="1"/>
    <xf numFmtId="176" fontId="113" fillId="0" borderId="39" xfId="0" applyNumberFormat="1" applyFont="1" applyFill="1" applyBorder="1" applyAlignment="1" applyProtection="1">
      <alignment horizontal="center"/>
    </xf>
    <xf numFmtId="180" fontId="0" fillId="0" borderId="42" xfId="0" applyNumberFormat="1" applyBorder="1" applyAlignment="1" applyProtection="1">
      <alignment horizontal="center"/>
    </xf>
    <xf numFmtId="0" fontId="28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32" xfId="0" applyFont="1" applyFill="1" applyBorder="1" applyAlignment="1" applyProtection="1">
      <alignment vertical="center" wrapText="1"/>
      <protection locked="0"/>
    </xf>
    <xf numFmtId="0" fontId="26" fillId="0" borderId="32" xfId="0" applyFont="1" applyFill="1" applyBorder="1" applyAlignment="1" applyProtection="1">
      <alignment horizontal="center" vertical="center" wrapText="1"/>
      <protection locked="0"/>
    </xf>
    <xf numFmtId="0" fontId="61" fillId="0" borderId="48" xfId="0" applyFont="1" applyFill="1" applyBorder="1" applyProtection="1"/>
    <xf numFmtId="0" fontId="26" fillId="0" borderId="27" xfId="0" applyFont="1" applyBorder="1" applyAlignment="1" applyProtection="1">
      <alignment horizontal="center" vertical="center"/>
    </xf>
    <xf numFmtId="0" fontId="45" fillId="22" borderId="0" xfId="0" applyFont="1" applyFill="1" applyAlignment="1" applyProtection="1">
      <alignment vertical="center"/>
    </xf>
    <xf numFmtId="0" fontId="59" fillId="7" borderId="1" xfId="0" applyFont="1" applyFill="1" applyBorder="1" applyAlignment="1" applyProtection="1">
      <alignment vertical="center" wrapText="1"/>
    </xf>
    <xf numFmtId="0" fontId="61" fillId="0" borderId="25" xfId="0" applyFont="1" applyFill="1" applyBorder="1" applyProtection="1"/>
    <xf numFmtId="0" fontId="17" fillId="0" borderId="1" xfId="0" applyFont="1" applyFill="1" applyBorder="1" applyAlignment="1" applyProtection="1">
      <alignment vertical="center"/>
    </xf>
    <xf numFmtId="0" fontId="59" fillId="0" borderId="1" xfId="0" applyFont="1" applyFill="1" applyBorder="1" applyAlignment="1" applyProtection="1">
      <alignment horizontal="center" vertical="center" wrapText="1"/>
    </xf>
    <xf numFmtId="167" fontId="20" fillId="23" borderId="1" xfId="1" applyNumberFormat="1" applyFont="1" applyFill="1" applyBorder="1" applyAlignment="1" applyProtection="1">
      <alignment horizontal="center" vertical="center"/>
    </xf>
    <xf numFmtId="0" fontId="17" fillId="0" borderId="0" xfId="0" applyFont="1" applyBorder="1" applyProtection="1"/>
    <xf numFmtId="0" fontId="59" fillId="0" borderId="3" xfId="0" applyFont="1" applyFill="1" applyBorder="1" applyAlignment="1" applyProtection="1">
      <alignment horizontal="center" vertical="center" wrapText="1"/>
    </xf>
    <xf numFmtId="0" fontId="45" fillId="22" borderId="0" xfId="0" applyFont="1" applyFill="1" applyAlignment="1" applyProtection="1">
      <alignment horizontal="right" vertical="center"/>
    </xf>
    <xf numFmtId="0" fontId="15" fillId="0" borderId="56" xfId="0" applyFont="1" applyBorder="1" applyAlignment="1" applyProtection="1"/>
    <xf numFmtId="0" fontId="59" fillId="0" borderId="24" xfId="0" applyFont="1" applyFill="1" applyBorder="1" applyAlignment="1" applyProtection="1">
      <alignment horizontal="center" vertical="center" wrapText="1"/>
    </xf>
    <xf numFmtId="167" fontId="20" fillId="4" borderId="89" xfId="1" applyNumberFormat="1" applyFont="1" applyFill="1" applyBorder="1" applyAlignment="1" applyProtection="1">
      <alignment horizontal="center" vertical="center"/>
    </xf>
    <xf numFmtId="0" fontId="12" fillId="0" borderId="90" xfId="0" applyFont="1" applyFill="1" applyBorder="1" applyAlignment="1" applyProtection="1">
      <alignment vertical="center"/>
    </xf>
    <xf numFmtId="0" fontId="7" fillId="0" borderId="68" xfId="0" applyFont="1" applyFill="1" applyBorder="1" applyAlignment="1" applyProtection="1">
      <alignment vertical="center"/>
    </xf>
    <xf numFmtId="0" fontId="0" fillId="0" borderId="48" xfId="0" applyFill="1" applyBorder="1" applyAlignment="1" applyProtection="1">
      <alignment vertical="center"/>
    </xf>
    <xf numFmtId="0" fontId="31" fillId="0" borderId="1" xfId="0" applyFont="1" applyFill="1" applyBorder="1" applyAlignment="1" applyProtection="1">
      <alignment horizontal="center" vertical="center"/>
    </xf>
    <xf numFmtId="0" fontId="69" fillId="7" borderId="68" xfId="0" applyFont="1" applyFill="1" applyBorder="1" applyAlignment="1" applyProtection="1">
      <alignment horizontal="center" vertical="center"/>
    </xf>
    <xf numFmtId="0" fontId="24" fillId="4" borderId="0" xfId="0" applyFont="1" applyFill="1" applyAlignment="1" applyProtection="1">
      <alignment horizontal="center" vertical="center"/>
    </xf>
    <xf numFmtId="44" fontId="20" fillId="4" borderId="89" xfId="1" applyNumberFormat="1" applyFont="1" applyFill="1" applyBorder="1" applyAlignment="1" applyProtection="1">
      <alignment horizontal="center" vertical="center"/>
    </xf>
    <xf numFmtId="167" fontId="20" fillId="0" borderId="24" xfId="1" applyNumberFormat="1" applyFont="1" applyFill="1" applyBorder="1" applyAlignment="1" applyProtection="1">
      <alignment horizontal="center" vertical="center"/>
    </xf>
    <xf numFmtId="0" fontId="124" fillId="0" borderId="0" xfId="0" applyFont="1" applyAlignment="1" applyProtection="1">
      <alignment vertical="center"/>
    </xf>
    <xf numFmtId="44" fontId="34" fillId="5" borderId="1" xfId="1" applyFont="1" applyFill="1" applyBorder="1" applyAlignment="1" applyProtection="1">
      <alignment horizontal="center" vertical="center" wrapText="1"/>
    </xf>
    <xf numFmtId="44" fontId="20" fillId="4" borderId="28" xfId="1" applyNumberFormat="1" applyFont="1" applyFill="1" applyBorder="1" applyAlignment="1" applyProtection="1">
      <alignment horizontal="center" vertical="center"/>
    </xf>
    <xf numFmtId="0" fontId="7" fillId="0" borderId="29" xfId="0" applyFont="1" applyBorder="1" applyAlignment="1" applyProtection="1">
      <alignment horizontal="left" vertical="center"/>
    </xf>
    <xf numFmtId="44" fontId="20" fillId="4" borderId="27" xfId="1" applyNumberFormat="1" applyFont="1" applyFill="1" applyBorder="1" applyAlignment="1" applyProtection="1">
      <alignment horizontal="center" vertical="center"/>
    </xf>
    <xf numFmtId="44" fontId="20" fillId="4" borderId="8" xfId="1" applyNumberFormat="1" applyFont="1" applyFill="1" applyBorder="1" applyAlignment="1" applyProtection="1">
      <alignment horizontal="center" vertical="center"/>
    </xf>
    <xf numFmtId="44" fontId="20" fillId="4" borderId="1" xfId="1" applyNumberFormat="1" applyFont="1" applyFill="1" applyBorder="1" applyAlignment="1" applyProtection="1">
      <alignment horizontal="center" vertical="center"/>
    </xf>
    <xf numFmtId="0" fontId="67" fillId="0" borderId="57" xfId="0" applyFont="1" applyFill="1" applyBorder="1" applyAlignment="1" applyProtection="1">
      <alignment horizontal="right"/>
    </xf>
    <xf numFmtId="167" fontId="59" fillId="7" borderId="1" xfId="1" applyNumberFormat="1" applyFont="1" applyFill="1" applyBorder="1" applyAlignment="1" applyProtection="1">
      <alignment horizontal="center" vertical="center" wrapText="1"/>
    </xf>
    <xf numFmtId="172" fontId="34" fillId="5" borderId="1" xfId="2" applyNumberFormat="1" applyFont="1" applyFill="1" applyBorder="1" applyAlignment="1" applyProtection="1">
      <alignment horizontal="center" vertical="center" wrapText="1"/>
    </xf>
    <xf numFmtId="167" fontId="34" fillId="5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</xf>
    <xf numFmtId="0" fontId="61" fillId="0" borderId="84" xfId="0" applyFont="1" applyFill="1" applyBorder="1" applyAlignment="1" applyProtection="1">
      <alignment vertical="center"/>
    </xf>
    <xf numFmtId="0" fontId="7" fillId="0" borderId="10" xfId="0" applyFont="1" applyBorder="1" applyAlignment="1" applyProtection="1"/>
    <xf numFmtId="0" fontId="7" fillId="0" borderId="15" xfId="0" applyFont="1" applyBorder="1" applyAlignment="1" applyProtection="1">
      <alignment horizontal="right"/>
    </xf>
    <xf numFmtId="0" fontId="7" fillId="0" borderId="30" xfId="0" applyFont="1" applyBorder="1" applyAlignment="1" applyProtection="1">
      <alignment horizontal="right"/>
    </xf>
    <xf numFmtId="0" fontId="7" fillId="0" borderId="92" xfId="0" applyFont="1" applyBorder="1" applyAlignment="1" applyProtection="1">
      <alignment horizontal="right"/>
    </xf>
    <xf numFmtId="0" fontId="7" fillId="0" borderId="52" xfId="0" applyFont="1" applyBorder="1" applyAlignment="1" applyProtection="1">
      <alignment horizontal="right"/>
    </xf>
    <xf numFmtId="9" fontId="34" fillId="5" borderId="1" xfId="2" applyFont="1" applyFill="1" applyBorder="1" applyAlignment="1" applyProtection="1">
      <alignment horizontal="center" vertical="center" wrapText="1"/>
    </xf>
    <xf numFmtId="164" fontId="90" fillId="0" borderId="93" xfId="0" applyNumberFormat="1" applyFont="1" applyFill="1" applyBorder="1" applyAlignment="1" applyProtection="1">
      <alignment vertical="center"/>
    </xf>
    <xf numFmtId="0" fontId="23" fillId="12" borderId="0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  <protection locked="0"/>
    </xf>
    <xf numFmtId="0" fontId="61" fillId="0" borderId="40" xfId="0" applyFont="1" applyFill="1" applyBorder="1" applyProtection="1">
      <protection locked="0"/>
    </xf>
    <xf numFmtId="0" fontId="111" fillId="0" borderId="0" xfId="0" applyFont="1" applyAlignment="1" applyProtection="1">
      <alignment vertical="center" wrapText="1"/>
    </xf>
    <xf numFmtId="0" fontId="106" fillId="0" borderId="0" xfId="0" applyFont="1" applyAlignment="1" applyProtection="1">
      <alignment horizontal="left"/>
    </xf>
    <xf numFmtId="175" fontId="106" fillId="0" borderId="0" xfId="0" applyNumberFormat="1" applyFont="1" applyBorder="1" applyProtection="1"/>
    <xf numFmtId="0" fontId="115" fillId="0" borderId="0" xfId="0" applyFont="1" applyProtection="1"/>
    <xf numFmtId="0" fontId="28" fillId="0" borderId="0" xfId="0" applyFont="1" applyProtection="1"/>
    <xf numFmtId="14" fontId="28" fillId="0" borderId="0" xfId="0" applyNumberFormat="1" applyFont="1" applyAlignment="1" applyProtection="1">
      <alignment horizontal="left"/>
    </xf>
    <xf numFmtId="0" fontId="116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/>
    </xf>
    <xf numFmtId="0" fontId="28" fillId="0" borderId="0" xfId="0" applyFont="1" applyBorder="1" applyAlignment="1" applyProtection="1">
      <alignment horizontal="left"/>
    </xf>
    <xf numFmtId="175" fontId="28" fillId="0" borderId="0" xfId="0" applyNumberFormat="1" applyFont="1" applyBorder="1" applyProtection="1"/>
    <xf numFmtId="176" fontId="28" fillId="0" borderId="0" xfId="0" applyNumberFormat="1" applyFont="1" applyBorder="1" applyProtection="1"/>
    <xf numFmtId="0" fontId="6" fillId="0" borderId="0" xfId="0" applyFont="1" applyBorder="1" applyAlignment="1" applyProtection="1">
      <alignment horizontal="left"/>
    </xf>
    <xf numFmtId="0" fontId="28" fillId="0" borderId="0" xfId="0" applyFont="1" applyAlignment="1" applyProtection="1">
      <alignment horizontal="center" vertical="center"/>
    </xf>
    <xf numFmtId="0" fontId="61" fillId="0" borderId="0" xfId="0" applyFont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0" fontId="28" fillId="0" borderId="0" xfId="0" applyFont="1" applyAlignment="1" applyProtection="1">
      <alignment vertical="center"/>
    </xf>
    <xf numFmtId="0" fontId="15" fillId="0" borderId="0" xfId="0" applyFont="1" applyAlignment="1" applyProtection="1"/>
    <xf numFmtId="0" fontId="61" fillId="0" borderId="0" xfId="0" applyFont="1" applyAlignment="1" applyProtection="1">
      <alignment horizontal="left"/>
    </xf>
    <xf numFmtId="0" fontId="61" fillId="0" borderId="0" xfId="0" applyFont="1" applyAlignment="1" applyProtection="1"/>
    <xf numFmtId="0" fontId="55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106" fillId="0" borderId="0" xfId="0" applyFont="1" applyAlignment="1" applyProtection="1">
      <alignment horizontal="center"/>
    </xf>
    <xf numFmtId="177" fontId="106" fillId="0" borderId="0" xfId="0" applyNumberFormat="1" applyFont="1" applyAlignment="1" applyProtection="1">
      <alignment horizontal="left"/>
    </xf>
    <xf numFmtId="0" fontId="106" fillId="0" borderId="0" xfId="0" applyFont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0" fontId="28" fillId="0" borderId="0" xfId="0" applyFont="1" applyBorder="1" applyProtection="1"/>
    <xf numFmtId="167" fontId="6" fillId="0" borderId="0" xfId="0" applyNumberFormat="1" applyFont="1" applyBorder="1" applyProtection="1"/>
    <xf numFmtId="0" fontId="6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167" fontId="6" fillId="0" borderId="0" xfId="0" applyNumberFormat="1" applyFont="1" applyBorder="1" applyAlignment="1" applyProtection="1">
      <alignment vertical="center"/>
    </xf>
    <xf numFmtId="0" fontId="117" fillId="0" borderId="0" xfId="0" applyFont="1" applyAlignment="1" applyProtection="1">
      <alignment horizontal="right" vertical="center"/>
    </xf>
    <xf numFmtId="49" fontId="6" fillId="0" borderId="0" xfId="0" applyNumberFormat="1" applyFont="1" applyBorder="1" applyAlignment="1" applyProtection="1">
      <alignment vertical="center"/>
    </xf>
    <xf numFmtId="0" fontId="28" fillId="0" borderId="0" xfId="0" applyFont="1" applyAlignment="1" applyProtection="1">
      <alignment vertical="top"/>
    </xf>
    <xf numFmtId="0" fontId="28" fillId="0" borderId="0" xfId="0" applyFont="1" applyBorder="1" applyAlignment="1" applyProtection="1">
      <alignment vertical="top"/>
    </xf>
    <xf numFmtId="0" fontId="61" fillId="0" borderId="0" xfId="0" applyFont="1" applyAlignment="1" applyProtection="1">
      <alignment horizontal="right" vertical="center"/>
    </xf>
    <xf numFmtId="0" fontId="61" fillId="0" borderId="0" xfId="0" applyFont="1" applyAlignment="1" applyProtection="1">
      <alignment vertical="center"/>
    </xf>
    <xf numFmtId="0" fontId="118" fillId="0" borderId="0" xfId="3" applyFont="1" applyAlignment="1" applyProtection="1"/>
    <xf numFmtId="0" fontId="120" fillId="0" borderId="0" xfId="3" applyFont="1" applyAlignment="1" applyProtection="1">
      <alignment vertical="center"/>
    </xf>
    <xf numFmtId="0" fontId="23" fillId="0" borderId="0" xfId="3" applyBorder="1" applyProtection="1"/>
    <xf numFmtId="0" fontId="113" fillId="0" borderId="0" xfId="3" applyFont="1" applyProtection="1"/>
    <xf numFmtId="0" fontId="26" fillId="0" borderId="0" xfId="3" applyFont="1" applyAlignment="1" applyProtection="1">
      <alignment horizontal="right" vertical="center"/>
    </xf>
    <xf numFmtId="178" fontId="26" fillId="0" borderId="0" xfId="3" applyNumberFormat="1" applyFont="1" applyAlignment="1" applyProtection="1">
      <alignment horizontal="center" vertical="center"/>
    </xf>
    <xf numFmtId="0" fontId="26" fillId="0" borderId="0" xfId="3" applyFont="1" applyAlignment="1" applyProtection="1">
      <alignment horizontal="center" vertical="center"/>
    </xf>
    <xf numFmtId="0" fontId="26" fillId="0" borderId="0" xfId="3" applyFont="1" applyAlignment="1" applyProtection="1">
      <alignment horizontal="left" vertical="center"/>
    </xf>
    <xf numFmtId="0" fontId="126" fillId="0" borderId="0" xfId="3" applyFont="1" applyAlignment="1" applyProtection="1"/>
    <xf numFmtId="0" fontId="106" fillId="0" borderId="0" xfId="3" applyFont="1" applyAlignment="1" applyProtection="1">
      <alignment horizontal="center"/>
    </xf>
    <xf numFmtId="14" fontId="106" fillId="0" borderId="0" xfId="3" applyNumberFormat="1" applyFont="1" applyAlignment="1" applyProtection="1">
      <alignment horizontal="left"/>
    </xf>
    <xf numFmtId="14" fontId="28" fillId="0" borderId="0" xfId="3" applyNumberFormat="1" applyFont="1" applyAlignment="1" applyProtection="1">
      <alignment horizontal="left"/>
    </xf>
    <xf numFmtId="0" fontId="116" fillId="0" borderId="0" xfId="3" applyFont="1" applyAlignment="1" applyProtection="1">
      <alignment horizontal="center" vertical="center"/>
    </xf>
    <xf numFmtId="0" fontId="113" fillId="0" borderId="0" xfId="3" applyFont="1" applyAlignment="1" applyProtection="1">
      <alignment horizontal="center" vertical="center"/>
    </xf>
    <xf numFmtId="0" fontId="15" fillId="0" borderId="0" xfId="3" applyFont="1" applyAlignment="1" applyProtection="1"/>
    <xf numFmtId="0" fontId="131" fillId="0" borderId="0" xfId="3" applyFont="1" applyAlignment="1" applyProtection="1">
      <alignment horizontal="left"/>
    </xf>
    <xf numFmtId="0" fontId="132" fillId="0" borderId="0" xfId="3" applyFont="1" applyAlignment="1" applyProtection="1"/>
    <xf numFmtId="0" fontId="128" fillId="0" borderId="0" xfId="3" applyFont="1" applyAlignment="1" applyProtection="1"/>
    <xf numFmtId="0" fontId="113" fillId="0" borderId="0" xfId="3" applyFont="1" applyAlignment="1" applyProtection="1">
      <alignment horizontal="left"/>
    </xf>
    <xf numFmtId="175" fontId="113" fillId="0" borderId="0" xfId="3" applyNumberFormat="1" applyFont="1" applyBorder="1" applyProtection="1"/>
    <xf numFmtId="0" fontId="23" fillId="0" borderId="0" xfId="3" applyFont="1" applyProtection="1"/>
    <xf numFmtId="0" fontId="106" fillId="0" borderId="0" xfId="3" applyFont="1" applyBorder="1" applyAlignment="1" applyProtection="1">
      <alignment horizontal="left"/>
    </xf>
    <xf numFmtId="0" fontId="113" fillId="0" borderId="0" xfId="3" applyFont="1" applyBorder="1" applyAlignment="1" applyProtection="1">
      <alignment horizontal="left"/>
    </xf>
    <xf numFmtId="176" fontId="113" fillId="0" borderId="0" xfId="3" applyNumberFormat="1" applyFont="1" applyBorder="1" applyProtection="1"/>
    <xf numFmtId="0" fontId="126" fillId="0" borderId="0" xfId="3" applyFont="1" applyBorder="1" applyAlignment="1" applyProtection="1">
      <alignment horizontal="left"/>
    </xf>
    <xf numFmtId="0" fontId="106" fillId="0" borderId="0" xfId="3" applyFont="1" applyAlignment="1" applyProtection="1">
      <alignment horizontal="left"/>
    </xf>
    <xf numFmtId="0" fontId="131" fillId="0" borderId="0" xfId="3" applyFont="1" applyBorder="1" applyAlignment="1" applyProtection="1">
      <alignment horizontal="left"/>
    </xf>
    <xf numFmtId="0" fontId="23" fillId="0" borderId="0" xfId="3" applyAlignment="1" applyProtection="1">
      <alignment vertical="center"/>
    </xf>
    <xf numFmtId="0" fontId="55" fillId="0" borderId="0" xfId="3" applyFont="1" applyAlignment="1" applyProtection="1"/>
    <xf numFmtId="0" fontId="15" fillId="0" borderId="0" xfId="3" applyFont="1" applyAlignment="1" applyProtection="1">
      <alignment vertical="center"/>
    </xf>
    <xf numFmtId="167" fontId="15" fillId="0" borderId="0" xfId="3" applyNumberFormat="1" applyFont="1" applyAlignment="1" applyProtection="1">
      <alignment vertical="center"/>
    </xf>
    <xf numFmtId="167" fontId="15" fillId="0" borderId="71" xfId="3" applyNumberFormat="1" applyFont="1" applyBorder="1" applyProtection="1"/>
    <xf numFmtId="0" fontId="7" fillId="0" borderId="0" xfId="3" applyFont="1" applyAlignment="1" applyProtection="1">
      <alignment vertical="center"/>
    </xf>
    <xf numFmtId="167" fontId="7" fillId="0" borderId="0" xfId="1" applyNumberFormat="1" applyFont="1" applyProtection="1"/>
    <xf numFmtId="167" fontId="7" fillId="0" borderId="0" xfId="1" applyNumberFormat="1" applyFont="1" applyAlignment="1" applyProtection="1">
      <alignment vertical="center"/>
    </xf>
    <xf numFmtId="44" fontId="23" fillId="0" borderId="0" xfId="3" applyNumberFormat="1" applyProtection="1"/>
    <xf numFmtId="167" fontId="15" fillId="0" borderId="0" xfId="3" applyNumberFormat="1" applyFont="1" applyBorder="1" applyAlignment="1" applyProtection="1">
      <alignment vertical="center"/>
    </xf>
    <xf numFmtId="167" fontId="15" fillId="0" borderId="1" xfId="3" applyNumberFormat="1" applyFont="1" applyBorder="1" applyAlignment="1" applyProtection="1">
      <alignment vertical="center"/>
    </xf>
    <xf numFmtId="0" fontId="23" fillId="0" borderId="0" xfId="3" applyFont="1" applyBorder="1" applyAlignment="1" applyProtection="1">
      <alignment horizontal="center"/>
    </xf>
    <xf numFmtId="0" fontId="23" fillId="0" borderId="0" xfId="3" applyFont="1" applyBorder="1" applyAlignment="1" applyProtection="1">
      <alignment horizontal="left"/>
    </xf>
    <xf numFmtId="0" fontId="118" fillId="0" borderId="0" xfId="3" applyFont="1" applyAlignment="1" applyProtection="1">
      <alignment horizontal="center"/>
    </xf>
    <xf numFmtId="0" fontId="118" fillId="0" borderId="0" xfId="3" applyFont="1" applyAlignment="1" applyProtection="1">
      <alignment horizontal="right"/>
    </xf>
    <xf numFmtId="0" fontId="118" fillId="0" borderId="0" xfId="3" applyFont="1" applyAlignment="1" applyProtection="1">
      <alignment horizontal="left"/>
    </xf>
    <xf numFmtId="1" fontId="0" fillId="0" borderId="0" xfId="0" applyNumberFormat="1" applyProtection="1"/>
    <xf numFmtId="168" fontId="0" fillId="0" borderId="40" xfId="1" applyNumberFormat="1" applyFont="1" applyFill="1" applyBorder="1" applyProtection="1"/>
    <xf numFmtId="167" fontId="0" fillId="0" borderId="1" xfId="1" applyNumberFormat="1" applyFont="1" applyFill="1" applyBorder="1"/>
    <xf numFmtId="167" fontId="0" fillId="0" borderId="19" xfId="0" applyNumberFormat="1" applyFill="1" applyBorder="1" applyAlignment="1">
      <alignment horizontal="right"/>
    </xf>
    <xf numFmtId="164" fontId="59" fillId="7" borderId="25" xfId="0" applyNumberFormat="1" applyFont="1" applyFill="1" applyBorder="1" applyAlignment="1" applyProtection="1">
      <alignment horizontal="center" vertical="center"/>
      <protection locked="0"/>
    </xf>
    <xf numFmtId="168" fontId="18" fillId="0" borderId="24" xfId="0" applyNumberFormat="1" applyFont="1" applyBorder="1" applyAlignment="1" applyProtection="1">
      <alignment horizontal="center" vertical="top"/>
    </xf>
    <xf numFmtId="0" fontId="94" fillId="0" borderId="65" xfId="0" applyFont="1" applyBorder="1" applyAlignment="1" applyProtection="1">
      <alignment horizontal="left" vertical="center" wrapText="1"/>
    </xf>
    <xf numFmtId="0" fontId="94" fillId="0" borderId="67" xfId="0" applyFont="1" applyBorder="1" applyAlignment="1" applyProtection="1">
      <alignment horizontal="left" vertical="center" wrapText="1"/>
    </xf>
    <xf numFmtId="0" fontId="94" fillId="0" borderId="65" xfId="0" applyFont="1" applyBorder="1" applyAlignment="1" applyProtection="1">
      <alignment horizontal="left" vertical="center"/>
    </xf>
    <xf numFmtId="0" fontId="31" fillId="0" borderId="0" xfId="0" applyFont="1" applyBorder="1" applyAlignment="1" applyProtection="1">
      <alignment horizontal="left" vertical="center" wrapText="1"/>
    </xf>
    <xf numFmtId="0" fontId="31" fillId="0" borderId="2" xfId="0" applyFont="1" applyBorder="1" applyAlignment="1" applyProtection="1">
      <alignment horizontal="left" vertical="center" wrapText="1"/>
    </xf>
    <xf numFmtId="0" fontId="31" fillId="0" borderId="0" xfId="0" applyFont="1" applyBorder="1" applyAlignment="1" applyProtection="1">
      <alignment horizontal="left" vertical="center"/>
    </xf>
    <xf numFmtId="0" fontId="31" fillId="0" borderId="2" xfId="0" applyFont="1" applyBorder="1" applyAlignment="1" applyProtection="1">
      <alignment horizontal="left" vertical="center"/>
    </xf>
    <xf numFmtId="0" fontId="94" fillId="0" borderId="67" xfId="0" applyFont="1" applyBorder="1" applyAlignment="1" applyProtection="1">
      <alignment horizontal="justify" vertical="center" wrapText="1"/>
    </xf>
    <xf numFmtId="0" fontId="18" fillId="0" borderId="26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justify" vertical="center" wrapText="1"/>
    </xf>
    <xf numFmtId="0" fontId="31" fillId="0" borderId="2" xfId="0" applyFont="1" applyBorder="1" applyAlignment="1" applyProtection="1">
      <alignment horizontal="justify" vertical="center" wrapText="1"/>
    </xf>
    <xf numFmtId="0" fontId="0" fillId="0" borderId="0" xfId="0" applyAlignment="1" applyProtection="1">
      <alignment horizontal="justify" vertical="center" wrapText="1"/>
    </xf>
    <xf numFmtId="0" fontId="0" fillId="0" borderId="2" xfId="0" applyBorder="1" applyAlignment="1" applyProtection="1">
      <alignment horizontal="justify" vertical="center" wrapText="1"/>
    </xf>
    <xf numFmtId="1" fontId="59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165" fontId="0" fillId="0" borderId="0" xfId="0" applyNumberFormat="1" applyAlignment="1" applyProtection="1">
      <alignment vertical="center"/>
    </xf>
    <xf numFmtId="181" fontId="0" fillId="0" borderId="0" xfId="0" applyNumberFormat="1" applyFill="1" applyBorder="1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167" fontId="0" fillId="0" borderId="0" xfId="0" applyNumberFormat="1" applyFill="1" applyBorder="1" applyAlignment="1">
      <alignment vertical="center"/>
    </xf>
    <xf numFmtId="0" fontId="23" fillId="0" borderId="1" xfId="3" applyFont="1" applyBorder="1" applyAlignment="1" applyProtection="1">
      <alignment horizontal="center"/>
    </xf>
    <xf numFmtId="0" fontId="24" fillId="5" borderId="25" xfId="0" applyFont="1" applyFill="1" applyBorder="1" applyAlignment="1" applyProtection="1">
      <alignment horizontal="center"/>
    </xf>
    <xf numFmtId="0" fontId="24" fillId="5" borderId="21" xfId="0" applyFont="1" applyFill="1" applyBorder="1" applyAlignment="1" applyProtection="1">
      <alignment horizontal="center"/>
    </xf>
    <xf numFmtId="0" fontId="48" fillId="5" borderId="1" xfId="0" applyFont="1" applyFill="1" applyBorder="1" applyAlignment="1" applyProtection="1">
      <alignment horizontal="center"/>
    </xf>
    <xf numFmtId="0" fontId="24" fillId="5" borderId="25" xfId="0" applyFont="1" applyFill="1" applyBorder="1" applyAlignment="1" applyProtection="1">
      <alignment horizontal="left" vertical="center"/>
    </xf>
    <xf numFmtId="0" fontId="24" fillId="5" borderId="21" xfId="0" applyFont="1" applyFill="1" applyBorder="1" applyAlignment="1" applyProtection="1">
      <alignment horizontal="left" vertical="center"/>
    </xf>
    <xf numFmtId="0" fontId="14" fillId="6" borderId="31" xfId="0" applyFont="1" applyFill="1" applyBorder="1" applyAlignment="1" applyProtection="1">
      <alignment horizontal="left" vertical="center" wrapText="1"/>
    </xf>
    <xf numFmtId="0" fontId="14" fillId="6" borderId="3" xfId="0" applyFont="1" applyFill="1" applyBorder="1" applyAlignment="1" applyProtection="1">
      <alignment horizontal="left" vertical="center" wrapText="1"/>
    </xf>
    <xf numFmtId="1" fontId="38" fillId="7" borderId="25" xfId="0" applyNumberFormat="1" applyFont="1" applyFill="1" applyBorder="1" applyAlignment="1" applyProtection="1">
      <alignment horizontal="center" vertical="center"/>
      <protection locked="0"/>
    </xf>
    <xf numFmtId="1" fontId="38" fillId="7" borderId="21" xfId="0" applyNumberFormat="1" applyFont="1" applyFill="1" applyBorder="1" applyAlignment="1" applyProtection="1">
      <alignment horizontal="center" vertical="center"/>
      <protection locked="0"/>
    </xf>
    <xf numFmtId="0" fontId="17" fillId="0" borderId="24" xfId="0" applyFont="1" applyFill="1" applyBorder="1" applyAlignment="1" applyProtection="1">
      <alignment horizontal="left" vertical="center" wrapText="1"/>
    </xf>
    <xf numFmtId="0" fontId="7" fillId="0" borderId="25" xfId="0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 textRotation="90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165" fontId="4" fillId="5" borderId="1" xfId="0" applyNumberFormat="1" applyFont="1" applyFill="1" applyBorder="1" applyAlignment="1" applyProtection="1">
      <alignment horizontal="left" vertical="center"/>
    </xf>
    <xf numFmtId="0" fontId="4" fillId="5" borderId="25" xfId="0" applyFont="1" applyFill="1" applyBorder="1" applyAlignment="1" applyProtection="1">
      <alignment horizontal="left" vertical="center"/>
    </xf>
    <xf numFmtId="0" fontId="4" fillId="5" borderId="26" xfId="0" applyFont="1" applyFill="1" applyBorder="1" applyAlignment="1" applyProtection="1">
      <alignment horizontal="left" vertical="center"/>
    </xf>
    <xf numFmtId="0" fontId="4" fillId="5" borderId="21" xfId="0" applyFont="1" applyFill="1" applyBorder="1" applyAlignment="1" applyProtection="1">
      <alignment horizontal="left" vertical="center"/>
    </xf>
    <xf numFmtId="165" fontId="27" fillId="5" borderId="1" xfId="0" applyNumberFormat="1" applyFont="1" applyFill="1" applyBorder="1" applyAlignment="1" applyProtection="1">
      <alignment horizontal="left" vertical="center"/>
    </xf>
    <xf numFmtId="0" fontId="24" fillId="5" borderId="1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right" vertical="center" wrapText="1"/>
    </xf>
    <xf numFmtId="165" fontId="38" fillId="7" borderId="1" xfId="0" applyNumberFormat="1" applyFont="1" applyFill="1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4" fillId="7" borderId="21" xfId="0" applyFont="1" applyFill="1" applyBorder="1" applyAlignment="1" applyProtection="1">
      <alignment horizontal="left" vertical="center"/>
      <protection locked="0"/>
    </xf>
    <xf numFmtId="0" fontId="15" fillId="6" borderId="14" xfId="0" applyFont="1" applyFill="1" applyBorder="1" applyAlignment="1" applyProtection="1">
      <alignment horizontal="left" vertical="center" wrapText="1"/>
    </xf>
    <xf numFmtId="0" fontId="15" fillId="6" borderId="5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right"/>
    </xf>
    <xf numFmtId="0" fontId="3" fillId="0" borderId="2" xfId="0" applyFont="1" applyBorder="1" applyAlignment="1" applyProtection="1">
      <alignment horizontal="right"/>
    </xf>
    <xf numFmtId="0" fontId="11" fillId="0" borderId="0" xfId="0" applyFont="1" applyAlignment="1" applyProtection="1">
      <alignment horizontal="right" vertical="center"/>
    </xf>
    <xf numFmtId="0" fontId="11" fillId="0" borderId="2" xfId="0" applyFont="1" applyBorder="1" applyAlignment="1" applyProtection="1">
      <alignment horizontal="right" vertical="center"/>
    </xf>
    <xf numFmtId="0" fontId="15" fillId="6" borderId="4" xfId="0" applyFont="1" applyFill="1" applyBorder="1" applyAlignment="1" applyProtection="1">
      <alignment horizontal="left" vertical="center" wrapText="1"/>
    </xf>
    <xf numFmtId="0" fontId="12" fillId="0" borderId="3" xfId="0" applyFont="1" applyFill="1" applyBorder="1" applyAlignment="1" applyProtection="1">
      <alignment horizontal="right" wrapText="1"/>
    </xf>
    <xf numFmtId="0" fontId="12" fillId="0" borderId="7" xfId="0" applyFont="1" applyFill="1" applyBorder="1" applyAlignment="1" applyProtection="1">
      <alignment horizontal="right" wrapText="1"/>
    </xf>
    <xf numFmtId="0" fontId="12" fillId="0" borderId="3" xfId="0" applyFont="1" applyFill="1" applyBorder="1" applyAlignment="1" applyProtection="1">
      <alignment horizontal="right"/>
    </xf>
    <xf numFmtId="0" fontId="12" fillId="0" borderId="7" xfId="0" applyFont="1" applyFill="1" applyBorder="1" applyAlignment="1" applyProtection="1">
      <alignment horizontal="right"/>
    </xf>
    <xf numFmtId="0" fontId="47" fillId="0" borderId="0" xfId="0" applyFont="1" applyBorder="1" applyAlignment="1" applyProtection="1">
      <alignment horizontal="left"/>
    </xf>
    <xf numFmtId="0" fontId="47" fillId="0" borderId="2" xfId="0" applyFont="1" applyBorder="1" applyAlignment="1" applyProtection="1">
      <alignment horizontal="left"/>
    </xf>
    <xf numFmtId="0" fontId="55" fillId="6" borderId="45" xfId="0" applyFont="1" applyFill="1" applyBorder="1" applyAlignment="1" applyProtection="1">
      <alignment horizontal="left" vertical="center"/>
    </xf>
    <xf numFmtId="0" fontId="55" fillId="6" borderId="18" xfId="0" applyFont="1" applyFill="1" applyBorder="1" applyAlignment="1" applyProtection="1">
      <alignment horizontal="left" vertical="center"/>
    </xf>
    <xf numFmtId="0" fontId="55" fillId="6" borderId="46" xfId="0" applyFont="1" applyFill="1" applyBorder="1" applyAlignment="1" applyProtection="1">
      <alignment horizontal="left" vertical="center"/>
    </xf>
    <xf numFmtId="0" fontId="67" fillId="11" borderId="52" xfId="0" applyFont="1" applyFill="1" applyBorder="1" applyAlignment="1" applyProtection="1">
      <alignment horizontal="right"/>
    </xf>
    <xf numFmtId="0" fontId="67" fillId="11" borderId="26" xfId="0" applyFont="1" applyFill="1" applyBorder="1" applyAlignment="1" applyProtection="1">
      <alignment horizontal="right"/>
    </xf>
    <xf numFmtId="0" fontId="47" fillId="0" borderId="60" xfId="0" applyFont="1" applyBorder="1" applyAlignment="1" applyProtection="1">
      <alignment horizontal="left"/>
    </xf>
    <xf numFmtId="0" fontId="77" fillId="0" borderId="45" xfId="0" applyFont="1" applyFill="1" applyBorder="1" applyAlignment="1" applyProtection="1">
      <alignment horizontal="left" vertical="center"/>
    </xf>
    <xf numFmtId="0" fontId="77" fillId="0" borderId="18" xfId="0" applyFont="1" applyFill="1" applyBorder="1" applyAlignment="1" applyProtection="1">
      <alignment horizontal="left" vertical="center"/>
    </xf>
    <xf numFmtId="0" fontId="77" fillId="0" borderId="46" xfId="0" applyFont="1" applyFill="1" applyBorder="1" applyAlignment="1" applyProtection="1">
      <alignment horizontal="left" vertical="center"/>
    </xf>
    <xf numFmtId="0" fontId="77" fillId="6" borderId="45" xfId="0" applyFont="1" applyFill="1" applyBorder="1" applyAlignment="1" applyProtection="1">
      <alignment horizontal="left" vertical="center"/>
    </xf>
    <xf numFmtId="0" fontId="77" fillId="6" borderId="18" xfId="0" applyFont="1" applyFill="1" applyBorder="1" applyAlignment="1" applyProtection="1">
      <alignment horizontal="left" vertical="center"/>
    </xf>
    <xf numFmtId="0" fontId="77" fillId="6" borderId="46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67" fillId="11" borderId="53" xfId="0" applyFont="1" applyFill="1" applyBorder="1" applyAlignment="1" applyProtection="1">
      <alignment horizontal="right"/>
    </xf>
    <xf numFmtId="0" fontId="67" fillId="11" borderId="34" xfId="0" applyFont="1" applyFill="1" applyBorder="1" applyAlignment="1" applyProtection="1">
      <alignment horizontal="right"/>
    </xf>
    <xf numFmtId="0" fontId="67" fillId="11" borderId="40" xfId="0" applyFont="1" applyFill="1" applyBorder="1" applyAlignment="1" applyProtection="1">
      <alignment horizontal="right"/>
    </xf>
    <xf numFmtId="0" fontId="67" fillId="11" borderId="19" xfId="0" applyFont="1" applyFill="1" applyBorder="1" applyAlignment="1" applyProtection="1">
      <alignment horizontal="right"/>
    </xf>
    <xf numFmtId="0" fontId="7" fillId="0" borderId="25" xfId="0" applyFont="1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/>
    </xf>
    <xf numFmtId="0" fontId="7" fillId="0" borderId="21" xfId="0" applyFont="1" applyFill="1" applyBorder="1" applyAlignment="1" applyProtection="1">
      <alignment horizontal="center" vertical="center"/>
    </xf>
    <xf numFmtId="0" fontId="26" fillId="0" borderId="25" xfId="0" applyFont="1" applyBorder="1" applyAlignment="1" applyProtection="1">
      <alignment horizontal="center" vertical="center"/>
    </xf>
    <xf numFmtId="0" fontId="26" fillId="0" borderId="26" xfId="0" applyFont="1" applyBorder="1" applyAlignment="1" applyProtection="1">
      <alignment horizontal="center" vertical="center"/>
    </xf>
    <xf numFmtId="165" fontId="27" fillId="5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right"/>
    </xf>
    <xf numFmtId="0" fontId="16" fillId="0" borderId="0" xfId="0" applyFont="1" applyFill="1" applyBorder="1" applyAlignment="1" applyProtection="1">
      <alignment horizontal="center" vertical="center"/>
    </xf>
    <xf numFmtId="0" fontId="63" fillId="11" borderId="40" xfId="0" applyFont="1" applyFill="1" applyBorder="1" applyAlignment="1" applyProtection="1">
      <alignment horizontal="right"/>
    </xf>
    <xf numFmtId="0" fontId="63" fillId="11" borderId="19" xfId="0" applyFont="1" applyFill="1" applyBorder="1" applyAlignment="1" applyProtection="1">
      <alignment horizontal="right"/>
    </xf>
    <xf numFmtId="0" fontId="16" fillId="4" borderId="25" xfId="0" applyFont="1" applyFill="1" applyBorder="1" applyAlignment="1" applyProtection="1">
      <alignment horizontal="center" vertical="center"/>
    </xf>
    <xf numFmtId="0" fontId="16" fillId="4" borderId="21" xfId="0" applyFont="1" applyFill="1" applyBorder="1" applyAlignment="1" applyProtection="1">
      <alignment horizontal="center" vertical="center"/>
    </xf>
    <xf numFmtId="0" fontId="7" fillId="0" borderId="50" xfId="0" applyFont="1" applyBorder="1" applyAlignment="1" applyProtection="1">
      <alignment horizontal="right"/>
    </xf>
    <xf numFmtId="0" fontId="11" fillId="0" borderId="0" xfId="0" applyFont="1" applyAlignment="1" applyProtection="1">
      <alignment horizontal="right"/>
    </xf>
    <xf numFmtId="0" fontId="11" fillId="0" borderId="2" xfId="0" applyFont="1" applyBorder="1" applyAlignment="1" applyProtection="1">
      <alignment horizontal="right"/>
    </xf>
    <xf numFmtId="0" fontId="52" fillId="6" borderId="0" xfId="0" applyFont="1" applyFill="1" applyBorder="1" applyAlignment="1" applyProtection="1">
      <alignment horizontal="center" vertical="center" wrapText="1"/>
    </xf>
    <xf numFmtId="0" fontId="7" fillId="6" borderId="0" xfId="0" applyFont="1" applyFill="1" applyAlignment="1" applyProtection="1">
      <alignment horizontal="center" vertical="center" wrapText="1"/>
    </xf>
    <xf numFmtId="169" fontId="31" fillId="0" borderId="0" xfId="0" applyNumberFormat="1" applyFont="1" applyFill="1" applyBorder="1" applyAlignment="1" applyProtection="1">
      <alignment horizontal="left" vertical="center" wrapText="1"/>
    </xf>
    <xf numFmtId="0" fontId="94" fillId="0" borderId="65" xfId="0" applyFont="1" applyBorder="1" applyAlignment="1" applyProtection="1">
      <alignment horizontal="justify" vertical="center" wrapText="1"/>
    </xf>
    <xf numFmtId="0" fontId="94" fillId="0" borderId="67" xfId="0" applyFont="1" applyBorder="1" applyAlignment="1" applyProtection="1">
      <alignment horizontal="justify" vertical="center" wrapText="1"/>
    </xf>
    <xf numFmtId="0" fontId="31" fillId="0" borderId="0" xfId="0" applyFont="1" applyBorder="1" applyAlignment="1" applyProtection="1">
      <alignment horizontal="left" vertical="center" wrapText="1"/>
    </xf>
    <xf numFmtId="0" fontId="31" fillId="0" borderId="2" xfId="0" applyFont="1" applyBorder="1" applyAlignment="1" applyProtection="1">
      <alignment horizontal="left" vertical="center" wrapText="1"/>
    </xf>
    <xf numFmtId="0" fontId="31" fillId="0" borderId="0" xfId="0" applyFont="1" applyBorder="1" applyAlignment="1" applyProtection="1">
      <alignment horizontal="justify" vertical="center" wrapText="1"/>
    </xf>
    <xf numFmtId="0" fontId="31" fillId="0" borderId="2" xfId="0" applyFont="1" applyBorder="1" applyAlignment="1" applyProtection="1">
      <alignment horizontal="justify" vertical="center" wrapText="1"/>
    </xf>
    <xf numFmtId="0" fontId="93" fillId="14" borderId="25" xfId="0" applyFont="1" applyFill="1" applyBorder="1" applyAlignment="1" applyProtection="1">
      <alignment horizontal="center" vertical="center"/>
    </xf>
    <xf numFmtId="0" fontId="93" fillId="14" borderId="26" xfId="0" applyFont="1" applyFill="1" applyBorder="1" applyAlignment="1" applyProtection="1">
      <alignment horizontal="center" vertical="center"/>
    </xf>
    <xf numFmtId="0" fontId="93" fillId="14" borderId="21" xfId="0" applyFont="1" applyFill="1" applyBorder="1" applyAlignment="1" applyProtection="1">
      <alignment horizontal="center" vertical="center"/>
    </xf>
    <xf numFmtId="49" fontId="94" fillId="0" borderId="63" xfId="0" applyNumberFormat="1" applyFont="1" applyBorder="1" applyAlignment="1" applyProtection="1">
      <alignment horizontal="right" vertical="top" wrapText="1"/>
    </xf>
    <xf numFmtId="0" fontId="47" fillId="0" borderId="29" xfId="0" applyFont="1" applyBorder="1" applyAlignment="1" applyProtection="1">
      <alignment horizontal="right" vertical="top" wrapText="1"/>
    </xf>
    <xf numFmtId="0" fontId="0" fillId="0" borderId="65" xfId="0" applyBorder="1" applyAlignment="1" applyProtection="1">
      <alignment horizontal="justify" vertical="center" wrapText="1"/>
    </xf>
    <xf numFmtId="0" fontId="0" fillId="0" borderId="67" xfId="0" applyBorder="1" applyAlignment="1" applyProtection="1">
      <alignment horizontal="justify" vertical="center" wrapText="1"/>
    </xf>
    <xf numFmtId="0" fontId="0" fillId="0" borderId="0" xfId="0" applyBorder="1" applyAlignment="1" applyProtection="1">
      <alignment horizontal="justify" vertical="center" wrapText="1"/>
    </xf>
    <xf numFmtId="0" fontId="0" fillId="0" borderId="0" xfId="0" applyAlignment="1" applyProtection="1">
      <alignment horizontal="justify" vertical="center" wrapText="1"/>
    </xf>
    <xf numFmtId="0" fontId="0" fillId="0" borderId="2" xfId="0" applyBorder="1" applyAlignment="1" applyProtection="1">
      <alignment horizontal="justify" vertical="center" wrapText="1"/>
    </xf>
    <xf numFmtId="0" fontId="18" fillId="0" borderId="25" xfId="0" applyFont="1" applyBorder="1" applyAlignment="1" applyProtection="1">
      <alignment horizontal="center" vertical="center"/>
    </xf>
    <xf numFmtId="0" fontId="18" fillId="0" borderId="26" xfId="0" applyFont="1" applyBorder="1" applyAlignment="1" applyProtection="1">
      <alignment horizontal="center" vertical="center"/>
    </xf>
    <xf numFmtId="0" fontId="99" fillId="0" borderId="25" xfId="0" applyFont="1" applyBorder="1" applyAlignment="1" applyProtection="1">
      <alignment horizontal="center" vertical="center"/>
    </xf>
    <xf numFmtId="0" fontId="99" fillId="0" borderId="26" xfId="0" applyFont="1" applyBorder="1" applyAlignment="1" applyProtection="1">
      <alignment horizontal="center" vertical="center"/>
    </xf>
    <xf numFmtId="174" fontId="18" fillId="0" borderId="26" xfId="0" applyNumberFormat="1" applyFont="1" applyBorder="1" applyAlignment="1" applyProtection="1">
      <alignment horizontal="center" vertical="center"/>
    </xf>
    <xf numFmtId="174" fontId="18" fillId="0" borderId="21" xfId="0" applyNumberFormat="1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left" vertical="center"/>
    </xf>
    <xf numFmtId="0" fontId="31" fillId="0" borderId="2" xfId="0" applyFont="1" applyBorder="1" applyAlignment="1" applyProtection="1">
      <alignment horizontal="left" vertical="center"/>
    </xf>
    <xf numFmtId="0" fontId="94" fillId="0" borderId="65" xfId="0" applyFont="1" applyBorder="1" applyAlignment="1" applyProtection="1">
      <alignment horizontal="left" vertical="center" wrapText="1"/>
    </xf>
    <xf numFmtId="0" fontId="31" fillId="0" borderId="24" xfId="0" applyFont="1" applyBorder="1" applyAlignment="1" applyProtection="1">
      <alignment horizontal="left" vertical="center" wrapText="1"/>
    </xf>
    <xf numFmtId="0" fontId="31" fillId="0" borderId="35" xfId="0" applyFont="1" applyBorder="1" applyAlignment="1" applyProtection="1">
      <alignment horizontal="left" vertical="center" wrapText="1"/>
    </xf>
    <xf numFmtId="49" fontId="94" fillId="0" borderId="65" xfId="0" applyNumberFormat="1" applyFont="1" applyBorder="1" applyAlignment="1" applyProtection="1">
      <alignment horizontal="left" vertical="center" wrapText="1"/>
    </xf>
    <xf numFmtId="49" fontId="94" fillId="0" borderId="67" xfId="0" applyNumberFormat="1" applyFont="1" applyBorder="1" applyAlignment="1" applyProtection="1">
      <alignment horizontal="left" vertical="center" wrapText="1"/>
    </xf>
    <xf numFmtId="49" fontId="94" fillId="0" borderId="0" xfId="0" applyNumberFormat="1" applyFont="1" applyBorder="1" applyAlignment="1" applyProtection="1">
      <alignment horizontal="left" vertical="center" wrapText="1"/>
    </xf>
    <xf numFmtId="49" fontId="94" fillId="0" borderId="2" xfId="0" applyNumberFormat="1" applyFont="1" applyBorder="1" applyAlignment="1" applyProtection="1">
      <alignment horizontal="left" vertical="center" wrapText="1"/>
    </xf>
    <xf numFmtId="0" fontId="6" fillId="0" borderId="24" xfId="0" applyFont="1" applyBorder="1" applyAlignment="1" applyProtection="1">
      <alignment horizontal="center" vertical="center"/>
    </xf>
    <xf numFmtId="168" fontId="18" fillId="0" borderId="24" xfId="0" applyNumberFormat="1" applyFont="1" applyBorder="1" applyAlignment="1" applyProtection="1">
      <alignment horizontal="center" vertical="top"/>
    </xf>
    <xf numFmtId="168" fontId="18" fillId="0" borderId="35" xfId="0" applyNumberFormat="1" applyFont="1" applyBorder="1" applyAlignment="1" applyProtection="1">
      <alignment horizontal="center" vertical="top"/>
    </xf>
    <xf numFmtId="49" fontId="15" fillId="0" borderId="25" xfId="0" applyNumberFormat="1" applyFont="1" applyBorder="1" applyAlignment="1" applyProtection="1">
      <alignment horizontal="justify" vertical="center" wrapText="1"/>
    </xf>
    <xf numFmtId="0" fontId="0" fillId="0" borderId="26" xfId="0" applyBorder="1" applyAlignment="1" applyProtection="1">
      <alignment horizontal="justify" vertical="center" wrapText="1"/>
    </xf>
    <xf numFmtId="0" fontId="23" fillId="0" borderId="26" xfId="0" applyFont="1" applyBorder="1" applyAlignment="1" applyProtection="1">
      <alignment horizontal="justify" vertical="center" wrapText="1"/>
    </xf>
    <xf numFmtId="0" fontId="23" fillId="0" borderId="21" xfId="0" applyFont="1" applyBorder="1" applyAlignment="1" applyProtection="1">
      <alignment horizontal="justify" vertical="center" wrapText="1"/>
    </xf>
    <xf numFmtId="0" fontId="94" fillId="0" borderId="67" xfId="0" applyFont="1" applyBorder="1" applyAlignment="1" applyProtection="1">
      <alignment horizontal="left" vertical="center" wrapText="1"/>
    </xf>
    <xf numFmtId="0" fontId="94" fillId="0" borderId="65" xfId="0" applyFont="1" applyBorder="1" applyAlignment="1" applyProtection="1">
      <alignment horizontal="left" vertical="center"/>
    </xf>
    <xf numFmtId="0" fontId="94" fillId="0" borderId="67" xfId="0" applyFont="1" applyBorder="1" applyAlignment="1" applyProtection="1">
      <alignment horizontal="left" vertical="center"/>
    </xf>
    <xf numFmtId="0" fontId="96" fillId="14" borderId="26" xfId="0" applyFont="1" applyFill="1" applyBorder="1" applyAlignment="1" applyProtection="1">
      <alignment horizontal="left" vertical="center"/>
    </xf>
    <xf numFmtId="0" fontId="96" fillId="14" borderId="21" xfId="0" applyFont="1" applyFill="1" applyBorder="1" applyAlignment="1" applyProtection="1">
      <alignment horizontal="left" vertical="center"/>
    </xf>
    <xf numFmtId="0" fontId="94" fillId="0" borderId="24" xfId="0" applyFont="1" applyBorder="1" applyAlignment="1" applyProtection="1">
      <alignment horizontal="justify" vertical="center" wrapText="1"/>
    </xf>
    <xf numFmtId="0" fontId="94" fillId="0" borderId="35" xfId="0" applyFont="1" applyBorder="1" applyAlignment="1" applyProtection="1">
      <alignment horizontal="justify" vertical="center" wrapText="1"/>
    </xf>
    <xf numFmtId="0" fontId="94" fillId="0" borderId="26" xfId="0" applyFont="1" applyBorder="1" applyAlignment="1" applyProtection="1">
      <alignment horizontal="justify" vertical="center" wrapText="1"/>
    </xf>
    <xf numFmtId="0" fontId="94" fillId="0" borderId="21" xfId="0" applyFont="1" applyBorder="1" applyAlignment="1" applyProtection="1">
      <alignment horizontal="justify" vertical="center" wrapText="1"/>
    </xf>
    <xf numFmtId="0" fontId="93" fillId="0" borderId="66" xfId="0" applyFont="1" applyBorder="1" applyAlignment="1" applyProtection="1">
      <alignment vertical="center" wrapText="1"/>
    </xf>
    <xf numFmtId="0" fontId="105" fillId="6" borderId="0" xfId="0" applyFont="1" applyFill="1" applyAlignment="1" applyProtection="1">
      <alignment horizontal="left" vertical="center"/>
    </xf>
    <xf numFmtId="165" fontId="15" fillId="0" borderId="0" xfId="0" applyNumberFormat="1" applyFont="1" applyAlignment="1" applyProtection="1">
      <alignment horizontal="center"/>
    </xf>
    <xf numFmtId="0" fontId="23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15" fillId="0" borderId="45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46" xfId="0" applyFont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0" fontId="137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35" fillId="21" borderId="0" xfId="0" applyFont="1" applyFill="1" applyAlignment="1">
      <alignment horizontal="center" vertical="center" textRotation="90"/>
    </xf>
    <xf numFmtId="0" fontId="18" fillId="0" borderId="0" xfId="0" applyFont="1" applyAlignment="1">
      <alignment horizontal="right" vertical="center"/>
    </xf>
    <xf numFmtId="165" fontId="18" fillId="0" borderId="0" xfId="0" applyNumberFormat="1" applyFont="1" applyAlignment="1">
      <alignment horizontal="center"/>
    </xf>
    <xf numFmtId="0" fontId="136" fillId="0" borderId="2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0" fillId="0" borderId="25" xfId="0" applyBorder="1" applyAlignment="1" applyProtection="1">
      <alignment horizontal="left"/>
    </xf>
    <xf numFmtId="0" fontId="0" fillId="0" borderId="26" xfId="0" applyBorder="1" applyAlignment="1" applyProtection="1">
      <alignment horizontal="left"/>
    </xf>
    <xf numFmtId="0" fontId="0" fillId="0" borderId="81" xfId="0" applyBorder="1" applyAlignment="1" applyProtection="1">
      <alignment horizontal="left"/>
    </xf>
    <xf numFmtId="0" fontId="0" fillId="0" borderId="31" xfId="0" applyBorder="1" applyAlignment="1" applyProtection="1">
      <alignment horizontal="left"/>
    </xf>
    <xf numFmtId="0" fontId="0" fillId="0" borderId="57" xfId="0" applyBorder="1" applyAlignment="1" applyProtection="1">
      <alignment horizontal="left"/>
    </xf>
    <xf numFmtId="0" fontId="0" fillId="0" borderId="83" xfId="0" applyBorder="1" applyAlignment="1" applyProtection="1">
      <alignment horizontal="left"/>
    </xf>
    <xf numFmtId="0" fontId="128" fillId="0" borderId="24" xfId="0" applyFont="1" applyBorder="1" applyAlignment="1" applyProtection="1">
      <alignment horizontal="left"/>
    </xf>
    <xf numFmtId="0" fontId="135" fillId="21" borderId="0" xfId="0" applyFont="1" applyFill="1" applyAlignment="1">
      <alignment horizontal="center" vertical="center" textRotation="90" wrapText="1"/>
    </xf>
    <xf numFmtId="0" fontId="129" fillId="0" borderId="0" xfId="0" applyFont="1" applyAlignment="1" applyProtection="1">
      <alignment horizontal="center" vertical="center" wrapText="1"/>
    </xf>
    <xf numFmtId="0" fontId="129" fillId="0" borderId="0" xfId="0" applyFont="1" applyAlignment="1" applyProtection="1">
      <alignment horizontal="center" vertical="center"/>
    </xf>
    <xf numFmtId="0" fontId="114" fillId="0" borderId="0" xfId="3" applyFont="1" applyAlignment="1" applyProtection="1">
      <alignment horizontal="left" readingOrder="1"/>
    </xf>
    <xf numFmtId="0" fontId="114" fillId="0" borderId="0" xfId="3" applyFont="1" applyAlignment="1" applyProtection="1">
      <alignment horizontal="left" vertical="top" readingOrder="1"/>
    </xf>
    <xf numFmtId="0" fontId="113" fillId="0" borderId="0" xfId="0" applyFont="1" applyAlignment="1" applyProtection="1">
      <alignment horizontal="left"/>
    </xf>
    <xf numFmtId="0" fontId="113" fillId="0" borderId="0" xfId="0" applyFont="1" applyBorder="1" applyAlignment="1" applyProtection="1">
      <alignment horizontal="left"/>
    </xf>
    <xf numFmtId="0" fontId="139" fillId="0" borderId="63" xfId="0" applyFont="1" applyFill="1" applyBorder="1" applyAlignment="1" applyProtection="1">
      <alignment horizontal="center"/>
    </xf>
    <xf numFmtId="0" fontId="139" fillId="0" borderId="3" xfId="0" applyFont="1" applyFill="1" applyBorder="1" applyAlignment="1" applyProtection="1">
      <alignment horizontal="center"/>
    </xf>
    <xf numFmtId="0" fontId="139" fillId="0" borderId="67" xfId="0" applyFont="1" applyFill="1" applyBorder="1" applyAlignment="1" applyProtection="1">
      <alignment horizontal="center"/>
    </xf>
    <xf numFmtId="0" fontId="0" fillId="0" borderId="4" xfId="0" applyBorder="1" applyAlignment="1" applyProtection="1">
      <alignment horizontal="left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7" fillId="0" borderId="48" xfId="0" applyFont="1" applyBorder="1" applyAlignment="1" applyProtection="1">
      <alignment horizontal="right"/>
    </xf>
    <xf numFmtId="0" fontId="7" fillId="0" borderId="2" xfId="0" applyFont="1" applyBorder="1" applyAlignment="1" applyProtection="1">
      <alignment horizontal="right"/>
    </xf>
    <xf numFmtId="0" fontId="67" fillId="11" borderId="63" xfId="0" applyFont="1" applyFill="1" applyBorder="1" applyAlignment="1" applyProtection="1">
      <alignment horizontal="right"/>
    </xf>
    <xf numFmtId="0" fontId="7" fillId="0" borderId="25" xfId="0" applyFont="1" applyFill="1" applyBorder="1" applyAlignment="1" applyProtection="1">
      <alignment horizontal="center" vertical="center" wrapText="1"/>
    </xf>
    <xf numFmtId="0" fontId="7" fillId="0" borderId="26" xfId="0" applyFont="1" applyFill="1" applyBorder="1" applyAlignment="1" applyProtection="1">
      <alignment horizontal="center" vertical="center" wrapText="1"/>
    </xf>
    <xf numFmtId="0" fontId="7" fillId="0" borderId="21" xfId="0" applyFont="1" applyFill="1" applyBorder="1" applyAlignment="1" applyProtection="1">
      <alignment horizontal="center" vertical="center" wrapText="1"/>
    </xf>
    <xf numFmtId="165" fontId="27" fillId="7" borderId="1" xfId="0" applyNumberFormat="1" applyFont="1" applyFill="1" applyBorder="1" applyAlignment="1" applyProtection="1">
      <alignment horizontal="center" vertical="center" wrapText="1"/>
    </xf>
    <xf numFmtId="0" fontId="25" fillId="6" borderId="0" xfId="0" applyFont="1" applyFill="1" applyAlignment="1" applyProtection="1">
      <alignment horizontal="center" vertical="center" wrapText="1"/>
    </xf>
    <xf numFmtId="0" fontId="92" fillId="13" borderId="0" xfId="0" applyFont="1" applyFill="1" applyBorder="1" applyAlignment="1" applyProtection="1">
      <alignment horizontal="center" vertical="center"/>
    </xf>
    <xf numFmtId="0" fontId="92" fillId="13" borderId="2" xfId="0" applyFont="1" applyFill="1" applyBorder="1" applyAlignment="1" applyProtection="1">
      <alignment horizontal="center" vertical="center"/>
    </xf>
    <xf numFmtId="0" fontId="135" fillId="21" borderId="0" xfId="0" applyFont="1" applyFill="1" applyAlignment="1" applyProtection="1">
      <alignment horizontal="center" vertical="center" textRotation="90"/>
      <protection locked="0"/>
    </xf>
    <xf numFmtId="0" fontId="94" fillId="0" borderId="96" xfId="0" applyFont="1" applyBorder="1" applyAlignment="1" applyProtection="1">
      <alignment horizontal="justify" vertical="center" wrapText="1"/>
    </xf>
    <xf numFmtId="0" fontId="94" fillId="0" borderId="97" xfId="0" applyFont="1" applyBorder="1" applyAlignment="1" applyProtection="1">
      <alignment horizontal="justify" vertical="center" wrapText="1"/>
    </xf>
    <xf numFmtId="0" fontId="0" fillId="0" borderId="27" xfId="0" applyBorder="1" applyAlignment="1">
      <alignment horizontal="center"/>
    </xf>
    <xf numFmtId="0" fontId="0" fillId="0" borderId="1" xfId="0" applyBorder="1" applyAlignment="1">
      <alignment horizontal="center"/>
    </xf>
    <xf numFmtId="0" fontId="94" fillId="0" borderId="96" xfId="0" applyFont="1" applyBorder="1" applyAlignment="1" applyProtection="1">
      <alignment horizontal="left" vertical="center" wrapText="1"/>
    </xf>
    <xf numFmtId="0" fontId="0" fillId="0" borderId="0" xfId="0" applyAlignment="1">
      <alignment horizontal="center"/>
    </xf>
    <xf numFmtId="49" fontId="94" fillId="0" borderId="95" xfId="0" applyNumberFormat="1" applyFont="1" applyBorder="1" applyAlignment="1" applyProtection="1">
      <alignment horizontal="right" vertical="top" wrapText="1"/>
    </xf>
    <xf numFmtId="0" fontId="0" fillId="0" borderId="96" xfId="0" applyBorder="1" applyAlignment="1" applyProtection="1">
      <alignment horizontal="justify" vertical="center" wrapText="1"/>
    </xf>
    <xf numFmtId="0" fontId="0" fillId="0" borderId="97" xfId="0" applyBorder="1" applyAlignment="1" applyProtection="1">
      <alignment horizontal="justify" vertical="center" wrapText="1"/>
    </xf>
    <xf numFmtId="49" fontId="94" fillId="0" borderId="96" xfId="0" applyNumberFormat="1" applyFont="1" applyBorder="1" applyAlignment="1" applyProtection="1">
      <alignment horizontal="left" vertical="center" wrapText="1"/>
    </xf>
    <xf numFmtId="0" fontId="94" fillId="0" borderId="97" xfId="0" applyFont="1" applyBorder="1" applyAlignment="1" applyProtection="1">
      <alignment horizontal="left" vertical="center" wrapText="1"/>
    </xf>
    <xf numFmtId="0" fontId="94" fillId="0" borderId="96" xfId="0" applyFont="1" applyBorder="1" applyAlignment="1" applyProtection="1">
      <alignment horizontal="left" vertical="center"/>
    </xf>
    <xf numFmtId="0" fontId="94" fillId="0" borderId="97" xfId="0" applyFont="1" applyBorder="1" applyAlignment="1" applyProtection="1">
      <alignment horizontal="left" vertical="center"/>
    </xf>
    <xf numFmtId="49" fontId="15" fillId="0" borderId="29" xfId="0" applyNumberFormat="1" applyFont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0" fontId="23" fillId="0" borderId="26" xfId="0" applyFont="1" applyBorder="1" applyAlignment="1" applyProtection="1">
      <alignment horizontal="justify" vertical="center" wrapText="1"/>
      <protection locked="0"/>
    </xf>
    <xf numFmtId="0" fontId="23" fillId="0" borderId="21" xfId="0" applyFont="1" applyBorder="1" applyAlignment="1" applyProtection="1">
      <alignment horizontal="justify" vertical="center" wrapText="1"/>
      <protection locked="0"/>
    </xf>
    <xf numFmtId="168" fontId="18" fillId="0" borderId="24" xfId="0" applyNumberFormat="1" applyFont="1" applyBorder="1" applyAlignment="1" applyProtection="1">
      <alignment horizontal="center" vertical="center"/>
    </xf>
    <xf numFmtId="168" fontId="18" fillId="0" borderId="35" xfId="0" applyNumberFormat="1" applyFont="1" applyBorder="1" applyAlignment="1" applyProtection="1">
      <alignment horizontal="center" vertical="center"/>
    </xf>
    <xf numFmtId="0" fontId="8" fillId="6" borderId="0" xfId="0" applyFont="1" applyFill="1" applyBorder="1" applyAlignment="1" applyProtection="1">
      <alignment horizontal="right" vertical="center"/>
    </xf>
    <xf numFmtId="0" fontId="8" fillId="6" borderId="22" xfId="0" applyFont="1" applyFill="1" applyBorder="1" applyAlignment="1" applyProtection="1">
      <alignment horizontal="right" vertical="center"/>
    </xf>
    <xf numFmtId="0" fontId="143" fillId="6" borderId="0" xfId="0" applyFont="1" applyFill="1" applyBorder="1" applyAlignment="1" applyProtection="1">
      <alignment horizontal="center" vertical="center" wrapText="1"/>
    </xf>
    <xf numFmtId="0" fontId="144" fillId="21" borderId="0" xfId="0" applyFont="1" applyFill="1" applyAlignment="1" applyProtection="1">
      <alignment horizontal="center" vertical="center"/>
    </xf>
    <xf numFmtId="0" fontId="146" fillId="0" borderId="14" xfId="0" applyFont="1" applyFill="1" applyBorder="1" applyAlignment="1" applyProtection="1">
      <alignment horizontal="center" vertical="center"/>
    </xf>
    <xf numFmtId="0" fontId="146" fillId="0" borderId="6" xfId="0" applyFont="1" applyFill="1" applyBorder="1" applyAlignment="1" applyProtection="1">
      <alignment horizontal="center" vertical="center"/>
    </xf>
    <xf numFmtId="0" fontId="90" fillId="6" borderId="102" xfId="0" applyFont="1" applyFill="1" applyBorder="1" applyAlignment="1" applyProtection="1">
      <alignment horizontal="right" vertical="center"/>
    </xf>
    <xf numFmtId="0" fontId="90" fillId="6" borderId="103" xfId="0" applyFont="1" applyFill="1" applyBorder="1" applyAlignment="1" applyProtection="1">
      <alignment horizontal="right" vertical="center"/>
    </xf>
    <xf numFmtId="0" fontId="135" fillId="21" borderId="0" xfId="0" applyFont="1" applyFill="1" applyBorder="1" applyAlignment="1" applyProtection="1">
      <alignment horizontal="right" vertical="center"/>
    </xf>
    <xf numFmtId="0" fontId="135" fillId="21" borderId="22" xfId="0" applyFont="1" applyFill="1" applyBorder="1" applyAlignment="1" applyProtection="1">
      <alignment horizontal="right" vertical="center"/>
    </xf>
    <xf numFmtId="0" fontId="8" fillId="3" borderId="0" xfId="0" applyFont="1" applyFill="1" applyBorder="1" applyAlignment="1" applyProtection="1">
      <alignment horizontal="right" vertical="center"/>
    </xf>
    <xf numFmtId="0" fontId="8" fillId="3" borderId="22" xfId="0" applyFont="1" applyFill="1" applyBorder="1" applyAlignment="1" applyProtection="1">
      <alignment horizontal="right" vertical="center"/>
    </xf>
    <xf numFmtId="0" fontId="90" fillId="3" borderId="108" xfId="0" applyFont="1" applyFill="1" applyBorder="1" applyAlignment="1" applyProtection="1">
      <alignment horizontal="right" vertical="center"/>
    </xf>
    <xf numFmtId="0" fontId="90" fillId="3" borderId="109" xfId="0" applyFont="1" applyFill="1" applyBorder="1" applyAlignment="1" applyProtection="1">
      <alignment horizontal="right" vertical="center"/>
    </xf>
    <xf numFmtId="0" fontId="18" fillId="3" borderId="0" xfId="0" applyFont="1" applyFill="1" applyBorder="1" applyAlignment="1" applyProtection="1">
      <alignment horizontal="right" vertical="center"/>
    </xf>
    <xf numFmtId="0" fontId="18" fillId="3" borderId="22" xfId="0" applyFont="1" applyFill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horizontal="right" vertical="center"/>
    </xf>
    <xf numFmtId="0" fontId="18" fillId="0" borderId="22" xfId="0" applyFont="1" applyBorder="1" applyAlignment="1" applyProtection="1">
      <alignment horizontal="right" vertical="center"/>
    </xf>
    <xf numFmtId="0" fontId="133" fillId="0" borderId="0" xfId="3" applyFont="1" applyBorder="1" applyAlignment="1" applyProtection="1">
      <alignment horizontal="center"/>
    </xf>
    <xf numFmtId="0" fontId="120" fillId="0" borderId="0" xfId="3" applyFont="1" applyAlignment="1" applyProtection="1">
      <alignment horizontal="center" vertical="center" wrapText="1"/>
    </xf>
    <xf numFmtId="0" fontId="134" fillId="0" borderId="0" xfId="3" applyFont="1" applyBorder="1" applyAlignment="1" applyProtection="1">
      <alignment horizontal="center" vertical="center" wrapText="1"/>
    </xf>
    <xf numFmtId="0" fontId="23" fillId="19" borderId="0" xfId="3" applyFont="1" applyFill="1" applyAlignment="1">
      <alignment horizontal="left" vertical="top" wrapText="1"/>
    </xf>
    <xf numFmtId="14" fontId="106" fillId="0" borderId="0" xfId="3" applyNumberFormat="1" applyFont="1" applyAlignment="1" applyProtection="1">
      <alignment horizontal="left"/>
    </xf>
    <xf numFmtId="0" fontId="131" fillId="0" borderId="0" xfId="3" applyFont="1" applyAlignment="1" applyProtection="1">
      <alignment horizontal="left" vertical="center"/>
    </xf>
    <xf numFmtId="0" fontId="23" fillId="0" borderId="0" xfId="3" applyFont="1" applyBorder="1" applyAlignment="1" applyProtection="1">
      <alignment horizontal="left" wrapText="1"/>
    </xf>
    <xf numFmtId="0" fontId="23" fillId="0" borderId="0" xfId="3" applyFont="1" applyBorder="1" applyAlignment="1" applyProtection="1">
      <alignment horizontal="left"/>
    </xf>
    <xf numFmtId="0" fontId="23" fillId="0" borderId="0" xfId="3" applyFont="1" applyBorder="1" applyAlignment="1" applyProtection="1">
      <alignment horizontal="center"/>
    </xf>
    <xf numFmtId="0" fontId="23" fillId="0" borderId="0" xfId="3" applyBorder="1" applyAlignment="1" applyProtection="1">
      <alignment horizontal="center"/>
    </xf>
    <xf numFmtId="0" fontId="111" fillId="0" borderId="0" xfId="3" applyFont="1" applyAlignment="1" applyProtection="1">
      <alignment horizontal="center" vertical="center" wrapText="1"/>
    </xf>
    <xf numFmtId="0" fontId="114" fillId="0" borderId="0" xfId="3" applyFont="1" applyAlignment="1" applyProtection="1">
      <alignment horizontal="center" readingOrder="1"/>
    </xf>
    <xf numFmtId="0" fontId="127" fillId="0" borderId="0" xfId="3" applyFont="1" applyAlignment="1" applyProtection="1">
      <alignment horizontal="center" vertical="center" wrapText="1"/>
    </xf>
    <xf numFmtId="0" fontId="26" fillId="0" borderId="0" xfId="3" applyFont="1" applyAlignment="1" applyProtection="1">
      <alignment horizontal="center"/>
    </xf>
    <xf numFmtId="0" fontId="121" fillId="0" borderId="0" xfId="3" applyFont="1" applyBorder="1" applyAlignment="1" applyProtection="1">
      <alignment horizontal="center" vertical="center" wrapText="1"/>
    </xf>
    <xf numFmtId="0" fontId="23" fillId="11" borderId="0" xfId="0" applyFont="1" applyFill="1" applyAlignment="1">
      <alignment horizontal="center" vertical="top" wrapText="1"/>
    </xf>
    <xf numFmtId="177" fontId="106" fillId="0" borderId="0" xfId="0" applyNumberFormat="1" applyFont="1" applyAlignment="1" applyProtection="1">
      <alignment horizontal="left"/>
    </xf>
    <xf numFmtId="0" fontId="28" fillId="0" borderId="0" xfId="0" applyFont="1" applyAlignment="1" applyProtection="1">
      <alignment horizontal="left" vertical="center"/>
    </xf>
    <xf numFmtId="165" fontId="28" fillId="0" borderId="0" xfId="0" applyNumberFormat="1" applyFont="1" applyBorder="1" applyAlignment="1" applyProtection="1">
      <alignment horizontal="left"/>
    </xf>
    <xf numFmtId="0" fontId="28" fillId="0" borderId="0" xfId="0" applyFont="1" applyBorder="1" applyAlignment="1" applyProtection="1">
      <alignment horizontal="center"/>
    </xf>
    <xf numFmtId="0" fontId="118" fillId="0" borderId="0" xfId="3" applyFont="1" applyAlignment="1" applyProtection="1">
      <alignment horizontal="center" wrapText="1"/>
    </xf>
    <xf numFmtId="0" fontId="118" fillId="0" borderId="0" xfId="3" applyFont="1" applyAlignment="1" applyProtection="1">
      <alignment horizontal="center"/>
    </xf>
    <xf numFmtId="0" fontId="120" fillId="0" borderId="0" xfId="3" applyFont="1" applyAlignment="1" applyProtection="1">
      <alignment horizontal="center" vertical="center"/>
    </xf>
    <xf numFmtId="0" fontId="11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/>
    </xf>
    <xf numFmtId="0" fontId="28" fillId="0" borderId="0" xfId="0" applyFont="1" applyAlignment="1" applyProtection="1">
      <alignment horizontal="left"/>
    </xf>
  </cellXfs>
  <cellStyles count="5">
    <cellStyle name="Lien hypertexte" xfId="4" builtinId="8"/>
    <cellStyle name="Monétaire" xfId="1" builtinId="4"/>
    <cellStyle name="Normal" xfId="0" builtinId="0"/>
    <cellStyle name="Normal 2" xfId="3"/>
    <cellStyle name="Pourcentage" xfId="2" builtinId="5"/>
  </cellStyles>
  <dxfs count="0"/>
  <tableStyles count="0" defaultTableStyle="TableStyleMedium2" defaultPivotStyle="PivotStyleLight16"/>
  <colors>
    <mruColors>
      <color rgb="FFBDEF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23</xdr:row>
          <xdr:rowOff>66675</xdr:rowOff>
        </xdr:from>
        <xdr:to>
          <xdr:col>3</xdr:col>
          <xdr:colOff>0</xdr:colOff>
          <xdr:row>26</xdr:row>
          <xdr:rowOff>123825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att et facture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23</xdr:row>
          <xdr:rowOff>95250</xdr:rowOff>
        </xdr:from>
        <xdr:to>
          <xdr:col>5</xdr:col>
          <xdr:colOff>571500</xdr:colOff>
          <xdr:row>27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Dossier instructeur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0</xdr:col>
      <xdr:colOff>1446129</xdr:colOff>
      <xdr:row>5</xdr:row>
      <xdr:rowOff>381000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04775"/>
          <a:ext cx="1131804" cy="1562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2</xdr:col>
      <xdr:colOff>36429</xdr:colOff>
      <xdr:row>5</xdr:row>
      <xdr:rowOff>209550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1131804" cy="1562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57150</xdr:rowOff>
    </xdr:from>
    <xdr:to>
      <xdr:col>1</xdr:col>
      <xdr:colOff>560304</xdr:colOff>
      <xdr:row>2</xdr:row>
      <xdr:rowOff>190500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57150"/>
          <a:ext cx="1131804" cy="156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25</xdr:row>
      <xdr:rowOff>133350</xdr:rowOff>
    </xdr:from>
    <xdr:to>
      <xdr:col>1</xdr:col>
      <xdr:colOff>617454</xdr:colOff>
      <xdr:row>28</xdr:row>
      <xdr:rowOff>304800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8991600"/>
          <a:ext cx="1131804" cy="15621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1%20CT64%20FFME/FORMATIONS%202021/211217_1945_M&amp;E_Niv1__Couloir%20goulotte_Saint%20Lary%20Soulan_Matrice%20gestion%20stages%20M&amp;E%20CR%20&amp;%20C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1%20CT64%20FFME/FORMATIONS%202021/211009_1942_M&amp;E_Niv2_Courses%20d'ar&#234;tes_/210730_1942_M&amp;E_Niv2__Course%20d'ar&#234;tes_Luchonnais%20Refuge%20du%20Portillon_Matrice%20gestion%20stages%20M&amp;E%20CR%20&amp;%20C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21%20CT64%20FFME/FORMATIONS%202021/211210_1945_M&amp;E_Niv1_Couloir%20Goulotte_St%20Lary%20Soulan/211217_1945_M&amp;E_Niv1__Couloir%20goulotte_Saint%20Lary%20Soulan_Matrice%20gestion%20stages%20M&amp;E%20CR%20&amp;%20C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PRESENTATION"/>
      <sheetName val="2-Infos"/>
      <sheetName val="3-Fichiers"/>
      <sheetName val="4-BASES PREVI"/>
      <sheetName val="5-BUDGET PREVI"/>
      <sheetName val="6-DEVIS"/>
      <sheetName val="7-Programme"/>
      <sheetName val="8-FACTURES"/>
      <sheetName val="9-Intranet"/>
      <sheetName val="10-Inscrits"/>
      <sheetName val="11-Pré-requis"/>
      <sheetName val="12-Paiement"/>
      <sheetName val="13-Présence"/>
      <sheetName val="14-Résultats"/>
      <sheetName val="15-Attestations"/>
      <sheetName val="16-Eval stagiaires"/>
      <sheetName val="17-Bilan péda"/>
      <sheetName val="18-REALISE"/>
      <sheetName val="19-CR FI"/>
      <sheetName val="20-COMPTA"/>
    </sheetNames>
    <sheetDataSet>
      <sheetData sheetId="0"/>
      <sheetData sheetId="1">
        <row r="38">
          <cell r="A38" t="str">
            <v>CT 64</v>
          </cell>
          <cell r="G38" t="str">
            <v>x</v>
          </cell>
        </row>
        <row r="55">
          <cell r="A55" t="str">
            <v>Pension complète</v>
          </cell>
        </row>
        <row r="56">
          <cell r="A56" t="str">
            <v>Demi pension</v>
          </cell>
        </row>
        <row r="57">
          <cell r="A57" t="str">
            <v>Bivouac</v>
          </cell>
        </row>
        <row r="58">
          <cell r="A58" t="str">
            <v>Repas seul</v>
          </cell>
        </row>
        <row r="59">
          <cell r="A59" t="str">
            <v>Autonomie</v>
          </cell>
          <cell r="B59"/>
        </row>
        <row r="70">
          <cell r="L70" t="str">
            <v>Bénévole</v>
          </cell>
          <cell r="O70">
            <v>3</v>
          </cell>
        </row>
        <row r="71">
          <cell r="L71" t="str">
            <v/>
          </cell>
          <cell r="O71" t="str">
            <v/>
          </cell>
        </row>
        <row r="72">
          <cell r="L72" t="str">
            <v>X</v>
          </cell>
        </row>
      </sheetData>
      <sheetData sheetId="2">
        <row r="8">
          <cell r="O8" t="str">
            <v>AMM</v>
          </cell>
          <cell r="P8" t="str">
            <v>BEES</v>
          </cell>
          <cell r="Q8" t="str">
            <v>GHM</v>
          </cell>
        </row>
        <row r="28">
          <cell r="B28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PRESENTATION"/>
      <sheetName val="2-Infos"/>
      <sheetName val="3-Fichiers"/>
      <sheetName val="4-BASES PREVI"/>
      <sheetName val="5-BUDGET PREVI"/>
      <sheetName val="6-DEVIS"/>
      <sheetName val="7-Programme"/>
      <sheetName val="8-FACTURES"/>
      <sheetName val="9-Intranet"/>
      <sheetName val="10-Inscrits"/>
      <sheetName val="11-Pré-requis"/>
      <sheetName val="12-Paiement"/>
      <sheetName val="13-Présence"/>
      <sheetName val="14-Résultats"/>
      <sheetName val="15-Attestations"/>
      <sheetName val="16-Eval stagiaires"/>
      <sheetName val="17-Bilan péda"/>
      <sheetName val="18-REALISE"/>
      <sheetName val="19-CR FI"/>
      <sheetName val="20-COMPTA"/>
    </sheetNames>
    <sheetDataSet>
      <sheetData sheetId="0"/>
      <sheetData sheetId="1">
        <row r="17">
          <cell r="G17" t="str">
            <v>Niveau visé</v>
          </cell>
        </row>
        <row r="35">
          <cell r="B35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PRESENTATION"/>
      <sheetName val="2-Infos"/>
      <sheetName val="3-Fichiers"/>
      <sheetName val="4-BASES PREVI"/>
      <sheetName val="5-BUDGET PREVI"/>
      <sheetName val="6-DEVIS"/>
      <sheetName val="7-Programme"/>
      <sheetName val="8-FACTURES"/>
      <sheetName val="9-Intranet"/>
      <sheetName val="10-Inscrits"/>
      <sheetName val="11-Pré-requis"/>
      <sheetName val="12-Paiement"/>
      <sheetName val="13-Présence"/>
      <sheetName val="14-Résultats"/>
      <sheetName val="15-Attestations"/>
      <sheetName val="16-Eval stagiaires"/>
      <sheetName val="17-Bilan péda"/>
      <sheetName val="18-REALISE"/>
      <sheetName val="19-CR FI"/>
      <sheetName val="20-COMPTA"/>
    </sheetNames>
    <sheetDataSet>
      <sheetData sheetId="0"/>
      <sheetData sheetId="1">
        <row r="9">
          <cell r="C9" t="str">
            <v>Perfectionnement</v>
          </cell>
        </row>
        <row r="13">
          <cell r="C13" t="str">
            <v>Alpinisme</v>
          </cell>
        </row>
        <row r="14">
          <cell r="C14" t="str">
            <v>Escalade</v>
          </cell>
          <cell r="G14" t="str">
            <v>Orientation montagne</v>
          </cell>
        </row>
        <row r="17">
          <cell r="G17" t="str">
            <v>Niveau visé</v>
          </cell>
        </row>
        <row r="34">
          <cell r="B34">
            <v>1945</v>
          </cell>
        </row>
        <row r="36">
          <cell r="B36" t="str">
            <v>AQUITAINE</v>
          </cell>
        </row>
        <row r="37">
          <cell r="B37" t="str">
            <v>Comité Territorial</v>
          </cell>
        </row>
        <row r="38">
          <cell r="A38" t="str">
            <v>CT 64</v>
          </cell>
          <cell r="B38" t="str">
            <v>Pyrénées Atlantiques</v>
          </cell>
        </row>
        <row r="42">
          <cell r="B42">
            <v>44547</v>
          </cell>
          <cell r="F42" t="str">
            <v>St Lary Soulan</v>
          </cell>
        </row>
        <row r="50">
          <cell r="B50">
            <v>44548</v>
          </cell>
        </row>
        <row r="68">
          <cell r="K68" t="str">
            <v/>
          </cell>
        </row>
        <row r="69">
          <cell r="K69" t="str">
            <v/>
          </cell>
        </row>
        <row r="70">
          <cell r="C70" t="str">
            <v/>
          </cell>
          <cell r="E70" t="str">
            <v/>
          </cell>
          <cell r="H70" t="str">
            <v/>
          </cell>
          <cell r="K70" t="str">
            <v/>
          </cell>
        </row>
        <row r="71">
          <cell r="C71" t="str">
            <v/>
          </cell>
          <cell r="E71" t="str">
            <v/>
          </cell>
          <cell r="H71" t="str">
            <v/>
          </cell>
          <cell r="K71" t="str">
            <v/>
          </cell>
        </row>
      </sheetData>
      <sheetData sheetId="2"/>
      <sheetData sheetId="3">
        <row r="17">
          <cell r="D17">
            <v>2</v>
          </cell>
        </row>
        <row r="29">
          <cell r="H29">
            <v>0</v>
          </cell>
        </row>
        <row r="30">
          <cell r="M30">
            <v>300</v>
          </cell>
          <cell r="N30" t="str">
            <v>GHM</v>
          </cell>
        </row>
        <row r="31">
          <cell r="B31" t="str">
            <v xml:space="preserve">Cocher X pour comptabiliser le bénévolat Instructeur au niveau professionnel </v>
          </cell>
          <cell r="L31" t="str">
            <v>X</v>
          </cell>
          <cell r="M31">
            <v>230</v>
          </cell>
          <cell r="N31" t="str">
            <v>Comptabilisation bénévolat Instructeur</v>
          </cell>
        </row>
        <row r="32">
          <cell r="M32">
            <v>100</v>
          </cell>
          <cell r="N32" t="str">
            <v>AMM</v>
          </cell>
        </row>
        <row r="33">
          <cell r="N33" t="str">
            <v>BEES</v>
          </cell>
        </row>
        <row r="34">
          <cell r="M34">
            <v>100</v>
          </cell>
          <cell r="N34" t="str">
            <v>Bénévole</v>
          </cell>
        </row>
        <row r="35">
          <cell r="M35">
            <v>230</v>
          </cell>
          <cell r="N35" t="str">
            <v>Encadrement technique interne</v>
          </cell>
        </row>
        <row r="37">
          <cell r="D37">
            <v>0</v>
          </cell>
        </row>
        <row r="39">
          <cell r="D39">
            <v>500</v>
          </cell>
        </row>
        <row r="44">
          <cell r="C44" t="str">
            <v>Pension complète</v>
          </cell>
        </row>
        <row r="45">
          <cell r="C45" t="str">
            <v>Demi pension</v>
          </cell>
        </row>
        <row r="46">
          <cell r="C46" t="str">
            <v>Bivouac</v>
          </cell>
        </row>
        <row r="47">
          <cell r="C47" t="str">
            <v>Repas seul</v>
          </cell>
        </row>
        <row r="50">
          <cell r="D50">
            <v>240</v>
          </cell>
        </row>
        <row r="52">
          <cell r="D52">
            <v>135</v>
          </cell>
        </row>
        <row r="57">
          <cell r="H57">
            <v>185.2</v>
          </cell>
        </row>
        <row r="58">
          <cell r="D58"/>
          <cell r="H58" t="str">
            <v/>
          </cell>
        </row>
        <row r="59">
          <cell r="D59"/>
          <cell r="H59" t="str">
            <v/>
          </cell>
        </row>
        <row r="70">
          <cell r="D70">
            <v>185.2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8">
          <cell r="D78">
            <v>0</v>
          </cell>
        </row>
        <row r="82">
          <cell r="D82">
            <v>0</v>
          </cell>
        </row>
        <row r="83">
          <cell r="D83">
            <v>0</v>
          </cell>
        </row>
        <row r="85">
          <cell r="D85">
            <v>0</v>
          </cell>
        </row>
        <row r="89">
          <cell r="D89">
            <v>0</v>
          </cell>
        </row>
        <row r="90">
          <cell r="D90">
            <v>0</v>
          </cell>
        </row>
        <row r="92">
          <cell r="D92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100">
          <cell r="D100">
            <v>0</v>
          </cell>
        </row>
        <row r="102">
          <cell r="D102">
            <v>0</v>
          </cell>
        </row>
        <row r="103">
          <cell r="D103">
            <v>0</v>
          </cell>
        </row>
        <row r="105">
          <cell r="D105">
            <v>0</v>
          </cell>
        </row>
        <row r="113">
          <cell r="D113">
            <v>140</v>
          </cell>
        </row>
        <row r="115">
          <cell r="D115">
            <v>0.15</v>
          </cell>
        </row>
        <row r="117">
          <cell r="D117">
            <v>69.03</v>
          </cell>
        </row>
        <row r="121">
          <cell r="D121">
            <v>0</v>
          </cell>
        </row>
        <row r="122">
          <cell r="D122">
            <v>0</v>
          </cell>
        </row>
        <row r="124">
          <cell r="D124">
            <v>0</v>
          </cell>
        </row>
        <row r="128">
          <cell r="D128">
            <v>0</v>
          </cell>
        </row>
        <row r="130">
          <cell r="D130">
            <v>0</v>
          </cell>
        </row>
        <row r="131">
          <cell r="D131">
            <v>0</v>
          </cell>
        </row>
        <row r="133">
          <cell r="D133">
            <v>0</v>
          </cell>
        </row>
        <row r="137">
          <cell r="D137">
            <v>0</v>
          </cell>
        </row>
        <row r="138">
          <cell r="D138">
            <v>0</v>
          </cell>
        </row>
        <row r="140">
          <cell r="D140">
            <v>0</v>
          </cell>
        </row>
        <row r="145">
          <cell r="D145">
            <v>0</v>
          </cell>
        </row>
        <row r="146">
          <cell r="D146">
            <v>0</v>
          </cell>
        </row>
        <row r="147">
          <cell r="D147">
            <v>0</v>
          </cell>
        </row>
        <row r="148">
          <cell r="D148">
            <v>0</v>
          </cell>
        </row>
        <row r="149">
          <cell r="D149">
            <v>0</v>
          </cell>
        </row>
        <row r="151">
          <cell r="D151">
            <v>0</v>
          </cell>
        </row>
        <row r="152">
          <cell r="D152">
            <v>0</v>
          </cell>
        </row>
        <row r="153">
          <cell r="D153">
            <v>0</v>
          </cell>
        </row>
        <row r="155">
          <cell r="D155">
            <v>0</v>
          </cell>
        </row>
        <row r="156">
          <cell r="D156">
            <v>0</v>
          </cell>
        </row>
        <row r="158">
          <cell r="D158">
            <v>0</v>
          </cell>
        </row>
        <row r="159">
          <cell r="D159">
            <v>0</v>
          </cell>
        </row>
        <row r="161">
          <cell r="D161">
            <v>0</v>
          </cell>
        </row>
        <row r="163">
          <cell r="D163">
            <v>0</v>
          </cell>
        </row>
        <row r="165">
          <cell r="D165">
            <v>0</v>
          </cell>
        </row>
        <row r="170">
          <cell r="D170">
            <v>0</v>
          </cell>
        </row>
        <row r="171">
          <cell r="D171">
            <v>0</v>
          </cell>
        </row>
        <row r="172">
          <cell r="D172">
            <v>0</v>
          </cell>
        </row>
        <row r="173">
          <cell r="D173">
            <v>0</v>
          </cell>
        </row>
        <row r="175">
          <cell r="D175">
            <v>0</v>
          </cell>
        </row>
        <row r="176">
          <cell r="D176">
            <v>0</v>
          </cell>
        </row>
        <row r="177">
          <cell r="D177">
            <v>0</v>
          </cell>
        </row>
        <row r="178">
          <cell r="D178">
            <v>0</v>
          </cell>
        </row>
        <row r="180">
          <cell r="D180">
            <v>0</v>
          </cell>
        </row>
        <row r="181">
          <cell r="D181">
            <v>0</v>
          </cell>
        </row>
        <row r="182">
          <cell r="D182">
            <v>0</v>
          </cell>
        </row>
        <row r="183">
          <cell r="D183">
            <v>0</v>
          </cell>
        </row>
        <row r="185">
          <cell r="D185">
            <v>0</v>
          </cell>
        </row>
        <row r="186">
          <cell r="D186">
            <v>0</v>
          </cell>
        </row>
        <row r="187">
          <cell r="D187">
            <v>0</v>
          </cell>
        </row>
        <row r="188">
          <cell r="D188">
            <v>0</v>
          </cell>
        </row>
        <row r="190">
          <cell r="D190">
            <v>0</v>
          </cell>
        </row>
        <row r="192">
          <cell r="D192">
            <v>0</v>
          </cell>
        </row>
        <row r="194">
          <cell r="D194">
            <v>0</v>
          </cell>
        </row>
        <row r="197">
          <cell r="A197" t="str">
            <v>CT 64</v>
          </cell>
          <cell r="D197">
            <v>118.99999999999999</v>
          </cell>
          <cell r="E197">
            <v>0.7</v>
          </cell>
        </row>
        <row r="201">
          <cell r="D201">
            <v>320.2</v>
          </cell>
        </row>
        <row r="202">
          <cell r="D202">
            <v>0</v>
          </cell>
        </row>
        <row r="203">
          <cell r="D203">
            <v>0</v>
          </cell>
        </row>
        <row r="204">
          <cell r="D204">
            <v>140</v>
          </cell>
        </row>
        <row r="205">
          <cell r="D205">
            <v>69.03</v>
          </cell>
        </row>
        <row r="206">
          <cell r="D206">
            <v>0</v>
          </cell>
        </row>
        <row r="208">
          <cell r="D208">
            <v>529.23</v>
          </cell>
        </row>
        <row r="210">
          <cell r="D210">
            <v>240</v>
          </cell>
        </row>
        <row r="215">
          <cell r="D215">
            <v>129</v>
          </cell>
        </row>
        <row r="216">
          <cell r="D216">
            <v>212</v>
          </cell>
        </row>
      </sheetData>
      <sheetData sheetId="4"/>
      <sheetData sheetId="5"/>
      <sheetData sheetId="6">
        <row r="9">
          <cell r="B9" t="str">
            <v>Heure</v>
          </cell>
        </row>
        <row r="10">
          <cell r="B10"/>
          <cell r="C10" t="str">
            <v>Lieu :</v>
          </cell>
          <cell r="E10"/>
          <cell r="F10" t="str">
            <v>Date :</v>
          </cell>
          <cell r="G10">
            <v>44547</v>
          </cell>
        </row>
        <row r="11">
          <cell r="B11">
            <v>8.3333333333333339</v>
          </cell>
        </row>
        <row r="16">
          <cell r="C16" t="str">
            <v>Lieu :</v>
          </cell>
          <cell r="E16"/>
          <cell r="F16" t="str">
            <v>Date :</v>
          </cell>
          <cell r="G16">
            <v>44548</v>
          </cell>
        </row>
      </sheetData>
      <sheetData sheetId="7"/>
      <sheetData sheetId="8">
        <row r="4">
          <cell r="B4" t="str">
            <v>Gassan</v>
          </cell>
          <cell r="C4" t="str">
            <v>Philippe</v>
          </cell>
        </row>
      </sheetData>
      <sheetData sheetId="9">
        <row r="7">
          <cell r="B7">
            <v>0</v>
          </cell>
          <cell r="E7">
            <v>0</v>
          </cell>
          <cell r="F7">
            <v>0</v>
          </cell>
          <cell r="H7">
            <v>34212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</sheetData>
      <sheetData sheetId="10"/>
      <sheetData sheetId="11">
        <row r="7">
          <cell r="M7">
            <v>0</v>
          </cell>
        </row>
      </sheetData>
      <sheetData sheetId="12"/>
      <sheetData sheetId="13">
        <row r="5">
          <cell r="H5" t="str">
            <v>Le niveau visé est estimé</v>
          </cell>
        </row>
        <row r="6">
          <cell r="F6">
            <v>0</v>
          </cell>
          <cell r="H6" t="str">
            <v/>
          </cell>
        </row>
        <row r="7">
          <cell r="H7" t="str">
            <v>globalement atteint</v>
          </cell>
        </row>
      </sheetData>
      <sheetData sheetId="14"/>
      <sheetData sheetId="15"/>
      <sheetData sheetId="16"/>
      <sheetData sheetId="17">
        <row r="22">
          <cell r="D22">
            <v>0</v>
          </cell>
        </row>
        <row r="29">
          <cell r="H29">
            <v>0</v>
          </cell>
        </row>
        <row r="34">
          <cell r="M34">
            <v>100</v>
          </cell>
        </row>
        <row r="39">
          <cell r="D39">
            <v>400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85">
          <cell r="D85">
            <v>0</v>
          </cell>
        </row>
        <row r="92">
          <cell r="D92">
            <v>0</v>
          </cell>
        </row>
        <row r="100">
          <cell r="F100">
            <v>0</v>
          </cell>
        </row>
        <row r="124">
          <cell r="D124">
            <v>0</v>
          </cell>
        </row>
        <row r="129">
          <cell r="D129">
            <v>0</v>
          </cell>
        </row>
        <row r="130">
          <cell r="D130">
            <v>0</v>
          </cell>
        </row>
        <row r="137">
          <cell r="D137">
            <v>0</v>
          </cell>
        </row>
        <row r="149">
          <cell r="D149">
            <v>0</v>
          </cell>
        </row>
        <row r="153">
          <cell r="D153">
            <v>0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242"/>
  <sheetViews>
    <sheetView topLeftCell="A73" workbookViewId="0">
      <selection activeCell="A94" sqref="A94:J94"/>
    </sheetView>
  </sheetViews>
  <sheetFormatPr baseColWidth="10" defaultRowHeight="15" x14ac:dyDescent="0.25"/>
  <cols>
    <col min="1" max="1" width="29.5703125" customWidth="1"/>
    <col min="2" max="3" width="14.42578125" customWidth="1"/>
    <col min="4" max="4" width="16" customWidth="1"/>
    <col min="5" max="5" width="6" customWidth="1"/>
    <col min="6" max="6" width="5.42578125" customWidth="1"/>
    <col min="7" max="7" width="9.85546875" customWidth="1"/>
    <col min="8" max="8" width="5.7109375" customWidth="1"/>
    <col min="9" max="10" width="5.5703125" customWidth="1"/>
    <col min="11" max="11" width="8.5703125" customWidth="1"/>
    <col min="12" max="12" width="5.42578125" customWidth="1"/>
    <col min="13" max="13" width="6.5703125" customWidth="1"/>
    <col min="14" max="14" width="5.85546875" customWidth="1"/>
    <col min="15" max="15" width="6.140625" customWidth="1"/>
    <col min="16" max="18" width="6.85546875" customWidth="1"/>
    <col min="19" max="19" width="27.5703125" customWidth="1"/>
    <col min="20" max="20" width="22.5703125" customWidth="1"/>
    <col min="21" max="21" width="7.5703125" customWidth="1"/>
    <col min="22" max="22" width="7" customWidth="1"/>
  </cols>
  <sheetData>
    <row r="1" spans="1:27" ht="18.75" x14ac:dyDescent="0.25">
      <c r="A1" s="1153" t="s">
        <v>0</v>
      </c>
      <c r="B1" s="1153"/>
      <c r="C1" s="1153"/>
      <c r="D1" s="1153"/>
      <c r="E1" s="1153"/>
      <c r="F1" s="1153"/>
      <c r="G1" s="1153"/>
      <c r="H1" s="1153"/>
      <c r="I1" s="1153"/>
      <c r="J1" s="1153"/>
      <c r="K1" s="1153"/>
      <c r="L1" s="115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86"/>
      <c r="Z1" s="286"/>
      <c r="AA1" s="286"/>
    </row>
    <row r="2" spans="1:27" x14ac:dyDescent="0.25">
      <c r="A2" s="8"/>
      <c r="B2" s="4" t="s">
        <v>1</v>
      </c>
      <c r="C2" s="5" t="s">
        <v>2</v>
      </c>
      <c r="D2" s="1"/>
      <c r="E2" s="6"/>
      <c r="F2" s="6"/>
      <c r="G2" s="6"/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286"/>
      <c r="Z2" s="286"/>
      <c r="AA2" s="286"/>
    </row>
    <row r="3" spans="1:27" x14ac:dyDescent="0.25">
      <c r="A3" s="8"/>
      <c r="B3" s="4" t="s">
        <v>3</v>
      </c>
      <c r="C3" s="9" t="s">
        <v>4</v>
      </c>
      <c r="D3" s="10" t="s">
        <v>5</v>
      </c>
      <c r="E3" s="11"/>
      <c r="F3" s="12"/>
      <c r="G3" s="13"/>
      <c r="H3" s="14"/>
      <c r="I3" s="8"/>
      <c r="J3" s="8"/>
      <c r="K3" s="8"/>
      <c r="L3" s="8"/>
      <c r="M3" s="8"/>
      <c r="N3" s="8"/>
      <c r="O3" s="8"/>
      <c r="P3" s="15"/>
      <c r="Q3" s="8"/>
      <c r="R3" s="8"/>
      <c r="S3" s="8"/>
      <c r="T3" s="8"/>
      <c r="U3" s="8"/>
      <c r="V3" s="8"/>
      <c r="W3" s="8"/>
      <c r="X3" s="8"/>
      <c r="Y3" s="286"/>
      <c r="Z3" s="286"/>
      <c r="AA3" s="286"/>
    </row>
    <row r="4" spans="1:27" x14ac:dyDescent="0.25">
      <c r="A4" s="1154" t="s">
        <v>6</v>
      </c>
      <c r="B4" s="1155"/>
      <c r="C4" s="644" t="s">
        <v>7</v>
      </c>
      <c r="D4" s="11" t="s">
        <v>8</v>
      </c>
      <c r="E4" s="16"/>
      <c r="F4" s="12"/>
      <c r="G4" s="13"/>
      <c r="H4" s="14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286"/>
      <c r="Z4" s="286"/>
      <c r="AA4" s="286"/>
    </row>
    <row r="5" spans="1:27" x14ac:dyDescent="0.25">
      <c r="A5" s="1156" t="s">
        <v>9</v>
      </c>
      <c r="B5" s="1157"/>
      <c r="C5" s="645" t="s">
        <v>7</v>
      </c>
      <c r="D5" s="646" t="s">
        <v>10</v>
      </c>
      <c r="E5" s="16"/>
      <c r="F5" s="12"/>
      <c r="G5" s="13"/>
      <c r="H5" s="14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286"/>
      <c r="Z5" s="286"/>
      <c r="AA5" s="286"/>
    </row>
    <row r="6" spans="1:27" x14ac:dyDescent="0.25">
      <c r="A6" s="17"/>
      <c r="B6" s="18"/>
      <c r="C6" s="19"/>
      <c r="D6" s="621"/>
      <c r="E6" s="20"/>
      <c r="F6" s="21"/>
      <c r="G6" s="22"/>
      <c r="H6" s="23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286"/>
      <c r="Z6" s="286"/>
      <c r="AA6" s="286"/>
    </row>
    <row r="7" spans="1:27" x14ac:dyDescent="0.25">
      <c r="A7" s="617" t="s">
        <v>11</v>
      </c>
      <c r="B7" s="25"/>
      <c r="C7" s="621"/>
      <c r="D7" s="621"/>
      <c r="E7" s="621"/>
      <c r="F7" s="621"/>
      <c r="G7" s="621"/>
      <c r="H7" s="621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286"/>
      <c r="Z7" s="286"/>
      <c r="AA7" s="286"/>
    </row>
    <row r="8" spans="1:27" ht="15.75" thickBot="1" x14ac:dyDescent="0.3">
      <c r="A8" s="26"/>
      <c r="B8" s="26"/>
      <c r="C8" s="621"/>
      <c r="D8" s="621"/>
      <c r="E8" s="621"/>
      <c r="F8" s="621"/>
      <c r="G8" s="621"/>
      <c r="H8" s="6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286"/>
      <c r="Z8" s="286"/>
      <c r="AA8" s="286"/>
    </row>
    <row r="9" spans="1:27" x14ac:dyDescent="0.25">
      <c r="A9" s="1158" t="s">
        <v>12</v>
      </c>
      <c r="B9" s="1152"/>
      <c r="C9" s="27" t="str">
        <f>IF(C11="x",C10,IF(D11="x",D10,IF(E11="x",E10,IF(F11="x",F10,IF(G11="x",G10,IF(H11="x",H10,IF(I11="x",I10,IF(J11="x",J10,IF(K11="x",K10,IF(L11="x",L10,IF(M11="x",M10,IF(N11="x",N10,IF(O11="x",O10,IF(P11="x",P10,IF(Q11="x",Q10,IF(R11="x",R10,IF(S11="x",S10,"")))))))))))))))))</f>
        <v>Perfectionnement</v>
      </c>
      <c r="D9" s="647"/>
      <c r="E9" s="647"/>
      <c r="F9" s="647"/>
      <c r="G9" s="648"/>
      <c r="H9" s="648"/>
      <c r="I9" s="648"/>
      <c r="J9" s="648"/>
      <c r="K9" s="648"/>
      <c r="L9" s="648"/>
      <c r="M9" s="648"/>
      <c r="N9" s="648"/>
      <c r="O9" s="648"/>
      <c r="P9" s="648"/>
      <c r="Q9" s="648"/>
      <c r="R9" s="648"/>
      <c r="S9" s="649"/>
      <c r="T9" s="17"/>
      <c r="U9" s="17"/>
      <c r="V9" s="17"/>
      <c r="W9" s="17"/>
      <c r="X9" s="17"/>
      <c r="Y9" s="286"/>
      <c r="Z9" s="286"/>
      <c r="AA9" s="286"/>
    </row>
    <row r="10" spans="1:27" ht="63.75" x14ac:dyDescent="0.25">
      <c r="A10" s="1159" t="s">
        <v>13</v>
      </c>
      <c r="B10" s="1160"/>
      <c r="C10" s="39" t="s">
        <v>14</v>
      </c>
      <c r="D10" s="39" t="s">
        <v>15</v>
      </c>
      <c r="E10" s="39" t="s">
        <v>16</v>
      </c>
      <c r="F10" s="39" t="s">
        <v>17</v>
      </c>
      <c r="G10" s="39" t="s">
        <v>18</v>
      </c>
      <c r="H10" s="39" t="s">
        <v>19</v>
      </c>
      <c r="I10" s="39" t="s">
        <v>20</v>
      </c>
      <c r="J10" s="39" t="s">
        <v>21</v>
      </c>
      <c r="K10" s="39" t="s">
        <v>22</v>
      </c>
      <c r="L10" s="39" t="s">
        <v>23</v>
      </c>
      <c r="M10" s="650"/>
      <c r="N10" s="650"/>
      <c r="O10" s="650"/>
      <c r="P10" s="650"/>
      <c r="Q10" s="650"/>
      <c r="R10" s="650"/>
      <c r="S10" s="651"/>
      <c r="T10" s="652" t="str">
        <f>IF(COUNTA(C11:S11)=0,"Sélectionner ou compléter !","")</f>
        <v/>
      </c>
      <c r="U10" s="17"/>
      <c r="V10" s="17"/>
      <c r="W10" s="17"/>
      <c r="X10" s="17"/>
      <c r="Y10" s="286"/>
      <c r="Z10" s="286"/>
      <c r="AA10" s="286"/>
    </row>
    <row r="11" spans="1:27" ht="16.5" thickBot="1" x14ac:dyDescent="0.3">
      <c r="A11" s="28"/>
      <c r="B11" s="29" t="str">
        <f>IF(COUNTA(C11:S11)=0,"et taper 'x' dans la case verte correspondante","")</f>
        <v/>
      </c>
      <c r="C11" s="30"/>
      <c r="D11" s="30"/>
      <c r="E11" s="30"/>
      <c r="F11" s="30"/>
      <c r="G11" s="30" t="s">
        <v>4</v>
      </c>
      <c r="H11" s="30"/>
      <c r="I11" s="30"/>
      <c r="J11" s="30"/>
      <c r="K11" s="30"/>
      <c r="L11" s="30"/>
      <c r="M11" s="653"/>
      <c r="N11" s="653"/>
      <c r="O11" s="653"/>
      <c r="P11" s="653"/>
      <c r="Q11" s="653"/>
      <c r="R11" s="653"/>
      <c r="S11" s="654"/>
      <c r="T11" s="655" t="str">
        <f>IF(COUNTA(C11:S11)&gt;1,"Cocher une seule case !!","")</f>
        <v/>
      </c>
      <c r="U11" s="8"/>
      <c r="V11" s="8"/>
      <c r="W11" s="8"/>
      <c r="X11" s="8"/>
      <c r="Y11" s="286"/>
      <c r="Z11" s="286"/>
      <c r="AA11" s="286"/>
    </row>
    <row r="12" spans="1:27" ht="16.5" thickBot="1" x14ac:dyDescent="0.3">
      <c r="A12" s="31"/>
      <c r="B12" s="32"/>
      <c r="C12" s="656"/>
      <c r="D12" s="656"/>
      <c r="E12" s="656"/>
      <c r="F12" s="656"/>
      <c r="G12" s="656"/>
      <c r="H12" s="656"/>
      <c r="I12" s="656"/>
      <c r="J12" s="656"/>
      <c r="K12" s="656"/>
      <c r="L12" s="656"/>
      <c r="M12" s="656"/>
      <c r="N12" s="656"/>
      <c r="O12" s="656"/>
      <c r="P12" s="656"/>
      <c r="Q12" s="656"/>
      <c r="R12" s="656"/>
      <c r="S12" s="656"/>
      <c r="T12" s="17"/>
      <c r="U12" s="17"/>
      <c r="V12" s="17"/>
      <c r="W12" s="17"/>
      <c r="X12" s="17"/>
      <c r="Y12" s="286"/>
      <c r="Z12" s="286"/>
      <c r="AA12" s="286"/>
    </row>
    <row r="13" spans="1:27" x14ac:dyDescent="0.25">
      <c r="A13" s="1151" t="s">
        <v>24</v>
      </c>
      <c r="B13" s="1152"/>
      <c r="C13" s="27" t="str">
        <f>IF(C15="x",C14,IF(D15="x",D14,IF(E15="x",E14,IF(F15="x",F14,IF(G15="x",G14,IF(H15="x",H14,IF(I15="x",I14,IF(J15="x",J14,IF(K15="x",K14,IF(L15="x",L14,IF(M15="x",M14,IF(N15="x",N14,IF(O15="x",O14,IF(P15="x",P14,IF(Q15="x",Q14,IF(R15="x",R14,IF(S15="x",#REF!,"")))))))))))))))))</f>
        <v>Alpinisme</v>
      </c>
      <c r="D13" s="647"/>
      <c r="E13" s="647"/>
      <c r="F13" s="647"/>
      <c r="G13" s="648"/>
      <c r="H13" s="648"/>
      <c r="I13" s="648"/>
      <c r="J13" s="648"/>
      <c r="K13" s="648"/>
      <c r="L13" s="648"/>
      <c r="M13" s="648"/>
      <c r="N13" s="648"/>
      <c r="O13" s="648"/>
      <c r="P13" s="648"/>
      <c r="Q13" s="648"/>
      <c r="R13" s="648"/>
      <c r="S13" s="649"/>
      <c r="T13" s="17"/>
      <c r="U13" s="17"/>
      <c r="V13" s="17"/>
      <c r="W13" s="17"/>
      <c r="X13" s="17"/>
      <c r="Y13" s="286"/>
      <c r="Z13" s="286"/>
      <c r="AA13" s="286"/>
    </row>
    <row r="14" spans="1:27" ht="81.75" x14ac:dyDescent="0.25">
      <c r="A14" s="1161" t="s">
        <v>13</v>
      </c>
      <c r="B14" s="1162"/>
      <c r="C14" s="657" t="s">
        <v>25</v>
      </c>
      <c r="D14" s="39" t="s">
        <v>26</v>
      </c>
      <c r="E14" s="39" t="s">
        <v>27</v>
      </c>
      <c r="F14" s="39" t="s">
        <v>28</v>
      </c>
      <c r="G14" s="39" t="s">
        <v>29</v>
      </c>
      <c r="H14" s="39" t="s">
        <v>30</v>
      </c>
      <c r="I14" s="39" t="s">
        <v>31</v>
      </c>
      <c r="J14" s="39" t="s">
        <v>32</v>
      </c>
      <c r="K14" s="39" t="s">
        <v>33</v>
      </c>
      <c r="L14" s="39" t="s">
        <v>34</v>
      </c>
      <c r="M14" s="39" t="s">
        <v>35</v>
      </c>
      <c r="N14" s="39" t="s">
        <v>36</v>
      </c>
      <c r="O14" s="39" t="s">
        <v>37</v>
      </c>
      <c r="P14" s="39" t="s">
        <v>38</v>
      </c>
      <c r="Q14" s="39" t="s">
        <v>39</v>
      </c>
      <c r="R14" s="39" t="s">
        <v>40</v>
      </c>
      <c r="S14" s="658"/>
      <c r="T14" s="652" t="str">
        <f>IF(COUNTA(C15:S15)=0,"Sélectionner ou compléter !","")</f>
        <v/>
      </c>
      <c r="U14" s="8"/>
      <c r="V14" s="8"/>
      <c r="W14" s="8"/>
      <c r="X14" s="8"/>
      <c r="Y14" s="286"/>
      <c r="Z14" s="286"/>
      <c r="AA14" s="286"/>
    </row>
    <row r="15" spans="1:27" ht="16.5" thickBot="1" x14ac:dyDescent="0.3">
      <c r="A15" s="33"/>
      <c r="B15" s="29" t="str">
        <f>IF(COUNTA(C15:S15)=0,"et taper 'x' dans la case verte correspondante","")</f>
        <v/>
      </c>
      <c r="C15" s="34"/>
      <c r="D15" s="34"/>
      <c r="E15" s="34"/>
      <c r="F15" s="35"/>
      <c r="G15" s="35"/>
      <c r="H15" s="35"/>
      <c r="I15" s="35"/>
      <c r="J15" s="35"/>
      <c r="K15" s="35" t="s">
        <v>4</v>
      </c>
      <c r="L15" s="35"/>
      <c r="M15" s="35"/>
      <c r="N15" s="35"/>
      <c r="O15" s="35"/>
      <c r="P15" s="35"/>
      <c r="Q15" s="35"/>
      <c r="R15" s="35"/>
      <c r="S15" s="659"/>
      <c r="T15" s="655" t="str">
        <f>IF(COUNTA(C15:S15)&gt;1,"Cocher une seule case !!","")</f>
        <v/>
      </c>
      <c r="U15" s="8"/>
      <c r="V15" s="8"/>
      <c r="W15" s="8"/>
      <c r="X15" s="8"/>
      <c r="Y15" s="286"/>
      <c r="Z15" s="286"/>
      <c r="AA15" s="286"/>
    </row>
    <row r="16" spans="1:27" ht="16.5" thickBot="1" x14ac:dyDescent="0.3">
      <c r="A16" s="36"/>
      <c r="B16" s="37"/>
      <c r="C16" s="660"/>
      <c r="D16" s="660"/>
      <c r="E16" s="660"/>
      <c r="F16" s="661"/>
      <c r="G16" s="661"/>
      <c r="H16" s="661"/>
      <c r="I16" s="661"/>
      <c r="J16" s="661"/>
      <c r="K16" s="661"/>
      <c r="L16" s="661"/>
      <c r="M16" s="661"/>
      <c r="N16" s="661"/>
      <c r="O16" s="661"/>
      <c r="P16" s="661"/>
      <c r="Q16" s="661"/>
      <c r="R16" s="661"/>
      <c r="S16" s="661"/>
      <c r="T16" s="71"/>
      <c r="U16" s="71"/>
      <c r="V16" s="71"/>
      <c r="W16" s="71"/>
      <c r="X16" s="71"/>
      <c r="Y16" s="286"/>
      <c r="Z16" s="286"/>
      <c r="AA16" s="286"/>
    </row>
    <row r="17" spans="1:27" x14ac:dyDescent="0.25">
      <c r="A17" s="1151" t="s">
        <v>41</v>
      </c>
      <c r="B17" s="1152"/>
      <c r="C17" s="27" t="str">
        <f>IF(C19="x",C18,IF(D19="x",D18,IF(E19="x",E18,IF(F19="x",F18,IF(G19="x",G18,IF(H19="x",H18,IF(I19="x",I18,IF(J19="x",J18,IF(K19="x",K18,IF(L19="x",L18,IF(M19="x",M18,IF(N19="x",N18,IF(O19="x",O18,IF(P19="x",P18,IF(Q19="x",Q18,IF(R19="x",R18,IF(S19="x",#REF!,"")))))))))))))))))</f>
        <v>Niveau 2</v>
      </c>
      <c r="D17" s="647"/>
      <c r="E17" s="647"/>
      <c r="F17" s="647"/>
      <c r="G17" s="27" t="str">
        <f>IF(C21="x",B21,IF(C22="x",B22,""))</f>
        <v>Niveau visé</v>
      </c>
      <c r="H17" s="647"/>
      <c r="I17" s="647"/>
      <c r="J17" s="648"/>
      <c r="K17" s="648"/>
      <c r="L17" s="648"/>
      <c r="M17" s="648"/>
      <c r="N17" s="662"/>
      <c r="O17" s="662"/>
      <c r="P17" s="662"/>
      <c r="Q17" s="662"/>
      <c r="R17" s="662"/>
      <c r="S17" s="663"/>
      <c r="T17" s="17"/>
      <c r="U17" s="17"/>
      <c r="V17" s="17"/>
      <c r="W17" s="17"/>
      <c r="X17" s="17"/>
      <c r="Y17" s="286"/>
      <c r="Z17" s="286"/>
      <c r="AA17" s="286"/>
    </row>
    <row r="18" spans="1:27" ht="111.75" x14ac:dyDescent="0.25">
      <c r="A18" s="1161" t="s">
        <v>13</v>
      </c>
      <c r="B18" s="1162"/>
      <c r="C18" s="39" t="s">
        <v>42</v>
      </c>
      <c r="D18" s="40" t="s">
        <v>43</v>
      </c>
      <c r="E18" s="40" t="s">
        <v>44</v>
      </c>
      <c r="F18" s="40" t="s">
        <v>45</v>
      </c>
      <c r="G18" s="40" t="s">
        <v>46</v>
      </c>
      <c r="H18" s="40" t="s">
        <v>47</v>
      </c>
      <c r="I18" s="40" t="s">
        <v>610</v>
      </c>
      <c r="J18" s="40" t="s">
        <v>611</v>
      </c>
      <c r="K18" s="40" t="s">
        <v>47</v>
      </c>
      <c r="L18" s="40" t="s">
        <v>47</v>
      </c>
      <c r="M18" s="40" t="s">
        <v>47</v>
      </c>
      <c r="N18" s="40" t="s">
        <v>47</v>
      </c>
      <c r="O18" s="40" t="s">
        <v>47</v>
      </c>
      <c r="P18" s="40" t="s">
        <v>47</v>
      </c>
      <c r="Q18" s="40" t="s">
        <v>47</v>
      </c>
      <c r="R18" s="40" t="s">
        <v>47</v>
      </c>
      <c r="S18" s="664"/>
      <c r="T18" s="652" t="str">
        <f>IF(COUNTA(C19:S19)=0,"Sélectionner ou compléter !","")</f>
        <v/>
      </c>
      <c r="U18" s="8"/>
      <c r="V18" s="8"/>
      <c r="W18" s="8"/>
      <c r="X18" s="8"/>
      <c r="Y18" s="286"/>
      <c r="Z18" s="286"/>
      <c r="AA18" s="286"/>
    </row>
    <row r="19" spans="1:27" ht="15.75" x14ac:dyDescent="0.25">
      <c r="A19" s="41"/>
      <c r="B19" s="42" t="str">
        <f>IF(COUNTA(C19:S19)=0,"et taper 'x' dans la case verte correspondante","")</f>
        <v/>
      </c>
      <c r="C19" s="43"/>
      <c r="D19" s="43"/>
      <c r="E19" s="43"/>
      <c r="F19" s="43"/>
      <c r="G19" s="43"/>
      <c r="H19" s="44"/>
      <c r="I19" s="44"/>
      <c r="J19" s="44" t="s">
        <v>4</v>
      </c>
      <c r="K19" s="44"/>
      <c r="L19" s="44"/>
      <c r="M19" s="44"/>
      <c r="N19" s="44"/>
      <c r="O19" s="44"/>
      <c r="P19" s="44"/>
      <c r="Q19" s="44"/>
      <c r="R19" s="44"/>
      <c r="S19" s="666"/>
      <c r="T19" s="655" t="str">
        <f>IF(COUNTA(C19:S19)&gt;1,"Cocher une seule case !!","")</f>
        <v/>
      </c>
      <c r="U19" s="8"/>
      <c r="V19" s="8"/>
      <c r="W19" s="8"/>
      <c r="X19" s="8"/>
      <c r="Y19" s="286"/>
      <c r="Z19" s="286"/>
      <c r="AA19" s="286"/>
    </row>
    <row r="20" spans="1:27" ht="15.75" x14ac:dyDescent="0.25">
      <c r="A20" s="31"/>
      <c r="B20" s="32"/>
      <c r="C20" s="667"/>
      <c r="D20" s="667"/>
      <c r="E20" s="668"/>
      <c r="F20" s="668"/>
      <c r="G20" s="668"/>
      <c r="H20" s="656"/>
      <c r="I20" s="656"/>
      <c r="J20" s="656"/>
      <c r="K20" s="656"/>
      <c r="L20" s="656"/>
      <c r="M20" s="656"/>
      <c r="N20" s="656"/>
      <c r="O20" s="656"/>
      <c r="P20" s="656"/>
      <c r="Q20" s="656"/>
      <c r="R20" s="656"/>
      <c r="S20" s="669"/>
      <c r="T20" s="17"/>
      <c r="U20" s="17"/>
      <c r="V20" s="17"/>
      <c r="W20" s="17"/>
      <c r="X20" s="17"/>
      <c r="Y20" s="286"/>
      <c r="Z20" s="286"/>
      <c r="AA20" s="286"/>
    </row>
    <row r="21" spans="1:27" ht="15.75" x14ac:dyDescent="0.25">
      <c r="A21" s="1146" t="s">
        <v>48</v>
      </c>
      <c r="B21" s="45" t="s">
        <v>49</v>
      </c>
      <c r="C21" s="43"/>
      <c r="D21" s="670" t="s">
        <v>50</v>
      </c>
      <c r="E21" s="668"/>
      <c r="F21" s="668"/>
      <c r="G21" s="668"/>
      <c r="H21" s="656"/>
      <c r="I21" s="656"/>
      <c r="J21" s="656"/>
      <c r="K21" s="656"/>
      <c r="L21" s="656"/>
      <c r="M21" s="656"/>
      <c r="N21" s="656"/>
      <c r="O21" s="656"/>
      <c r="P21" s="656"/>
      <c r="Q21" s="656"/>
      <c r="R21" s="656"/>
      <c r="S21" s="671"/>
      <c r="T21" s="17"/>
      <c r="U21" s="17"/>
      <c r="V21" s="17"/>
      <c r="W21" s="17"/>
      <c r="X21" s="17"/>
      <c r="Y21" s="286"/>
      <c r="Z21" s="286"/>
      <c r="AA21" s="286"/>
    </row>
    <row r="22" spans="1:27" ht="15.75" x14ac:dyDescent="0.25">
      <c r="A22" s="1146"/>
      <c r="B22" s="45" t="s">
        <v>51</v>
      </c>
      <c r="C22" s="43" t="s">
        <v>4</v>
      </c>
      <c r="D22" s="672" t="str">
        <f>IF(COUNTA(C21:C22)=0,"Niveau en fin de stage 'Validé' ou 'Visé' sans évaluation' ?","")</f>
        <v/>
      </c>
      <c r="E22" s="668"/>
      <c r="F22" s="668"/>
      <c r="G22" s="668"/>
      <c r="H22" s="656"/>
      <c r="I22" s="656"/>
      <c r="J22" s="656"/>
      <c r="K22" s="656"/>
      <c r="L22" s="656"/>
      <c r="M22" s="656"/>
      <c r="N22" s="656"/>
      <c r="O22" s="656"/>
      <c r="P22" s="656"/>
      <c r="Q22" s="656"/>
      <c r="R22" s="656"/>
      <c r="S22" s="671"/>
      <c r="T22" s="17"/>
      <c r="U22" s="17"/>
      <c r="V22" s="17"/>
      <c r="W22" s="17"/>
      <c r="X22" s="17"/>
      <c r="Y22" s="286"/>
      <c r="Z22" s="286"/>
      <c r="AA22" s="286"/>
    </row>
    <row r="23" spans="1:27" ht="16.5" thickBot="1" x14ac:dyDescent="0.3">
      <c r="A23" s="46"/>
      <c r="B23" s="47"/>
      <c r="C23" s="673"/>
      <c r="D23" s="673"/>
      <c r="E23" s="674"/>
      <c r="F23" s="674"/>
      <c r="G23" s="674"/>
      <c r="H23" s="675"/>
      <c r="I23" s="675"/>
      <c r="J23" s="675"/>
      <c r="K23" s="675"/>
      <c r="L23" s="675"/>
      <c r="M23" s="675"/>
      <c r="N23" s="675"/>
      <c r="O23" s="675"/>
      <c r="P23" s="675"/>
      <c r="Q23" s="675"/>
      <c r="R23" s="675"/>
      <c r="S23" s="676"/>
      <c r="T23" s="17"/>
      <c r="U23" s="17"/>
      <c r="V23" s="17"/>
      <c r="W23" s="17"/>
      <c r="X23" s="17"/>
      <c r="Y23" s="286"/>
      <c r="Z23" s="286"/>
      <c r="AA23" s="286"/>
    </row>
    <row r="24" spans="1:27" ht="16.5" thickBot="1" x14ac:dyDescent="0.3">
      <c r="A24" s="31"/>
      <c r="B24" s="32"/>
      <c r="C24" s="667"/>
      <c r="D24" s="667"/>
      <c r="E24" s="668"/>
      <c r="F24" s="668"/>
      <c r="G24" s="668"/>
      <c r="H24" s="656"/>
      <c r="I24" s="656"/>
      <c r="J24" s="656"/>
      <c r="K24" s="656"/>
      <c r="L24" s="656"/>
      <c r="M24" s="656"/>
      <c r="N24" s="656"/>
      <c r="O24" s="656"/>
      <c r="P24" s="656"/>
      <c r="Q24" s="656"/>
      <c r="R24" s="656"/>
      <c r="S24" s="656"/>
      <c r="T24" s="71"/>
      <c r="U24" s="71"/>
      <c r="V24" s="71"/>
      <c r="W24" s="71"/>
      <c r="X24" s="71"/>
      <c r="Y24" s="286"/>
      <c r="Z24" s="286"/>
      <c r="AA24" s="286"/>
    </row>
    <row r="25" spans="1:27" x14ac:dyDescent="0.25">
      <c r="A25" s="1151" t="s">
        <v>52</v>
      </c>
      <c r="B25" s="1152"/>
      <c r="C25" s="27" t="str">
        <f>IF(C27="x",C26,IF(D27="x",D26,IF(E27="x",E26,IF(F27="x",F26,IF(G27="x",G26,IF(H27="x",H26,IF(I27="x",I26,IF(J27="x",J26,IF(K27="x",K26,IF(L27="x",L26,IF(M27="x",M26,IF(N27="x",N26,IF(O27="x",O26,IF(P27="x",P26,IF(Q27="x",Q26,IF(R27="x",R26,IF(S27="x",#REF!,"")))))))))))))))))</f>
        <v>Passeport Orange</v>
      </c>
      <c r="D25" s="647"/>
      <c r="E25" s="647"/>
      <c r="F25" s="647"/>
      <c r="G25" s="27" t="str">
        <f>IF(C29="x",B29,IF(C30="x",B30,""))</f>
        <v>Validé</v>
      </c>
      <c r="H25" s="647"/>
      <c r="I25" s="647"/>
      <c r="J25" s="677"/>
      <c r="K25" s="677"/>
      <c r="L25" s="677"/>
      <c r="M25" s="677"/>
      <c r="N25" s="677"/>
      <c r="O25" s="677"/>
      <c r="P25" s="677"/>
      <c r="Q25" s="677"/>
      <c r="R25" s="677"/>
      <c r="S25" s="678"/>
      <c r="T25" s="8"/>
      <c r="U25" s="8"/>
      <c r="V25" s="8"/>
      <c r="W25" s="8"/>
      <c r="X25" s="8"/>
      <c r="Y25" s="286"/>
      <c r="Z25" s="286"/>
      <c r="AA25" s="286"/>
    </row>
    <row r="26" spans="1:27" ht="87.75" x14ac:dyDescent="0.25">
      <c r="A26" s="1159" t="s">
        <v>53</v>
      </c>
      <c r="B26" s="1160"/>
      <c r="C26" s="39" t="s">
        <v>54</v>
      </c>
      <c r="D26" s="39" t="s">
        <v>55</v>
      </c>
      <c r="E26" s="39" t="s">
        <v>44</v>
      </c>
      <c r="F26" s="39" t="s">
        <v>45</v>
      </c>
      <c r="G26" s="39" t="s">
        <v>46</v>
      </c>
      <c r="H26" s="39" t="s">
        <v>47</v>
      </c>
      <c r="I26" s="679"/>
      <c r="J26" s="679"/>
      <c r="K26" s="679"/>
      <c r="L26" s="679"/>
      <c r="M26" s="679"/>
      <c r="N26" s="679"/>
      <c r="O26" s="679"/>
      <c r="P26" s="679"/>
      <c r="Q26" s="679"/>
      <c r="R26" s="679"/>
      <c r="S26" s="680"/>
      <c r="T26" s="652" t="str">
        <f>IF(COUNTA(C27:S27)=0,"Sélectionner ou compléter !","")</f>
        <v/>
      </c>
      <c r="U26" s="8"/>
      <c r="V26" s="8"/>
      <c r="W26" s="8"/>
      <c r="X26" s="8"/>
      <c r="Y26" s="286"/>
      <c r="Z26" s="286"/>
      <c r="AA26" s="286"/>
    </row>
    <row r="27" spans="1:27" ht="15.75" x14ac:dyDescent="0.25">
      <c r="A27" s="41"/>
      <c r="B27" s="42" t="str">
        <f>IF(COUNTA(C27:S27)=0,"et taper 'x' dans la case verte correspondante","")</f>
        <v/>
      </c>
      <c r="C27" s="44"/>
      <c r="D27" s="44"/>
      <c r="E27" s="44"/>
      <c r="F27" s="44" t="s">
        <v>4</v>
      </c>
      <c r="G27" s="44"/>
      <c r="H27" s="44"/>
      <c r="I27" s="665"/>
      <c r="J27" s="665"/>
      <c r="K27" s="665"/>
      <c r="L27" s="665"/>
      <c r="M27" s="665"/>
      <c r="N27" s="665"/>
      <c r="O27" s="665"/>
      <c r="P27" s="665"/>
      <c r="Q27" s="665"/>
      <c r="R27" s="665"/>
      <c r="S27" s="666"/>
      <c r="T27" s="655" t="str">
        <f>IF(COUNTA(C27:S27)&gt;1,"Cocher une seule case !!","")</f>
        <v/>
      </c>
      <c r="U27" s="8"/>
      <c r="V27" s="8"/>
      <c r="W27" s="8"/>
      <c r="X27" s="8"/>
      <c r="Y27" s="286"/>
      <c r="Z27" s="286"/>
      <c r="AA27" s="286"/>
    </row>
    <row r="28" spans="1:27" ht="15.75" x14ac:dyDescent="0.25">
      <c r="A28" s="31"/>
      <c r="B28" s="32"/>
      <c r="C28" s="656"/>
      <c r="D28" s="656"/>
      <c r="E28" s="668"/>
      <c r="F28" s="668"/>
      <c r="G28" s="668"/>
      <c r="H28" s="656"/>
      <c r="I28" s="656"/>
      <c r="J28" s="656"/>
      <c r="K28" s="656"/>
      <c r="L28" s="656"/>
      <c r="M28" s="656"/>
      <c r="N28" s="656"/>
      <c r="O28" s="656"/>
      <c r="P28" s="656"/>
      <c r="Q28" s="656"/>
      <c r="R28" s="656"/>
      <c r="S28" s="671"/>
      <c r="T28" s="17"/>
      <c r="U28" s="17"/>
      <c r="V28" s="17"/>
      <c r="W28" s="17"/>
      <c r="X28" s="17"/>
      <c r="Y28" s="286"/>
      <c r="Z28" s="286"/>
      <c r="AA28" s="286"/>
    </row>
    <row r="29" spans="1:27" ht="15.75" x14ac:dyDescent="0.25">
      <c r="A29" s="1146" t="s">
        <v>56</v>
      </c>
      <c r="B29" s="45" t="s">
        <v>57</v>
      </c>
      <c r="C29" s="44" t="s">
        <v>4</v>
      </c>
      <c r="D29" s="670" t="s">
        <v>50</v>
      </c>
      <c r="E29" s="668"/>
      <c r="F29" s="668"/>
      <c r="G29" s="668"/>
      <c r="H29" s="656"/>
      <c r="I29" s="656"/>
      <c r="J29" s="656"/>
      <c r="K29" s="656"/>
      <c r="L29" s="656"/>
      <c r="M29" s="656"/>
      <c r="N29" s="656"/>
      <c r="O29" s="656"/>
      <c r="P29" s="656"/>
      <c r="Q29" s="656"/>
      <c r="R29" s="656"/>
      <c r="S29" s="671"/>
      <c r="T29" s="17"/>
      <c r="U29" s="17"/>
      <c r="V29" s="17"/>
      <c r="W29" s="17"/>
      <c r="X29" s="17"/>
      <c r="Y29" s="286"/>
      <c r="Z29" s="286"/>
      <c r="AA29" s="286"/>
    </row>
    <row r="30" spans="1:27" ht="15.75" x14ac:dyDescent="0.25">
      <c r="A30" s="1146"/>
      <c r="B30" s="45" t="s">
        <v>58</v>
      </c>
      <c r="C30" s="44"/>
      <c r="D30" s="672" t="str">
        <f>IF(COUNTA(C29:C30)=0,"Niveau pré-requis Validé ou Estimé ?","")</f>
        <v/>
      </c>
      <c r="E30" s="681"/>
      <c r="F30" s="668"/>
      <c r="G30" s="668"/>
      <c r="H30" s="656"/>
      <c r="I30" s="656"/>
      <c r="J30" s="656"/>
      <c r="K30" s="656"/>
      <c r="L30" s="656"/>
      <c r="M30" s="656"/>
      <c r="N30" s="656"/>
      <c r="O30" s="656"/>
      <c r="P30" s="656"/>
      <c r="Q30" s="656"/>
      <c r="R30" s="656"/>
      <c r="S30" s="671"/>
      <c r="T30" s="17"/>
      <c r="U30" s="17"/>
      <c r="V30" s="17"/>
      <c r="W30" s="17"/>
      <c r="X30" s="17"/>
      <c r="Y30" s="286"/>
      <c r="Z30" s="286"/>
      <c r="AA30" s="286"/>
    </row>
    <row r="31" spans="1:27" ht="16.5" thickBot="1" x14ac:dyDescent="0.3">
      <c r="A31" s="46"/>
      <c r="B31" s="47"/>
      <c r="C31" s="675"/>
      <c r="D31" s="673"/>
      <c r="E31" s="674"/>
      <c r="F31" s="674"/>
      <c r="G31" s="674"/>
      <c r="H31" s="675"/>
      <c r="I31" s="675"/>
      <c r="J31" s="675"/>
      <c r="K31" s="675"/>
      <c r="L31" s="675"/>
      <c r="M31" s="675"/>
      <c r="N31" s="675"/>
      <c r="O31" s="675"/>
      <c r="P31" s="675"/>
      <c r="Q31" s="675"/>
      <c r="R31" s="675"/>
      <c r="S31" s="676"/>
      <c r="T31" s="17"/>
      <c r="U31" s="17"/>
      <c r="V31" s="17"/>
      <c r="W31" s="17"/>
      <c r="X31" s="17"/>
      <c r="Y31" s="286"/>
      <c r="Z31" s="286"/>
      <c r="AA31" s="286"/>
    </row>
    <row r="32" spans="1:27" x14ac:dyDescent="0.25">
      <c r="A32" s="26"/>
      <c r="B32" s="48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17"/>
      <c r="U32" s="17"/>
      <c r="V32" s="17"/>
      <c r="W32" s="17"/>
      <c r="X32" s="17"/>
      <c r="Y32" s="286"/>
      <c r="Z32" s="286"/>
      <c r="AA32" s="286"/>
    </row>
    <row r="33" spans="1:27" x14ac:dyDescent="0.25">
      <c r="A33" s="50" t="s">
        <v>59</v>
      </c>
      <c r="B33" s="51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286"/>
      <c r="Z33" s="286"/>
      <c r="AA33" s="286"/>
    </row>
    <row r="34" spans="1:27" x14ac:dyDescent="0.25">
      <c r="A34" s="52" t="s">
        <v>60</v>
      </c>
      <c r="B34" s="53">
        <v>1946</v>
      </c>
      <c r="C34" s="54" t="s">
        <v>61</v>
      </c>
      <c r="D34" s="55"/>
      <c r="E34" s="55"/>
      <c r="F34" s="56"/>
      <c r="G34" s="49"/>
      <c r="H34" s="7"/>
      <c r="I34" s="8"/>
      <c r="J34" s="8"/>
      <c r="K34" s="8"/>
      <c r="L34" s="8"/>
      <c r="M34" s="49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286"/>
      <c r="Z34" s="286"/>
      <c r="AA34" s="286"/>
    </row>
    <row r="35" spans="1:27" x14ac:dyDescent="0.25">
      <c r="A35" s="57" t="s">
        <v>62</v>
      </c>
      <c r="B35" s="58"/>
      <c r="C35" s="59" t="s">
        <v>63</v>
      </c>
      <c r="D35" s="60"/>
      <c r="E35" s="55"/>
      <c r="F35" s="8"/>
      <c r="G35" s="8"/>
      <c r="H35" s="7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286"/>
      <c r="Z35" s="286"/>
      <c r="AA35" s="286"/>
    </row>
    <row r="36" spans="1:27" ht="24" x14ac:dyDescent="0.25">
      <c r="A36" s="61" t="s">
        <v>64</v>
      </c>
      <c r="B36" s="682" t="str">
        <f>IF(H37="x","Ligue Nouvelle Aquitaine","Comité Territorial")</f>
        <v>Comité Territorial</v>
      </c>
      <c r="C36" s="62">
        <v>24</v>
      </c>
      <c r="D36" s="62">
        <v>33</v>
      </c>
      <c r="E36" s="63">
        <v>40</v>
      </c>
      <c r="F36" s="62">
        <v>47</v>
      </c>
      <c r="G36" s="62">
        <v>64</v>
      </c>
      <c r="H36" s="62" t="s">
        <v>65</v>
      </c>
      <c r="I36" s="64" t="s">
        <v>66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286"/>
      <c r="Z36" s="286"/>
      <c r="AA36" s="286"/>
    </row>
    <row r="37" spans="1:27" ht="26.25" thickBot="1" x14ac:dyDescent="0.3">
      <c r="A37" s="65" t="str">
        <f>IF(C37="x","CT 24",IF(D37="x","CT 33",IF(E37="x",CB51,IF(F37="x","CT 47",IF(G37="x","CT 64",IF(H37="x","Ligue  AQ",""))))))</f>
        <v>CT 64</v>
      </c>
      <c r="B37" s="66" t="str">
        <f>IF(C37="x","Dordogne",IF(D37="x","Gironde",IF(E37="x","Landes",IF(F37="x","Lot et Garonne",IF(G37="x","Pyrénées Atlantiques",IF(H37="x","Aquitaine",""))))))</f>
        <v>Pyrénées Atlantiques</v>
      </c>
      <c r="C37" s="67"/>
      <c r="D37" s="67"/>
      <c r="E37" s="67"/>
      <c r="F37" s="67"/>
      <c r="G37" s="67" t="s">
        <v>4</v>
      </c>
      <c r="H37" s="67"/>
      <c r="I37" s="68" t="s">
        <v>67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286"/>
      <c r="Z37" s="286"/>
      <c r="AA37" s="286"/>
    </row>
    <row r="38" spans="1:27" x14ac:dyDescent="0.25">
      <c r="A38" s="69"/>
      <c r="B38" s="70"/>
      <c r="C38" s="70"/>
      <c r="D38" s="70"/>
      <c r="E38" s="71"/>
      <c r="F38" s="71"/>
      <c r="G38" s="17"/>
      <c r="H38" s="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286"/>
      <c r="Z38" s="286"/>
      <c r="AA38" s="286"/>
    </row>
    <row r="39" spans="1:27" x14ac:dyDescent="0.25">
      <c r="A39" s="50" t="s">
        <v>68</v>
      </c>
      <c r="B39" s="51"/>
      <c r="C39" s="72"/>
      <c r="D39" s="72"/>
      <c r="E39" s="72"/>
      <c r="F39" s="70"/>
      <c r="G39" s="7"/>
      <c r="H39" s="71"/>
      <c r="I39" s="71"/>
      <c r="J39" s="17"/>
      <c r="K39" s="17"/>
      <c r="L39" s="17"/>
      <c r="M39" s="17"/>
      <c r="N39" s="17"/>
      <c r="O39" s="17"/>
      <c r="P39" s="17"/>
      <c r="Q39" s="17"/>
      <c r="R39" s="17"/>
      <c r="S39" s="17" t="s">
        <v>619</v>
      </c>
      <c r="T39" s="17"/>
      <c r="U39" s="17"/>
      <c r="V39" s="17"/>
      <c r="W39" s="17"/>
      <c r="X39" s="17"/>
      <c r="Y39" s="286"/>
      <c r="Z39" s="286"/>
      <c r="AA39" s="286"/>
    </row>
    <row r="40" spans="1:27" ht="15.75" x14ac:dyDescent="0.25">
      <c r="A40" s="25" t="s">
        <v>69</v>
      </c>
      <c r="B40" s="73">
        <v>8</v>
      </c>
      <c r="C40" s="74" t="s">
        <v>70</v>
      </c>
      <c r="D40" s="75"/>
      <c r="E40" s="75"/>
      <c r="F40" s="76"/>
      <c r="G40" s="76"/>
      <c r="H40" s="7"/>
      <c r="I40" s="1"/>
      <c r="J40" s="77"/>
      <c r="K40" s="8"/>
      <c r="L40" s="8"/>
      <c r="M40" s="8"/>
      <c r="N40" s="8"/>
      <c r="O40" s="8"/>
      <c r="P40" s="8"/>
      <c r="Q40" s="8"/>
      <c r="R40" s="8"/>
      <c r="S40" s="8" t="s">
        <v>69</v>
      </c>
      <c r="T40" s="8">
        <v>3</v>
      </c>
      <c r="U40" s="8"/>
      <c r="V40" s="8" t="s">
        <v>621</v>
      </c>
      <c r="W40" s="8"/>
      <c r="X40" s="8">
        <v>1</v>
      </c>
      <c r="Y40" s="286"/>
      <c r="Z40" s="286"/>
      <c r="AA40" s="286"/>
    </row>
    <row r="41" spans="1:27" x14ac:dyDescent="0.25">
      <c r="A41" s="78" t="s">
        <v>71</v>
      </c>
      <c r="B41" s="1147">
        <v>44576</v>
      </c>
      <c r="C41" s="1147"/>
      <c r="D41" s="1147"/>
      <c r="E41" s="79" t="s">
        <v>72</v>
      </c>
      <c r="F41" s="1148" t="s">
        <v>614</v>
      </c>
      <c r="G41" s="1149"/>
      <c r="H41" s="1149"/>
      <c r="I41" s="1150"/>
      <c r="J41" s="80">
        <f t="shared" ref="J41:J48" si="0">IF(F41="",0,1)</f>
        <v>1</v>
      </c>
      <c r="K41" s="64" t="s">
        <v>73</v>
      </c>
      <c r="L41" s="8"/>
      <c r="M41" s="8"/>
      <c r="N41" s="81"/>
      <c r="O41" s="81">
        <v>40908</v>
      </c>
      <c r="P41" s="64" t="s">
        <v>74</v>
      </c>
      <c r="Q41" s="8"/>
      <c r="R41" s="8"/>
      <c r="S41" s="8" t="s">
        <v>620</v>
      </c>
      <c r="T41" s="1119">
        <v>44576</v>
      </c>
      <c r="U41" s="8"/>
      <c r="V41" s="8"/>
      <c r="W41" s="8"/>
      <c r="X41" s="8"/>
      <c r="Y41" s="286"/>
      <c r="Z41" s="286"/>
      <c r="AA41" s="286"/>
    </row>
    <row r="42" spans="1:27" x14ac:dyDescent="0.25">
      <c r="A42" s="82" t="s">
        <v>75</v>
      </c>
      <c r="B42" s="1140">
        <f>IF(B40&gt;1,B41+1,"")</f>
        <v>44577</v>
      </c>
      <c r="C42" s="1140"/>
      <c r="D42" s="1140"/>
      <c r="E42" s="79" t="str">
        <f t="shared" ref="E42:E48" si="1">IF(F42="","","Lieu :")</f>
        <v>Lieu :</v>
      </c>
      <c r="F42" s="1141" t="str">
        <f t="shared" ref="F42:F48" si="2">IF(B42="","",F41)</f>
        <v>Ailefroide</v>
      </c>
      <c r="G42" s="1142"/>
      <c r="H42" s="1142"/>
      <c r="I42" s="1143"/>
      <c r="J42" s="80">
        <f t="shared" si="0"/>
        <v>1</v>
      </c>
      <c r="K42" s="83" t="str">
        <f t="shared" ref="K42:K48" si="3">IF(F42="","","(Affichage automatique : ne modifier que si nécessaire)")</f>
        <v>(Affichage automatique : ne modifier que si nécessaire)</v>
      </c>
      <c r="L42" s="8"/>
      <c r="M42" s="8"/>
      <c r="N42" s="8"/>
      <c r="O42" s="8"/>
      <c r="P42" s="8"/>
      <c r="Q42" s="8"/>
      <c r="R42" s="8"/>
      <c r="S42" s="82" t="s">
        <v>75</v>
      </c>
      <c r="T42" s="1140">
        <f>IF(T$40&gt;1,T41+1,"")</f>
        <v>44577</v>
      </c>
      <c r="U42" s="1140"/>
      <c r="V42" s="1140"/>
      <c r="W42" s="8"/>
      <c r="X42" s="8"/>
      <c r="Y42" s="286"/>
      <c r="Z42" s="286"/>
      <c r="AA42" s="286"/>
    </row>
    <row r="43" spans="1:27" x14ac:dyDescent="0.25">
      <c r="A43" s="82" t="s">
        <v>76</v>
      </c>
      <c r="B43" s="1140">
        <f>IF(B40&gt;2,B42+1,"")</f>
        <v>44578</v>
      </c>
      <c r="C43" s="1140"/>
      <c r="D43" s="1140"/>
      <c r="E43" s="79" t="str">
        <f t="shared" si="1"/>
        <v>Lieu :</v>
      </c>
      <c r="F43" s="1141" t="str">
        <f t="shared" si="2"/>
        <v>Ailefroide</v>
      </c>
      <c r="G43" s="1142"/>
      <c r="H43" s="1142"/>
      <c r="I43" s="1143"/>
      <c r="J43" s="80">
        <f t="shared" si="0"/>
        <v>1</v>
      </c>
      <c r="K43" s="83" t="str">
        <f t="shared" si="3"/>
        <v>(Affichage automatique : ne modifier que si nécessaire)</v>
      </c>
      <c r="L43" s="8"/>
      <c r="M43" s="8"/>
      <c r="N43" s="8"/>
      <c r="O43" s="8"/>
      <c r="P43" s="8"/>
      <c r="Q43" s="8"/>
      <c r="R43" s="8"/>
      <c r="S43" s="82" t="s">
        <v>76</v>
      </c>
      <c r="T43" s="1140">
        <f>IF(T$40&gt;2,T42+1,"")</f>
        <v>44578</v>
      </c>
      <c r="U43" s="1140"/>
      <c r="V43" s="1140"/>
      <c r="W43" s="8"/>
      <c r="X43" s="8"/>
      <c r="Y43" s="286"/>
      <c r="Z43" s="286"/>
      <c r="AA43" s="286"/>
    </row>
    <row r="44" spans="1:27" x14ac:dyDescent="0.25">
      <c r="A44" s="82" t="s">
        <v>77</v>
      </c>
      <c r="B44" s="1140">
        <f>IF(B40&gt;3,B43+1,"")</f>
        <v>44579</v>
      </c>
      <c r="C44" s="1140"/>
      <c r="D44" s="1140"/>
      <c r="E44" s="79" t="str">
        <f t="shared" si="1"/>
        <v>Lieu :</v>
      </c>
      <c r="F44" s="1141" t="str">
        <f t="shared" si="2"/>
        <v>Ailefroide</v>
      </c>
      <c r="G44" s="1142"/>
      <c r="H44" s="1142"/>
      <c r="I44" s="1143"/>
      <c r="J44" s="80">
        <f t="shared" si="0"/>
        <v>1</v>
      </c>
      <c r="K44" s="83" t="str">
        <f t="shared" si="3"/>
        <v>(Affichage automatique : ne modifier que si nécessaire)</v>
      </c>
      <c r="L44" s="8"/>
      <c r="M44" s="8"/>
      <c r="N44" s="8"/>
      <c r="O44" s="8"/>
      <c r="P44" s="8"/>
      <c r="Q44" s="8"/>
      <c r="R44" s="8"/>
      <c r="S44" s="82" t="s">
        <v>77</v>
      </c>
      <c r="T44" s="1140" t="str">
        <f>IF(T$40&gt;3,T43+1,"")</f>
        <v/>
      </c>
      <c r="U44" s="1140"/>
      <c r="V44" s="1140"/>
      <c r="W44" s="8"/>
      <c r="X44" s="8"/>
      <c r="Y44" s="286"/>
      <c r="Z44" s="286"/>
      <c r="AA44" s="286"/>
    </row>
    <row r="45" spans="1:27" x14ac:dyDescent="0.25">
      <c r="A45" s="82" t="s">
        <v>78</v>
      </c>
      <c r="B45" s="1140">
        <f>IF(B40&gt;4,B44+1,"")</f>
        <v>44580</v>
      </c>
      <c r="C45" s="1140"/>
      <c r="D45" s="1140"/>
      <c r="E45" s="79" t="str">
        <f t="shared" si="1"/>
        <v>Lieu :</v>
      </c>
      <c r="F45" s="1141" t="str">
        <f t="shared" si="2"/>
        <v>Ailefroide</v>
      </c>
      <c r="G45" s="1142"/>
      <c r="H45" s="1142"/>
      <c r="I45" s="1143"/>
      <c r="J45" s="80">
        <f t="shared" si="0"/>
        <v>1</v>
      </c>
      <c r="K45" s="83" t="str">
        <f>IF(F45="","","(Affichage automatique : ne modifier que si nécessaire)")</f>
        <v>(Affichage automatique : ne modifier que si nécessaire)</v>
      </c>
      <c r="L45" s="8"/>
      <c r="M45" s="8"/>
      <c r="N45" s="8"/>
      <c r="O45" s="8"/>
      <c r="P45" s="8"/>
      <c r="Q45" s="8"/>
      <c r="R45" s="8"/>
      <c r="S45" s="82" t="s">
        <v>78</v>
      </c>
      <c r="T45" s="1140" t="str">
        <f>IF(T$40&gt;4,T44+1,"")</f>
        <v/>
      </c>
      <c r="U45" s="1140"/>
      <c r="V45" s="1140"/>
      <c r="W45" s="8"/>
      <c r="X45" s="8"/>
      <c r="Y45" s="286"/>
      <c r="Z45" s="286"/>
      <c r="AA45" s="286"/>
    </row>
    <row r="46" spans="1:27" x14ac:dyDescent="0.25">
      <c r="A46" s="82" t="s">
        <v>79</v>
      </c>
      <c r="B46" s="1140">
        <f>IF(B40&gt;5,B45+1,"")</f>
        <v>44581</v>
      </c>
      <c r="C46" s="1140"/>
      <c r="D46" s="1140"/>
      <c r="E46" s="79" t="str">
        <f t="shared" si="1"/>
        <v>Lieu :</v>
      </c>
      <c r="F46" s="1141" t="str">
        <f t="shared" si="2"/>
        <v>Ailefroide</v>
      </c>
      <c r="G46" s="1142"/>
      <c r="H46" s="1142"/>
      <c r="I46" s="1143"/>
      <c r="J46" s="80">
        <f t="shared" si="0"/>
        <v>1</v>
      </c>
      <c r="K46" s="83" t="str">
        <f t="shared" si="3"/>
        <v>(Affichage automatique : ne modifier que si nécessaire)</v>
      </c>
      <c r="L46" s="8"/>
      <c r="M46" s="8"/>
      <c r="N46" s="8"/>
      <c r="O46" s="8"/>
      <c r="P46" s="8"/>
      <c r="Q46" s="8"/>
      <c r="R46" s="8"/>
      <c r="S46" s="82" t="s">
        <v>79</v>
      </c>
      <c r="T46" s="1140" t="str">
        <f>IF(T$40&gt;4,T45+1,"")</f>
        <v/>
      </c>
      <c r="U46" s="1140"/>
      <c r="V46" s="1140"/>
      <c r="W46" s="8"/>
      <c r="X46" s="8"/>
      <c r="Y46" s="286"/>
      <c r="Z46" s="286"/>
      <c r="AA46" s="286"/>
    </row>
    <row r="47" spans="1:27" x14ac:dyDescent="0.25">
      <c r="A47" s="82" t="s">
        <v>80</v>
      </c>
      <c r="B47" s="1140">
        <f>IF(B40&gt;6,B46+1,"")</f>
        <v>44582</v>
      </c>
      <c r="C47" s="1140"/>
      <c r="D47" s="1140"/>
      <c r="E47" s="79" t="str">
        <f t="shared" si="1"/>
        <v>Lieu :</v>
      </c>
      <c r="F47" s="1141" t="str">
        <f t="shared" si="2"/>
        <v>Ailefroide</v>
      </c>
      <c r="G47" s="1142"/>
      <c r="H47" s="1142"/>
      <c r="I47" s="1143"/>
      <c r="J47" s="80">
        <f t="shared" si="0"/>
        <v>1</v>
      </c>
      <c r="K47" s="83" t="str">
        <f t="shared" si="3"/>
        <v>(Affichage automatique : ne modifier que si nécessaire)</v>
      </c>
      <c r="L47" s="8"/>
      <c r="M47" s="8"/>
      <c r="N47" s="8"/>
      <c r="O47" s="8"/>
      <c r="P47" s="8"/>
      <c r="Q47" s="8"/>
      <c r="R47" s="8"/>
      <c r="S47" s="82" t="s">
        <v>80</v>
      </c>
      <c r="T47" s="1140" t="str">
        <f>IF(T$40&gt;5,T46+1,"")</f>
        <v/>
      </c>
      <c r="U47" s="1140"/>
      <c r="V47" s="1140"/>
      <c r="W47" s="8"/>
      <c r="X47" s="8"/>
      <c r="Y47" s="286"/>
      <c r="Z47" s="286"/>
      <c r="AA47" s="286"/>
    </row>
    <row r="48" spans="1:27" x14ac:dyDescent="0.25">
      <c r="A48" s="82" t="s">
        <v>81</v>
      </c>
      <c r="B48" s="1140">
        <f>IF(B40&gt;7,B47+1,"")</f>
        <v>44583</v>
      </c>
      <c r="C48" s="1140"/>
      <c r="D48" s="1140"/>
      <c r="E48" s="79" t="str">
        <f t="shared" si="1"/>
        <v>Lieu :</v>
      </c>
      <c r="F48" s="1141" t="str">
        <f t="shared" si="2"/>
        <v>Ailefroide</v>
      </c>
      <c r="G48" s="1142"/>
      <c r="H48" s="1142"/>
      <c r="I48" s="1143"/>
      <c r="J48" s="80">
        <f t="shared" si="0"/>
        <v>1</v>
      </c>
      <c r="K48" s="83" t="str">
        <f t="shared" si="3"/>
        <v>(Affichage automatique : ne modifier que si nécessaire)</v>
      </c>
      <c r="L48" s="8"/>
      <c r="M48" s="8"/>
      <c r="N48" s="8"/>
      <c r="O48" s="8"/>
      <c r="P48" s="8"/>
      <c r="Q48" s="8"/>
      <c r="R48" s="8"/>
      <c r="S48" s="82" t="s">
        <v>81</v>
      </c>
      <c r="T48" s="1140" t="str">
        <f>IF(T$40&gt;6,T47+1,"")</f>
        <v/>
      </c>
      <c r="U48" s="1140"/>
      <c r="V48" s="1140"/>
      <c r="W48" s="8"/>
      <c r="X48" s="8"/>
      <c r="Y48" s="286"/>
      <c r="Z48" s="286"/>
      <c r="AA48" s="286"/>
    </row>
    <row r="49" spans="1:27" x14ac:dyDescent="0.25">
      <c r="A49" s="78" t="s">
        <v>82</v>
      </c>
      <c r="B49" s="1144">
        <f>IF($B40=8,B48,IF($B40=7,B47,IF($B40=6,B46,IF($B40=5,B45,IF($B40=4,B44,IF($B40=3,B43,IF($B40=2,B42,IF($B40=1,B41,""))))))))</f>
        <v>44583</v>
      </c>
      <c r="C49" s="1144"/>
      <c r="D49" s="1144"/>
      <c r="E49" s="79" t="s">
        <v>72</v>
      </c>
      <c r="F49" s="1145" t="str">
        <f>IF(B50=8,F48,IF(B50=7,F47,IF(B50=6,F46,IF(B50=5,F45,IF(B50=4,F44,IF(B50=3,F43,IF(B50=2,F42,IF(B50=1,F41,""))))))))</f>
        <v>Ailefroide</v>
      </c>
      <c r="G49" s="1145"/>
      <c r="H49" s="1145"/>
      <c r="I49" s="1145"/>
      <c r="J49" s="80"/>
      <c r="K49" s="64" t="s">
        <v>83</v>
      </c>
      <c r="L49" s="8"/>
      <c r="M49" s="8"/>
      <c r="N49" s="8"/>
      <c r="O49" s="8"/>
      <c r="P49" s="8"/>
      <c r="Q49" s="8"/>
      <c r="R49" s="8"/>
      <c r="S49" s="78" t="s">
        <v>82</v>
      </c>
      <c r="T49" s="1144">
        <f>IF($T40=8,T48,IF($T40=7,T47,IF($T40=6,T46,IF($T40=5,T45,IF($T40=4,T44,IF($T40=3,T43,IF($T40=2,T42,IF($T40=1,T41,""))))))))</f>
        <v>44578</v>
      </c>
      <c r="U49" s="1144"/>
      <c r="V49" s="1144"/>
      <c r="W49" s="8"/>
      <c r="X49" s="8"/>
      <c r="Y49" s="286"/>
      <c r="Z49" s="286"/>
      <c r="AA49" s="286"/>
    </row>
    <row r="50" spans="1:27" ht="15.75" x14ac:dyDescent="0.25">
      <c r="A50" s="84" t="s">
        <v>84</v>
      </c>
      <c r="B50" s="85">
        <f>SUM(J41:J48)</f>
        <v>8</v>
      </c>
      <c r="C50" s="86"/>
      <c r="D50" s="87" t="str">
        <f>IF(B40=B50,"","ERREUR ?")</f>
        <v/>
      </c>
      <c r="E50" s="88"/>
      <c r="F50" s="76"/>
      <c r="G50" s="76"/>
      <c r="H50" s="7"/>
      <c r="I50" s="1"/>
      <c r="J50" s="1"/>
      <c r="K50" s="8"/>
      <c r="L50" s="8"/>
      <c r="M50" s="8"/>
      <c r="N50" s="8"/>
      <c r="O50" s="8"/>
      <c r="P50" s="8"/>
      <c r="Q50" s="8"/>
      <c r="R50" s="8"/>
      <c r="S50" s="84"/>
      <c r="T50" s="1120"/>
      <c r="U50" s="8"/>
      <c r="V50" s="8"/>
      <c r="W50" s="8"/>
      <c r="X50" s="8"/>
      <c r="Y50" s="286"/>
      <c r="Z50" s="286"/>
      <c r="AA50" s="286"/>
    </row>
    <row r="51" spans="1:27" x14ac:dyDescent="0.25">
      <c r="A51" s="89"/>
      <c r="B51" s="90"/>
      <c r="C51" s="91"/>
      <c r="D51" s="92"/>
      <c r="E51" s="92"/>
      <c r="F51" s="76"/>
      <c r="G51" s="76"/>
      <c r="H51" s="7"/>
      <c r="I51" s="71"/>
      <c r="J51" s="71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286"/>
      <c r="Z51" s="286"/>
      <c r="AA51" s="286"/>
    </row>
    <row r="52" spans="1:27" ht="15.75" thickBot="1" x14ac:dyDescent="0.3">
      <c r="A52" s="1130" t="s">
        <v>85</v>
      </c>
      <c r="B52" s="1131"/>
      <c r="C52" s="72"/>
      <c r="D52" s="72"/>
      <c r="E52" s="72"/>
      <c r="F52" s="70"/>
      <c r="G52" s="7"/>
      <c r="H52" s="71"/>
      <c r="I52" s="71"/>
      <c r="J52" s="71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286"/>
      <c r="Z52" s="286"/>
      <c r="AA52" s="286"/>
    </row>
    <row r="53" spans="1:27" ht="15.75" thickBot="1" x14ac:dyDescent="0.3">
      <c r="A53" s="93" t="s">
        <v>86</v>
      </c>
      <c r="B53" s="94" t="str">
        <f>IF(B54="x",A54,IF(B55="x",A55,IF(B56="x",A56,IF(B57="x",A57,IF(B58="x",A58,IF(B59="x",A59,""))))))</f>
        <v>Pension complète</v>
      </c>
      <c r="C53" s="71"/>
      <c r="D53" s="71"/>
      <c r="E53" s="71"/>
      <c r="F53" s="71"/>
      <c r="G53" s="71"/>
      <c r="H53" s="49"/>
      <c r="I53" s="49"/>
      <c r="J53" s="49"/>
      <c r="K53" s="8"/>
      <c r="L53" s="71"/>
      <c r="M53" s="8"/>
      <c r="N53" s="8"/>
      <c r="O53" s="8"/>
      <c r="P53" s="8"/>
      <c r="Q53" s="49"/>
      <c r="R53" s="8"/>
      <c r="S53" s="8"/>
      <c r="T53" s="8"/>
      <c r="U53" s="8"/>
      <c r="V53" s="8"/>
      <c r="W53" s="8"/>
      <c r="X53" s="8"/>
      <c r="Y53" s="286"/>
      <c r="Z53" s="286"/>
      <c r="AA53" s="286"/>
    </row>
    <row r="54" spans="1:27" ht="15.75" x14ac:dyDescent="0.25">
      <c r="A54" s="95" t="s">
        <v>87</v>
      </c>
      <c r="B54" s="96" t="s">
        <v>4</v>
      </c>
      <c r="C54" s="97" t="s">
        <v>89</v>
      </c>
      <c r="D54" s="49"/>
      <c r="E54" s="49"/>
      <c r="F54" s="49"/>
      <c r="G54" s="49"/>
      <c r="H54" s="49"/>
      <c r="I54" s="49"/>
      <c r="J54" s="49"/>
      <c r="K54" s="68"/>
      <c r="L54" s="8"/>
      <c r="M54" s="8"/>
      <c r="N54" s="8"/>
      <c r="O54" s="8"/>
      <c r="P54" s="8"/>
      <c r="Q54" s="49"/>
      <c r="R54" s="8"/>
      <c r="S54" s="8"/>
      <c r="T54" s="8"/>
      <c r="U54" s="8"/>
      <c r="V54" s="8"/>
      <c r="W54" s="8"/>
      <c r="X54" s="8"/>
      <c r="Y54" s="286"/>
      <c r="Z54" s="286"/>
      <c r="AA54" s="286"/>
    </row>
    <row r="55" spans="1:27" ht="15.75" x14ac:dyDescent="0.25">
      <c r="A55" s="95" t="s">
        <v>90</v>
      </c>
      <c r="B55" s="96"/>
      <c r="C55" s="98" t="str">
        <f>IF(COUNTA(B54:B59)=0,"et taper 'X' dans la case verte correspondante","")</f>
        <v/>
      </c>
      <c r="D55" s="49"/>
      <c r="E55" s="49"/>
      <c r="F55" s="49"/>
      <c r="G55" s="49"/>
      <c r="H55" s="49"/>
      <c r="I55" s="49"/>
      <c r="J55" s="49"/>
      <c r="K55" s="68"/>
      <c r="L55" s="8"/>
      <c r="M55" s="8"/>
      <c r="N55" s="8"/>
      <c r="O55" s="8"/>
      <c r="P55" s="8"/>
      <c r="Q55" s="49"/>
      <c r="R55" s="8"/>
      <c r="S55" s="8"/>
      <c r="T55" s="8"/>
      <c r="U55" s="8"/>
      <c r="V55" s="8"/>
      <c r="W55" s="8"/>
      <c r="X55" s="8"/>
      <c r="Y55" s="286"/>
      <c r="Z55" s="286"/>
      <c r="AA55" s="286"/>
    </row>
    <row r="56" spans="1:27" ht="15.75" x14ac:dyDescent="0.25">
      <c r="A56" s="95" t="s">
        <v>91</v>
      </c>
      <c r="B56" s="44"/>
      <c r="C56" s="49"/>
      <c r="D56" s="49"/>
      <c r="E56" s="49"/>
      <c r="F56" s="49"/>
      <c r="G56" s="49"/>
      <c r="H56" s="49"/>
      <c r="I56" s="49"/>
      <c r="J56" s="49"/>
      <c r="K56" s="68"/>
      <c r="L56" s="8"/>
      <c r="M56" s="8"/>
      <c r="N56" s="8"/>
      <c r="O56" s="8"/>
      <c r="P56" s="99"/>
      <c r="Q56" s="49"/>
      <c r="R56" s="8"/>
      <c r="S56" s="8"/>
      <c r="T56" s="8"/>
      <c r="U56" s="8"/>
      <c r="V56" s="8"/>
      <c r="W56" s="8"/>
      <c r="X56" s="8"/>
      <c r="Y56" s="286"/>
      <c r="Z56" s="286"/>
      <c r="AA56" s="286"/>
    </row>
    <row r="57" spans="1:27" ht="15.75" x14ac:dyDescent="0.25">
      <c r="A57" s="95" t="s">
        <v>92</v>
      </c>
      <c r="B57" s="44"/>
      <c r="C57" s="49"/>
      <c r="D57" s="49"/>
      <c r="E57" s="49"/>
      <c r="F57" s="49"/>
      <c r="G57" s="49"/>
      <c r="H57" s="49"/>
      <c r="I57" s="49"/>
      <c r="J57" s="49"/>
      <c r="K57" s="68"/>
      <c r="L57" s="8"/>
      <c r="M57" s="8"/>
      <c r="N57" s="8"/>
      <c r="O57" s="8"/>
      <c r="P57" s="8"/>
      <c r="Q57" s="49"/>
      <c r="R57" s="8"/>
      <c r="S57" s="8"/>
      <c r="T57" s="8"/>
      <c r="U57" s="8"/>
      <c r="V57" s="8"/>
      <c r="W57" s="8"/>
      <c r="X57" s="8"/>
      <c r="Y57" s="286"/>
      <c r="Z57" s="286"/>
      <c r="AA57" s="286"/>
    </row>
    <row r="58" spans="1:27" ht="15.75" x14ac:dyDescent="0.25">
      <c r="A58" s="95" t="s">
        <v>93</v>
      </c>
      <c r="B58" s="44"/>
      <c r="C58" s="49"/>
      <c r="D58" s="49"/>
      <c r="E58" s="49"/>
      <c r="F58" s="49"/>
      <c r="G58" s="49"/>
      <c r="H58" s="49"/>
      <c r="I58" s="49"/>
      <c r="J58" s="49"/>
      <c r="K58" s="68"/>
      <c r="L58" s="8"/>
      <c r="M58" s="8"/>
      <c r="N58" s="8"/>
      <c r="O58" s="8"/>
      <c r="P58" s="8"/>
      <c r="Q58" s="49"/>
      <c r="R58" s="8"/>
      <c r="S58" s="8"/>
      <c r="T58" s="8"/>
      <c r="U58" s="8"/>
      <c r="V58" s="8"/>
      <c r="W58" s="8"/>
      <c r="X58" s="8"/>
      <c r="Y58" s="286"/>
      <c r="Z58" s="286"/>
      <c r="AA58" s="286"/>
    </row>
    <row r="59" spans="1:27" ht="15.75" x14ac:dyDescent="0.25">
      <c r="A59" s="100"/>
      <c r="B59" s="44"/>
      <c r="C59" s="683" t="str">
        <f>IF(COUNTA(B54:B59)&gt;1,"Cocher une seule case !!","")</f>
        <v/>
      </c>
      <c r="D59" s="49"/>
      <c r="E59" s="49"/>
      <c r="F59" s="49"/>
      <c r="G59" s="49"/>
      <c r="H59" s="49"/>
      <c r="I59" s="49"/>
      <c r="J59" s="49"/>
      <c r="K59" s="68"/>
      <c r="L59" s="17"/>
      <c r="M59" s="17"/>
      <c r="N59" s="17"/>
      <c r="O59" s="17"/>
      <c r="P59" s="17"/>
      <c r="Q59" s="49"/>
      <c r="R59" s="17"/>
      <c r="S59" s="17"/>
      <c r="T59" s="17"/>
      <c r="U59" s="17"/>
      <c r="V59" s="17"/>
      <c r="W59" s="17"/>
      <c r="X59" s="17"/>
      <c r="Y59" s="286"/>
      <c r="Z59" s="286"/>
      <c r="AA59" s="286"/>
    </row>
    <row r="60" spans="1:27" x14ac:dyDescent="0.25">
      <c r="A60" s="101"/>
      <c r="B60" s="48"/>
      <c r="C60" s="102"/>
      <c r="D60" s="102"/>
      <c r="E60" s="102"/>
      <c r="F60" s="102"/>
      <c r="G60" s="49"/>
      <c r="H60" s="102"/>
      <c r="I60" s="102"/>
      <c r="J60" s="102"/>
      <c r="K60" s="102"/>
      <c r="L60" s="102"/>
      <c r="M60" s="684"/>
      <c r="N60" s="685"/>
      <c r="O60" s="17"/>
      <c r="P60" s="17"/>
      <c r="Q60" s="103"/>
      <c r="R60" s="17"/>
      <c r="S60" s="17"/>
      <c r="T60" s="17"/>
      <c r="U60" s="17"/>
      <c r="V60" s="17"/>
      <c r="W60" s="17"/>
      <c r="X60" s="17"/>
      <c r="Y60" s="286"/>
      <c r="Z60" s="286"/>
      <c r="AA60" s="286"/>
    </row>
    <row r="61" spans="1:27" x14ac:dyDescent="0.25">
      <c r="A61" s="26"/>
      <c r="B61" s="108"/>
      <c r="C61" s="109"/>
      <c r="D61" s="110"/>
      <c r="E61" s="109"/>
      <c r="F61" s="686"/>
      <c r="G61" s="686"/>
      <c r="H61" s="111"/>
      <c r="I61" s="111"/>
      <c r="J61" s="112"/>
      <c r="K61" s="112"/>
      <c r="L61" s="113"/>
      <c r="M61" s="71"/>
      <c r="N61" s="114"/>
      <c r="O61" s="114"/>
      <c r="P61" s="1"/>
      <c r="Q61" s="8"/>
      <c r="R61" s="8"/>
      <c r="S61" s="8"/>
      <c r="T61" s="8"/>
      <c r="U61" s="8"/>
      <c r="V61" s="8"/>
      <c r="W61" s="8"/>
      <c r="X61" s="8"/>
      <c r="Y61" s="286"/>
      <c r="Z61" s="286"/>
      <c r="AA61" s="286"/>
    </row>
    <row r="62" spans="1:27" x14ac:dyDescent="0.25">
      <c r="A62" s="50" t="s">
        <v>94</v>
      </c>
      <c r="B62" s="51"/>
      <c r="C62" s="621"/>
      <c r="D62" s="49"/>
      <c r="E62" s="49"/>
      <c r="F62" s="49"/>
      <c r="G62" s="49"/>
      <c r="H62" s="49"/>
      <c r="I62" s="71"/>
      <c r="J62" s="71"/>
      <c r="K62" s="115"/>
      <c r="L62" s="71"/>
      <c r="M62" s="687"/>
      <c r="N62" s="687"/>
      <c r="O62" s="687"/>
      <c r="P62" s="688"/>
      <c r="Q62" s="688"/>
      <c r="R62" s="71"/>
      <c r="S62" s="621"/>
      <c r="T62" s="621"/>
      <c r="U62" s="621"/>
      <c r="V62" s="621"/>
      <c r="W62" s="1137"/>
      <c r="X62" s="17"/>
      <c r="Y62" s="286"/>
      <c r="Z62" s="286"/>
      <c r="AA62" s="286"/>
    </row>
    <row r="63" spans="1:27" x14ac:dyDescent="0.25">
      <c r="A63" s="116"/>
      <c r="B63" s="8"/>
      <c r="C63" s="1138" t="s">
        <v>95</v>
      </c>
      <c r="D63" s="1138"/>
      <c r="E63" s="1138" t="s">
        <v>96</v>
      </c>
      <c r="F63" s="1138"/>
      <c r="G63" s="1138"/>
      <c r="H63" s="1135" t="s">
        <v>97</v>
      </c>
      <c r="I63" s="1139"/>
      <c r="J63" s="1139"/>
      <c r="K63" s="616" t="s">
        <v>98</v>
      </c>
      <c r="L63" s="1135" t="s">
        <v>99</v>
      </c>
      <c r="M63" s="1136"/>
      <c r="N63" s="117" t="s">
        <v>100</v>
      </c>
      <c r="O63" s="1135" t="s">
        <v>101</v>
      </c>
      <c r="P63" s="1136"/>
      <c r="Q63" s="688"/>
      <c r="R63" s="71"/>
      <c r="S63" s="49"/>
      <c r="T63" s="49"/>
      <c r="U63" s="49"/>
      <c r="V63" s="49"/>
      <c r="W63" s="1137"/>
      <c r="X63" s="8"/>
      <c r="Y63" s="286"/>
      <c r="Z63" s="286"/>
      <c r="AA63" s="286"/>
    </row>
    <row r="64" spans="1:27" x14ac:dyDescent="0.25">
      <c r="A64" s="118" t="s">
        <v>102</v>
      </c>
      <c r="B64" s="119">
        <v>19</v>
      </c>
      <c r="C64" s="120" t="str">
        <f ca="1">IF(B64="","",LOOKUP(B64,B$70:B$89,C$70:C$87))</f>
        <v xml:space="preserve">Initiateur </v>
      </c>
      <c r="D64" s="121"/>
      <c r="E64" s="120" t="str">
        <f ca="1">IF(B64="","",LOOKUP(B64,B$70:B$89,D$70:D$87))</f>
        <v>Supplémentaire</v>
      </c>
      <c r="F64" s="121"/>
      <c r="G64" s="122"/>
      <c r="H64" s="619" t="str">
        <f ca="1">IF(B64="","",LOOKUP(B64,B$70:B$89,E$70:E$87))</f>
        <v>Initiateur</v>
      </c>
      <c r="I64" s="123"/>
      <c r="J64" s="620"/>
      <c r="K64" s="124" t="str">
        <f t="shared" ref="K64:K66" ca="1" si="4">IF(B64="","",LOOKUP(B64,B$70:B$89,G$70:G$87))</f>
        <v/>
      </c>
      <c r="L64" s="619" t="str">
        <f ca="1">IF(B64="","",IF(H64="Instructeur","Professionnel",IF(H64="Cadre technique","Professionnel",IF(H64="Moniteur","Professionnel",""))))</f>
        <v/>
      </c>
      <c r="M64" s="125"/>
      <c r="N64" s="690" t="str">
        <f>A37</f>
        <v>CT 64</v>
      </c>
      <c r="O64" s="1132">
        <f ca="1">IF(E64="","",B$40)</f>
        <v>8</v>
      </c>
      <c r="P64" s="1133"/>
      <c r="Q64" s="691" t="str">
        <f ca="1">IF(O64="","","Vérifier la présence prévue sur le stage et rectifier si besoin")</f>
        <v>Vérifier la présence prévue sur le stage et rectifier si besoin</v>
      </c>
      <c r="R64" s="71"/>
      <c r="S64" s="49"/>
      <c r="T64" s="49"/>
      <c r="U64" s="49"/>
      <c r="V64" s="49"/>
      <c r="W64" s="8"/>
      <c r="X64" s="8"/>
      <c r="Y64" s="286"/>
      <c r="Z64" s="286"/>
      <c r="AA64" s="286"/>
    </row>
    <row r="65" spans="1:27" x14ac:dyDescent="0.25">
      <c r="A65" s="118" t="s">
        <v>103</v>
      </c>
      <c r="B65" s="119">
        <v>19</v>
      </c>
      <c r="C65" s="120" t="str">
        <f t="shared" ref="C65:C67" ca="1" si="5">IF(B65="","",LOOKUP(B65,B$70:B$89,C$70:C$87))</f>
        <v xml:space="preserve">Initiateur </v>
      </c>
      <c r="D65" s="121"/>
      <c r="E65" s="120" t="str">
        <f t="shared" ref="E65:E67" ca="1" si="6">IF(B65="","",LOOKUP(B65,B$70:B$89,D$70:D$87))</f>
        <v>Supplémentaire</v>
      </c>
      <c r="F65" s="121"/>
      <c r="G65" s="122"/>
      <c r="H65" s="619" t="str">
        <f t="shared" ref="H65:H67" ca="1" si="7">IF(B65="","",LOOKUP(B65,B$70:B$89,E$70:E$87))</f>
        <v>Initiateur</v>
      </c>
      <c r="I65" s="121"/>
      <c r="J65" s="122"/>
      <c r="K65" s="124" t="str">
        <f ca="1">IF(B65="","",LOOKUP(B65,B$70:B$89,G$70:G$87))</f>
        <v/>
      </c>
      <c r="L65" s="619" t="str">
        <f ca="1">IF(B65="","",IF(H65="Instructeur","Professionnel",IF(H65="Cadre technique","Professionnel",IF(H65="Moniteur","Professionnel",""))))</f>
        <v/>
      </c>
      <c r="M65" s="125"/>
      <c r="N65" s="692"/>
      <c r="O65" s="1132">
        <v>1</v>
      </c>
      <c r="P65" s="1133"/>
      <c r="Q65" s="691" t="str">
        <f t="shared" ref="Q65:Q67" si="8">IF(O65="","","Vérifier la présence prévue sur le stage et rectifier si besoin")</f>
        <v>Vérifier la présence prévue sur le stage et rectifier si besoin</v>
      </c>
      <c r="R65" s="71"/>
      <c r="S65" s="49"/>
      <c r="T65" s="49"/>
      <c r="U65" s="49"/>
      <c r="V65" s="49"/>
      <c r="W65" s="8"/>
      <c r="X65" s="8"/>
      <c r="Y65" s="286"/>
      <c r="Z65" s="286"/>
      <c r="AA65" s="286"/>
    </row>
    <row r="66" spans="1:27" x14ac:dyDescent="0.25">
      <c r="A66" s="118" t="s">
        <v>104</v>
      </c>
      <c r="B66" s="119"/>
      <c r="C66" s="120" t="str">
        <f t="shared" si="5"/>
        <v/>
      </c>
      <c r="D66" s="121"/>
      <c r="E66" s="120" t="str">
        <f t="shared" si="6"/>
        <v/>
      </c>
      <c r="F66" s="121"/>
      <c r="G66" s="122"/>
      <c r="H66" s="619" t="str">
        <f t="shared" si="7"/>
        <v/>
      </c>
      <c r="I66" s="121"/>
      <c r="J66" s="122"/>
      <c r="K66" s="124" t="str">
        <f t="shared" si="4"/>
        <v/>
      </c>
      <c r="L66" s="619" t="str">
        <f t="shared" ref="L66:L67" si="9">IF(B66="","",IF(K66="","",LOOKUP(B66,B$70:B$89,H$70:H$87)))</f>
        <v/>
      </c>
      <c r="M66" s="125"/>
      <c r="N66" s="692"/>
      <c r="O66" s="1132" t="str">
        <f>IF(E66="","",B$40)</f>
        <v/>
      </c>
      <c r="P66" s="1133"/>
      <c r="Q66" s="691" t="str">
        <f t="shared" si="8"/>
        <v/>
      </c>
      <c r="R66" s="71"/>
      <c r="S66" s="49"/>
      <c r="T66" s="49"/>
      <c r="U66" s="49"/>
      <c r="V66" s="49"/>
      <c r="W66" s="8"/>
      <c r="X66" s="8"/>
      <c r="Y66" s="286"/>
      <c r="Z66" s="286"/>
      <c r="AA66" s="286"/>
    </row>
    <row r="67" spans="1:27" x14ac:dyDescent="0.25">
      <c r="A67" s="118" t="s">
        <v>105</v>
      </c>
      <c r="B67" s="119"/>
      <c r="C67" s="120" t="str">
        <f t="shared" si="5"/>
        <v/>
      </c>
      <c r="D67" s="121"/>
      <c r="E67" s="120" t="str">
        <f t="shared" si="6"/>
        <v/>
      </c>
      <c r="F67" s="121"/>
      <c r="G67" s="122"/>
      <c r="H67" s="619" t="str">
        <f t="shared" si="7"/>
        <v/>
      </c>
      <c r="I67" s="121"/>
      <c r="J67" s="122"/>
      <c r="K67" s="124" t="str">
        <f>IF(B67="","",LOOKUP(B67,B$70:B$89,G$70:G$87))</f>
        <v/>
      </c>
      <c r="L67" s="619" t="str">
        <f t="shared" si="9"/>
        <v/>
      </c>
      <c r="M67" s="125"/>
      <c r="N67" s="692"/>
      <c r="O67" s="1132" t="str">
        <f>IF(E67="","",B$40)</f>
        <v/>
      </c>
      <c r="P67" s="1133"/>
      <c r="Q67" s="691" t="str">
        <f t="shared" si="8"/>
        <v/>
      </c>
      <c r="R67" s="71"/>
      <c r="S67" s="49"/>
      <c r="T67" s="49"/>
      <c r="U67" s="49"/>
      <c r="V67" s="49"/>
      <c r="W67" s="8"/>
      <c r="X67" s="8"/>
      <c r="Y67" s="286"/>
      <c r="Z67" s="286"/>
      <c r="AA67" s="286"/>
    </row>
    <row r="68" spans="1:27" ht="15.75" thickBot="1" x14ac:dyDescent="0.3">
      <c r="A68" s="126"/>
      <c r="B68" s="127" t="s">
        <v>106</v>
      </c>
      <c r="C68" s="128"/>
      <c r="D68" s="128"/>
      <c r="E68" s="128"/>
      <c r="F68" s="128"/>
      <c r="G68" s="128"/>
      <c r="H68" s="128"/>
      <c r="I68" s="128"/>
      <c r="J68" s="128"/>
      <c r="K68" s="129"/>
      <c r="L68" s="693" t="str">
        <f ca="1">IF(OR(L64="Professionnel",L65="Professionnel",L66="Professionnel",L67="Professionnel"),"","X")</f>
        <v>X</v>
      </c>
      <c r="M68" s="693"/>
      <c r="N68" s="693"/>
      <c r="O68" s="693"/>
      <c r="P68" s="693"/>
      <c r="Q68" s="49"/>
      <c r="R68" s="694" t="s">
        <v>154</v>
      </c>
      <c r="S68" s="695"/>
      <c r="T68" s="695"/>
      <c r="U68" s="696"/>
      <c r="V68" s="697"/>
      <c r="W68" s="694" t="s">
        <v>155</v>
      </c>
      <c r="X68" s="695"/>
      <c r="Y68" s="696"/>
      <c r="Z68" s="286"/>
      <c r="AA68" s="286"/>
    </row>
    <row r="69" spans="1:27" ht="22.5" x14ac:dyDescent="0.25">
      <c r="A69" s="68" t="s">
        <v>107</v>
      </c>
      <c r="B69" s="49" t="s">
        <v>108</v>
      </c>
      <c r="C69" s="1134" t="s">
        <v>109</v>
      </c>
      <c r="D69" s="1134"/>
      <c r="E69" s="1134"/>
      <c r="F69" s="1134"/>
      <c r="G69" s="1134"/>
      <c r="H69" s="17"/>
      <c r="I69" s="17"/>
      <c r="J69" s="17"/>
      <c r="K69" s="17"/>
      <c r="L69" s="698"/>
      <c r="M69" s="698"/>
      <c r="N69" s="698"/>
      <c r="O69" s="698"/>
      <c r="P69" s="698"/>
      <c r="Q69" s="17"/>
      <c r="R69" s="699" t="s">
        <v>156</v>
      </c>
      <c r="S69" s="700" t="s">
        <v>157</v>
      </c>
      <c r="T69" s="700" t="s">
        <v>158</v>
      </c>
      <c r="U69" s="701" t="s">
        <v>159</v>
      </c>
      <c r="V69" s="702"/>
      <c r="W69" s="699" t="s">
        <v>160</v>
      </c>
      <c r="X69" s="700" t="s">
        <v>161</v>
      </c>
      <c r="Y69" s="703" t="s">
        <v>162</v>
      </c>
      <c r="Z69" s="286"/>
      <c r="AA69" s="286"/>
    </row>
    <row r="70" spans="1:27" x14ac:dyDescent="0.25">
      <c r="A70" s="130"/>
      <c r="B70" s="131">
        <v>1</v>
      </c>
      <c r="C70" s="704" t="s">
        <v>123</v>
      </c>
      <c r="D70" s="705" t="s">
        <v>119</v>
      </c>
      <c r="E70" s="137" t="str">
        <f t="shared" ref="E70:E87" si="10">IF(R70="x",R$69,IF(S70="x",S$69,IF(T70="x",T$69,IF(U70="x",U$69,""))))</f>
        <v>Instructeur</v>
      </c>
      <c r="F70" s="138"/>
      <c r="G70" s="124" t="str">
        <f t="shared" ref="G70:G88" si="11">IF(W70="x",W$69,IF(X70="x",X$69,IF(Y70="x",Y$69,"")))</f>
        <v/>
      </c>
      <c r="H70" s="139">
        <f t="shared" ref="H70:H88" si="12">IF(G70="",I70,"Professionnel")</f>
        <v>0</v>
      </c>
      <c r="I70" s="286"/>
      <c r="J70" s="286"/>
      <c r="K70" s="286"/>
      <c r="L70" s="698"/>
      <c r="M70" s="698"/>
      <c r="N70" s="698"/>
      <c r="O70" s="698"/>
      <c r="P70" s="698"/>
      <c r="Q70" s="286"/>
      <c r="R70" s="706"/>
      <c r="S70" s="707"/>
      <c r="T70" s="707"/>
      <c r="U70" s="689" t="s">
        <v>4</v>
      </c>
      <c r="V70" s="708"/>
      <c r="W70" s="706"/>
      <c r="X70" s="707"/>
      <c r="Y70" s="709"/>
      <c r="Z70" s="286"/>
      <c r="AA70" s="286"/>
    </row>
    <row r="71" spans="1:27" x14ac:dyDescent="0.25">
      <c r="A71" s="286"/>
      <c r="B71" s="132">
        <v>2</v>
      </c>
      <c r="C71" s="704" t="s">
        <v>120</v>
      </c>
      <c r="D71" s="705" t="s">
        <v>122</v>
      </c>
      <c r="E71" s="137" t="str">
        <f t="shared" si="10"/>
        <v>Cadre technique</v>
      </c>
      <c r="F71" s="138"/>
      <c r="G71" s="124" t="str">
        <f t="shared" si="11"/>
        <v>GHM</v>
      </c>
      <c r="H71" s="139" t="str">
        <f t="shared" si="12"/>
        <v>Professionnel</v>
      </c>
      <c r="I71" s="286"/>
      <c r="J71" s="286"/>
      <c r="K71" s="286"/>
      <c r="L71" s="698"/>
      <c r="M71" s="698"/>
      <c r="N71" s="698"/>
      <c r="O71" s="698"/>
      <c r="P71" s="698"/>
      <c r="Q71" s="286"/>
      <c r="R71" s="706"/>
      <c r="S71" s="707"/>
      <c r="T71" s="707" t="s">
        <v>4</v>
      </c>
      <c r="U71" s="689"/>
      <c r="V71" s="708"/>
      <c r="W71" s="706"/>
      <c r="X71" s="707"/>
      <c r="Y71" s="709" t="s">
        <v>4</v>
      </c>
      <c r="Z71" s="286"/>
      <c r="AA71" s="286"/>
    </row>
    <row r="72" spans="1:27" x14ac:dyDescent="0.25">
      <c r="A72" s="286"/>
      <c r="B72" s="132">
        <v>3</v>
      </c>
      <c r="C72" s="710" t="s">
        <v>124</v>
      </c>
      <c r="D72" s="705" t="s">
        <v>125</v>
      </c>
      <c r="E72" s="137" t="str">
        <f t="shared" si="10"/>
        <v>Instructeur</v>
      </c>
      <c r="F72" s="138"/>
      <c r="G72" s="124" t="str">
        <f t="shared" si="11"/>
        <v/>
      </c>
      <c r="H72" s="139">
        <f t="shared" si="12"/>
        <v>0</v>
      </c>
      <c r="I72" s="286"/>
      <c r="J72" s="286"/>
      <c r="K72" s="286"/>
      <c r="L72" s="698"/>
      <c r="M72" s="698"/>
      <c r="N72" s="698"/>
      <c r="O72" s="698"/>
      <c r="P72" s="698"/>
      <c r="Q72" s="286"/>
      <c r="R72" s="706"/>
      <c r="S72" s="707"/>
      <c r="T72" s="707"/>
      <c r="U72" s="689" t="s">
        <v>4</v>
      </c>
      <c r="V72" s="708"/>
      <c r="W72" s="706"/>
      <c r="X72" s="707"/>
      <c r="Y72" s="709"/>
      <c r="Z72" s="286"/>
      <c r="AA72" s="286"/>
    </row>
    <row r="73" spans="1:27" x14ac:dyDescent="0.25">
      <c r="A73" s="711" t="s">
        <v>110</v>
      </c>
      <c r="B73" s="131">
        <v>4</v>
      </c>
      <c r="C73" s="704" t="s">
        <v>126</v>
      </c>
      <c r="D73" s="705" t="s">
        <v>127</v>
      </c>
      <c r="E73" s="137" t="str">
        <f t="shared" si="10"/>
        <v>Instructeur</v>
      </c>
      <c r="F73" s="138"/>
      <c r="G73" s="124" t="str">
        <f t="shared" si="11"/>
        <v>BEES</v>
      </c>
      <c r="H73" s="139" t="str">
        <f t="shared" si="12"/>
        <v>Professionnel</v>
      </c>
      <c r="I73" s="286"/>
      <c r="J73" s="286"/>
      <c r="K73" s="286"/>
      <c r="L73" s="698"/>
      <c r="M73" s="698"/>
      <c r="N73" s="698"/>
      <c r="O73" s="698"/>
      <c r="P73" s="698"/>
      <c r="Q73" s="286"/>
      <c r="R73" s="706"/>
      <c r="S73" s="707"/>
      <c r="T73" s="707"/>
      <c r="U73" s="689" t="s">
        <v>4</v>
      </c>
      <c r="V73" s="708"/>
      <c r="W73" s="706"/>
      <c r="X73" s="707" t="s">
        <v>4</v>
      </c>
      <c r="Y73" s="709"/>
      <c r="Z73" s="286"/>
      <c r="AA73" s="286"/>
    </row>
    <row r="74" spans="1:27" x14ac:dyDescent="0.25">
      <c r="A74" s="712" t="s">
        <v>111</v>
      </c>
      <c r="B74" s="132">
        <v>5</v>
      </c>
      <c r="C74" s="704" t="s">
        <v>128</v>
      </c>
      <c r="D74" s="705" t="s">
        <v>129</v>
      </c>
      <c r="E74" s="137" t="str">
        <f t="shared" si="10"/>
        <v>Initiateur</v>
      </c>
      <c r="F74" s="138"/>
      <c r="G74" s="124" t="str">
        <f t="shared" si="11"/>
        <v/>
      </c>
      <c r="H74" s="139">
        <f t="shared" si="12"/>
        <v>0</v>
      </c>
      <c r="I74" s="8"/>
      <c r="J74" s="8"/>
      <c r="K74" s="8"/>
      <c r="L74" s="698"/>
      <c r="M74" s="698"/>
      <c r="N74" s="698"/>
      <c r="O74" s="698"/>
      <c r="P74" s="698"/>
      <c r="Q74" s="8"/>
      <c r="R74" s="706" t="s">
        <v>4</v>
      </c>
      <c r="S74" s="707"/>
      <c r="T74" s="707"/>
      <c r="U74" s="689"/>
      <c r="V74" s="708"/>
      <c r="W74" s="706"/>
      <c r="X74" s="707"/>
      <c r="Y74" s="709"/>
      <c r="Z74" s="286"/>
      <c r="AA74" s="286"/>
    </row>
    <row r="75" spans="1:27" x14ac:dyDescent="0.25">
      <c r="A75" s="712" t="s">
        <v>112</v>
      </c>
      <c r="B75" s="132">
        <v>6</v>
      </c>
      <c r="C75" s="704" t="s">
        <v>130</v>
      </c>
      <c r="D75" s="705" t="s">
        <v>131</v>
      </c>
      <c r="E75" s="137" t="str">
        <f t="shared" si="10"/>
        <v>Instructeur</v>
      </c>
      <c r="F75" s="138"/>
      <c r="G75" s="124" t="str">
        <f t="shared" si="11"/>
        <v>AMM</v>
      </c>
      <c r="H75" s="139" t="str">
        <f t="shared" si="12"/>
        <v>Professionnel</v>
      </c>
      <c r="I75" s="8"/>
      <c r="J75" s="8"/>
      <c r="K75" s="8"/>
      <c r="L75" s="698"/>
      <c r="M75" s="698"/>
      <c r="N75" s="698"/>
      <c r="O75" s="698"/>
      <c r="P75" s="698"/>
      <c r="Q75" s="8"/>
      <c r="R75" s="706"/>
      <c r="S75" s="707"/>
      <c r="T75" s="707"/>
      <c r="U75" s="689" t="s">
        <v>4</v>
      </c>
      <c r="V75" s="708"/>
      <c r="W75" s="706" t="s">
        <v>4</v>
      </c>
      <c r="X75" s="707"/>
      <c r="Y75" s="709"/>
      <c r="Z75" s="286"/>
      <c r="AA75" s="286"/>
    </row>
    <row r="76" spans="1:27" x14ac:dyDescent="0.25">
      <c r="A76" s="712"/>
      <c r="B76" s="131">
        <v>7</v>
      </c>
      <c r="C76" s="704" t="s">
        <v>132</v>
      </c>
      <c r="D76" s="705" t="s">
        <v>133</v>
      </c>
      <c r="E76" s="137" t="str">
        <f t="shared" si="10"/>
        <v>Instructeur</v>
      </c>
      <c r="F76" s="138"/>
      <c r="G76" s="124" t="str">
        <f t="shared" si="11"/>
        <v>GHM</v>
      </c>
      <c r="H76" s="139" t="str">
        <f t="shared" si="12"/>
        <v>Professionnel</v>
      </c>
      <c r="I76" s="8"/>
      <c r="J76" s="8"/>
      <c r="K76" s="8"/>
      <c r="L76" s="698"/>
      <c r="M76" s="698"/>
      <c r="N76" s="698"/>
      <c r="O76" s="698"/>
      <c r="P76" s="698"/>
      <c r="Q76" s="8"/>
      <c r="R76" s="706"/>
      <c r="S76" s="707"/>
      <c r="T76" s="707"/>
      <c r="U76" s="689" t="s">
        <v>4</v>
      </c>
      <c r="V76" s="708"/>
      <c r="W76" s="706"/>
      <c r="X76" s="707"/>
      <c r="Y76" s="709" t="s">
        <v>4</v>
      </c>
      <c r="Z76" s="286"/>
      <c r="AA76" s="286"/>
    </row>
    <row r="77" spans="1:27" x14ac:dyDescent="0.25">
      <c r="A77" s="712"/>
      <c r="B77" s="132">
        <v>8</v>
      </c>
      <c r="C77" s="704" t="s">
        <v>134</v>
      </c>
      <c r="D77" s="705" t="s">
        <v>135</v>
      </c>
      <c r="E77" s="137" t="str">
        <f t="shared" si="10"/>
        <v>Initiateur</v>
      </c>
      <c r="F77" s="138"/>
      <c r="G77" s="124" t="str">
        <f t="shared" si="11"/>
        <v/>
      </c>
      <c r="H77" s="139">
        <f t="shared" si="12"/>
        <v>0</v>
      </c>
      <c r="I77" s="8"/>
      <c r="J77" s="8"/>
      <c r="K77" s="8"/>
      <c r="L77" s="698"/>
      <c r="M77" s="698"/>
      <c r="N77" s="698"/>
      <c r="O77" s="698"/>
      <c r="P77" s="698"/>
      <c r="Q77" s="8"/>
      <c r="R77" s="706" t="s">
        <v>4</v>
      </c>
      <c r="S77" s="707"/>
      <c r="T77" s="707"/>
      <c r="U77" s="689"/>
      <c r="V77" s="708"/>
      <c r="W77" s="706"/>
      <c r="X77" s="707"/>
      <c r="Y77" s="709"/>
      <c r="Z77" s="286"/>
      <c r="AA77" s="286"/>
    </row>
    <row r="78" spans="1:27" x14ac:dyDescent="0.25">
      <c r="A78" s="712"/>
      <c r="B78" s="132">
        <v>9</v>
      </c>
      <c r="C78" s="710" t="s">
        <v>136</v>
      </c>
      <c r="D78" s="705" t="s">
        <v>137</v>
      </c>
      <c r="E78" s="137" t="str">
        <f t="shared" si="10"/>
        <v>Instructeur</v>
      </c>
      <c r="F78" s="138"/>
      <c r="G78" s="124" t="str">
        <f t="shared" si="11"/>
        <v>AMM</v>
      </c>
      <c r="H78" s="139" t="str">
        <f t="shared" si="12"/>
        <v>Professionnel</v>
      </c>
      <c r="I78" s="8"/>
      <c r="J78" s="8"/>
      <c r="K78" s="8"/>
      <c r="L78" s="698"/>
      <c r="M78" s="698"/>
      <c r="N78" s="698"/>
      <c r="O78" s="698"/>
      <c r="P78" s="698"/>
      <c r="Q78" s="8"/>
      <c r="R78" s="706"/>
      <c r="S78" s="707"/>
      <c r="T78" s="707"/>
      <c r="U78" s="689" t="s">
        <v>4</v>
      </c>
      <c r="V78" s="708"/>
      <c r="W78" s="706" t="s">
        <v>4</v>
      </c>
      <c r="X78" s="707"/>
      <c r="Y78" s="709"/>
      <c r="Z78" s="286"/>
      <c r="AA78" s="286"/>
    </row>
    <row r="79" spans="1:27" x14ac:dyDescent="0.25">
      <c r="A79" s="712"/>
      <c r="B79" s="131">
        <v>10</v>
      </c>
      <c r="C79" s="704" t="s">
        <v>138</v>
      </c>
      <c r="D79" s="705" t="s">
        <v>139</v>
      </c>
      <c r="E79" s="137" t="str">
        <f t="shared" si="10"/>
        <v>Instructeur</v>
      </c>
      <c r="F79" s="138"/>
      <c r="G79" s="124" t="str">
        <f t="shared" si="11"/>
        <v>GHM</v>
      </c>
      <c r="H79" s="139" t="str">
        <f t="shared" si="12"/>
        <v>Professionnel</v>
      </c>
      <c r="I79" s="8"/>
      <c r="J79" s="8"/>
      <c r="K79" s="8"/>
      <c r="L79" s="698"/>
      <c r="M79" s="698"/>
      <c r="N79" s="698"/>
      <c r="O79" s="698"/>
      <c r="P79" s="698"/>
      <c r="Q79" s="8"/>
      <c r="R79" s="706"/>
      <c r="S79" s="707"/>
      <c r="T79" s="707"/>
      <c r="U79" s="689" t="s">
        <v>4</v>
      </c>
      <c r="V79" s="708"/>
      <c r="W79" s="706"/>
      <c r="X79" s="707"/>
      <c r="Y79" s="709" t="s">
        <v>88</v>
      </c>
      <c r="Z79" s="286"/>
      <c r="AA79" s="286"/>
    </row>
    <row r="80" spans="1:27" x14ac:dyDescent="0.25">
      <c r="A80" s="712"/>
      <c r="B80" s="132">
        <v>11</v>
      </c>
      <c r="C80" s="704" t="s">
        <v>140</v>
      </c>
      <c r="D80" s="705" t="s">
        <v>141</v>
      </c>
      <c r="E80" s="137" t="str">
        <f t="shared" si="10"/>
        <v>Instructeur</v>
      </c>
      <c r="F80" s="138"/>
      <c r="G80" s="124" t="str">
        <f t="shared" si="11"/>
        <v>BEES</v>
      </c>
      <c r="H80" s="139" t="str">
        <f t="shared" si="12"/>
        <v>Professionnel</v>
      </c>
      <c r="I80" s="8"/>
      <c r="J80" s="8"/>
      <c r="K80" s="8"/>
      <c r="L80" s="698"/>
      <c r="M80" s="698"/>
      <c r="N80" s="698"/>
      <c r="O80" s="698"/>
      <c r="P80" s="698"/>
      <c r="Q80" s="8"/>
      <c r="R80" s="706"/>
      <c r="S80" s="707"/>
      <c r="T80" s="707"/>
      <c r="U80" s="689" t="s">
        <v>4</v>
      </c>
      <c r="V80" s="708"/>
      <c r="W80" s="706"/>
      <c r="X80" s="707" t="s">
        <v>4</v>
      </c>
      <c r="Y80" s="709"/>
      <c r="Z80" s="286"/>
      <c r="AA80" s="286"/>
    </row>
    <row r="81" spans="1:27" x14ac:dyDescent="0.25">
      <c r="A81" s="286"/>
      <c r="B81" s="132">
        <v>12</v>
      </c>
      <c r="C81" s="704" t="s">
        <v>142</v>
      </c>
      <c r="D81" s="705" t="s">
        <v>143</v>
      </c>
      <c r="E81" s="137" t="str">
        <f t="shared" si="10"/>
        <v>Instructeur</v>
      </c>
      <c r="F81" s="138"/>
      <c r="G81" s="124" t="str">
        <f t="shared" si="11"/>
        <v/>
      </c>
      <c r="H81" s="139">
        <f t="shared" si="12"/>
        <v>0</v>
      </c>
      <c r="I81" s="8"/>
      <c r="J81" s="8"/>
      <c r="K81" s="8"/>
      <c r="L81" s="698"/>
      <c r="M81" s="698"/>
      <c r="N81" s="698"/>
      <c r="O81" s="698"/>
      <c r="P81" s="698"/>
      <c r="Q81" s="8"/>
      <c r="R81" s="706"/>
      <c r="S81" s="707"/>
      <c r="T81" s="707"/>
      <c r="U81" s="689" t="s">
        <v>88</v>
      </c>
      <c r="V81" s="708"/>
      <c r="W81" s="706"/>
      <c r="X81" s="707"/>
      <c r="Y81" s="709"/>
      <c r="Z81" s="286"/>
      <c r="AA81" s="286"/>
    </row>
    <row r="82" spans="1:27" x14ac:dyDescent="0.25">
      <c r="A82" s="286"/>
      <c r="B82" s="131">
        <v>13</v>
      </c>
      <c r="C82" s="704" t="s">
        <v>140</v>
      </c>
      <c r="D82" s="705" t="s">
        <v>144</v>
      </c>
      <c r="E82" s="137" t="str">
        <f t="shared" si="10"/>
        <v>Instructeur</v>
      </c>
      <c r="F82" s="138"/>
      <c r="G82" s="124" t="str">
        <f t="shared" si="11"/>
        <v>BEES</v>
      </c>
      <c r="H82" s="139" t="str">
        <f t="shared" si="12"/>
        <v>Professionnel</v>
      </c>
      <c r="I82" s="8"/>
      <c r="J82" s="8"/>
      <c r="K82" s="8"/>
      <c r="L82" s="698"/>
      <c r="M82" s="698"/>
      <c r="N82" s="698"/>
      <c r="O82" s="698"/>
      <c r="P82" s="698"/>
      <c r="Q82" s="8"/>
      <c r="R82" s="706"/>
      <c r="S82" s="707"/>
      <c r="T82" s="707"/>
      <c r="U82" s="689" t="s">
        <v>4</v>
      </c>
      <c r="V82" s="708"/>
      <c r="W82" s="706"/>
      <c r="X82" s="707" t="s">
        <v>4</v>
      </c>
      <c r="Y82" s="709"/>
      <c r="Z82" s="286"/>
      <c r="AA82" s="286"/>
    </row>
    <row r="83" spans="1:27" x14ac:dyDescent="0.25">
      <c r="A83" s="286"/>
      <c r="B83" s="132">
        <v>14</v>
      </c>
      <c r="C83" s="704" t="s">
        <v>145</v>
      </c>
      <c r="D83" s="705" t="s">
        <v>146</v>
      </c>
      <c r="E83" s="137" t="str">
        <f t="shared" si="10"/>
        <v>Cadre technique</v>
      </c>
      <c r="F83" s="138"/>
      <c r="G83" s="124" t="str">
        <f t="shared" si="11"/>
        <v>AMM</v>
      </c>
      <c r="H83" s="139" t="str">
        <f t="shared" si="12"/>
        <v>Professionnel</v>
      </c>
      <c r="I83" s="8"/>
      <c r="J83" s="8"/>
      <c r="K83" s="8"/>
      <c r="L83" s="698"/>
      <c r="M83" s="698"/>
      <c r="N83" s="698"/>
      <c r="O83" s="698"/>
      <c r="P83" s="698"/>
      <c r="Q83" s="8"/>
      <c r="R83" s="706"/>
      <c r="S83" s="707"/>
      <c r="T83" s="707" t="s">
        <v>4</v>
      </c>
      <c r="U83" s="689"/>
      <c r="V83" s="708"/>
      <c r="W83" s="706" t="s">
        <v>4</v>
      </c>
      <c r="X83" s="707"/>
      <c r="Y83" s="709"/>
      <c r="Z83" s="286"/>
      <c r="AA83" s="286"/>
    </row>
    <row r="84" spans="1:27" x14ac:dyDescent="0.25">
      <c r="A84" s="286"/>
      <c r="B84" s="132">
        <v>15</v>
      </c>
      <c r="C84" s="704" t="s">
        <v>147</v>
      </c>
      <c r="D84" s="705" t="s">
        <v>148</v>
      </c>
      <c r="E84" s="137" t="str">
        <f t="shared" si="10"/>
        <v>Instructeur</v>
      </c>
      <c r="F84" s="138"/>
      <c r="G84" s="124" t="str">
        <f t="shared" si="11"/>
        <v>BEES</v>
      </c>
      <c r="H84" s="139" t="str">
        <f t="shared" si="12"/>
        <v>Professionnel</v>
      </c>
      <c r="I84" s="8"/>
      <c r="J84" s="8"/>
      <c r="K84" s="8"/>
      <c r="L84" s="698"/>
      <c r="M84" s="698"/>
      <c r="N84" s="698"/>
      <c r="O84" s="698"/>
      <c r="P84" s="698"/>
      <c r="Q84" s="8"/>
      <c r="R84" s="706"/>
      <c r="S84" s="707"/>
      <c r="T84" s="707"/>
      <c r="U84" s="689" t="s">
        <v>4</v>
      </c>
      <c r="V84" s="708"/>
      <c r="W84" s="706"/>
      <c r="X84" s="707" t="s">
        <v>88</v>
      </c>
      <c r="Y84" s="709"/>
      <c r="Z84" s="286"/>
      <c r="AA84" s="286"/>
    </row>
    <row r="85" spans="1:27" x14ac:dyDescent="0.25">
      <c r="A85" s="286"/>
      <c r="B85" s="131">
        <v>16</v>
      </c>
      <c r="C85" s="704" t="s">
        <v>149</v>
      </c>
      <c r="D85" s="705" t="s">
        <v>121</v>
      </c>
      <c r="E85" s="137" t="str">
        <f t="shared" si="10"/>
        <v>Initiateur</v>
      </c>
      <c r="F85" s="138"/>
      <c r="G85" s="124" t="str">
        <f t="shared" si="11"/>
        <v/>
      </c>
      <c r="H85" s="139">
        <f t="shared" si="12"/>
        <v>0</v>
      </c>
      <c r="I85" s="8"/>
      <c r="J85" s="8"/>
      <c r="K85" s="8"/>
      <c r="L85" s="698"/>
      <c r="M85" s="698"/>
      <c r="N85" s="698"/>
      <c r="O85" s="698"/>
      <c r="P85" s="698"/>
      <c r="Q85" s="8"/>
      <c r="R85" s="706" t="s">
        <v>88</v>
      </c>
      <c r="S85" s="707"/>
      <c r="T85" s="707"/>
      <c r="U85" s="689"/>
      <c r="V85" s="708"/>
      <c r="W85" s="706"/>
      <c r="X85" s="707"/>
      <c r="Y85" s="709"/>
      <c r="Z85" s="286"/>
      <c r="AA85" s="286"/>
    </row>
    <row r="86" spans="1:27" x14ac:dyDescent="0.25">
      <c r="A86" s="8"/>
      <c r="B86" s="132">
        <v>17</v>
      </c>
      <c r="C86" s="704" t="s">
        <v>150</v>
      </c>
      <c r="D86" s="705" t="s">
        <v>151</v>
      </c>
      <c r="E86" s="137" t="str">
        <f t="shared" si="10"/>
        <v>Cadre technique</v>
      </c>
      <c r="F86" s="138"/>
      <c r="G86" s="124" t="str">
        <f t="shared" si="11"/>
        <v>GHM</v>
      </c>
      <c r="H86" s="139" t="str">
        <f t="shared" si="12"/>
        <v>Professionnel</v>
      </c>
      <c r="I86" s="8"/>
      <c r="J86" s="8"/>
      <c r="K86" s="8"/>
      <c r="L86" s="8"/>
      <c r="M86" s="8"/>
      <c r="N86" s="8"/>
      <c r="O86" s="8"/>
      <c r="P86" s="8"/>
      <c r="Q86" s="8"/>
      <c r="R86" s="706"/>
      <c r="S86" s="707"/>
      <c r="T86" s="707" t="s">
        <v>88</v>
      </c>
      <c r="U86" s="689"/>
      <c r="V86" s="708"/>
      <c r="W86" s="706"/>
      <c r="X86" s="707"/>
      <c r="Y86" s="709" t="s">
        <v>88</v>
      </c>
      <c r="Z86" s="286"/>
      <c r="AA86" s="286"/>
    </row>
    <row r="87" spans="1:27" x14ac:dyDescent="0.25">
      <c r="A87" s="8"/>
      <c r="B87" s="132">
        <v>18</v>
      </c>
      <c r="C87" s="704" t="s">
        <v>152</v>
      </c>
      <c r="D87" s="705" t="s">
        <v>153</v>
      </c>
      <c r="E87" s="137" t="str">
        <f t="shared" si="10"/>
        <v>Cadre technique</v>
      </c>
      <c r="F87" s="138"/>
      <c r="G87" s="124" t="str">
        <f t="shared" si="11"/>
        <v>GHM</v>
      </c>
      <c r="H87" s="139" t="str">
        <f t="shared" si="12"/>
        <v>Professionnel</v>
      </c>
      <c r="I87" s="8"/>
      <c r="J87" s="8"/>
      <c r="K87" s="8"/>
      <c r="L87" s="8"/>
      <c r="M87" s="8"/>
      <c r="N87" s="8"/>
      <c r="O87" s="8"/>
      <c r="P87" s="8"/>
      <c r="Q87" s="8"/>
      <c r="R87" s="706"/>
      <c r="S87" s="707"/>
      <c r="T87" s="707" t="s">
        <v>88</v>
      </c>
      <c r="U87" s="709"/>
      <c r="V87" s="131"/>
      <c r="W87" s="706"/>
      <c r="X87" s="707"/>
      <c r="Y87" s="709" t="s">
        <v>88</v>
      </c>
      <c r="Z87" s="286"/>
      <c r="AA87" s="286"/>
    </row>
    <row r="88" spans="1:27" x14ac:dyDescent="0.25">
      <c r="A88" s="8"/>
      <c r="B88" s="131">
        <v>19</v>
      </c>
      <c r="C88" s="120" t="s">
        <v>350</v>
      </c>
      <c r="D88" s="122" t="s">
        <v>612</v>
      </c>
      <c r="E88" s="137" t="str">
        <f t="shared" ref="E88:E89" si="13">IF(R88="x",R$69,IF(S88="x",S$69,IF(T88="x",T$69,IF(U88="x",U$69,""))))</f>
        <v>Initiateur</v>
      </c>
      <c r="F88" s="121"/>
      <c r="G88" s="124" t="str">
        <f t="shared" si="11"/>
        <v/>
      </c>
      <c r="H88" s="139">
        <f t="shared" si="12"/>
        <v>0</v>
      </c>
      <c r="I88" s="8"/>
      <c r="J88" s="8"/>
      <c r="K88" s="8"/>
      <c r="L88" s="8"/>
      <c r="M88" s="8"/>
      <c r="N88" s="8"/>
      <c r="O88" s="8"/>
      <c r="P88" s="8"/>
      <c r="Q88" s="8"/>
      <c r="R88" s="706" t="s">
        <v>4</v>
      </c>
      <c r="S88" s="707"/>
      <c r="T88" s="707"/>
      <c r="U88" s="709"/>
      <c r="V88" s="131"/>
      <c r="W88" s="706"/>
      <c r="X88" s="707"/>
      <c r="Y88" s="709"/>
      <c r="Z88" s="286"/>
      <c r="AA88" s="286"/>
    </row>
    <row r="89" spans="1:27" ht="15.75" thickBot="1" x14ac:dyDescent="0.3">
      <c r="A89" s="8"/>
      <c r="B89" s="132">
        <v>20</v>
      </c>
      <c r="C89" s="1128" t="str">
        <f>IF('[1]3-Fichiers'!B28="","",'[1]3-Fichiers'!B28)</f>
        <v/>
      </c>
      <c r="D89" s="1129"/>
      <c r="E89" s="137" t="str">
        <f t="shared" si="13"/>
        <v/>
      </c>
      <c r="F89" s="121"/>
      <c r="G89" s="124" t="str">
        <f t="shared" ref="G89" si="14">IF(P89="x",P$8,IF(Q89="x",Q$8,IF(R89="x",R$8,"")))</f>
        <v/>
      </c>
      <c r="H89" s="8"/>
      <c r="I89" s="8"/>
      <c r="J89" s="8"/>
      <c r="K89" s="8"/>
      <c r="L89" s="8"/>
      <c r="M89" s="8"/>
      <c r="N89" s="8"/>
      <c r="O89" s="8"/>
      <c r="P89" s="8"/>
      <c r="Q89" s="8"/>
      <c r="R89" s="713"/>
      <c r="S89" s="714"/>
      <c r="T89" s="714"/>
      <c r="U89" s="715"/>
      <c r="V89" s="131"/>
      <c r="W89" s="716"/>
      <c r="X89" s="717"/>
      <c r="Y89" s="718"/>
      <c r="Z89" s="286"/>
      <c r="AA89" s="286"/>
    </row>
    <row r="90" spans="1:27" ht="15.75" thickBot="1" x14ac:dyDescent="0.3">
      <c r="A90" s="26"/>
      <c r="B90" s="6"/>
      <c r="C90" s="6"/>
      <c r="D90" s="6"/>
      <c r="E90" s="6"/>
      <c r="F90" s="6"/>
      <c r="G90" s="6"/>
      <c r="H90" s="7"/>
      <c r="I90" s="8"/>
      <c r="J90" s="8"/>
      <c r="K90" s="8"/>
      <c r="L90" s="8"/>
      <c r="M90" s="8"/>
      <c r="N90" s="8"/>
      <c r="O90" s="8"/>
      <c r="P90" s="8"/>
      <c r="Q90" s="8"/>
      <c r="R90" s="713"/>
      <c r="S90" s="714"/>
      <c r="T90" s="714"/>
      <c r="U90" s="715"/>
      <c r="V90" s="131"/>
      <c r="W90" s="716"/>
      <c r="X90" s="717"/>
      <c r="Y90" s="718"/>
      <c r="Z90" s="286"/>
      <c r="AA90" s="286"/>
    </row>
    <row r="91" spans="1:27" x14ac:dyDescent="0.25">
      <c r="A91" s="133" t="s">
        <v>113</v>
      </c>
      <c r="B91" s="134"/>
      <c r="C91" s="134"/>
      <c r="D91" s="719"/>
      <c r="E91" s="720"/>
      <c r="F91" s="721"/>
      <c r="G91" s="722"/>
      <c r="H91" s="723"/>
      <c r="I91" s="286"/>
      <c r="J91" s="286"/>
      <c r="K91" s="286"/>
      <c r="L91" s="286"/>
      <c r="M91" s="286"/>
      <c r="N91" s="286"/>
      <c r="O91" s="286"/>
      <c r="P91" s="286"/>
      <c r="Q91" s="286"/>
      <c r="R91" s="286"/>
      <c r="S91" s="286"/>
      <c r="T91" s="286"/>
      <c r="U91" s="286"/>
      <c r="V91" s="286"/>
      <c r="W91" s="286"/>
      <c r="X91" s="286"/>
      <c r="Y91" s="286"/>
      <c r="Z91" s="286"/>
      <c r="AA91" s="286"/>
    </row>
    <row r="92" spans="1:27" ht="25.5" x14ac:dyDescent="0.25">
      <c r="A92" s="135" t="str">
        <f>B36</f>
        <v>Comité Territorial</v>
      </c>
      <c r="B92" s="135" t="str">
        <f>B37</f>
        <v>Pyrénées Atlantiques</v>
      </c>
      <c r="C92" s="724"/>
      <c r="D92" s="724"/>
      <c r="E92" s="724"/>
      <c r="F92" s="724"/>
      <c r="G92" s="724"/>
      <c r="H92" s="724"/>
      <c r="I92" s="113"/>
      <c r="J92" s="17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286"/>
      <c r="Z92" s="286"/>
      <c r="AA92" s="286"/>
    </row>
    <row r="93" spans="1:27" x14ac:dyDescent="0.25">
      <c r="A93" s="286"/>
      <c r="B93" s="618" t="s">
        <v>114</v>
      </c>
      <c r="C93" s="136" t="s">
        <v>115</v>
      </c>
      <c r="D93" s="1124" t="s">
        <v>116</v>
      </c>
      <c r="E93" s="1124"/>
      <c r="F93" s="618" t="s">
        <v>117</v>
      </c>
      <c r="G93" s="1124" t="s">
        <v>118</v>
      </c>
      <c r="H93" s="1124"/>
      <c r="I93" s="1124"/>
      <c r="J93" s="1124"/>
      <c r="K93" s="286"/>
      <c r="L93" s="286"/>
      <c r="M93" s="286"/>
      <c r="N93" s="286"/>
      <c r="O93" s="286"/>
      <c r="P93" s="286"/>
      <c r="Q93" s="286"/>
      <c r="R93" s="286"/>
      <c r="S93" s="286"/>
      <c r="T93" s="286"/>
      <c r="U93" s="286"/>
      <c r="V93" s="286"/>
      <c r="W93" s="286"/>
      <c r="X93" s="286"/>
      <c r="Y93" s="286"/>
      <c r="Z93" s="286"/>
      <c r="AA93" s="286"/>
    </row>
    <row r="94" spans="1:27" x14ac:dyDescent="0.25">
      <c r="A94" s="725"/>
      <c r="B94" s="726"/>
      <c r="C94" s="726"/>
      <c r="D94" s="1125"/>
      <c r="E94" s="1126"/>
      <c r="F94" s="726"/>
      <c r="G94" s="1127"/>
      <c r="H94" s="1127"/>
      <c r="I94" s="1127"/>
      <c r="J94" s="1127"/>
      <c r="K94" s="727" t="str">
        <f>IF(B94=0,"Compléter le RIB manquant dans la Feuille 4-Fichiers","")</f>
        <v>Compléter le RIB manquant dans la Feuille 4-Fichiers</v>
      </c>
      <c r="L94" s="286"/>
      <c r="M94" s="286"/>
      <c r="N94" s="286"/>
      <c r="O94" s="286"/>
      <c r="P94" s="286"/>
      <c r="Q94" s="286"/>
      <c r="R94" s="286"/>
      <c r="S94" s="286"/>
      <c r="T94" s="286"/>
      <c r="U94" s="286"/>
      <c r="V94" s="286"/>
      <c r="W94" s="286"/>
      <c r="X94" s="286"/>
      <c r="Y94" s="286"/>
      <c r="Z94" s="286"/>
      <c r="AA94" s="286"/>
    </row>
    <row r="95" spans="1:27" x14ac:dyDescent="0.25">
      <c r="A95" s="286"/>
      <c r="B95" s="286"/>
      <c r="C95" s="286"/>
      <c r="D95" s="728"/>
      <c r="E95" s="8"/>
      <c r="F95" s="286"/>
      <c r="G95" s="723"/>
      <c r="H95" s="723"/>
      <c r="I95" s="286"/>
      <c r="J95" s="286"/>
      <c r="K95" s="286"/>
      <c r="L95" s="286"/>
      <c r="M95" s="286"/>
      <c r="N95" s="286"/>
      <c r="O95" s="286"/>
      <c r="P95" s="286"/>
      <c r="Q95" s="286"/>
      <c r="R95" s="286"/>
      <c r="S95" s="286"/>
      <c r="T95" s="286"/>
      <c r="U95" s="286"/>
      <c r="V95" s="286"/>
      <c r="W95" s="286"/>
      <c r="X95" s="286"/>
      <c r="Y95" s="286"/>
      <c r="Z95" s="286"/>
      <c r="AA95" s="286"/>
    </row>
    <row r="96" spans="1:27" x14ac:dyDescent="0.25">
      <c r="A96" s="286"/>
      <c r="B96" s="286"/>
      <c r="C96" s="286"/>
      <c r="D96" s="286"/>
      <c r="E96" s="286"/>
      <c r="F96" s="286"/>
      <c r="G96" s="286"/>
      <c r="H96" s="286"/>
      <c r="I96" s="286"/>
      <c r="J96" s="286"/>
      <c r="K96" s="286"/>
      <c r="L96" s="286"/>
      <c r="M96" s="286"/>
      <c r="N96" s="286"/>
      <c r="O96" s="286"/>
      <c r="P96" s="286"/>
      <c r="Q96" s="286"/>
      <c r="R96" s="286"/>
      <c r="S96" s="286"/>
      <c r="T96" s="286"/>
      <c r="U96" s="286"/>
      <c r="V96" s="286"/>
      <c r="W96" s="286"/>
      <c r="X96" s="286"/>
      <c r="Y96" s="286"/>
      <c r="Z96" s="286"/>
      <c r="AA96" s="286"/>
    </row>
    <row r="97" spans="1:27" x14ac:dyDescent="0.25">
      <c r="A97" s="286"/>
      <c r="B97" s="286"/>
      <c r="C97" s="286"/>
      <c r="D97" s="286"/>
      <c r="E97" s="286"/>
      <c r="F97" s="286"/>
      <c r="G97" s="286"/>
      <c r="H97" s="286"/>
      <c r="I97" s="286"/>
      <c r="J97" s="286"/>
      <c r="K97" s="286"/>
      <c r="L97" s="286"/>
      <c r="M97" s="286"/>
      <c r="N97" s="286"/>
      <c r="O97" s="286"/>
      <c r="P97" s="286"/>
      <c r="Q97" s="286"/>
      <c r="R97" s="286"/>
      <c r="S97" s="286"/>
      <c r="T97" s="286"/>
      <c r="U97" s="286"/>
      <c r="V97" s="286"/>
      <c r="W97" s="286"/>
      <c r="X97" s="286"/>
      <c r="Y97" s="286"/>
      <c r="Z97" s="286"/>
      <c r="AA97" s="286"/>
    </row>
    <row r="98" spans="1:27" x14ac:dyDescent="0.25">
      <c r="A98" s="286"/>
      <c r="B98" s="286"/>
      <c r="C98" s="286"/>
      <c r="D98" s="286"/>
      <c r="E98" s="286"/>
      <c r="F98" s="286"/>
      <c r="G98" s="286"/>
      <c r="H98" s="286"/>
      <c r="I98" s="286"/>
      <c r="J98" s="286"/>
      <c r="K98" s="286"/>
      <c r="L98" s="286"/>
      <c r="M98" s="286"/>
      <c r="N98" s="286"/>
      <c r="O98" s="286"/>
      <c r="P98" s="286"/>
      <c r="Q98" s="286"/>
      <c r="R98" s="286"/>
      <c r="S98" s="286"/>
      <c r="T98" s="286"/>
      <c r="U98" s="286"/>
      <c r="V98" s="286"/>
      <c r="W98" s="286"/>
      <c r="X98" s="286"/>
      <c r="Y98" s="286"/>
      <c r="Z98" s="286"/>
      <c r="AA98" s="286"/>
    </row>
    <row r="99" spans="1:27" x14ac:dyDescent="0.25">
      <c r="A99" s="286"/>
      <c r="B99" s="286"/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286"/>
      <c r="N99" s="286"/>
      <c r="O99" s="286"/>
      <c r="P99" s="286"/>
      <c r="Q99" s="286"/>
      <c r="R99" s="286"/>
      <c r="S99" s="286"/>
      <c r="T99" s="286"/>
      <c r="U99" s="286"/>
      <c r="V99" s="286"/>
      <c r="W99" s="286"/>
      <c r="X99" s="286"/>
      <c r="Y99" s="286"/>
      <c r="Z99" s="286"/>
      <c r="AA99" s="286"/>
    </row>
    <row r="100" spans="1:27" x14ac:dyDescent="0.25">
      <c r="A100" s="286"/>
      <c r="B100" s="286"/>
      <c r="C100" s="286"/>
      <c r="D100" s="286"/>
      <c r="E100" s="286"/>
      <c r="F100" s="286"/>
      <c r="G100" s="286"/>
      <c r="H100" s="286"/>
      <c r="I100" s="286"/>
      <c r="J100" s="286"/>
      <c r="K100" s="286"/>
      <c r="L100" s="286"/>
      <c r="M100" s="286"/>
      <c r="N100" s="286"/>
      <c r="O100" s="286"/>
      <c r="P100" s="286"/>
      <c r="Q100" s="286"/>
      <c r="R100" s="286"/>
      <c r="S100" s="286"/>
      <c r="T100" s="286"/>
      <c r="U100" s="286"/>
      <c r="V100" s="286"/>
      <c r="W100" s="286"/>
      <c r="X100" s="286"/>
      <c r="Y100" s="286"/>
      <c r="Z100" s="286"/>
      <c r="AA100" s="286"/>
    </row>
    <row r="101" spans="1:27" x14ac:dyDescent="0.25">
      <c r="A101" s="286"/>
      <c r="B101" s="286"/>
      <c r="C101" s="286"/>
      <c r="D101" s="286"/>
      <c r="E101" s="286"/>
      <c r="F101" s="286"/>
      <c r="G101" s="286"/>
      <c r="H101" s="286"/>
      <c r="I101" s="286"/>
      <c r="J101" s="286"/>
      <c r="K101" s="286"/>
      <c r="L101" s="286"/>
      <c r="M101" s="286"/>
      <c r="N101" s="286"/>
      <c r="O101" s="286"/>
      <c r="P101" s="286"/>
      <c r="Q101" s="286"/>
      <c r="R101" s="286"/>
      <c r="S101" s="286"/>
      <c r="T101" s="286"/>
      <c r="U101" s="286"/>
      <c r="V101" s="286"/>
      <c r="W101" s="286"/>
      <c r="X101" s="286"/>
      <c r="Y101" s="286"/>
      <c r="Z101" s="286"/>
      <c r="AA101" s="286"/>
    </row>
    <row r="102" spans="1:27" x14ac:dyDescent="0.25">
      <c r="A102" s="286"/>
      <c r="B102" s="286"/>
      <c r="C102" s="286"/>
      <c r="D102" s="286"/>
      <c r="E102" s="286"/>
      <c r="F102" s="286"/>
      <c r="G102" s="286"/>
      <c r="H102" s="286"/>
      <c r="I102" s="286"/>
      <c r="J102" s="286"/>
      <c r="K102" s="286"/>
      <c r="L102" s="286"/>
      <c r="M102" s="286"/>
      <c r="N102" s="286"/>
      <c r="O102" s="286"/>
      <c r="P102" s="286"/>
      <c r="Q102" s="286"/>
      <c r="R102" s="286"/>
      <c r="S102" s="286"/>
      <c r="T102" s="286"/>
      <c r="U102" s="286"/>
      <c r="V102" s="286"/>
      <c r="W102" s="286"/>
      <c r="X102" s="286"/>
      <c r="Y102" s="286"/>
      <c r="Z102" s="286"/>
      <c r="AA102" s="286"/>
    </row>
    <row r="103" spans="1:27" x14ac:dyDescent="0.25">
      <c r="A103" s="286"/>
      <c r="B103" s="286"/>
      <c r="C103" s="286"/>
      <c r="D103" s="286"/>
      <c r="E103" s="286"/>
      <c r="F103" s="286"/>
      <c r="G103" s="286"/>
      <c r="H103" s="286"/>
      <c r="I103" s="286"/>
      <c r="J103" s="286"/>
      <c r="K103" s="286"/>
      <c r="L103" s="286"/>
      <c r="M103" s="286"/>
      <c r="N103" s="286"/>
      <c r="O103" s="286"/>
      <c r="P103" s="286"/>
      <c r="Q103" s="286"/>
      <c r="R103" s="286"/>
      <c r="S103" s="286"/>
      <c r="T103" s="286"/>
      <c r="U103" s="286"/>
      <c r="V103" s="286"/>
      <c r="W103" s="286"/>
      <c r="X103" s="286"/>
      <c r="Y103" s="286"/>
      <c r="Z103" s="286"/>
      <c r="AA103" s="286"/>
    </row>
    <row r="104" spans="1:27" x14ac:dyDescent="0.25">
      <c r="A104" s="286"/>
      <c r="B104" s="286"/>
      <c r="C104" s="286"/>
      <c r="D104" s="286"/>
      <c r="E104" s="286"/>
      <c r="F104" s="286"/>
      <c r="G104" s="286"/>
      <c r="H104" s="286"/>
      <c r="I104" s="286"/>
      <c r="J104" s="286"/>
      <c r="K104" s="286"/>
      <c r="L104" s="286"/>
      <c r="M104" s="286"/>
      <c r="N104" s="286"/>
      <c r="O104" s="286"/>
      <c r="P104" s="286"/>
      <c r="Q104" s="286"/>
      <c r="R104" s="286"/>
      <c r="S104" s="286"/>
      <c r="T104" s="286"/>
      <c r="U104" s="286"/>
      <c r="V104" s="286"/>
      <c r="W104" s="286"/>
      <c r="X104" s="286"/>
      <c r="Y104" s="286"/>
      <c r="Z104" s="286"/>
      <c r="AA104" s="286"/>
    </row>
    <row r="105" spans="1:27" x14ac:dyDescent="0.25">
      <c r="A105" s="286"/>
      <c r="B105" s="286"/>
      <c r="C105" s="286"/>
      <c r="D105" s="286"/>
      <c r="E105" s="286"/>
      <c r="F105" s="286"/>
      <c r="G105" s="286"/>
      <c r="H105" s="286"/>
      <c r="I105" s="286"/>
      <c r="J105" s="286"/>
      <c r="K105" s="286"/>
      <c r="L105" s="286"/>
      <c r="M105" s="286"/>
      <c r="N105" s="286"/>
      <c r="O105" s="286"/>
      <c r="P105" s="286"/>
      <c r="Q105" s="286"/>
      <c r="R105" s="286"/>
      <c r="S105" s="286"/>
      <c r="T105" s="286"/>
      <c r="U105" s="286"/>
      <c r="V105" s="286"/>
      <c r="W105" s="286"/>
      <c r="X105" s="286"/>
      <c r="Y105" s="286"/>
      <c r="Z105" s="286"/>
      <c r="AA105" s="286"/>
    </row>
    <row r="106" spans="1:27" x14ac:dyDescent="0.25">
      <c r="A106" s="286"/>
      <c r="B106" s="286"/>
      <c r="C106" s="286"/>
      <c r="D106" s="286"/>
      <c r="E106" s="286"/>
      <c r="F106" s="286"/>
      <c r="G106" s="286"/>
      <c r="H106" s="286"/>
      <c r="I106" s="286"/>
      <c r="J106" s="286"/>
      <c r="K106" s="286"/>
      <c r="L106" s="286"/>
      <c r="M106" s="286"/>
      <c r="N106" s="286"/>
      <c r="O106" s="286"/>
      <c r="P106" s="286"/>
      <c r="Q106" s="286"/>
      <c r="R106" s="286"/>
      <c r="S106" s="286"/>
      <c r="T106" s="286"/>
      <c r="U106" s="286"/>
      <c r="V106" s="286"/>
      <c r="W106" s="286"/>
      <c r="X106" s="286"/>
      <c r="Y106" s="286"/>
      <c r="Z106" s="286"/>
      <c r="AA106" s="286"/>
    </row>
    <row r="107" spans="1:27" x14ac:dyDescent="0.25">
      <c r="A107" s="286"/>
      <c r="B107" s="286"/>
      <c r="C107" s="286"/>
      <c r="D107" s="286"/>
      <c r="E107" s="286"/>
      <c r="F107" s="286"/>
      <c r="G107" s="286"/>
      <c r="H107" s="286"/>
      <c r="I107" s="286"/>
      <c r="J107" s="286"/>
      <c r="K107" s="286"/>
      <c r="L107" s="286"/>
      <c r="M107" s="286"/>
      <c r="N107" s="286"/>
      <c r="O107" s="286"/>
      <c r="P107" s="286"/>
      <c r="Q107" s="286"/>
      <c r="R107" s="286"/>
      <c r="S107" s="286"/>
      <c r="T107" s="286"/>
      <c r="U107" s="286"/>
      <c r="V107" s="286"/>
      <c r="W107" s="286"/>
      <c r="X107" s="286"/>
      <c r="Y107" s="286"/>
      <c r="Z107" s="286"/>
      <c r="AA107" s="286"/>
    </row>
    <row r="108" spans="1:27" x14ac:dyDescent="0.25">
      <c r="A108" s="286"/>
      <c r="B108" s="286"/>
      <c r="C108" s="286"/>
      <c r="D108" s="286"/>
      <c r="E108" s="286"/>
      <c r="F108" s="286"/>
      <c r="G108" s="286"/>
      <c r="H108" s="286"/>
      <c r="I108" s="286"/>
      <c r="J108" s="286"/>
      <c r="K108" s="286"/>
      <c r="L108" s="286"/>
      <c r="M108" s="286"/>
      <c r="N108" s="286"/>
      <c r="O108" s="286"/>
      <c r="P108" s="286"/>
      <c r="Q108" s="286"/>
      <c r="R108" s="286"/>
      <c r="S108" s="286"/>
      <c r="T108" s="286"/>
      <c r="U108" s="286"/>
      <c r="V108" s="286"/>
      <c r="W108" s="286"/>
      <c r="X108" s="286"/>
      <c r="Y108" s="286"/>
      <c r="Z108" s="286"/>
      <c r="AA108" s="286"/>
    </row>
    <row r="109" spans="1:27" x14ac:dyDescent="0.25">
      <c r="A109" s="286"/>
      <c r="B109" s="286"/>
      <c r="C109" s="286"/>
      <c r="D109" s="286"/>
      <c r="E109" s="286"/>
      <c r="F109" s="286"/>
      <c r="G109" s="286"/>
      <c r="H109" s="286"/>
      <c r="I109" s="286"/>
      <c r="J109" s="286"/>
      <c r="K109" s="286"/>
      <c r="L109" s="286"/>
      <c r="M109" s="286"/>
      <c r="N109" s="286"/>
      <c r="O109" s="286"/>
      <c r="P109" s="286"/>
      <c r="Q109" s="286"/>
      <c r="R109" s="286"/>
      <c r="S109" s="286"/>
      <c r="T109" s="286"/>
      <c r="U109" s="286"/>
      <c r="V109" s="286"/>
      <c r="W109" s="286"/>
      <c r="X109" s="286"/>
      <c r="Y109" s="286"/>
      <c r="Z109" s="286"/>
      <c r="AA109" s="286"/>
    </row>
    <row r="110" spans="1:27" x14ac:dyDescent="0.25">
      <c r="A110" s="286"/>
      <c r="B110" s="286"/>
      <c r="C110" s="286"/>
      <c r="D110" s="286"/>
      <c r="E110" s="286"/>
      <c r="F110" s="286"/>
      <c r="G110" s="286"/>
      <c r="H110" s="286"/>
      <c r="I110" s="286"/>
      <c r="J110" s="286"/>
      <c r="K110" s="286"/>
      <c r="L110" s="286"/>
      <c r="M110" s="286"/>
      <c r="N110" s="286"/>
      <c r="O110" s="286"/>
      <c r="P110" s="286"/>
      <c r="Q110" s="286"/>
      <c r="R110" s="286"/>
      <c r="S110" s="286"/>
      <c r="T110" s="286"/>
      <c r="U110" s="286"/>
      <c r="V110" s="286"/>
      <c r="W110" s="286"/>
      <c r="X110" s="286"/>
      <c r="Y110" s="286"/>
      <c r="Z110" s="286"/>
      <c r="AA110" s="286"/>
    </row>
    <row r="111" spans="1:27" x14ac:dyDescent="0.25">
      <c r="A111" s="286"/>
      <c r="B111" s="286"/>
      <c r="C111" s="286"/>
      <c r="D111" s="286"/>
      <c r="E111" s="286"/>
      <c r="F111" s="286"/>
      <c r="G111" s="286"/>
      <c r="H111" s="286"/>
      <c r="I111" s="286"/>
      <c r="J111" s="286"/>
      <c r="K111" s="286"/>
      <c r="L111" s="286"/>
      <c r="M111" s="286"/>
      <c r="N111" s="286"/>
      <c r="O111" s="286"/>
      <c r="P111" s="286"/>
      <c r="Q111" s="286"/>
      <c r="R111" s="286"/>
      <c r="S111" s="286"/>
      <c r="T111" s="286"/>
      <c r="U111" s="286"/>
      <c r="V111" s="286"/>
      <c r="W111" s="286"/>
      <c r="X111" s="286"/>
      <c r="Y111" s="286"/>
      <c r="Z111" s="286"/>
      <c r="AA111" s="286"/>
    </row>
    <row r="112" spans="1:27" x14ac:dyDescent="0.25">
      <c r="A112" s="286"/>
      <c r="B112" s="286"/>
      <c r="C112" s="286"/>
      <c r="D112" s="286"/>
      <c r="E112" s="286"/>
      <c r="F112" s="286"/>
      <c r="G112" s="286"/>
      <c r="H112" s="286"/>
      <c r="I112" s="286"/>
      <c r="J112" s="286"/>
      <c r="K112" s="286"/>
      <c r="L112" s="286"/>
      <c r="M112" s="286"/>
      <c r="N112" s="286"/>
      <c r="O112" s="286"/>
      <c r="P112" s="286"/>
      <c r="Q112" s="286"/>
      <c r="R112" s="286"/>
      <c r="S112" s="286"/>
      <c r="T112" s="286"/>
      <c r="U112" s="286"/>
      <c r="V112" s="286"/>
      <c r="W112" s="286"/>
      <c r="X112" s="286"/>
      <c r="Y112" s="286"/>
      <c r="Z112" s="286"/>
      <c r="AA112" s="286"/>
    </row>
    <row r="113" spans="1:27" x14ac:dyDescent="0.25">
      <c r="A113" s="286"/>
      <c r="B113" s="286"/>
      <c r="C113" s="286"/>
      <c r="D113" s="286"/>
      <c r="E113" s="286"/>
      <c r="F113" s="286"/>
      <c r="G113" s="286"/>
      <c r="H113" s="286"/>
      <c r="I113" s="286"/>
      <c r="J113" s="286"/>
      <c r="K113" s="286"/>
      <c r="L113" s="286"/>
      <c r="M113" s="286"/>
      <c r="N113" s="286"/>
      <c r="O113" s="286"/>
      <c r="P113" s="286"/>
      <c r="Q113" s="286"/>
      <c r="R113" s="286"/>
      <c r="S113" s="286"/>
      <c r="T113" s="286"/>
      <c r="U113" s="286"/>
      <c r="V113" s="286"/>
      <c r="W113" s="286"/>
      <c r="X113" s="286"/>
      <c r="Y113" s="286"/>
      <c r="Z113" s="286"/>
      <c r="AA113" s="286"/>
    </row>
    <row r="114" spans="1:27" x14ac:dyDescent="0.25">
      <c r="A114" s="286"/>
      <c r="B114" s="286"/>
      <c r="C114" s="286"/>
      <c r="D114" s="286"/>
      <c r="E114" s="286"/>
      <c r="F114" s="286"/>
      <c r="G114" s="286"/>
      <c r="H114" s="286"/>
      <c r="I114" s="286"/>
      <c r="J114" s="286"/>
      <c r="K114" s="286"/>
      <c r="L114" s="286"/>
      <c r="M114" s="286"/>
      <c r="N114" s="286"/>
      <c r="O114" s="286"/>
      <c r="P114" s="286"/>
      <c r="Q114" s="286"/>
      <c r="R114" s="286"/>
      <c r="S114" s="286"/>
      <c r="T114" s="286"/>
      <c r="U114" s="286"/>
      <c r="V114" s="286"/>
      <c r="W114" s="286"/>
      <c r="X114" s="286"/>
      <c r="Y114" s="286"/>
      <c r="Z114" s="286"/>
      <c r="AA114" s="286"/>
    </row>
    <row r="115" spans="1:27" x14ac:dyDescent="0.25">
      <c r="A115" s="286"/>
      <c r="B115" s="286"/>
      <c r="C115" s="286"/>
      <c r="D115" s="286"/>
      <c r="E115" s="286"/>
      <c r="F115" s="286"/>
      <c r="G115" s="286"/>
      <c r="H115" s="286"/>
      <c r="I115" s="286"/>
      <c r="J115" s="286"/>
      <c r="K115" s="286"/>
      <c r="L115" s="286"/>
      <c r="M115" s="286"/>
      <c r="N115" s="286"/>
      <c r="O115" s="286"/>
      <c r="P115" s="286"/>
      <c r="Q115" s="286"/>
      <c r="R115" s="286"/>
      <c r="S115" s="286"/>
      <c r="T115" s="286"/>
      <c r="U115" s="286"/>
      <c r="V115" s="286"/>
      <c r="W115" s="286"/>
      <c r="X115" s="286"/>
      <c r="Y115" s="286"/>
      <c r="Z115" s="286"/>
      <c r="AA115" s="286"/>
    </row>
    <row r="116" spans="1:27" x14ac:dyDescent="0.25">
      <c r="A116" s="286"/>
      <c r="B116" s="286"/>
      <c r="C116" s="286"/>
      <c r="D116" s="286"/>
      <c r="E116" s="286"/>
      <c r="F116" s="286"/>
      <c r="G116" s="286"/>
      <c r="H116" s="286"/>
      <c r="I116" s="286"/>
      <c r="J116" s="286"/>
      <c r="K116" s="286"/>
      <c r="L116" s="286"/>
      <c r="M116" s="286"/>
      <c r="N116" s="286"/>
      <c r="O116" s="286"/>
      <c r="P116" s="286"/>
      <c r="Q116" s="286"/>
      <c r="R116" s="286"/>
      <c r="S116" s="286"/>
      <c r="T116" s="286"/>
      <c r="U116" s="286"/>
      <c r="V116" s="286"/>
      <c r="W116" s="286"/>
      <c r="X116" s="286"/>
      <c r="Y116" s="286"/>
      <c r="Z116" s="286"/>
      <c r="AA116" s="286"/>
    </row>
    <row r="117" spans="1:27" x14ac:dyDescent="0.25">
      <c r="A117" s="286"/>
      <c r="B117" s="286"/>
      <c r="C117" s="286"/>
      <c r="D117" s="286"/>
      <c r="E117" s="286"/>
      <c r="F117" s="286"/>
      <c r="G117" s="286"/>
      <c r="H117" s="286"/>
      <c r="I117" s="286"/>
      <c r="J117" s="286"/>
      <c r="K117" s="286"/>
      <c r="L117" s="286"/>
      <c r="M117" s="286"/>
      <c r="N117" s="286"/>
      <c r="O117" s="286"/>
      <c r="P117" s="286"/>
      <c r="Q117" s="286"/>
      <c r="R117" s="286"/>
      <c r="S117" s="286"/>
      <c r="T117" s="286"/>
      <c r="U117" s="286"/>
      <c r="V117" s="286"/>
      <c r="W117" s="286"/>
      <c r="X117" s="286"/>
      <c r="Y117" s="286"/>
      <c r="Z117" s="286"/>
      <c r="AA117" s="286"/>
    </row>
    <row r="118" spans="1:27" x14ac:dyDescent="0.25">
      <c r="A118" s="286"/>
      <c r="B118" s="286"/>
      <c r="C118" s="286"/>
      <c r="D118" s="286"/>
      <c r="E118" s="286"/>
      <c r="F118" s="286"/>
      <c r="G118" s="286"/>
      <c r="H118" s="286"/>
      <c r="I118" s="286"/>
      <c r="J118" s="286"/>
      <c r="K118" s="286"/>
      <c r="L118" s="286"/>
      <c r="M118" s="286"/>
      <c r="N118" s="286"/>
      <c r="O118" s="286"/>
      <c r="P118" s="286"/>
      <c r="Q118" s="286"/>
      <c r="R118" s="286"/>
      <c r="S118" s="286"/>
      <c r="T118" s="286"/>
      <c r="U118" s="286"/>
      <c r="V118" s="286"/>
      <c r="W118" s="286"/>
      <c r="X118" s="286"/>
      <c r="Y118" s="286"/>
      <c r="Z118" s="286"/>
      <c r="AA118" s="286"/>
    </row>
    <row r="119" spans="1:27" x14ac:dyDescent="0.25">
      <c r="A119" s="286"/>
      <c r="B119" s="286"/>
      <c r="C119" s="286"/>
      <c r="D119" s="286"/>
      <c r="E119" s="286"/>
      <c r="F119" s="286"/>
      <c r="G119" s="286"/>
      <c r="H119" s="286"/>
      <c r="I119" s="286"/>
      <c r="J119" s="286"/>
      <c r="K119" s="286"/>
      <c r="L119" s="286"/>
      <c r="M119" s="286"/>
      <c r="N119" s="286"/>
      <c r="O119" s="286"/>
      <c r="P119" s="286"/>
      <c r="Q119" s="286"/>
      <c r="R119" s="286"/>
      <c r="S119" s="286"/>
      <c r="T119" s="286"/>
      <c r="U119" s="286"/>
      <c r="V119" s="286"/>
      <c r="W119" s="286"/>
      <c r="X119" s="286"/>
      <c r="Y119" s="286"/>
      <c r="Z119" s="286"/>
      <c r="AA119" s="286"/>
    </row>
    <row r="120" spans="1:27" x14ac:dyDescent="0.25">
      <c r="A120" s="286"/>
      <c r="B120" s="286"/>
      <c r="C120" s="286"/>
      <c r="D120" s="286"/>
      <c r="E120" s="286"/>
      <c r="F120" s="286"/>
      <c r="G120" s="286"/>
      <c r="H120" s="286"/>
      <c r="I120" s="286"/>
      <c r="J120" s="286"/>
      <c r="K120" s="286"/>
      <c r="L120" s="286"/>
      <c r="M120" s="286"/>
      <c r="N120" s="286"/>
      <c r="O120" s="286"/>
      <c r="P120" s="286"/>
      <c r="Q120" s="286"/>
      <c r="R120" s="286"/>
      <c r="S120" s="286"/>
      <c r="T120" s="286"/>
      <c r="U120" s="286"/>
      <c r="V120" s="286"/>
      <c r="W120" s="286"/>
      <c r="X120" s="286"/>
      <c r="Y120" s="286"/>
      <c r="Z120" s="286"/>
      <c r="AA120" s="286"/>
    </row>
    <row r="121" spans="1:27" x14ac:dyDescent="0.25">
      <c r="A121" s="286"/>
      <c r="B121" s="286"/>
      <c r="C121" s="286"/>
      <c r="D121" s="286"/>
      <c r="E121" s="286"/>
      <c r="F121" s="286"/>
      <c r="G121" s="286"/>
      <c r="H121" s="286"/>
      <c r="I121" s="286"/>
      <c r="J121" s="286"/>
      <c r="K121" s="286"/>
      <c r="L121" s="286"/>
      <c r="M121" s="286"/>
      <c r="N121" s="286"/>
      <c r="O121" s="286"/>
      <c r="P121" s="286"/>
      <c r="Q121" s="286"/>
      <c r="R121" s="286"/>
      <c r="S121" s="286"/>
      <c r="T121" s="286"/>
      <c r="U121" s="286"/>
      <c r="V121" s="286"/>
      <c r="W121" s="286"/>
      <c r="X121" s="286"/>
      <c r="Y121" s="286"/>
      <c r="Z121" s="286"/>
      <c r="AA121" s="286"/>
    </row>
    <row r="122" spans="1:27" x14ac:dyDescent="0.25">
      <c r="A122" s="286"/>
      <c r="B122" s="286"/>
      <c r="C122" s="286"/>
      <c r="D122" s="286"/>
      <c r="E122" s="286"/>
      <c r="F122" s="286"/>
      <c r="G122" s="286"/>
      <c r="H122" s="286"/>
      <c r="I122" s="286"/>
      <c r="J122" s="286"/>
      <c r="K122" s="286"/>
      <c r="L122" s="286"/>
      <c r="M122" s="286"/>
      <c r="N122" s="286"/>
      <c r="O122" s="286"/>
      <c r="P122" s="286"/>
      <c r="Q122" s="286"/>
      <c r="R122" s="286"/>
      <c r="S122" s="286"/>
      <c r="T122" s="286"/>
      <c r="U122" s="286"/>
      <c r="V122" s="286"/>
      <c r="W122" s="286"/>
      <c r="X122" s="286"/>
      <c r="Y122" s="286"/>
      <c r="Z122" s="286"/>
      <c r="AA122" s="286"/>
    </row>
    <row r="123" spans="1:27" x14ac:dyDescent="0.25">
      <c r="A123" s="286"/>
      <c r="B123" s="286"/>
      <c r="C123" s="286"/>
      <c r="D123" s="286"/>
      <c r="E123" s="286"/>
      <c r="F123" s="286"/>
      <c r="G123" s="286"/>
      <c r="H123" s="286"/>
      <c r="I123" s="286"/>
      <c r="J123" s="286"/>
      <c r="K123" s="286"/>
      <c r="L123" s="286"/>
      <c r="M123" s="286"/>
      <c r="N123" s="286"/>
      <c r="O123" s="286"/>
      <c r="P123" s="286"/>
      <c r="Q123" s="286"/>
      <c r="R123" s="286"/>
      <c r="S123" s="286"/>
      <c r="T123" s="286"/>
      <c r="U123" s="286"/>
      <c r="V123" s="286"/>
      <c r="W123" s="286"/>
      <c r="X123" s="286"/>
      <c r="Y123" s="286"/>
      <c r="Z123" s="286"/>
      <c r="AA123" s="286"/>
    </row>
    <row r="124" spans="1:27" x14ac:dyDescent="0.25">
      <c r="A124" s="286"/>
      <c r="B124" s="286"/>
      <c r="C124" s="286"/>
      <c r="D124" s="286"/>
      <c r="E124" s="286"/>
      <c r="F124" s="286"/>
      <c r="G124" s="286"/>
      <c r="H124" s="286"/>
      <c r="I124" s="286"/>
      <c r="J124" s="286"/>
      <c r="K124" s="286"/>
      <c r="L124" s="286"/>
      <c r="M124" s="286"/>
      <c r="N124" s="286"/>
      <c r="O124" s="286"/>
      <c r="P124" s="286"/>
      <c r="Q124" s="286"/>
      <c r="R124" s="286"/>
      <c r="S124" s="286"/>
      <c r="T124" s="286"/>
      <c r="U124" s="286"/>
      <c r="V124" s="286"/>
      <c r="W124" s="286"/>
      <c r="X124" s="286"/>
      <c r="Y124" s="286"/>
      <c r="Z124" s="286"/>
      <c r="AA124" s="286"/>
    </row>
    <row r="125" spans="1:27" x14ac:dyDescent="0.25">
      <c r="A125" s="286"/>
      <c r="B125" s="286"/>
      <c r="C125" s="286"/>
      <c r="D125" s="286"/>
      <c r="E125" s="286"/>
      <c r="F125" s="286"/>
      <c r="G125" s="286"/>
      <c r="H125" s="286"/>
      <c r="I125" s="286"/>
      <c r="J125" s="286"/>
      <c r="K125" s="286"/>
      <c r="L125" s="286"/>
      <c r="M125" s="286"/>
      <c r="N125" s="286"/>
      <c r="O125" s="286"/>
      <c r="P125" s="286"/>
      <c r="Q125" s="286"/>
      <c r="R125" s="286"/>
      <c r="S125" s="286"/>
      <c r="T125" s="286"/>
      <c r="U125" s="286"/>
      <c r="V125" s="286"/>
      <c r="W125" s="286"/>
      <c r="X125" s="286"/>
      <c r="Y125" s="286"/>
      <c r="Z125" s="286"/>
      <c r="AA125" s="286"/>
    </row>
    <row r="126" spans="1:27" x14ac:dyDescent="0.25">
      <c r="A126" s="286"/>
      <c r="B126" s="286"/>
      <c r="C126" s="286"/>
      <c r="D126" s="286"/>
      <c r="E126" s="286"/>
      <c r="F126" s="286"/>
      <c r="G126" s="286"/>
      <c r="H126" s="286"/>
      <c r="I126" s="286"/>
      <c r="J126" s="286"/>
      <c r="K126" s="286"/>
      <c r="L126" s="286"/>
      <c r="M126" s="286"/>
      <c r="N126" s="286"/>
      <c r="O126" s="286"/>
      <c r="P126" s="286"/>
      <c r="Q126" s="286"/>
      <c r="R126" s="286"/>
      <c r="S126" s="286"/>
      <c r="T126" s="286"/>
      <c r="U126" s="286"/>
      <c r="V126" s="286"/>
      <c r="W126" s="286"/>
      <c r="X126" s="286"/>
      <c r="Y126" s="286"/>
      <c r="Z126" s="286"/>
      <c r="AA126" s="286"/>
    </row>
    <row r="127" spans="1:27" x14ac:dyDescent="0.25">
      <c r="A127" s="286"/>
      <c r="B127" s="286"/>
      <c r="C127" s="286"/>
      <c r="D127" s="286"/>
      <c r="E127" s="286"/>
      <c r="F127" s="286"/>
      <c r="G127" s="286"/>
      <c r="H127" s="286"/>
      <c r="I127" s="286"/>
      <c r="J127" s="286"/>
      <c r="K127" s="286"/>
      <c r="L127" s="286"/>
      <c r="M127" s="286"/>
      <c r="N127" s="286"/>
      <c r="O127" s="286"/>
      <c r="P127" s="286"/>
      <c r="Q127" s="286"/>
      <c r="R127" s="286"/>
      <c r="S127" s="286"/>
      <c r="T127" s="286"/>
      <c r="U127" s="286"/>
      <c r="V127" s="286"/>
      <c r="W127" s="286"/>
      <c r="X127" s="286"/>
      <c r="Y127" s="286"/>
      <c r="Z127" s="286"/>
      <c r="AA127" s="286"/>
    </row>
    <row r="128" spans="1:27" x14ac:dyDescent="0.25">
      <c r="A128" s="286"/>
      <c r="B128" s="286"/>
      <c r="C128" s="286"/>
      <c r="D128" s="286"/>
      <c r="E128" s="286"/>
      <c r="F128" s="286"/>
      <c r="G128" s="286"/>
      <c r="H128" s="286"/>
      <c r="I128" s="286"/>
      <c r="J128" s="286"/>
      <c r="K128" s="286"/>
      <c r="L128" s="286"/>
      <c r="M128" s="286"/>
      <c r="N128" s="286"/>
      <c r="O128" s="286"/>
      <c r="P128" s="286"/>
      <c r="Q128" s="286"/>
      <c r="R128" s="286"/>
      <c r="S128" s="286"/>
      <c r="T128" s="286"/>
      <c r="U128" s="286"/>
      <c r="V128" s="286"/>
      <c r="W128" s="286"/>
      <c r="X128" s="286"/>
      <c r="Y128" s="286"/>
      <c r="Z128" s="286"/>
      <c r="AA128" s="286"/>
    </row>
    <row r="129" spans="1:27" x14ac:dyDescent="0.25">
      <c r="A129" s="286"/>
      <c r="B129" s="286"/>
      <c r="C129" s="286"/>
      <c r="D129" s="286"/>
      <c r="E129" s="286"/>
      <c r="F129" s="286"/>
      <c r="G129" s="286"/>
      <c r="H129" s="286"/>
      <c r="I129" s="286"/>
      <c r="J129" s="286"/>
      <c r="K129" s="286"/>
      <c r="L129" s="286"/>
      <c r="M129" s="286"/>
      <c r="N129" s="286"/>
      <c r="O129" s="286"/>
      <c r="P129" s="286"/>
      <c r="Q129" s="286"/>
      <c r="R129" s="286"/>
      <c r="S129" s="286"/>
      <c r="T129" s="286"/>
      <c r="U129" s="286"/>
      <c r="V129" s="286"/>
      <c r="W129" s="286"/>
      <c r="X129" s="286"/>
      <c r="Y129" s="286"/>
      <c r="Z129" s="286"/>
      <c r="AA129" s="286"/>
    </row>
    <row r="130" spans="1:27" x14ac:dyDescent="0.25">
      <c r="A130" s="286"/>
      <c r="B130" s="286"/>
      <c r="C130" s="286"/>
      <c r="D130" s="286"/>
      <c r="E130" s="286"/>
      <c r="F130" s="286"/>
      <c r="G130" s="286"/>
      <c r="H130" s="286"/>
      <c r="I130" s="286"/>
      <c r="J130" s="286"/>
      <c r="K130" s="286"/>
      <c r="L130" s="286"/>
      <c r="M130" s="286"/>
      <c r="N130" s="286"/>
      <c r="O130" s="286"/>
      <c r="P130" s="286"/>
      <c r="Q130" s="286"/>
      <c r="R130" s="286"/>
      <c r="S130" s="286"/>
      <c r="T130" s="286"/>
      <c r="U130" s="286"/>
      <c r="V130" s="286"/>
      <c r="W130" s="286"/>
      <c r="X130" s="286"/>
      <c r="Y130" s="286"/>
      <c r="Z130" s="286"/>
      <c r="AA130" s="286"/>
    </row>
    <row r="131" spans="1:27" x14ac:dyDescent="0.25">
      <c r="A131" s="286"/>
      <c r="B131" s="286"/>
      <c r="C131" s="286"/>
      <c r="D131" s="286"/>
      <c r="E131" s="286"/>
      <c r="F131" s="286"/>
      <c r="G131" s="286"/>
      <c r="H131" s="286"/>
      <c r="I131" s="286"/>
      <c r="J131" s="286"/>
      <c r="K131" s="286"/>
      <c r="L131" s="286"/>
      <c r="M131" s="286"/>
      <c r="N131" s="286"/>
      <c r="O131" s="286"/>
      <c r="P131" s="286"/>
      <c r="Q131" s="286"/>
      <c r="R131" s="286"/>
      <c r="S131" s="286"/>
      <c r="T131" s="286"/>
      <c r="U131" s="286"/>
      <c r="V131" s="286"/>
      <c r="W131" s="286"/>
      <c r="X131" s="286"/>
      <c r="Y131" s="286"/>
      <c r="Z131" s="286"/>
      <c r="AA131" s="286"/>
    </row>
    <row r="132" spans="1:27" x14ac:dyDescent="0.25">
      <c r="A132" s="286"/>
      <c r="B132" s="286"/>
      <c r="C132" s="286"/>
      <c r="D132" s="286"/>
      <c r="E132" s="286"/>
      <c r="F132" s="286"/>
      <c r="G132" s="286"/>
      <c r="H132" s="286"/>
      <c r="I132" s="286"/>
      <c r="J132" s="286"/>
      <c r="K132" s="286"/>
      <c r="L132" s="286"/>
      <c r="M132" s="286"/>
      <c r="N132" s="286"/>
      <c r="O132" s="286"/>
      <c r="P132" s="286"/>
      <c r="Q132" s="286"/>
      <c r="R132" s="286"/>
      <c r="S132" s="286"/>
      <c r="T132" s="286"/>
      <c r="U132" s="286"/>
      <c r="V132" s="286"/>
      <c r="W132" s="286"/>
      <c r="X132" s="286"/>
      <c r="Y132" s="286"/>
      <c r="Z132" s="286"/>
      <c r="AA132" s="286"/>
    </row>
    <row r="133" spans="1:27" x14ac:dyDescent="0.25">
      <c r="A133" s="286"/>
      <c r="B133" s="286"/>
      <c r="C133" s="286"/>
      <c r="D133" s="286"/>
      <c r="E133" s="286"/>
      <c r="F133" s="286"/>
      <c r="G133" s="286"/>
      <c r="H133" s="286"/>
      <c r="I133" s="286"/>
      <c r="J133" s="286"/>
      <c r="K133" s="286"/>
      <c r="L133" s="286"/>
      <c r="M133" s="286"/>
      <c r="N133" s="286"/>
      <c r="O133" s="286"/>
      <c r="P133" s="286"/>
      <c r="Q133" s="286"/>
      <c r="R133" s="286"/>
      <c r="S133" s="286"/>
      <c r="T133" s="286"/>
      <c r="U133" s="286"/>
      <c r="V133" s="286"/>
      <c r="W133" s="286"/>
      <c r="X133" s="286"/>
      <c r="Y133" s="286"/>
      <c r="Z133" s="286"/>
      <c r="AA133" s="286"/>
    </row>
    <row r="134" spans="1:27" x14ac:dyDescent="0.25">
      <c r="A134" s="286"/>
      <c r="B134" s="286"/>
      <c r="C134" s="286"/>
      <c r="D134" s="286"/>
      <c r="E134" s="286"/>
      <c r="F134" s="286"/>
      <c r="G134" s="286"/>
      <c r="H134" s="286"/>
      <c r="I134" s="286"/>
      <c r="J134" s="286"/>
      <c r="K134" s="286"/>
      <c r="L134" s="286"/>
      <c r="M134" s="286"/>
      <c r="N134" s="286"/>
      <c r="O134" s="286"/>
      <c r="P134" s="286"/>
      <c r="Q134" s="286"/>
      <c r="R134" s="286"/>
      <c r="S134" s="286"/>
      <c r="T134" s="286"/>
      <c r="U134" s="286"/>
      <c r="V134" s="286"/>
      <c r="W134" s="286"/>
      <c r="X134" s="286"/>
      <c r="Y134" s="286"/>
      <c r="Z134" s="286"/>
      <c r="AA134" s="286"/>
    </row>
    <row r="135" spans="1:27" x14ac:dyDescent="0.25">
      <c r="A135" s="286"/>
      <c r="B135" s="286"/>
      <c r="C135" s="286"/>
      <c r="D135" s="286"/>
      <c r="E135" s="286"/>
      <c r="F135" s="286"/>
      <c r="G135" s="286"/>
      <c r="H135" s="286"/>
      <c r="I135" s="286"/>
      <c r="J135" s="286"/>
      <c r="K135" s="286"/>
      <c r="L135" s="286"/>
      <c r="M135" s="286"/>
      <c r="N135" s="286"/>
      <c r="O135" s="286"/>
      <c r="P135" s="286"/>
      <c r="Q135" s="286"/>
      <c r="R135" s="286"/>
      <c r="S135" s="286"/>
      <c r="T135" s="286"/>
      <c r="U135" s="286"/>
      <c r="V135" s="286"/>
      <c r="W135" s="286"/>
      <c r="X135" s="286"/>
      <c r="Y135" s="286"/>
      <c r="Z135" s="286"/>
      <c r="AA135" s="286"/>
    </row>
    <row r="136" spans="1:27" x14ac:dyDescent="0.25">
      <c r="A136" s="286"/>
      <c r="B136" s="286"/>
      <c r="C136" s="286"/>
      <c r="D136" s="286"/>
      <c r="E136" s="286"/>
      <c r="F136" s="286"/>
      <c r="G136" s="286"/>
      <c r="H136" s="286"/>
      <c r="I136" s="286"/>
      <c r="J136" s="286"/>
      <c r="K136" s="286"/>
      <c r="L136" s="286"/>
      <c r="M136" s="286"/>
      <c r="N136" s="286"/>
      <c r="O136" s="286"/>
      <c r="P136" s="286"/>
      <c r="Q136" s="286"/>
      <c r="R136" s="286"/>
      <c r="S136" s="286"/>
      <c r="T136" s="286"/>
      <c r="U136" s="286"/>
      <c r="V136" s="286"/>
      <c r="W136" s="286"/>
      <c r="X136" s="286"/>
      <c r="Y136" s="286"/>
      <c r="Z136" s="286"/>
      <c r="AA136" s="286"/>
    </row>
    <row r="137" spans="1:27" x14ac:dyDescent="0.25">
      <c r="A137" s="286"/>
      <c r="B137" s="286"/>
      <c r="C137" s="286"/>
      <c r="D137" s="286"/>
      <c r="E137" s="286"/>
      <c r="F137" s="286"/>
      <c r="G137" s="286"/>
      <c r="H137" s="286"/>
      <c r="I137" s="286"/>
      <c r="J137" s="286"/>
      <c r="K137" s="286"/>
      <c r="L137" s="286"/>
      <c r="M137" s="286"/>
      <c r="N137" s="286"/>
      <c r="O137" s="286"/>
      <c r="P137" s="286"/>
      <c r="Q137" s="286"/>
      <c r="R137" s="286"/>
      <c r="S137" s="286"/>
      <c r="T137" s="286"/>
      <c r="U137" s="286"/>
      <c r="V137" s="286"/>
      <c r="W137" s="286"/>
      <c r="X137" s="286"/>
      <c r="Y137" s="286"/>
      <c r="Z137" s="286"/>
      <c r="AA137" s="286"/>
    </row>
    <row r="138" spans="1:27" x14ac:dyDescent="0.25">
      <c r="A138" s="286"/>
      <c r="B138" s="286"/>
      <c r="C138" s="286"/>
      <c r="D138" s="286"/>
      <c r="E138" s="286"/>
      <c r="F138" s="286"/>
      <c r="G138" s="286"/>
      <c r="H138" s="286"/>
      <c r="I138" s="286"/>
      <c r="J138" s="286"/>
      <c r="K138" s="286"/>
      <c r="L138" s="286"/>
      <c r="M138" s="286"/>
      <c r="N138" s="286"/>
      <c r="O138" s="286"/>
      <c r="P138" s="286"/>
      <c r="Q138" s="286"/>
      <c r="R138" s="286"/>
      <c r="S138" s="286"/>
      <c r="T138" s="286"/>
      <c r="U138" s="286"/>
      <c r="V138" s="286"/>
      <c r="W138" s="286"/>
      <c r="X138" s="286"/>
      <c r="Y138" s="286"/>
      <c r="Z138" s="286"/>
      <c r="AA138" s="286"/>
    </row>
    <row r="139" spans="1:27" x14ac:dyDescent="0.25">
      <c r="A139" s="286"/>
      <c r="B139" s="286"/>
      <c r="C139" s="286"/>
      <c r="D139" s="286"/>
      <c r="E139" s="286"/>
      <c r="F139" s="286"/>
      <c r="G139" s="286"/>
      <c r="H139" s="286"/>
      <c r="I139" s="286"/>
      <c r="J139" s="286"/>
      <c r="K139" s="286"/>
      <c r="L139" s="286"/>
      <c r="M139" s="286"/>
      <c r="N139" s="286"/>
      <c r="O139" s="286"/>
      <c r="P139" s="286"/>
      <c r="Q139" s="286"/>
      <c r="R139" s="286"/>
      <c r="S139" s="286"/>
      <c r="T139" s="286"/>
      <c r="U139" s="286"/>
      <c r="V139" s="286"/>
      <c r="W139" s="286"/>
      <c r="X139" s="286"/>
      <c r="Y139" s="286"/>
      <c r="Z139" s="286"/>
      <c r="AA139" s="286"/>
    </row>
    <row r="140" spans="1:27" x14ac:dyDescent="0.25">
      <c r="A140" s="286"/>
      <c r="B140" s="286"/>
      <c r="C140" s="286"/>
      <c r="D140" s="286"/>
      <c r="E140" s="286"/>
      <c r="F140" s="286"/>
      <c r="G140" s="286"/>
      <c r="H140" s="286"/>
      <c r="I140" s="286"/>
      <c r="J140" s="286"/>
      <c r="K140" s="286"/>
      <c r="L140" s="286"/>
      <c r="M140" s="286"/>
      <c r="N140" s="286"/>
      <c r="O140" s="286"/>
      <c r="P140" s="286"/>
      <c r="Q140" s="286"/>
      <c r="R140" s="286"/>
      <c r="S140" s="286"/>
      <c r="T140" s="286"/>
      <c r="U140" s="286"/>
      <c r="V140" s="286"/>
      <c r="W140" s="286"/>
      <c r="X140" s="286"/>
      <c r="Y140" s="286"/>
      <c r="Z140" s="286"/>
      <c r="AA140" s="286"/>
    </row>
    <row r="141" spans="1:27" x14ac:dyDescent="0.25">
      <c r="A141" s="286"/>
      <c r="B141" s="286"/>
      <c r="C141" s="286"/>
      <c r="D141" s="286"/>
      <c r="E141" s="286"/>
      <c r="F141" s="286"/>
      <c r="G141" s="286"/>
      <c r="H141" s="286"/>
      <c r="I141" s="286"/>
      <c r="J141" s="286"/>
      <c r="K141" s="286"/>
      <c r="L141" s="286"/>
      <c r="M141" s="286"/>
      <c r="N141" s="286"/>
      <c r="O141" s="286"/>
      <c r="P141" s="286"/>
      <c r="Q141" s="286"/>
      <c r="R141" s="286"/>
      <c r="S141" s="286"/>
      <c r="T141" s="286"/>
      <c r="U141" s="286"/>
      <c r="V141" s="286"/>
      <c r="W141" s="286"/>
      <c r="X141" s="286"/>
      <c r="Y141" s="286"/>
      <c r="Z141" s="286"/>
      <c r="AA141" s="286"/>
    </row>
    <row r="142" spans="1:27" x14ac:dyDescent="0.25">
      <c r="A142" s="286"/>
      <c r="B142" s="286"/>
      <c r="C142" s="286"/>
      <c r="D142" s="286"/>
      <c r="E142" s="286"/>
      <c r="F142" s="286"/>
      <c r="G142" s="286"/>
      <c r="H142" s="286"/>
      <c r="I142" s="286"/>
      <c r="J142" s="286"/>
      <c r="K142" s="286"/>
      <c r="L142" s="286"/>
      <c r="M142" s="286"/>
      <c r="N142" s="286"/>
      <c r="O142" s="286"/>
      <c r="P142" s="286"/>
      <c r="Q142" s="286"/>
      <c r="R142" s="286"/>
      <c r="S142" s="286"/>
      <c r="T142" s="286"/>
      <c r="U142" s="286"/>
      <c r="V142" s="286"/>
      <c r="W142" s="286"/>
      <c r="X142" s="286"/>
      <c r="Y142" s="286"/>
      <c r="Z142" s="286"/>
      <c r="AA142" s="286"/>
    </row>
    <row r="143" spans="1:27" x14ac:dyDescent="0.25">
      <c r="A143" s="286"/>
      <c r="B143" s="286"/>
      <c r="C143" s="286"/>
      <c r="D143" s="286"/>
      <c r="E143" s="286"/>
      <c r="F143" s="286"/>
      <c r="G143" s="286"/>
      <c r="H143" s="286"/>
      <c r="I143" s="286"/>
      <c r="J143" s="286"/>
      <c r="K143" s="286"/>
      <c r="L143" s="286"/>
      <c r="M143" s="286"/>
      <c r="N143" s="286"/>
      <c r="O143" s="286"/>
      <c r="P143" s="286"/>
      <c r="Q143" s="286"/>
      <c r="R143" s="286"/>
      <c r="S143" s="286"/>
      <c r="T143" s="286"/>
      <c r="U143" s="286"/>
      <c r="V143" s="286"/>
      <c r="W143" s="286"/>
      <c r="X143" s="286"/>
      <c r="Y143" s="286"/>
      <c r="Z143" s="286"/>
      <c r="AA143" s="286"/>
    </row>
    <row r="144" spans="1:27" x14ac:dyDescent="0.25">
      <c r="A144" s="286"/>
      <c r="B144" s="286"/>
      <c r="C144" s="286"/>
      <c r="D144" s="286"/>
      <c r="E144" s="286"/>
      <c r="F144" s="286"/>
      <c r="G144" s="286"/>
      <c r="H144" s="286"/>
      <c r="I144" s="286"/>
      <c r="J144" s="286"/>
      <c r="K144" s="286"/>
      <c r="L144" s="286"/>
      <c r="M144" s="286"/>
      <c r="N144" s="286"/>
      <c r="O144" s="286"/>
      <c r="P144" s="286"/>
      <c r="Q144" s="286"/>
      <c r="R144" s="286"/>
      <c r="S144" s="286"/>
      <c r="T144" s="286"/>
      <c r="U144" s="286"/>
      <c r="V144" s="286"/>
      <c r="W144" s="286"/>
      <c r="X144" s="286"/>
      <c r="Y144" s="286"/>
      <c r="Z144" s="286"/>
      <c r="AA144" s="286"/>
    </row>
    <row r="145" spans="1:27" x14ac:dyDescent="0.25">
      <c r="A145" s="286"/>
      <c r="B145" s="286"/>
      <c r="C145" s="286"/>
      <c r="D145" s="286"/>
      <c r="E145" s="286"/>
      <c r="F145" s="286"/>
      <c r="G145" s="286"/>
      <c r="H145" s="286"/>
      <c r="I145" s="286"/>
      <c r="J145" s="286"/>
      <c r="K145" s="286"/>
      <c r="L145" s="286"/>
      <c r="M145" s="286"/>
      <c r="N145" s="286"/>
      <c r="O145" s="286"/>
      <c r="P145" s="286"/>
      <c r="Q145" s="286"/>
      <c r="R145" s="286"/>
      <c r="S145" s="286"/>
      <c r="T145" s="286"/>
      <c r="U145" s="286"/>
      <c r="V145" s="286"/>
      <c r="W145" s="286"/>
      <c r="X145" s="286"/>
      <c r="Y145" s="286"/>
      <c r="Z145" s="286"/>
      <c r="AA145" s="286"/>
    </row>
    <row r="146" spans="1:27" x14ac:dyDescent="0.25">
      <c r="A146" s="286"/>
      <c r="B146" s="286"/>
      <c r="C146" s="286"/>
      <c r="D146" s="286"/>
      <c r="E146" s="286"/>
      <c r="F146" s="286"/>
      <c r="G146" s="286"/>
      <c r="H146" s="286"/>
      <c r="I146" s="286"/>
      <c r="J146" s="286"/>
      <c r="K146" s="286"/>
      <c r="L146" s="286"/>
      <c r="M146" s="286"/>
      <c r="N146" s="286"/>
      <c r="O146" s="286"/>
      <c r="P146" s="286"/>
      <c r="Q146" s="286"/>
      <c r="R146" s="286"/>
      <c r="S146" s="286"/>
      <c r="T146" s="286"/>
      <c r="U146" s="286"/>
      <c r="V146" s="286"/>
      <c r="W146" s="286"/>
      <c r="X146" s="286"/>
      <c r="Y146" s="286"/>
      <c r="Z146" s="286"/>
      <c r="AA146" s="286"/>
    </row>
    <row r="147" spans="1:27" x14ac:dyDescent="0.25">
      <c r="A147" s="286"/>
      <c r="B147" s="286"/>
      <c r="C147" s="286"/>
      <c r="D147" s="286"/>
      <c r="E147" s="286"/>
      <c r="F147" s="286"/>
      <c r="G147" s="286"/>
      <c r="H147" s="286"/>
      <c r="I147" s="286"/>
      <c r="J147" s="286"/>
      <c r="K147" s="286"/>
      <c r="L147" s="286"/>
      <c r="M147" s="286"/>
      <c r="N147" s="286"/>
      <c r="O147" s="286"/>
      <c r="P147" s="286"/>
      <c r="Q147" s="286"/>
      <c r="R147" s="286"/>
      <c r="S147" s="286"/>
      <c r="T147" s="286"/>
      <c r="U147" s="286"/>
      <c r="V147" s="286"/>
      <c r="W147" s="286"/>
      <c r="X147" s="286"/>
      <c r="Y147" s="286"/>
      <c r="Z147" s="286"/>
      <c r="AA147" s="286"/>
    </row>
    <row r="148" spans="1:27" x14ac:dyDescent="0.25">
      <c r="A148" s="286"/>
      <c r="B148" s="286"/>
      <c r="C148" s="286"/>
      <c r="D148" s="286"/>
      <c r="E148" s="286"/>
      <c r="F148" s="286"/>
      <c r="G148" s="286"/>
      <c r="H148" s="286"/>
      <c r="I148" s="286"/>
      <c r="J148" s="286"/>
      <c r="K148" s="286"/>
      <c r="L148" s="286"/>
      <c r="M148" s="286"/>
      <c r="N148" s="286"/>
      <c r="O148" s="286"/>
      <c r="P148" s="286"/>
      <c r="Q148" s="286"/>
      <c r="R148" s="286"/>
      <c r="S148" s="286"/>
      <c r="T148" s="286"/>
      <c r="U148" s="286"/>
      <c r="V148" s="286"/>
      <c r="W148" s="286"/>
      <c r="X148" s="286"/>
      <c r="Y148" s="286"/>
      <c r="Z148" s="286"/>
      <c r="AA148" s="286"/>
    </row>
    <row r="149" spans="1:27" x14ac:dyDescent="0.25">
      <c r="A149" s="286"/>
      <c r="B149" s="286"/>
      <c r="C149" s="286"/>
      <c r="D149" s="286"/>
      <c r="E149" s="286"/>
      <c r="F149" s="286"/>
      <c r="G149" s="286"/>
      <c r="H149" s="286"/>
      <c r="I149" s="286"/>
      <c r="J149" s="286"/>
      <c r="K149" s="286"/>
      <c r="L149" s="286"/>
      <c r="M149" s="286"/>
      <c r="N149" s="286"/>
      <c r="O149" s="286"/>
      <c r="P149" s="286"/>
      <c r="Q149" s="286"/>
      <c r="R149" s="286"/>
      <c r="S149" s="286"/>
      <c r="T149" s="286"/>
      <c r="U149" s="286"/>
      <c r="V149" s="286"/>
      <c r="W149" s="286"/>
      <c r="X149" s="286"/>
      <c r="Y149" s="286"/>
      <c r="Z149" s="286"/>
      <c r="AA149" s="286"/>
    </row>
    <row r="150" spans="1:27" x14ac:dyDescent="0.25">
      <c r="A150" s="286"/>
      <c r="B150" s="286"/>
      <c r="C150" s="286"/>
      <c r="D150" s="286"/>
      <c r="E150" s="286"/>
      <c r="F150" s="286"/>
      <c r="G150" s="286"/>
      <c r="H150" s="286"/>
      <c r="I150" s="286"/>
      <c r="J150" s="286"/>
      <c r="K150" s="286"/>
      <c r="L150" s="286"/>
      <c r="M150" s="286"/>
      <c r="N150" s="286"/>
      <c r="O150" s="286"/>
      <c r="P150" s="286"/>
      <c r="Q150" s="286"/>
      <c r="R150" s="286"/>
      <c r="S150" s="286"/>
      <c r="T150" s="286"/>
      <c r="U150" s="286"/>
      <c r="V150" s="286"/>
      <c r="W150" s="286"/>
      <c r="X150" s="286"/>
      <c r="Y150" s="286"/>
      <c r="Z150" s="286"/>
      <c r="AA150" s="286"/>
    </row>
    <row r="151" spans="1:27" x14ac:dyDescent="0.25">
      <c r="A151" s="286"/>
      <c r="B151" s="286"/>
      <c r="C151" s="286"/>
      <c r="D151" s="286"/>
      <c r="E151" s="286"/>
      <c r="F151" s="286"/>
      <c r="G151" s="286"/>
      <c r="H151" s="286"/>
      <c r="I151" s="286"/>
      <c r="J151" s="286"/>
      <c r="K151" s="286"/>
      <c r="L151" s="286"/>
      <c r="M151" s="286"/>
      <c r="N151" s="286"/>
      <c r="O151" s="286"/>
      <c r="P151" s="286"/>
      <c r="Q151" s="286"/>
      <c r="R151" s="286"/>
      <c r="S151" s="286"/>
      <c r="T151" s="286"/>
      <c r="U151" s="286"/>
      <c r="V151" s="286"/>
      <c r="W151" s="286"/>
      <c r="X151" s="286"/>
      <c r="Y151" s="286"/>
      <c r="Z151" s="286"/>
      <c r="AA151" s="286"/>
    </row>
    <row r="152" spans="1:27" x14ac:dyDescent="0.25">
      <c r="A152" s="286"/>
      <c r="B152" s="286"/>
      <c r="C152" s="286"/>
      <c r="D152" s="286"/>
      <c r="E152" s="286"/>
      <c r="F152" s="286"/>
      <c r="G152" s="286"/>
      <c r="H152" s="286"/>
      <c r="I152" s="286"/>
      <c r="J152" s="286"/>
      <c r="K152" s="286"/>
      <c r="L152" s="286"/>
      <c r="M152" s="286"/>
      <c r="N152" s="286"/>
      <c r="O152" s="286"/>
      <c r="P152" s="286"/>
      <c r="Q152" s="286"/>
      <c r="R152" s="286"/>
      <c r="S152" s="286"/>
      <c r="T152" s="286"/>
      <c r="U152" s="286"/>
      <c r="V152" s="286"/>
      <c r="W152" s="286"/>
      <c r="X152" s="286"/>
      <c r="Y152" s="286"/>
      <c r="Z152" s="286"/>
      <c r="AA152" s="286"/>
    </row>
    <row r="153" spans="1:27" x14ac:dyDescent="0.25">
      <c r="A153" s="286"/>
      <c r="B153" s="286"/>
      <c r="C153" s="286"/>
      <c r="D153" s="286"/>
      <c r="E153" s="286"/>
      <c r="F153" s="286"/>
      <c r="G153" s="286"/>
      <c r="H153" s="286"/>
      <c r="I153" s="286"/>
      <c r="J153" s="286"/>
      <c r="K153" s="286"/>
      <c r="L153" s="286"/>
      <c r="M153" s="286"/>
      <c r="N153" s="286"/>
      <c r="O153" s="286"/>
      <c r="P153" s="286"/>
      <c r="Q153" s="286"/>
      <c r="R153" s="286"/>
      <c r="S153" s="286"/>
      <c r="T153" s="286"/>
      <c r="U153" s="286"/>
      <c r="V153" s="286"/>
      <c r="W153" s="286"/>
      <c r="X153" s="286"/>
      <c r="Y153" s="286"/>
      <c r="Z153" s="286"/>
      <c r="AA153" s="286"/>
    </row>
    <row r="154" spans="1:27" x14ac:dyDescent="0.25">
      <c r="A154" s="286"/>
      <c r="B154" s="286"/>
      <c r="C154" s="286"/>
      <c r="D154" s="286"/>
      <c r="E154" s="286"/>
      <c r="F154" s="286"/>
      <c r="G154" s="286"/>
      <c r="H154" s="286"/>
      <c r="I154" s="286"/>
      <c r="J154" s="286"/>
      <c r="K154" s="286"/>
      <c r="L154" s="286"/>
      <c r="M154" s="286"/>
      <c r="N154" s="286"/>
      <c r="O154" s="286"/>
      <c r="P154" s="286"/>
      <c r="Q154" s="286"/>
      <c r="R154" s="286"/>
      <c r="S154" s="286"/>
      <c r="T154" s="286"/>
      <c r="U154" s="286"/>
      <c r="V154" s="286"/>
      <c r="W154" s="286"/>
      <c r="X154" s="286"/>
      <c r="Y154" s="286"/>
      <c r="Z154" s="286"/>
      <c r="AA154" s="286"/>
    </row>
    <row r="155" spans="1:27" x14ac:dyDescent="0.25">
      <c r="A155" s="286"/>
      <c r="B155" s="286"/>
      <c r="C155" s="286"/>
      <c r="D155" s="286"/>
      <c r="E155" s="286"/>
      <c r="F155" s="286"/>
      <c r="G155" s="286"/>
      <c r="H155" s="286"/>
      <c r="I155" s="286"/>
      <c r="J155" s="286"/>
      <c r="K155" s="286"/>
      <c r="L155" s="286"/>
      <c r="M155" s="286"/>
      <c r="N155" s="286"/>
      <c r="O155" s="286"/>
      <c r="P155" s="286"/>
      <c r="Q155" s="286"/>
      <c r="R155" s="286"/>
      <c r="S155" s="286"/>
      <c r="T155" s="286"/>
      <c r="U155" s="286"/>
      <c r="V155" s="286"/>
      <c r="W155" s="286"/>
      <c r="X155" s="286"/>
      <c r="Y155" s="286"/>
      <c r="Z155" s="286"/>
      <c r="AA155" s="286"/>
    </row>
    <row r="156" spans="1:27" x14ac:dyDescent="0.25">
      <c r="A156" s="286"/>
      <c r="B156" s="286"/>
      <c r="C156" s="286"/>
      <c r="D156" s="286"/>
      <c r="E156" s="286"/>
      <c r="F156" s="286"/>
      <c r="G156" s="286"/>
      <c r="H156" s="286"/>
      <c r="I156" s="286"/>
      <c r="J156" s="286"/>
      <c r="K156" s="286"/>
      <c r="L156" s="286"/>
      <c r="M156" s="286"/>
      <c r="N156" s="286"/>
      <c r="O156" s="286"/>
      <c r="P156" s="286"/>
      <c r="Q156" s="286"/>
      <c r="R156" s="286"/>
      <c r="S156" s="286"/>
      <c r="T156" s="286"/>
      <c r="U156" s="286"/>
      <c r="V156" s="286"/>
      <c r="W156" s="286"/>
      <c r="X156" s="286"/>
      <c r="Y156" s="286"/>
      <c r="Z156" s="286"/>
      <c r="AA156" s="286"/>
    </row>
    <row r="157" spans="1:27" x14ac:dyDescent="0.25">
      <c r="A157" s="286"/>
      <c r="B157" s="286"/>
      <c r="C157" s="286"/>
      <c r="D157" s="286"/>
      <c r="E157" s="286"/>
      <c r="F157" s="286"/>
      <c r="G157" s="286"/>
      <c r="H157" s="286"/>
      <c r="I157" s="286"/>
      <c r="J157" s="286"/>
      <c r="K157" s="286"/>
      <c r="L157" s="286"/>
      <c r="M157" s="286"/>
      <c r="N157" s="286"/>
      <c r="O157" s="286"/>
      <c r="P157" s="286"/>
      <c r="Q157" s="286"/>
      <c r="R157" s="286"/>
      <c r="S157" s="286"/>
      <c r="T157" s="286"/>
      <c r="U157" s="286"/>
      <c r="V157" s="286"/>
      <c r="W157" s="286"/>
      <c r="X157" s="286"/>
      <c r="Y157" s="286"/>
      <c r="Z157" s="286"/>
      <c r="AA157" s="286"/>
    </row>
    <row r="158" spans="1:27" x14ac:dyDescent="0.25">
      <c r="A158" s="286"/>
      <c r="B158" s="286"/>
      <c r="C158" s="286"/>
      <c r="D158" s="286"/>
      <c r="E158" s="286"/>
      <c r="F158" s="286"/>
      <c r="G158" s="286"/>
      <c r="H158" s="286"/>
      <c r="I158" s="286"/>
      <c r="J158" s="286"/>
      <c r="K158" s="286"/>
      <c r="L158" s="286"/>
      <c r="M158" s="286"/>
      <c r="N158" s="286"/>
      <c r="O158" s="286"/>
      <c r="P158" s="286"/>
      <c r="Q158" s="286"/>
      <c r="R158" s="286"/>
      <c r="S158" s="286"/>
      <c r="T158" s="286"/>
      <c r="U158" s="286"/>
      <c r="V158" s="286"/>
      <c r="W158" s="286"/>
      <c r="X158" s="286"/>
      <c r="Y158" s="286"/>
      <c r="Z158" s="286"/>
      <c r="AA158" s="286"/>
    </row>
    <row r="159" spans="1:27" x14ac:dyDescent="0.25">
      <c r="A159" s="286"/>
      <c r="B159" s="286"/>
      <c r="C159" s="286"/>
      <c r="D159" s="286"/>
      <c r="E159" s="286"/>
      <c r="F159" s="286"/>
      <c r="G159" s="286"/>
      <c r="H159" s="286"/>
      <c r="I159" s="286"/>
      <c r="J159" s="286"/>
      <c r="K159" s="286"/>
      <c r="L159" s="286"/>
      <c r="M159" s="286"/>
      <c r="N159" s="286"/>
      <c r="O159" s="286"/>
      <c r="P159" s="286"/>
      <c r="Q159" s="286"/>
      <c r="R159" s="286"/>
      <c r="S159" s="286"/>
      <c r="T159" s="286"/>
      <c r="U159" s="286"/>
      <c r="V159" s="286"/>
      <c r="W159" s="286"/>
      <c r="X159" s="286"/>
      <c r="Y159" s="286"/>
      <c r="Z159" s="286"/>
      <c r="AA159" s="286"/>
    </row>
    <row r="160" spans="1:27" x14ac:dyDescent="0.25">
      <c r="A160" s="286"/>
      <c r="B160" s="286"/>
      <c r="C160" s="286"/>
      <c r="D160" s="286"/>
      <c r="E160" s="286"/>
      <c r="F160" s="286"/>
      <c r="G160" s="286"/>
      <c r="H160" s="286"/>
      <c r="I160" s="286"/>
      <c r="J160" s="286"/>
      <c r="K160" s="286"/>
      <c r="L160" s="286"/>
      <c r="M160" s="286"/>
      <c r="N160" s="286"/>
      <c r="O160" s="286"/>
      <c r="P160" s="286"/>
      <c r="Q160" s="286"/>
      <c r="R160" s="286"/>
      <c r="S160" s="286"/>
      <c r="T160" s="286"/>
      <c r="U160" s="286"/>
      <c r="V160" s="286"/>
      <c r="W160" s="286"/>
      <c r="X160" s="286"/>
      <c r="Y160" s="286"/>
      <c r="Z160" s="286"/>
      <c r="AA160" s="286"/>
    </row>
    <row r="161" spans="1:27" x14ac:dyDescent="0.25">
      <c r="A161" s="286"/>
      <c r="B161" s="286"/>
      <c r="C161" s="286"/>
      <c r="D161" s="286"/>
      <c r="E161" s="286"/>
      <c r="F161" s="286"/>
      <c r="G161" s="286"/>
      <c r="H161" s="286"/>
      <c r="I161" s="286"/>
      <c r="J161" s="286"/>
      <c r="K161" s="286"/>
      <c r="L161" s="286"/>
      <c r="M161" s="286"/>
      <c r="N161" s="286"/>
      <c r="O161" s="286"/>
      <c r="P161" s="286"/>
      <c r="Q161" s="286"/>
      <c r="R161" s="286"/>
      <c r="S161" s="286"/>
      <c r="T161" s="286"/>
      <c r="U161" s="286"/>
      <c r="V161" s="286"/>
      <c r="W161" s="286"/>
      <c r="X161" s="286"/>
      <c r="Y161" s="286"/>
      <c r="Z161" s="286"/>
      <c r="AA161" s="286"/>
    </row>
    <row r="162" spans="1:27" x14ac:dyDescent="0.25">
      <c r="A162" s="286"/>
      <c r="B162" s="286"/>
      <c r="C162" s="286"/>
      <c r="D162" s="286"/>
      <c r="E162" s="286"/>
      <c r="F162" s="286"/>
      <c r="G162" s="286"/>
      <c r="H162" s="286"/>
      <c r="I162" s="286"/>
      <c r="J162" s="286"/>
      <c r="K162" s="286"/>
      <c r="L162" s="286"/>
      <c r="M162" s="286"/>
      <c r="N162" s="286"/>
      <c r="O162" s="286"/>
      <c r="P162" s="286"/>
      <c r="Q162" s="286"/>
      <c r="R162" s="286"/>
      <c r="S162" s="286"/>
      <c r="T162" s="286"/>
      <c r="U162" s="286"/>
      <c r="V162" s="286"/>
      <c r="W162" s="286"/>
      <c r="X162" s="286"/>
      <c r="Y162" s="286"/>
      <c r="Z162" s="286"/>
      <c r="AA162" s="286"/>
    </row>
    <row r="163" spans="1:27" x14ac:dyDescent="0.25">
      <c r="A163" s="286"/>
      <c r="B163" s="286"/>
      <c r="C163" s="286"/>
      <c r="D163" s="286"/>
      <c r="E163" s="286"/>
      <c r="F163" s="286"/>
      <c r="G163" s="286"/>
      <c r="H163" s="286"/>
      <c r="I163" s="286"/>
      <c r="J163" s="286"/>
      <c r="K163" s="286"/>
      <c r="L163" s="286"/>
      <c r="M163" s="286"/>
      <c r="N163" s="286"/>
      <c r="O163" s="286"/>
      <c r="P163" s="286"/>
      <c r="Q163" s="286"/>
      <c r="R163" s="286"/>
      <c r="S163" s="286"/>
      <c r="T163" s="286"/>
      <c r="U163" s="286"/>
      <c r="V163" s="286"/>
      <c r="W163" s="286"/>
      <c r="X163" s="286"/>
      <c r="Y163" s="286"/>
      <c r="Z163" s="286"/>
      <c r="AA163" s="286"/>
    </row>
    <row r="164" spans="1:27" x14ac:dyDescent="0.25">
      <c r="A164" s="286"/>
      <c r="B164" s="286"/>
      <c r="C164" s="286"/>
      <c r="D164" s="286"/>
      <c r="E164" s="286"/>
      <c r="F164" s="286"/>
      <c r="G164" s="286"/>
      <c r="H164" s="286"/>
      <c r="I164" s="286"/>
      <c r="J164" s="286"/>
      <c r="K164" s="286"/>
      <c r="L164" s="286"/>
      <c r="M164" s="286"/>
      <c r="N164" s="286"/>
      <c r="O164" s="286"/>
      <c r="P164" s="286"/>
      <c r="Q164" s="286"/>
      <c r="R164" s="286"/>
      <c r="S164" s="286"/>
      <c r="T164" s="286"/>
      <c r="U164" s="286"/>
      <c r="V164" s="286"/>
      <c r="W164" s="286"/>
      <c r="X164" s="286"/>
      <c r="Y164" s="286"/>
      <c r="Z164" s="286"/>
      <c r="AA164" s="286"/>
    </row>
    <row r="165" spans="1:27" x14ac:dyDescent="0.25">
      <c r="A165" s="286"/>
      <c r="B165" s="286"/>
      <c r="C165" s="286"/>
      <c r="D165" s="286"/>
      <c r="E165" s="286"/>
      <c r="F165" s="286"/>
      <c r="G165" s="286"/>
      <c r="H165" s="286"/>
      <c r="I165" s="286"/>
      <c r="J165" s="286"/>
      <c r="K165" s="286"/>
      <c r="L165" s="286"/>
      <c r="M165" s="286"/>
      <c r="N165" s="286"/>
      <c r="O165" s="286"/>
      <c r="P165" s="286"/>
      <c r="Q165" s="286"/>
      <c r="R165" s="286"/>
      <c r="S165" s="286"/>
      <c r="T165" s="286"/>
      <c r="U165" s="286"/>
      <c r="V165" s="286"/>
      <c r="W165" s="286"/>
      <c r="X165" s="286"/>
      <c r="Y165" s="286"/>
      <c r="Z165" s="286"/>
      <c r="AA165" s="286"/>
    </row>
    <row r="166" spans="1:27" x14ac:dyDescent="0.25">
      <c r="A166" s="286"/>
      <c r="B166" s="286"/>
      <c r="C166" s="286"/>
      <c r="D166" s="286"/>
      <c r="E166" s="286"/>
      <c r="F166" s="286"/>
      <c r="G166" s="286"/>
      <c r="H166" s="286"/>
      <c r="I166" s="286"/>
      <c r="J166" s="286"/>
      <c r="K166" s="286"/>
      <c r="L166" s="286"/>
      <c r="M166" s="286"/>
      <c r="N166" s="286"/>
      <c r="O166" s="286"/>
      <c r="P166" s="286"/>
      <c r="Q166" s="286"/>
      <c r="R166" s="286"/>
      <c r="S166" s="286"/>
      <c r="T166" s="286"/>
      <c r="U166" s="286"/>
      <c r="V166" s="286"/>
      <c r="W166" s="286"/>
      <c r="X166" s="286"/>
      <c r="Y166" s="286"/>
      <c r="Z166" s="286"/>
      <c r="AA166" s="286"/>
    </row>
    <row r="167" spans="1:27" x14ac:dyDescent="0.25">
      <c r="A167" s="286"/>
      <c r="B167" s="286"/>
      <c r="C167" s="286"/>
      <c r="D167" s="286"/>
      <c r="E167" s="286"/>
      <c r="F167" s="286"/>
      <c r="G167" s="286"/>
      <c r="H167" s="286"/>
      <c r="I167" s="286"/>
      <c r="J167" s="286"/>
      <c r="K167" s="286"/>
      <c r="L167" s="286"/>
      <c r="M167" s="286"/>
      <c r="N167" s="286"/>
      <c r="O167" s="286"/>
      <c r="P167" s="286"/>
      <c r="Q167" s="286"/>
      <c r="R167" s="286"/>
      <c r="S167" s="286"/>
      <c r="T167" s="286"/>
      <c r="U167" s="286"/>
      <c r="V167" s="286"/>
      <c r="W167" s="286"/>
      <c r="X167" s="286"/>
      <c r="Y167" s="286"/>
      <c r="Z167" s="286"/>
      <c r="AA167" s="286"/>
    </row>
    <row r="168" spans="1:27" x14ac:dyDescent="0.25">
      <c r="A168" s="286"/>
      <c r="B168" s="286"/>
      <c r="C168" s="286"/>
      <c r="D168" s="286"/>
      <c r="E168" s="286"/>
      <c r="F168" s="286"/>
      <c r="G168" s="286"/>
      <c r="H168" s="286"/>
      <c r="I168" s="286"/>
      <c r="J168" s="286"/>
      <c r="K168" s="286"/>
      <c r="L168" s="286"/>
      <c r="M168" s="286"/>
      <c r="N168" s="286"/>
      <c r="O168" s="286"/>
      <c r="P168" s="286"/>
      <c r="Q168" s="286"/>
      <c r="R168" s="286"/>
      <c r="S168" s="286"/>
      <c r="T168" s="286"/>
      <c r="U168" s="286"/>
      <c r="V168" s="286"/>
      <c r="W168" s="286"/>
      <c r="X168" s="286"/>
      <c r="Y168" s="286"/>
      <c r="Z168" s="286"/>
      <c r="AA168" s="286"/>
    </row>
    <row r="169" spans="1:27" x14ac:dyDescent="0.25">
      <c r="A169" s="286"/>
      <c r="B169" s="286"/>
      <c r="C169" s="286"/>
      <c r="D169" s="286"/>
      <c r="E169" s="286"/>
      <c r="F169" s="286"/>
      <c r="G169" s="286"/>
      <c r="H169" s="286"/>
      <c r="I169" s="286"/>
      <c r="J169" s="286"/>
      <c r="K169" s="286"/>
      <c r="L169" s="286"/>
      <c r="M169" s="286"/>
      <c r="N169" s="286"/>
      <c r="O169" s="286"/>
      <c r="P169" s="286"/>
      <c r="Q169" s="286"/>
      <c r="R169" s="286"/>
      <c r="S169" s="286"/>
      <c r="T169" s="286"/>
      <c r="U169" s="286"/>
      <c r="V169" s="286"/>
      <c r="W169" s="286"/>
      <c r="X169" s="286"/>
      <c r="Y169" s="286"/>
      <c r="Z169" s="286"/>
      <c r="AA169" s="286"/>
    </row>
    <row r="170" spans="1:27" x14ac:dyDescent="0.25">
      <c r="A170" s="286"/>
      <c r="B170" s="286"/>
      <c r="C170" s="286"/>
      <c r="D170" s="286"/>
      <c r="E170" s="286"/>
      <c r="F170" s="286"/>
      <c r="G170" s="286"/>
      <c r="H170" s="286"/>
      <c r="I170" s="286"/>
      <c r="J170" s="286"/>
      <c r="K170" s="286"/>
      <c r="L170" s="286"/>
      <c r="M170" s="286"/>
      <c r="N170" s="286"/>
      <c r="O170" s="286"/>
      <c r="P170" s="286"/>
      <c r="Q170" s="286"/>
      <c r="R170" s="286"/>
      <c r="S170" s="286"/>
      <c r="T170" s="286"/>
      <c r="U170" s="286"/>
      <c r="V170" s="286"/>
      <c r="W170" s="286"/>
      <c r="X170" s="286"/>
      <c r="Y170" s="286"/>
      <c r="Z170" s="286"/>
      <c r="AA170" s="286"/>
    </row>
    <row r="171" spans="1:27" x14ac:dyDescent="0.25">
      <c r="A171" s="286"/>
      <c r="B171" s="286"/>
      <c r="C171" s="286"/>
      <c r="D171" s="286"/>
      <c r="E171" s="286"/>
      <c r="F171" s="286"/>
      <c r="G171" s="286"/>
      <c r="H171" s="286"/>
      <c r="I171" s="286"/>
      <c r="J171" s="286"/>
      <c r="K171" s="286"/>
      <c r="L171" s="286"/>
      <c r="M171" s="286"/>
      <c r="N171" s="286"/>
      <c r="O171" s="286"/>
      <c r="P171" s="286"/>
      <c r="Q171" s="286"/>
      <c r="R171" s="286"/>
      <c r="S171" s="286"/>
      <c r="T171" s="286"/>
      <c r="U171" s="286"/>
      <c r="V171" s="286"/>
      <c r="W171" s="286"/>
      <c r="X171" s="286"/>
      <c r="Y171" s="286"/>
      <c r="Z171" s="286"/>
      <c r="AA171" s="286"/>
    </row>
    <row r="172" spans="1:27" x14ac:dyDescent="0.25">
      <c r="A172" s="286"/>
      <c r="B172" s="286"/>
      <c r="C172" s="286"/>
      <c r="D172" s="286"/>
      <c r="E172" s="286"/>
      <c r="F172" s="286"/>
      <c r="G172" s="286"/>
      <c r="H172" s="286"/>
      <c r="I172" s="286"/>
      <c r="J172" s="286"/>
      <c r="K172" s="286"/>
      <c r="L172" s="286"/>
      <c r="M172" s="286"/>
      <c r="N172" s="286"/>
      <c r="O172" s="286"/>
      <c r="P172" s="286"/>
      <c r="Q172" s="286"/>
      <c r="R172" s="286"/>
      <c r="S172" s="286"/>
      <c r="T172" s="286"/>
      <c r="U172" s="286"/>
      <c r="V172" s="286"/>
      <c r="W172" s="286"/>
      <c r="X172" s="286"/>
      <c r="Y172" s="286"/>
      <c r="Z172" s="286"/>
      <c r="AA172" s="286"/>
    </row>
    <row r="173" spans="1:27" x14ac:dyDescent="0.25">
      <c r="A173" s="286"/>
      <c r="B173" s="286"/>
      <c r="C173" s="286"/>
      <c r="D173" s="286"/>
      <c r="E173" s="286"/>
      <c r="F173" s="286"/>
      <c r="G173" s="286"/>
      <c r="H173" s="286"/>
      <c r="I173" s="286"/>
      <c r="J173" s="286"/>
      <c r="K173" s="286"/>
      <c r="L173" s="286"/>
      <c r="M173" s="286"/>
      <c r="N173" s="286"/>
      <c r="O173" s="286"/>
      <c r="P173" s="286"/>
      <c r="Q173" s="286"/>
      <c r="R173" s="286"/>
      <c r="S173" s="286"/>
      <c r="T173" s="286"/>
      <c r="U173" s="286"/>
      <c r="V173" s="286"/>
      <c r="W173" s="286"/>
      <c r="X173" s="286"/>
      <c r="Y173" s="286"/>
      <c r="Z173" s="286"/>
      <c r="AA173" s="286"/>
    </row>
    <row r="174" spans="1:27" x14ac:dyDescent="0.25">
      <c r="A174" s="286"/>
      <c r="B174" s="286"/>
      <c r="C174" s="286"/>
      <c r="D174" s="286"/>
      <c r="E174" s="286"/>
      <c r="F174" s="286"/>
      <c r="G174" s="286"/>
      <c r="H174" s="286"/>
      <c r="I174" s="286"/>
      <c r="J174" s="286"/>
      <c r="K174" s="286"/>
      <c r="L174" s="286"/>
      <c r="M174" s="286"/>
      <c r="N174" s="286"/>
      <c r="O174" s="286"/>
      <c r="P174" s="286"/>
      <c r="Q174" s="286"/>
      <c r="R174" s="286"/>
      <c r="S174" s="286"/>
      <c r="T174" s="286"/>
      <c r="U174" s="286"/>
      <c r="V174" s="286"/>
      <c r="W174" s="286"/>
      <c r="X174" s="286"/>
      <c r="Y174" s="286"/>
      <c r="Z174" s="286"/>
      <c r="AA174" s="286"/>
    </row>
    <row r="175" spans="1:27" x14ac:dyDescent="0.25">
      <c r="A175" s="286"/>
      <c r="B175" s="286"/>
      <c r="C175" s="286"/>
      <c r="D175" s="286"/>
      <c r="E175" s="286"/>
      <c r="F175" s="286"/>
      <c r="G175" s="286"/>
      <c r="H175" s="286"/>
      <c r="I175" s="286"/>
      <c r="J175" s="286"/>
      <c r="K175" s="286"/>
      <c r="L175" s="286"/>
      <c r="M175" s="286"/>
      <c r="N175" s="286"/>
      <c r="O175" s="286"/>
      <c r="P175" s="286"/>
      <c r="Q175" s="286"/>
      <c r="R175" s="286"/>
      <c r="S175" s="286"/>
      <c r="T175" s="286"/>
      <c r="U175" s="286"/>
      <c r="V175" s="286"/>
      <c r="W175" s="286"/>
      <c r="X175" s="286"/>
      <c r="Y175" s="286"/>
      <c r="Z175" s="286"/>
      <c r="AA175" s="286"/>
    </row>
    <row r="176" spans="1:27" x14ac:dyDescent="0.25">
      <c r="A176" s="286"/>
      <c r="B176" s="286"/>
      <c r="C176" s="286"/>
      <c r="D176" s="286"/>
      <c r="E176" s="286"/>
      <c r="F176" s="286"/>
      <c r="G176" s="286"/>
      <c r="H176" s="286"/>
      <c r="I176" s="286"/>
      <c r="J176" s="286"/>
      <c r="K176" s="286"/>
      <c r="L176" s="286"/>
      <c r="M176" s="286"/>
      <c r="N176" s="286"/>
      <c r="O176" s="286"/>
      <c r="P176" s="286"/>
      <c r="Q176" s="286"/>
      <c r="R176" s="286"/>
      <c r="S176" s="286"/>
      <c r="T176" s="286"/>
      <c r="U176" s="286"/>
      <c r="V176" s="286"/>
      <c r="W176" s="286"/>
      <c r="X176" s="286"/>
      <c r="Y176" s="286"/>
      <c r="Z176" s="286"/>
      <c r="AA176" s="286"/>
    </row>
    <row r="177" spans="1:27" x14ac:dyDescent="0.25">
      <c r="A177" s="286"/>
      <c r="B177" s="286"/>
      <c r="C177" s="286"/>
      <c r="D177" s="286"/>
      <c r="E177" s="286"/>
      <c r="F177" s="286"/>
      <c r="G177" s="286"/>
      <c r="H177" s="286"/>
      <c r="I177" s="286"/>
      <c r="J177" s="286"/>
      <c r="K177" s="286"/>
      <c r="L177" s="286"/>
      <c r="M177" s="286"/>
      <c r="N177" s="286"/>
      <c r="O177" s="286"/>
      <c r="P177" s="286"/>
      <c r="Q177" s="286"/>
      <c r="R177" s="286"/>
      <c r="S177" s="286"/>
      <c r="T177" s="286"/>
      <c r="U177" s="286"/>
      <c r="V177" s="286"/>
      <c r="W177" s="286"/>
      <c r="X177" s="286"/>
      <c r="Y177" s="286"/>
      <c r="Z177" s="286"/>
      <c r="AA177" s="286"/>
    </row>
    <row r="178" spans="1:27" x14ac:dyDescent="0.25">
      <c r="A178" s="286"/>
      <c r="B178" s="286"/>
      <c r="C178" s="286"/>
      <c r="D178" s="286"/>
      <c r="E178" s="286"/>
      <c r="F178" s="286"/>
      <c r="G178" s="286"/>
      <c r="H178" s="286"/>
      <c r="I178" s="286"/>
      <c r="J178" s="286"/>
      <c r="K178" s="286"/>
      <c r="L178" s="286"/>
      <c r="M178" s="286"/>
      <c r="N178" s="286"/>
      <c r="O178" s="286"/>
      <c r="P178" s="286"/>
      <c r="Q178" s="286"/>
      <c r="R178" s="286"/>
      <c r="S178" s="286"/>
      <c r="T178" s="286"/>
      <c r="U178" s="286"/>
      <c r="V178" s="286"/>
      <c r="W178" s="286"/>
      <c r="X178" s="286"/>
      <c r="Y178" s="286"/>
      <c r="Z178" s="286"/>
      <c r="AA178" s="286"/>
    </row>
    <row r="179" spans="1:27" x14ac:dyDescent="0.25">
      <c r="A179" s="286"/>
      <c r="B179" s="286"/>
      <c r="C179" s="286"/>
      <c r="D179" s="286"/>
      <c r="E179" s="286"/>
      <c r="F179" s="286"/>
      <c r="G179" s="286"/>
      <c r="H179" s="286"/>
      <c r="I179" s="286"/>
      <c r="J179" s="286"/>
      <c r="K179" s="286"/>
      <c r="L179" s="286"/>
      <c r="M179" s="286"/>
      <c r="N179" s="286"/>
      <c r="O179" s="286"/>
      <c r="P179" s="286"/>
      <c r="Q179" s="286"/>
      <c r="R179" s="286"/>
      <c r="S179" s="286"/>
      <c r="T179" s="286"/>
      <c r="U179" s="286"/>
      <c r="V179" s="286"/>
      <c r="W179" s="286"/>
      <c r="X179" s="286"/>
      <c r="Y179" s="286"/>
      <c r="Z179" s="286"/>
      <c r="AA179" s="286"/>
    </row>
    <row r="180" spans="1:27" x14ac:dyDescent="0.25">
      <c r="A180" s="286"/>
      <c r="B180" s="286"/>
      <c r="C180" s="286"/>
      <c r="D180" s="286"/>
      <c r="E180" s="286"/>
      <c r="F180" s="286"/>
      <c r="G180" s="286"/>
      <c r="H180" s="286"/>
      <c r="I180" s="286"/>
      <c r="J180" s="286"/>
      <c r="K180" s="286"/>
      <c r="L180" s="286"/>
      <c r="M180" s="286"/>
      <c r="N180" s="286"/>
      <c r="O180" s="286"/>
      <c r="P180" s="286"/>
      <c r="Q180" s="286"/>
      <c r="R180" s="286"/>
      <c r="S180" s="286"/>
      <c r="T180" s="286"/>
      <c r="U180" s="286"/>
      <c r="V180" s="286"/>
      <c r="W180" s="286"/>
      <c r="X180" s="286"/>
      <c r="Y180" s="286"/>
      <c r="Z180" s="286"/>
      <c r="AA180" s="286"/>
    </row>
    <row r="181" spans="1:27" x14ac:dyDescent="0.25">
      <c r="A181" s="286"/>
      <c r="B181" s="286"/>
      <c r="C181" s="286"/>
      <c r="D181" s="286"/>
      <c r="E181" s="286"/>
      <c r="F181" s="286"/>
      <c r="G181" s="286"/>
      <c r="H181" s="286"/>
      <c r="I181" s="286"/>
      <c r="J181" s="286"/>
      <c r="K181" s="286"/>
      <c r="L181" s="286"/>
      <c r="M181" s="286"/>
      <c r="N181" s="286"/>
      <c r="O181" s="286"/>
      <c r="P181" s="286"/>
      <c r="Q181" s="286"/>
      <c r="R181" s="286"/>
      <c r="S181" s="286"/>
      <c r="T181" s="286"/>
      <c r="U181" s="286"/>
      <c r="V181" s="286"/>
      <c r="W181" s="286"/>
      <c r="X181" s="286"/>
      <c r="Y181" s="286"/>
      <c r="Z181" s="286"/>
      <c r="AA181" s="286"/>
    </row>
    <row r="182" spans="1:27" x14ac:dyDescent="0.25">
      <c r="A182" s="286"/>
      <c r="B182" s="286"/>
      <c r="C182" s="286"/>
      <c r="D182" s="286"/>
      <c r="E182" s="286"/>
      <c r="F182" s="286"/>
      <c r="G182" s="286"/>
      <c r="H182" s="286"/>
      <c r="I182" s="286"/>
      <c r="J182" s="286"/>
      <c r="K182" s="286"/>
      <c r="L182" s="286"/>
      <c r="M182" s="286"/>
      <c r="N182" s="286"/>
      <c r="O182" s="286"/>
      <c r="P182" s="286"/>
      <c r="Q182" s="286"/>
      <c r="R182" s="286"/>
      <c r="S182" s="286"/>
      <c r="T182" s="286"/>
      <c r="U182" s="286"/>
      <c r="V182" s="286"/>
      <c r="W182" s="286"/>
      <c r="X182" s="286"/>
      <c r="Y182" s="286"/>
      <c r="Z182" s="286"/>
      <c r="AA182" s="286"/>
    </row>
    <row r="183" spans="1:27" x14ac:dyDescent="0.25">
      <c r="A183" s="286"/>
      <c r="B183" s="286"/>
      <c r="C183" s="286"/>
      <c r="D183" s="286"/>
      <c r="E183" s="286"/>
      <c r="F183" s="286"/>
      <c r="G183" s="286"/>
      <c r="H183" s="286"/>
      <c r="I183" s="286"/>
      <c r="J183" s="286"/>
      <c r="K183" s="286"/>
      <c r="L183" s="286"/>
      <c r="M183" s="286"/>
      <c r="N183" s="286"/>
      <c r="O183" s="286"/>
      <c r="P183" s="286"/>
      <c r="Q183" s="286"/>
      <c r="R183" s="286"/>
      <c r="S183" s="286"/>
      <c r="T183" s="286"/>
      <c r="U183" s="286"/>
      <c r="V183" s="286"/>
      <c r="W183" s="286"/>
      <c r="X183" s="286"/>
      <c r="Y183" s="286"/>
      <c r="Z183" s="286"/>
      <c r="AA183" s="286"/>
    </row>
    <row r="184" spans="1:27" x14ac:dyDescent="0.25">
      <c r="A184" s="286"/>
      <c r="B184" s="286"/>
      <c r="C184" s="286"/>
      <c r="D184" s="286"/>
      <c r="E184" s="286"/>
      <c r="F184" s="286"/>
      <c r="G184" s="286"/>
      <c r="H184" s="286"/>
      <c r="I184" s="286"/>
      <c r="J184" s="286"/>
      <c r="K184" s="286"/>
      <c r="L184" s="286"/>
      <c r="M184" s="286"/>
      <c r="N184" s="286"/>
      <c r="O184" s="286"/>
      <c r="P184" s="286"/>
      <c r="Q184" s="286"/>
      <c r="R184" s="286"/>
      <c r="S184" s="286"/>
      <c r="T184" s="286"/>
      <c r="U184" s="286"/>
      <c r="V184" s="286"/>
      <c r="W184" s="286"/>
      <c r="X184" s="286"/>
      <c r="Y184" s="286"/>
      <c r="Z184" s="286"/>
      <c r="AA184" s="286"/>
    </row>
    <row r="185" spans="1:27" x14ac:dyDescent="0.25">
      <c r="A185" s="286"/>
      <c r="B185" s="286"/>
      <c r="C185" s="286"/>
      <c r="D185" s="286"/>
      <c r="E185" s="286"/>
      <c r="F185" s="286"/>
      <c r="G185" s="286"/>
      <c r="H185" s="286"/>
      <c r="I185" s="286"/>
      <c r="J185" s="286"/>
      <c r="K185" s="286"/>
      <c r="L185" s="286"/>
      <c r="M185" s="286"/>
      <c r="N185" s="286"/>
      <c r="O185" s="286"/>
      <c r="P185" s="286"/>
      <c r="Q185" s="286"/>
      <c r="R185" s="286"/>
      <c r="S185" s="286"/>
      <c r="T185" s="286"/>
      <c r="U185" s="286"/>
      <c r="V185" s="286"/>
      <c r="W185" s="286"/>
      <c r="X185" s="286"/>
      <c r="Y185" s="286"/>
      <c r="Z185" s="286"/>
      <c r="AA185" s="286"/>
    </row>
    <row r="186" spans="1:27" x14ac:dyDescent="0.25">
      <c r="A186" s="286"/>
      <c r="B186" s="286"/>
      <c r="C186" s="286"/>
      <c r="D186" s="286"/>
      <c r="E186" s="286"/>
      <c r="F186" s="286"/>
      <c r="G186" s="286"/>
      <c r="H186" s="286"/>
      <c r="I186" s="286"/>
      <c r="J186" s="286"/>
      <c r="K186" s="286"/>
      <c r="L186" s="286"/>
      <c r="M186" s="286"/>
      <c r="N186" s="286"/>
      <c r="O186" s="286"/>
      <c r="P186" s="286"/>
      <c r="Q186" s="286"/>
      <c r="R186" s="286"/>
      <c r="S186" s="286"/>
      <c r="T186" s="286"/>
      <c r="U186" s="286"/>
      <c r="V186" s="286"/>
      <c r="W186" s="286"/>
      <c r="X186" s="286"/>
      <c r="Y186" s="286"/>
      <c r="Z186" s="286"/>
      <c r="AA186" s="286"/>
    </row>
    <row r="187" spans="1:27" x14ac:dyDescent="0.25">
      <c r="A187" s="286"/>
      <c r="B187" s="286"/>
      <c r="C187" s="286"/>
      <c r="D187" s="286"/>
      <c r="E187" s="286"/>
      <c r="F187" s="286"/>
      <c r="G187" s="286"/>
      <c r="H187" s="286"/>
      <c r="I187" s="286"/>
      <c r="J187" s="286"/>
      <c r="K187" s="286"/>
      <c r="L187" s="286"/>
      <c r="M187" s="286"/>
      <c r="N187" s="286"/>
      <c r="O187" s="286"/>
      <c r="P187" s="286"/>
      <c r="Q187" s="286"/>
      <c r="R187" s="286"/>
      <c r="S187" s="286"/>
      <c r="T187" s="286"/>
      <c r="U187" s="286"/>
      <c r="V187" s="286"/>
      <c r="W187" s="286"/>
      <c r="X187" s="286"/>
      <c r="Y187" s="286"/>
      <c r="Z187" s="286"/>
      <c r="AA187" s="286"/>
    </row>
    <row r="188" spans="1:27" x14ac:dyDescent="0.25">
      <c r="A188" s="286"/>
      <c r="B188" s="286"/>
      <c r="C188" s="286"/>
      <c r="D188" s="286"/>
      <c r="E188" s="286"/>
      <c r="F188" s="286"/>
      <c r="G188" s="286"/>
      <c r="H188" s="286"/>
      <c r="I188" s="286"/>
      <c r="J188" s="286"/>
      <c r="K188" s="286"/>
      <c r="L188" s="286"/>
      <c r="M188" s="286"/>
      <c r="N188" s="286"/>
      <c r="O188" s="286"/>
      <c r="P188" s="286"/>
      <c r="Q188" s="286"/>
      <c r="R188" s="286"/>
      <c r="S188" s="286"/>
      <c r="T188" s="286"/>
      <c r="U188" s="286"/>
      <c r="V188" s="286"/>
      <c r="W188" s="286"/>
      <c r="X188" s="286"/>
      <c r="Y188" s="286"/>
      <c r="Z188" s="286"/>
      <c r="AA188" s="286"/>
    </row>
    <row r="189" spans="1:27" x14ac:dyDescent="0.25">
      <c r="A189" s="286"/>
      <c r="B189" s="286"/>
      <c r="C189" s="286"/>
      <c r="D189" s="286"/>
      <c r="E189" s="286"/>
      <c r="F189" s="286"/>
      <c r="G189" s="286"/>
      <c r="H189" s="286"/>
      <c r="I189" s="286"/>
      <c r="J189" s="286"/>
      <c r="K189" s="286"/>
      <c r="L189" s="286"/>
      <c r="M189" s="286"/>
      <c r="N189" s="286"/>
      <c r="O189" s="286"/>
      <c r="P189" s="286"/>
      <c r="Q189" s="286"/>
      <c r="R189" s="286"/>
      <c r="S189" s="286"/>
      <c r="T189" s="286"/>
      <c r="U189" s="286"/>
      <c r="V189" s="286"/>
      <c r="W189" s="286"/>
      <c r="X189" s="286"/>
      <c r="Y189" s="286"/>
      <c r="Z189" s="286"/>
      <c r="AA189" s="286"/>
    </row>
    <row r="190" spans="1:27" x14ac:dyDescent="0.25">
      <c r="A190" s="286"/>
      <c r="B190" s="286"/>
      <c r="C190" s="286"/>
      <c r="D190" s="286"/>
      <c r="E190" s="286"/>
      <c r="F190" s="286"/>
      <c r="G190" s="286"/>
      <c r="H190" s="286"/>
      <c r="I190" s="286"/>
      <c r="J190" s="286"/>
      <c r="K190" s="286"/>
      <c r="L190" s="286"/>
      <c r="M190" s="286"/>
      <c r="N190" s="286"/>
      <c r="O190" s="286"/>
      <c r="P190" s="286"/>
      <c r="Q190" s="286"/>
      <c r="R190" s="286"/>
      <c r="S190" s="286"/>
      <c r="T190" s="286"/>
      <c r="U190" s="286"/>
      <c r="V190" s="286"/>
      <c r="W190" s="286"/>
      <c r="X190" s="286"/>
      <c r="Y190" s="286"/>
      <c r="Z190" s="286"/>
      <c r="AA190" s="286"/>
    </row>
    <row r="191" spans="1:27" x14ac:dyDescent="0.25">
      <c r="A191" s="286"/>
      <c r="B191" s="286"/>
      <c r="C191" s="286"/>
      <c r="D191" s="286"/>
      <c r="E191" s="286"/>
      <c r="F191" s="286"/>
      <c r="G191" s="286"/>
      <c r="H191" s="286"/>
      <c r="I191" s="286"/>
      <c r="J191" s="286"/>
      <c r="K191" s="286"/>
      <c r="L191" s="286"/>
      <c r="M191" s="286"/>
      <c r="N191" s="286"/>
      <c r="O191" s="286"/>
      <c r="P191" s="286"/>
      <c r="Q191" s="286"/>
      <c r="R191" s="286"/>
      <c r="S191" s="286"/>
      <c r="T191" s="286"/>
      <c r="U191" s="286"/>
      <c r="V191" s="286"/>
      <c r="W191" s="286"/>
      <c r="X191" s="286"/>
      <c r="Y191" s="286"/>
      <c r="Z191" s="286"/>
      <c r="AA191" s="286"/>
    </row>
    <row r="192" spans="1:27" x14ac:dyDescent="0.25">
      <c r="A192" s="286"/>
      <c r="B192" s="286"/>
      <c r="C192" s="286"/>
      <c r="D192" s="286"/>
      <c r="E192" s="286"/>
      <c r="F192" s="286"/>
      <c r="G192" s="286"/>
      <c r="H192" s="286"/>
      <c r="I192" s="286"/>
      <c r="J192" s="286"/>
      <c r="K192" s="286"/>
      <c r="L192" s="286"/>
      <c r="M192" s="286"/>
      <c r="N192" s="286"/>
      <c r="O192" s="286"/>
      <c r="P192" s="286"/>
      <c r="Q192" s="286"/>
      <c r="R192" s="286"/>
      <c r="S192" s="286"/>
      <c r="T192" s="286"/>
      <c r="U192" s="286"/>
      <c r="V192" s="286"/>
      <c r="W192" s="286"/>
      <c r="X192" s="286"/>
      <c r="Y192" s="286"/>
      <c r="Z192" s="286"/>
      <c r="AA192" s="286"/>
    </row>
    <row r="193" spans="1:27" x14ac:dyDescent="0.25">
      <c r="A193" s="286"/>
      <c r="B193" s="286"/>
      <c r="C193" s="286"/>
      <c r="D193" s="286"/>
      <c r="E193" s="286"/>
      <c r="F193" s="286"/>
      <c r="G193" s="286"/>
      <c r="H193" s="286"/>
      <c r="I193" s="286"/>
      <c r="J193" s="286"/>
      <c r="K193" s="286"/>
      <c r="L193" s="286"/>
      <c r="M193" s="286"/>
      <c r="N193" s="286"/>
      <c r="O193" s="286"/>
      <c r="P193" s="286"/>
      <c r="Q193" s="286"/>
      <c r="R193" s="286"/>
      <c r="S193" s="286"/>
      <c r="T193" s="286"/>
      <c r="U193" s="286"/>
      <c r="V193" s="286"/>
      <c r="W193" s="286"/>
      <c r="X193" s="286"/>
      <c r="Y193" s="286"/>
      <c r="Z193" s="286"/>
      <c r="AA193" s="286"/>
    </row>
    <row r="194" spans="1:27" x14ac:dyDescent="0.25">
      <c r="A194" s="286"/>
      <c r="B194" s="286"/>
      <c r="C194" s="286"/>
      <c r="D194" s="286"/>
      <c r="E194" s="286"/>
      <c r="F194" s="286"/>
      <c r="G194" s="286"/>
      <c r="H194" s="286"/>
      <c r="I194" s="286"/>
      <c r="J194" s="286"/>
      <c r="K194" s="286"/>
      <c r="L194" s="286"/>
      <c r="M194" s="286"/>
      <c r="N194" s="286"/>
      <c r="O194" s="286"/>
      <c r="P194" s="286"/>
      <c r="Q194" s="286"/>
      <c r="R194" s="286"/>
      <c r="S194" s="286"/>
      <c r="T194" s="286"/>
      <c r="U194" s="286"/>
      <c r="V194" s="286"/>
      <c r="W194" s="286"/>
      <c r="X194" s="286"/>
      <c r="Y194" s="286"/>
      <c r="Z194" s="286"/>
      <c r="AA194" s="286"/>
    </row>
    <row r="195" spans="1:27" x14ac:dyDescent="0.25">
      <c r="A195" s="286"/>
      <c r="B195" s="286"/>
      <c r="C195" s="286"/>
      <c r="D195" s="286"/>
      <c r="E195" s="286"/>
      <c r="F195" s="286"/>
      <c r="G195" s="286"/>
      <c r="H195" s="286"/>
      <c r="I195" s="286"/>
      <c r="J195" s="286"/>
      <c r="K195" s="286"/>
      <c r="L195" s="286"/>
      <c r="M195" s="286"/>
      <c r="N195" s="286"/>
      <c r="O195" s="286"/>
      <c r="P195" s="286"/>
      <c r="Q195" s="286"/>
      <c r="R195" s="286"/>
      <c r="S195" s="286"/>
      <c r="T195" s="286"/>
      <c r="U195" s="286"/>
      <c r="V195" s="286"/>
      <c r="W195" s="286"/>
      <c r="X195" s="286"/>
      <c r="Y195" s="286"/>
      <c r="Z195" s="286"/>
      <c r="AA195" s="286"/>
    </row>
    <row r="196" spans="1:27" x14ac:dyDescent="0.25">
      <c r="A196" s="286"/>
      <c r="B196" s="286"/>
      <c r="C196" s="286"/>
      <c r="D196" s="286"/>
      <c r="E196" s="286"/>
      <c r="F196" s="286"/>
      <c r="G196" s="286"/>
      <c r="H196" s="286"/>
      <c r="I196" s="286"/>
      <c r="J196" s="286"/>
      <c r="K196" s="286"/>
      <c r="L196" s="286"/>
      <c r="M196" s="286"/>
      <c r="N196" s="286"/>
      <c r="O196" s="286"/>
      <c r="P196" s="286"/>
      <c r="Q196" s="286"/>
      <c r="R196" s="286"/>
      <c r="S196" s="286"/>
      <c r="T196" s="286"/>
      <c r="U196" s="286"/>
      <c r="V196" s="286"/>
      <c r="W196" s="286"/>
      <c r="X196" s="286"/>
      <c r="Y196" s="286"/>
      <c r="Z196" s="286"/>
      <c r="AA196" s="286"/>
    </row>
    <row r="197" spans="1:27" x14ac:dyDescent="0.25">
      <c r="A197" s="286"/>
      <c r="B197" s="286"/>
      <c r="C197" s="286"/>
      <c r="D197" s="286"/>
      <c r="E197" s="286"/>
      <c r="F197" s="286"/>
      <c r="G197" s="286"/>
      <c r="H197" s="286"/>
      <c r="I197" s="286"/>
      <c r="J197" s="286"/>
      <c r="K197" s="286"/>
      <c r="L197" s="286"/>
      <c r="M197" s="286"/>
      <c r="N197" s="286"/>
      <c r="O197" s="286"/>
      <c r="P197" s="286"/>
      <c r="Q197" s="286"/>
      <c r="R197" s="286"/>
      <c r="S197" s="286"/>
      <c r="T197" s="286"/>
      <c r="U197" s="286"/>
      <c r="V197" s="286"/>
      <c r="W197" s="286"/>
      <c r="X197" s="286"/>
      <c r="Y197" s="286"/>
      <c r="Z197" s="286"/>
      <c r="AA197" s="286"/>
    </row>
    <row r="198" spans="1:27" x14ac:dyDescent="0.25">
      <c r="A198" s="286"/>
      <c r="B198" s="286"/>
      <c r="C198" s="286"/>
      <c r="D198" s="286"/>
      <c r="E198" s="286"/>
      <c r="F198" s="286"/>
      <c r="G198" s="286"/>
      <c r="H198" s="286"/>
      <c r="I198" s="286"/>
      <c r="J198" s="286"/>
      <c r="K198" s="286"/>
      <c r="L198" s="286"/>
      <c r="M198" s="286"/>
      <c r="N198" s="286"/>
      <c r="O198" s="286"/>
      <c r="P198" s="286"/>
      <c r="Q198" s="286"/>
      <c r="R198" s="286"/>
      <c r="S198" s="286"/>
      <c r="T198" s="286"/>
      <c r="U198" s="286"/>
      <c r="V198" s="286"/>
      <c r="W198" s="286"/>
      <c r="X198" s="286"/>
      <c r="Y198" s="286"/>
      <c r="Z198" s="286"/>
      <c r="AA198" s="286"/>
    </row>
    <row r="199" spans="1:27" x14ac:dyDescent="0.25">
      <c r="A199" s="286"/>
      <c r="B199" s="286"/>
      <c r="C199" s="286"/>
      <c r="D199" s="286"/>
      <c r="E199" s="286"/>
      <c r="F199" s="286"/>
      <c r="G199" s="286"/>
      <c r="H199" s="286"/>
      <c r="I199" s="286"/>
      <c r="J199" s="286"/>
      <c r="K199" s="286"/>
      <c r="L199" s="286"/>
      <c r="M199" s="286"/>
      <c r="N199" s="286"/>
      <c r="O199" s="286"/>
      <c r="P199" s="286"/>
      <c r="Q199" s="286"/>
      <c r="R199" s="286"/>
      <c r="S199" s="286"/>
      <c r="T199" s="286"/>
      <c r="U199" s="286"/>
      <c r="V199" s="286"/>
      <c r="W199" s="286"/>
      <c r="X199" s="286"/>
      <c r="Y199" s="286"/>
      <c r="Z199" s="286"/>
      <c r="AA199" s="286"/>
    </row>
    <row r="200" spans="1:27" x14ac:dyDescent="0.25">
      <c r="A200" s="286"/>
      <c r="B200" s="286"/>
      <c r="C200" s="286"/>
      <c r="D200" s="286"/>
      <c r="E200" s="286"/>
      <c r="F200" s="286"/>
      <c r="G200" s="286"/>
      <c r="H200" s="286"/>
      <c r="I200" s="286"/>
      <c r="J200" s="286"/>
      <c r="K200" s="286"/>
      <c r="L200" s="286"/>
      <c r="M200" s="286"/>
      <c r="N200" s="286"/>
      <c r="O200" s="286"/>
      <c r="P200" s="286"/>
      <c r="Q200" s="286"/>
      <c r="R200" s="286"/>
      <c r="S200" s="286"/>
      <c r="T200" s="286"/>
      <c r="U200" s="286"/>
      <c r="V200" s="286"/>
      <c r="W200" s="286"/>
      <c r="X200" s="286"/>
      <c r="Y200" s="286"/>
      <c r="Z200" s="286"/>
      <c r="AA200" s="286"/>
    </row>
    <row r="201" spans="1:27" x14ac:dyDescent="0.25">
      <c r="A201" s="286"/>
      <c r="B201" s="286"/>
      <c r="C201" s="286"/>
      <c r="D201" s="286"/>
      <c r="E201" s="286"/>
      <c r="F201" s="286"/>
      <c r="G201" s="286"/>
      <c r="H201" s="286"/>
      <c r="I201" s="286"/>
      <c r="J201" s="286"/>
      <c r="K201" s="286"/>
      <c r="L201" s="286"/>
      <c r="M201" s="286"/>
      <c r="N201" s="286"/>
      <c r="O201" s="286"/>
      <c r="P201" s="286"/>
      <c r="Q201" s="286"/>
      <c r="R201" s="286"/>
      <c r="S201" s="286"/>
      <c r="T201" s="286"/>
      <c r="U201" s="286"/>
      <c r="V201" s="286"/>
      <c r="W201" s="286"/>
      <c r="X201" s="286"/>
      <c r="Y201" s="286"/>
      <c r="Z201" s="286"/>
      <c r="AA201" s="286"/>
    </row>
    <row r="202" spans="1:27" x14ac:dyDescent="0.25">
      <c r="A202" s="286"/>
      <c r="B202" s="286"/>
      <c r="C202" s="286"/>
      <c r="D202" s="286"/>
      <c r="E202" s="286"/>
      <c r="F202" s="286"/>
      <c r="G202" s="286"/>
      <c r="H202" s="286"/>
      <c r="I202" s="286"/>
      <c r="J202" s="286"/>
      <c r="K202" s="286"/>
      <c r="L202" s="286"/>
      <c r="M202" s="286"/>
      <c r="N202" s="286"/>
      <c r="O202" s="286"/>
      <c r="P202" s="286"/>
      <c r="Q202" s="286"/>
      <c r="R202" s="286"/>
      <c r="S202" s="286"/>
      <c r="T202" s="286"/>
      <c r="U202" s="286"/>
      <c r="V202" s="286"/>
      <c r="W202" s="286"/>
      <c r="X202" s="286"/>
      <c r="Y202" s="286"/>
      <c r="Z202" s="286"/>
      <c r="AA202" s="286"/>
    </row>
    <row r="203" spans="1:27" x14ac:dyDescent="0.25">
      <c r="A203" s="286"/>
      <c r="B203" s="286"/>
      <c r="C203" s="286"/>
      <c r="D203" s="286"/>
      <c r="E203" s="286"/>
      <c r="F203" s="286"/>
      <c r="G203" s="286"/>
      <c r="H203" s="286"/>
      <c r="I203" s="286"/>
      <c r="J203" s="286"/>
      <c r="K203" s="286"/>
      <c r="L203" s="286"/>
      <c r="M203" s="286"/>
      <c r="N203" s="286"/>
      <c r="O203" s="286"/>
      <c r="P203" s="286"/>
      <c r="Q203" s="286"/>
      <c r="R203" s="286"/>
      <c r="S203" s="286"/>
      <c r="T203" s="286"/>
      <c r="U203" s="286"/>
      <c r="V203" s="286"/>
      <c r="W203" s="286"/>
      <c r="X203" s="286"/>
      <c r="Y203" s="286"/>
      <c r="Z203" s="286"/>
      <c r="AA203" s="286"/>
    </row>
    <row r="204" spans="1:27" x14ac:dyDescent="0.25">
      <c r="A204" s="286"/>
      <c r="B204" s="286"/>
      <c r="C204" s="286"/>
      <c r="D204" s="286"/>
      <c r="E204" s="286"/>
      <c r="F204" s="286"/>
      <c r="G204" s="286"/>
      <c r="H204" s="286"/>
      <c r="I204" s="286"/>
      <c r="J204" s="286"/>
      <c r="K204" s="286"/>
      <c r="L204" s="286"/>
      <c r="M204" s="286"/>
      <c r="N204" s="286"/>
      <c r="O204" s="286"/>
      <c r="P204" s="286"/>
      <c r="Q204" s="286"/>
      <c r="R204" s="286"/>
      <c r="S204" s="286"/>
      <c r="T204" s="286"/>
      <c r="U204" s="286"/>
      <c r="V204" s="286"/>
      <c r="W204" s="286"/>
      <c r="X204" s="286"/>
      <c r="Y204" s="286"/>
      <c r="Z204" s="286"/>
      <c r="AA204" s="286"/>
    </row>
    <row r="205" spans="1:27" x14ac:dyDescent="0.25">
      <c r="A205" s="286"/>
      <c r="B205" s="286"/>
      <c r="C205" s="286"/>
      <c r="D205" s="286"/>
      <c r="E205" s="286"/>
      <c r="F205" s="286"/>
      <c r="G205" s="286"/>
      <c r="H205" s="286"/>
      <c r="I205" s="286"/>
      <c r="J205" s="286"/>
      <c r="K205" s="286"/>
      <c r="L205" s="286"/>
      <c r="M205" s="286"/>
      <c r="N205" s="286"/>
      <c r="O205" s="286"/>
      <c r="P205" s="286"/>
      <c r="Q205" s="286"/>
      <c r="R205" s="286"/>
      <c r="S205" s="286"/>
      <c r="T205" s="286"/>
      <c r="U205" s="286"/>
      <c r="V205" s="286"/>
      <c r="W205" s="286"/>
      <c r="X205" s="286"/>
      <c r="Y205" s="286"/>
      <c r="Z205" s="286"/>
      <c r="AA205" s="286"/>
    </row>
    <row r="206" spans="1:27" x14ac:dyDescent="0.25">
      <c r="A206" s="286"/>
      <c r="B206" s="286"/>
      <c r="C206" s="286"/>
      <c r="D206" s="286"/>
      <c r="E206" s="286"/>
      <c r="F206" s="286"/>
      <c r="G206" s="286"/>
      <c r="H206" s="286"/>
      <c r="I206" s="286"/>
      <c r="J206" s="286"/>
      <c r="K206" s="286"/>
      <c r="L206" s="286"/>
      <c r="M206" s="286"/>
      <c r="N206" s="286"/>
      <c r="O206" s="286"/>
      <c r="P206" s="286"/>
      <c r="Q206" s="286"/>
      <c r="R206" s="286"/>
      <c r="S206" s="286"/>
      <c r="T206" s="286"/>
      <c r="U206" s="286"/>
      <c r="V206" s="286"/>
      <c r="W206" s="286"/>
      <c r="X206" s="286"/>
      <c r="Y206" s="286"/>
      <c r="Z206" s="286"/>
      <c r="AA206" s="286"/>
    </row>
    <row r="207" spans="1:27" x14ac:dyDescent="0.25">
      <c r="A207" s="286"/>
      <c r="B207" s="286"/>
      <c r="C207" s="286"/>
      <c r="D207" s="286"/>
      <c r="E207" s="286"/>
      <c r="F207" s="286"/>
      <c r="G207" s="286"/>
      <c r="H207" s="286"/>
      <c r="I207" s="286"/>
      <c r="J207" s="286"/>
      <c r="K207" s="286"/>
      <c r="L207" s="286"/>
      <c r="M207" s="286"/>
      <c r="N207" s="286"/>
      <c r="O207" s="286"/>
      <c r="P207" s="286"/>
      <c r="Q207" s="286"/>
      <c r="R207" s="286"/>
      <c r="S207" s="286"/>
      <c r="T207" s="286"/>
      <c r="U207" s="286"/>
      <c r="V207" s="286"/>
      <c r="W207" s="286"/>
      <c r="X207" s="286"/>
      <c r="Y207" s="286"/>
      <c r="Z207" s="286"/>
      <c r="AA207" s="286"/>
    </row>
    <row r="208" spans="1:27" x14ac:dyDescent="0.25">
      <c r="A208" s="286"/>
      <c r="B208" s="286"/>
      <c r="C208" s="286"/>
      <c r="D208" s="286"/>
      <c r="E208" s="286"/>
      <c r="F208" s="286"/>
      <c r="G208" s="286"/>
      <c r="H208" s="286"/>
      <c r="I208" s="286"/>
      <c r="J208" s="286"/>
      <c r="K208" s="286"/>
      <c r="L208" s="286"/>
      <c r="M208" s="286"/>
      <c r="N208" s="286"/>
      <c r="O208" s="286"/>
      <c r="P208" s="286"/>
      <c r="Q208" s="286"/>
      <c r="R208" s="286"/>
      <c r="S208" s="286"/>
      <c r="T208" s="286"/>
      <c r="U208" s="286"/>
      <c r="V208" s="286"/>
      <c r="W208" s="286"/>
      <c r="X208" s="286"/>
      <c r="Y208" s="286"/>
      <c r="Z208" s="286"/>
      <c r="AA208" s="286"/>
    </row>
    <row r="209" spans="1:27" x14ac:dyDescent="0.25">
      <c r="A209" s="286"/>
      <c r="B209" s="286"/>
      <c r="C209" s="286"/>
      <c r="D209" s="286"/>
      <c r="E209" s="286"/>
      <c r="F209" s="286"/>
      <c r="G209" s="286"/>
      <c r="H209" s="286"/>
      <c r="I209" s="286"/>
      <c r="J209" s="286"/>
      <c r="K209" s="286"/>
      <c r="L209" s="286"/>
      <c r="M209" s="286"/>
      <c r="N209" s="286"/>
      <c r="O209" s="286"/>
      <c r="P209" s="286"/>
      <c r="Q209" s="286"/>
      <c r="R209" s="286"/>
      <c r="S209" s="286"/>
      <c r="T209" s="286"/>
      <c r="U209" s="286"/>
      <c r="V209" s="286"/>
      <c r="W209" s="286"/>
      <c r="X209" s="286"/>
      <c r="Y209" s="286"/>
      <c r="Z209" s="286"/>
      <c r="AA209" s="286"/>
    </row>
    <row r="210" spans="1:27" x14ac:dyDescent="0.25">
      <c r="A210" s="286"/>
      <c r="B210" s="286"/>
      <c r="C210" s="286"/>
      <c r="D210" s="286"/>
      <c r="E210" s="286"/>
      <c r="F210" s="286"/>
      <c r="G210" s="286"/>
      <c r="H210" s="286"/>
      <c r="I210" s="286"/>
      <c r="J210" s="286"/>
      <c r="K210" s="286"/>
      <c r="L210" s="286"/>
      <c r="M210" s="286"/>
      <c r="N210" s="286"/>
      <c r="O210" s="286"/>
      <c r="P210" s="286"/>
      <c r="Q210" s="286"/>
      <c r="R210" s="286"/>
      <c r="S210" s="286"/>
      <c r="T210" s="286"/>
      <c r="U210" s="286"/>
      <c r="V210" s="286"/>
      <c r="W210" s="286"/>
      <c r="X210" s="286"/>
      <c r="Y210" s="286"/>
      <c r="Z210" s="286"/>
      <c r="AA210" s="286"/>
    </row>
    <row r="211" spans="1:27" x14ac:dyDescent="0.25">
      <c r="A211" s="286"/>
      <c r="B211" s="286"/>
      <c r="C211" s="286"/>
      <c r="D211" s="286"/>
      <c r="E211" s="286"/>
      <c r="F211" s="286"/>
      <c r="G211" s="286"/>
      <c r="H211" s="286"/>
      <c r="I211" s="286"/>
      <c r="J211" s="286"/>
      <c r="K211" s="286"/>
      <c r="L211" s="286"/>
      <c r="M211" s="286"/>
      <c r="N211" s="286"/>
      <c r="O211" s="286"/>
      <c r="P211" s="286"/>
      <c r="Q211" s="286"/>
      <c r="R211" s="286"/>
      <c r="S211" s="286"/>
      <c r="T211" s="286"/>
      <c r="U211" s="286"/>
      <c r="V211" s="286"/>
      <c r="W211" s="286"/>
      <c r="X211" s="286"/>
      <c r="Y211" s="286"/>
      <c r="Z211" s="286"/>
      <c r="AA211" s="286"/>
    </row>
    <row r="212" spans="1:27" x14ac:dyDescent="0.25">
      <c r="A212" s="286"/>
      <c r="B212" s="286"/>
      <c r="C212" s="286"/>
      <c r="D212" s="286"/>
      <c r="E212" s="286"/>
      <c r="F212" s="286"/>
      <c r="G212" s="286"/>
      <c r="H212" s="286"/>
      <c r="I212" s="286"/>
      <c r="J212" s="286"/>
      <c r="K212" s="286"/>
      <c r="L212" s="286"/>
      <c r="M212" s="286"/>
      <c r="N212" s="286"/>
      <c r="O212" s="286"/>
      <c r="P212" s="286"/>
      <c r="Q212" s="286"/>
      <c r="R212" s="286"/>
      <c r="S212" s="286"/>
      <c r="T212" s="286"/>
      <c r="U212" s="286"/>
      <c r="V212" s="286"/>
      <c r="W212" s="286"/>
      <c r="X212" s="286"/>
      <c r="Y212" s="286"/>
      <c r="Z212" s="286"/>
      <c r="AA212" s="286"/>
    </row>
    <row r="213" spans="1:27" x14ac:dyDescent="0.25">
      <c r="A213" s="286"/>
      <c r="B213" s="286"/>
      <c r="C213" s="286"/>
      <c r="D213" s="286"/>
      <c r="E213" s="286"/>
      <c r="F213" s="286"/>
      <c r="G213" s="286"/>
      <c r="H213" s="286"/>
      <c r="I213" s="286"/>
      <c r="J213" s="286"/>
      <c r="K213" s="286"/>
      <c r="L213" s="286"/>
      <c r="M213" s="286"/>
      <c r="N213" s="286"/>
      <c r="O213" s="286"/>
      <c r="P213" s="286"/>
      <c r="Q213" s="286"/>
      <c r="R213" s="286"/>
      <c r="S213" s="286"/>
      <c r="T213" s="286"/>
      <c r="U213" s="286"/>
      <c r="V213" s="286"/>
      <c r="W213" s="286"/>
      <c r="X213" s="286"/>
      <c r="Y213" s="286"/>
      <c r="Z213" s="286"/>
      <c r="AA213" s="286"/>
    </row>
    <row r="214" spans="1:27" x14ac:dyDescent="0.25">
      <c r="A214" s="286"/>
      <c r="B214" s="286"/>
      <c r="C214" s="286"/>
      <c r="D214" s="286"/>
      <c r="E214" s="286"/>
      <c r="F214" s="286"/>
      <c r="G214" s="286"/>
      <c r="H214" s="286"/>
      <c r="I214" s="286"/>
      <c r="J214" s="286"/>
      <c r="K214" s="286"/>
      <c r="L214" s="286"/>
      <c r="M214" s="286"/>
      <c r="N214" s="286"/>
      <c r="O214" s="286"/>
      <c r="P214" s="286"/>
      <c r="Q214" s="286"/>
      <c r="R214" s="286"/>
      <c r="S214" s="286"/>
      <c r="T214" s="286"/>
      <c r="U214" s="286"/>
      <c r="V214" s="286"/>
      <c r="W214" s="286"/>
      <c r="X214" s="286"/>
      <c r="Y214" s="286"/>
      <c r="Z214" s="286"/>
      <c r="AA214" s="286"/>
    </row>
    <row r="215" spans="1:27" x14ac:dyDescent="0.25">
      <c r="A215" s="286"/>
      <c r="B215" s="286"/>
      <c r="C215" s="286"/>
      <c r="D215" s="286"/>
      <c r="E215" s="286"/>
      <c r="F215" s="286"/>
      <c r="G215" s="286"/>
      <c r="H215" s="286"/>
      <c r="I215" s="286"/>
      <c r="J215" s="286"/>
      <c r="K215" s="286"/>
      <c r="L215" s="286"/>
      <c r="M215" s="286"/>
      <c r="N215" s="286"/>
      <c r="O215" s="286"/>
      <c r="P215" s="286"/>
      <c r="Q215" s="286"/>
      <c r="R215" s="286"/>
      <c r="S215" s="286"/>
      <c r="T215" s="286"/>
      <c r="U215" s="286"/>
      <c r="V215" s="286"/>
      <c r="W215" s="286"/>
      <c r="X215" s="286"/>
      <c r="Y215" s="286"/>
      <c r="Z215" s="286"/>
      <c r="AA215" s="286"/>
    </row>
    <row r="216" spans="1:27" x14ac:dyDescent="0.25">
      <c r="A216" s="286"/>
      <c r="B216" s="286"/>
      <c r="C216" s="286"/>
      <c r="D216" s="286"/>
      <c r="E216" s="286"/>
      <c r="F216" s="286"/>
      <c r="G216" s="286"/>
      <c r="H216" s="286"/>
      <c r="I216" s="286"/>
      <c r="J216" s="286"/>
      <c r="K216" s="286"/>
      <c r="L216" s="286"/>
      <c r="M216" s="286"/>
      <c r="N216" s="286"/>
      <c r="O216" s="286"/>
      <c r="P216" s="286"/>
      <c r="Q216" s="286"/>
      <c r="R216" s="286"/>
      <c r="S216" s="286"/>
      <c r="T216" s="286"/>
      <c r="U216" s="286"/>
      <c r="V216" s="286"/>
      <c r="W216" s="286"/>
      <c r="X216" s="286"/>
      <c r="Y216" s="286"/>
      <c r="Z216" s="286"/>
      <c r="AA216" s="286"/>
    </row>
    <row r="217" spans="1:27" x14ac:dyDescent="0.25">
      <c r="A217" s="286"/>
      <c r="B217" s="286"/>
      <c r="C217" s="286"/>
      <c r="D217" s="286"/>
      <c r="E217" s="286"/>
      <c r="F217" s="286"/>
      <c r="G217" s="286"/>
      <c r="H217" s="286"/>
      <c r="I217" s="286"/>
      <c r="J217" s="286"/>
      <c r="K217" s="286"/>
      <c r="L217" s="286"/>
      <c r="M217" s="286"/>
      <c r="N217" s="286"/>
      <c r="O217" s="286"/>
      <c r="P217" s="286"/>
      <c r="Q217" s="286"/>
      <c r="R217" s="286"/>
      <c r="S217" s="286"/>
      <c r="T217" s="286"/>
      <c r="U217" s="286"/>
      <c r="V217" s="286"/>
      <c r="W217" s="286"/>
      <c r="X217" s="286"/>
      <c r="Y217" s="286"/>
      <c r="Z217" s="286"/>
      <c r="AA217" s="286"/>
    </row>
    <row r="218" spans="1:27" x14ac:dyDescent="0.25">
      <c r="A218" s="286"/>
      <c r="B218" s="286"/>
      <c r="C218" s="286"/>
      <c r="D218" s="286"/>
      <c r="E218" s="286"/>
      <c r="F218" s="286"/>
      <c r="G218" s="286"/>
      <c r="H218" s="286"/>
      <c r="I218" s="286"/>
      <c r="J218" s="286"/>
      <c r="K218" s="286"/>
      <c r="L218" s="286"/>
      <c r="M218" s="286"/>
      <c r="N218" s="286"/>
      <c r="O218" s="286"/>
      <c r="P218" s="286"/>
      <c r="Q218" s="286"/>
      <c r="R218" s="286"/>
      <c r="S218" s="286"/>
      <c r="T218" s="286"/>
      <c r="U218" s="286"/>
      <c r="V218" s="286"/>
      <c r="W218" s="286"/>
      <c r="X218" s="286"/>
      <c r="Y218" s="286"/>
      <c r="Z218" s="286"/>
      <c r="AA218" s="286"/>
    </row>
    <row r="219" spans="1:27" x14ac:dyDescent="0.25">
      <c r="A219" s="286"/>
      <c r="B219" s="286"/>
      <c r="C219" s="286"/>
      <c r="D219" s="286"/>
      <c r="E219" s="286"/>
      <c r="F219" s="286"/>
      <c r="G219" s="286"/>
      <c r="H219" s="286"/>
      <c r="I219" s="286"/>
      <c r="J219" s="286"/>
      <c r="K219" s="286"/>
      <c r="L219" s="286"/>
      <c r="M219" s="286"/>
      <c r="N219" s="286"/>
      <c r="O219" s="286"/>
      <c r="P219" s="286"/>
      <c r="Q219" s="286"/>
      <c r="R219" s="286"/>
      <c r="S219" s="286"/>
      <c r="T219" s="286"/>
      <c r="U219" s="286"/>
      <c r="V219" s="286"/>
      <c r="W219" s="286"/>
      <c r="X219" s="286"/>
      <c r="Y219" s="286"/>
      <c r="Z219" s="286"/>
      <c r="AA219" s="286"/>
    </row>
    <row r="220" spans="1:27" x14ac:dyDescent="0.25">
      <c r="A220" s="286"/>
      <c r="B220" s="286"/>
      <c r="C220" s="286"/>
      <c r="D220" s="286"/>
      <c r="E220" s="286"/>
      <c r="F220" s="286"/>
      <c r="G220" s="286"/>
      <c r="H220" s="286"/>
      <c r="I220" s="286"/>
      <c r="J220" s="286"/>
      <c r="K220" s="286"/>
      <c r="L220" s="286"/>
      <c r="M220" s="286"/>
      <c r="N220" s="286"/>
      <c r="O220" s="286"/>
      <c r="P220" s="286"/>
      <c r="Q220" s="286"/>
      <c r="R220" s="286"/>
      <c r="S220" s="286"/>
      <c r="T220" s="286"/>
      <c r="U220" s="286"/>
      <c r="V220" s="286"/>
      <c r="W220" s="286"/>
      <c r="X220" s="286"/>
      <c r="Y220" s="286"/>
      <c r="Z220" s="286"/>
      <c r="AA220" s="286"/>
    </row>
    <row r="221" spans="1:27" x14ac:dyDescent="0.25">
      <c r="A221" s="286"/>
      <c r="B221" s="286"/>
      <c r="C221" s="286"/>
      <c r="D221" s="286"/>
      <c r="E221" s="286"/>
      <c r="F221" s="286"/>
      <c r="G221" s="286"/>
      <c r="H221" s="286"/>
      <c r="I221" s="286"/>
      <c r="J221" s="286"/>
      <c r="K221" s="286"/>
      <c r="L221" s="286"/>
      <c r="M221" s="286"/>
      <c r="N221" s="286"/>
      <c r="O221" s="286"/>
      <c r="P221" s="286"/>
      <c r="Q221" s="286"/>
      <c r="R221" s="286"/>
      <c r="S221" s="286"/>
      <c r="T221" s="286"/>
      <c r="U221" s="286"/>
      <c r="V221" s="286"/>
      <c r="W221" s="286"/>
      <c r="X221" s="286"/>
      <c r="Y221" s="286"/>
      <c r="Z221" s="286"/>
      <c r="AA221" s="286"/>
    </row>
    <row r="222" spans="1:27" x14ac:dyDescent="0.25">
      <c r="A222" s="286"/>
      <c r="B222" s="286"/>
      <c r="C222" s="286"/>
      <c r="D222" s="286"/>
      <c r="E222" s="286"/>
      <c r="F222" s="286"/>
      <c r="G222" s="286"/>
      <c r="H222" s="286"/>
      <c r="I222" s="286"/>
      <c r="J222" s="286"/>
      <c r="K222" s="286"/>
      <c r="L222" s="286"/>
      <c r="M222" s="286"/>
      <c r="N222" s="286"/>
      <c r="O222" s="286"/>
      <c r="P222" s="286"/>
      <c r="Q222" s="286"/>
      <c r="R222" s="286"/>
      <c r="S222" s="286"/>
      <c r="T222" s="286"/>
      <c r="U222" s="286"/>
      <c r="V222" s="286"/>
      <c r="W222" s="286"/>
      <c r="X222" s="286"/>
      <c r="Y222" s="286"/>
      <c r="Z222" s="286"/>
      <c r="AA222" s="286"/>
    </row>
    <row r="223" spans="1:27" x14ac:dyDescent="0.25">
      <c r="A223" s="286"/>
      <c r="B223" s="286"/>
      <c r="C223" s="286"/>
      <c r="D223" s="286"/>
      <c r="E223" s="286"/>
      <c r="F223" s="286"/>
      <c r="G223" s="286"/>
      <c r="H223" s="286"/>
      <c r="I223" s="286"/>
      <c r="J223" s="286"/>
      <c r="K223" s="286"/>
      <c r="L223" s="286"/>
      <c r="M223" s="286"/>
      <c r="N223" s="286"/>
      <c r="O223" s="286"/>
      <c r="P223" s="286"/>
      <c r="Q223" s="286"/>
      <c r="R223" s="286"/>
      <c r="S223" s="286"/>
      <c r="T223" s="286"/>
      <c r="U223" s="286"/>
      <c r="V223" s="286"/>
      <c r="W223" s="286"/>
      <c r="X223" s="286"/>
      <c r="Y223" s="286"/>
      <c r="Z223" s="286"/>
      <c r="AA223" s="286"/>
    </row>
    <row r="224" spans="1:27" x14ac:dyDescent="0.25">
      <c r="A224" s="286"/>
      <c r="B224" s="286"/>
      <c r="C224" s="286"/>
      <c r="D224" s="286"/>
      <c r="E224" s="286"/>
      <c r="F224" s="286"/>
      <c r="G224" s="286"/>
      <c r="H224" s="286"/>
      <c r="I224" s="286"/>
      <c r="J224" s="286"/>
      <c r="K224" s="286"/>
      <c r="L224" s="286"/>
      <c r="M224" s="286"/>
      <c r="N224" s="286"/>
      <c r="O224" s="286"/>
      <c r="P224" s="286"/>
      <c r="Q224" s="286"/>
      <c r="R224" s="286"/>
      <c r="S224" s="286"/>
      <c r="T224" s="286"/>
      <c r="U224" s="286"/>
      <c r="V224" s="286"/>
      <c r="W224" s="286"/>
      <c r="X224" s="286"/>
      <c r="Y224" s="286"/>
      <c r="Z224" s="286"/>
      <c r="AA224" s="286"/>
    </row>
    <row r="225" spans="1:27" x14ac:dyDescent="0.25">
      <c r="A225" s="286"/>
      <c r="B225" s="286"/>
      <c r="C225" s="286"/>
      <c r="D225" s="286"/>
      <c r="E225" s="286"/>
      <c r="F225" s="286"/>
      <c r="G225" s="286"/>
      <c r="H225" s="286"/>
      <c r="I225" s="286"/>
      <c r="J225" s="286"/>
      <c r="K225" s="286"/>
      <c r="L225" s="286"/>
      <c r="M225" s="286"/>
      <c r="N225" s="286"/>
      <c r="O225" s="286"/>
      <c r="P225" s="286"/>
      <c r="Q225" s="286"/>
      <c r="R225" s="286"/>
      <c r="S225" s="286"/>
      <c r="T225" s="286"/>
      <c r="U225" s="286"/>
      <c r="V225" s="286"/>
      <c r="W225" s="286"/>
      <c r="X225" s="286"/>
      <c r="Y225" s="286"/>
      <c r="Z225" s="286"/>
      <c r="AA225" s="286"/>
    </row>
    <row r="226" spans="1:27" x14ac:dyDescent="0.25">
      <c r="A226" s="286"/>
      <c r="B226" s="286"/>
      <c r="C226" s="286"/>
      <c r="D226" s="286"/>
      <c r="E226" s="286"/>
      <c r="F226" s="286"/>
      <c r="G226" s="286"/>
      <c r="H226" s="286"/>
      <c r="I226" s="286"/>
      <c r="J226" s="286"/>
      <c r="K226" s="286"/>
      <c r="L226" s="286"/>
      <c r="M226" s="286"/>
      <c r="N226" s="286"/>
      <c r="O226" s="286"/>
      <c r="P226" s="286"/>
      <c r="Q226" s="286"/>
      <c r="R226" s="286"/>
      <c r="S226" s="286"/>
      <c r="T226" s="286"/>
      <c r="U226" s="286"/>
      <c r="V226" s="286"/>
      <c r="W226" s="286"/>
      <c r="X226" s="286"/>
      <c r="Y226" s="286"/>
      <c r="Z226" s="286"/>
      <c r="AA226" s="286"/>
    </row>
    <row r="227" spans="1:27" x14ac:dyDescent="0.25">
      <c r="A227" s="286"/>
      <c r="B227" s="286"/>
      <c r="C227" s="286"/>
      <c r="D227" s="286"/>
      <c r="E227" s="286"/>
      <c r="F227" s="286"/>
      <c r="G227" s="286"/>
      <c r="H227" s="286"/>
      <c r="I227" s="286"/>
      <c r="J227" s="286"/>
      <c r="K227" s="286"/>
      <c r="L227" s="286"/>
      <c r="M227" s="286"/>
      <c r="N227" s="286"/>
      <c r="O227" s="286"/>
      <c r="P227" s="286"/>
      <c r="Q227" s="286"/>
      <c r="R227" s="286"/>
      <c r="S227" s="286"/>
      <c r="T227" s="286"/>
      <c r="U227" s="286"/>
      <c r="V227" s="286"/>
      <c r="W227" s="286"/>
      <c r="X227" s="286"/>
      <c r="Y227" s="286"/>
      <c r="Z227" s="286"/>
      <c r="AA227" s="286"/>
    </row>
    <row r="228" spans="1:27" x14ac:dyDescent="0.25">
      <c r="A228" s="286"/>
      <c r="B228" s="286"/>
      <c r="C228" s="286"/>
      <c r="D228" s="286"/>
      <c r="E228" s="286"/>
      <c r="F228" s="286"/>
      <c r="G228" s="286"/>
      <c r="H228" s="286"/>
      <c r="I228" s="286"/>
      <c r="J228" s="286"/>
      <c r="K228" s="286"/>
      <c r="L228" s="286"/>
      <c r="M228" s="286"/>
      <c r="N228" s="286"/>
      <c r="O228" s="286"/>
      <c r="P228" s="286"/>
      <c r="Q228" s="286"/>
      <c r="R228" s="286"/>
      <c r="S228" s="286"/>
      <c r="T228" s="286"/>
      <c r="U228" s="286"/>
      <c r="V228" s="286"/>
      <c r="W228" s="286"/>
      <c r="X228" s="286"/>
      <c r="Y228" s="286"/>
      <c r="Z228" s="286"/>
      <c r="AA228" s="286"/>
    </row>
    <row r="229" spans="1:27" x14ac:dyDescent="0.25">
      <c r="A229" s="286"/>
      <c r="B229" s="286"/>
      <c r="C229" s="286"/>
      <c r="D229" s="286"/>
      <c r="E229" s="286"/>
      <c r="F229" s="286"/>
      <c r="G229" s="286"/>
      <c r="H229" s="286"/>
      <c r="I229" s="286"/>
      <c r="J229" s="286"/>
      <c r="K229" s="286"/>
      <c r="L229" s="286"/>
      <c r="M229" s="286"/>
      <c r="N229" s="286"/>
      <c r="O229" s="286"/>
      <c r="P229" s="286"/>
      <c r="Q229" s="286"/>
      <c r="R229" s="286"/>
      <c r="S229" s="286"/>
      <c r="T229" s="286"/>
      <c r="U229" s="286"/>
      <c r="V229" s="286"/>
      <c r="W229" s="286"/>
      <c r="X229" s="286"/>
      <c r="Y229" s="286"/>
      <c r="Z229" s="286"/>
      <c r="AA229" s="286"/>
    </row>
    <row r="230" spans="1:27" x14ac:dyDescent="0.25">
      <c r="A230" s="286"/>
      <c r="B230" s="286"/>
      <c r="C230" s="286"/>
      <c r="D230" s="286"/>
      <c r="E230" s="286"/>
      <c r="F230" s="286"/>
      <c r="G230" s="286"/>
      <c r="H230" s="286"/>
      <c r="I230" s="286"/>
      <c r="J230" s="286"/>
      <c r="K230" s="286"/>
      <c r="L230" s="286"/>
      <c r="M230" s="286"/>
      <c r="N230" s="286"/>
      <c r="O230" s="286"/>
      <c r="P230" s="286"/>
      <c r="Q230" s="286"/>
      <c r="R230" s="286"/>
      <c r="S230" s="286"/>
      <c r="T230" s="286"/>
      <c r="U230" s="286"/>
      <c r="V230" s="286"/>
      <c r="W230" s="286"/>
      <c r="X230" s="286"/>
      <c r="Y230" s="286"/>
      <c r="Z230" s="286"/>
      <c r="AA230" s="286"/>
    </row>
    <row r="231" spans="1:27" x14ac:dyDescent="0.25">
      <c r="A231" s="286"/>
      <c r="B231" s="286"/>
      <c r="C231" s="286"/>
      <c r="D231" s="286"/>
      <c r="E231" s="286"/>
      <c r="F231" s="286"/>
      <c r="G231" s="286"/>
      <c r="H231" s="286"/>
      <c r="I231" s="286"/>
      <c r="J231" s="286"/>
      <c r="K231" s="286"/>
      <c r="L231" s="286"/>
      <c r="M231" s="286"/>
      <c r="N231" s="286"/>
      <c r="O231" s="286"/>
      <c r="P231" s="286"/>
      <c r="Q231" s="286"/>
      <c r="R231" s="286"/>
      <c r="S231" s="286"/>
      <c r="T231" s="286"/>
      <c r="U231" s="286"/>
      <c r="V231" s="286"/>
      <c r="W231" s="286"/>
      <c r="X231" s="286"/>
      <c r="Y231" s="286"/>
      <c r="Z231" s="286"/>
      <c r="AA231" s="286"/>
    </row>
    <row r="232" spans="1:27" x14ac:dyDescent="0.25">
      <c r="A232" s="286"/>
      <c r="B232" s="286"/>
      <c r="C232" s="286"/>
      <c r="D232" s="286"/>
      <c r="E232" s="286"/>
      <c r="F232" s="286"/>
      <c r="G232" s="286"/>
      <c r="H232" s="286"/>
      <c r="I232" s="286"/>
      <c r="J232" s="286"/>
      <c r="K232" s="286"/>
      <c r="L232" s="286"/>
      <c r="M232" s="286"/>
      <c r="N232" s="286"/>
      <c r="O232" s="286"/>
      <c r="P232" s="286"/>
      <c r="Q232" s="286"/>
      <c r="R232" s="286"/>
      <c r="S232" s="286"/>
      <c r="T232" s="286"/>
      <c r="U232" s="286"/>
      <c r="V232" s="286"/>
      <c r="W232" s="286"/>
      <c r="X232" s="286"/>
      <c r="Y232" s="286"/>
      <c r="Z232" s="286"/>
      <c r="AA232" s="286"/>
    </row>
    <row r="233" spans="1:27" x14ac:dyDescent="0.25">
      <c r="A233" s="286"/>
      <c r="B233" s="286"/>
      <c r="C233" s="286"/>
      <c r="D233" s="286"/>
      <c r="E233" s="286"/>
      <c r="F233" s="286"/>
      <c r="G233" s="286"/>
      <c r="H233" s="286"/>
      <c r="I233" s="286"/>
      <c r="J233" s="286"/>
      <c r="K233" s="286"/>
      <c r="L233" s="286"/>
      <c r="M233" s="286"/>
      <c r="N233" s="286"/>
      <c r="O233" s="286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  <c r="Z233" s="286"/>
      <c r="AA233" s="286"/>
    </row>
    <row r="234" spans="1:27" x14ac:dyDescent="0.25">
      <c r="A234" s="286"/>
      <c r="B234" s="286"/>
      <c r="C234" s="286"/>
      <c r="D234" s="286"/>
      <c r="E234" s="286"/>
      <c r="F234" s="286"/>
      <c r="G234" s="286"/>
      <c r="H234" s="286"/>
      <c r="I234" s="286"/>
      <c r="J234" s="286"/>
      <c r="K234" s="286"/>
      <c r="L234" s="286"/>
      <c r="M234" s="286"/>
      <c r="N234" s="286"/>
      <c r="O234" s="286"/>
      <c r="P234" s="286"/>
      <c r="Q234" s="286"/>
      <c r="R234" s="286"/>
      <c r="S234" s="286"/>
      <c r="T234" s="286"/>
      <c r="U234" s="286"/>
      <c r="V234" s="286"/>
      <c r="W234" s="286"/>
      <c r="X234" s="286"/>
      <c r="Y234" s="286"/>
      <c r="Z234" s="286"/>
      <c r="AA234" s="286"/>
    </row>
    <row r="235" spans="1:27" x14ac:dyDescent="0.25">
      <c r="A235" s="286"/>
      <c r="B235" s="286"/>
      <c r="C235" s="286"/>
      <c r="D235" s="286"/>
      <c r="E235" s="286"/>
      <c r="F235" s="286"/>
      <c r="G235" s="286"/>
      <c r="H235" s="286"/>
      <c r="I235" s="286"/>
      <c r="J235" s="286"/>
      <c r="K235" s="286"/>
      <c r="L235" s="286"/>
      <c r="M235" s="286"/>
      <c r="N235" s="286"/>
      <c r="O235" s="286"/>
      <c r="P235" s="286"/>
      <c r="Q235" s="286"/>
      <c r="R235" s="286"/>
      <c r="S235" s="286"/>
      <c r="T235" s="286"/>
      <c r="U235" s="286"/>
      <c r="V235" s="286"/>
      <c r="W235" s="286"/>
      <c r="X235" s="286"/>
      <c r="Y235" s="286"/>
      <c r="Z235" s="286"/>
      <c r="AA235" s="286"/>
    </row>
    <row r="236" spans="1:27" x14ac:dyDescent="0.25">
      <c r="A236" s="286"/>
      <c r="B236" s="286"/>
      <c r="C236" s="286"/>
      <c r="D236" s="286"/>
      <c r="E236" s="286"/>
      <c r="F236" s="286"/>
      <c r="G236" s="286"/>
      <c r="H236" s="286"/>
      <c r="I236" s="286"/>
      <c r="J236" s="286"/>
      <c r="K236" s="286"/>
      <c r="L236" s="286"/>
      <c r="M236" s="286"/>
      <c r="N236" s="286"/>
      <c r="O236" s="286"/>
      <c r="P236" s="286"/>
      <c r="Q236" s="286"/>
      <c r="R236" s="286"/>
      <c r="S236" s="286"/>
      <c r="T236" s="286"/>
      <c r="U236" s="286"/>
      <c r="V236" s="286"/>
      <c r="W236" s="286"/>
      <c r="X236" s="286"/>
      <c r="Y236" s="286"/>
      <c r="Z236" s="286"/>
      <c r="AA236" s="286"/>
    </row>
    <row r="237" spans="1:27" x14ac:dyDescent="0.25">
      <c r="A237" s="286"/>
      <c r="B237" s="286"/>
      <c r="C237" s="286"/>
      <c r="D237" s="286"/>
      <c r="E237" s="286"/>
      <c r="F237" s="286"/>
      <c r="G237" s="286"/>
      <c r="H237" s="286"/>
      <c r="I237" s="286"/>
      <c r="J237" s="286"/>
      <c r="K237" s="286"/>
      <c r="L237" s="286"/>
      <c r="M237" s="286"/>
      <c r="N237" s="286"/>
      <c r="O237" s="286"/>
      <c r="P237" s="286"/>
      <c r="Q237" s="286"/>
      <c r="R237" s="286"/>
      <c r="S237" s="286"/>
      <c r="T237" s="286"/>
      <c r="U237" s="286"/>
      <c r="V237" s="286"/>
      <c r="W237" s="286"/>
      <c r="X237" s="286"/>
      <c r="Y237" s="286"/>
      <c r="Z237" s="286"/>
      <c r="AA237" s="286"/>
    </row>
    <row r="238" spans="1:27" x14ac:dyDescent="0.25">
      <c r="A238" s="286"/>
      <c r="B238" s="286"/>
      <c r="C238" s="286"/>
      <c r="D238" s="286"/>
      <c r="E238" s="286"/>
      <c r="F238" s="286"/>
      <c r="G238" s="286"/>
      <c r="H238" s="286"/>
      <c r="I238" s="286"/>
      <c r="J238" s="286"/>
      <c r="K238" s="286"/>
      <c r="L238" s="286"/>
      <c r="M238" s="286"/>
      <c r="N238" s="286"/>
      <c r="O238" s="286"/>
      <c r="P238" s="286"/>
      <c r="Q238" s="286"/>
      <c r="R238" s="286"/>
      <c r="S238" s="286"/>
      <c r="T238" s="286"/>
      <c r="U238" s="286"/>
      <c r="V238" s="286"/>
      <c r="W238" s="286"/>
      <c r="X238" s="286"/>
      <c r="Y238" s="286"/>
      <c r="Z238" s="286"/>
      <c r="AA238" s="286"/>
    </row>
    <row r="239" spans="1:27" x14ac:dyDescent="0.25">
      <c r="A239" s="286"/>
      <c r="B239" s="286"/>
      <c r="C239" s="286"/>
      <c r="D239" s="286"/>
      <c r="E239" s="286"/>
      <c r="F239" s="286"/>
      <c r="G239" s="286"/>
      <c r="H239" s="286"/>
      <c r="I239" s="286"/>
      <c r="J239" s="286"/>
      <c r="K239" s="286"/>
      <c r="L239" s="286"/>
      <c r="M239" s="286"/>
      <c r="N239" s="286"/>
      <c r="O239" s="286"/>
      <c r="P239" s="286"/>
      <c r="Q239" s="286"/>
      <c r="R239" s="286"/>
      <c r="S239" s="286"/>
      <c r="T239" s="286"/>
      <c r="U239" s="286"/>
      <c r="V239" s="286"/>
      <c r="W239" s="286"/>
      <c r="X239" s="286"/>
      <c r="Y239" s="286"/>
      <c r="Z239" s="286"/>
      <c r="AA239" s="286"/>
    </row>
    <row r="240" spans="1:27" x14ac:dyDescent="0.25">
      <c r="A240" s="286"/>
      <c r="B240" s="286"/>
      <c r="C240" s="286"/>
      <c r="D240" s="286"/>
      <c r="E240" s="286"/>
      <c r="F240" s="286"/>
      <c r="G240" s="286"/>
      <c r="H240" s="286"/>
      <c r="I240" s="286"/>
      <c r="J240" s="286"/>
      <c r="K240" s="286"/>
      <c r="L240" s="286"/>
      <c r="M240" s="286"/>
      <c r="N240" s="286"/>
      <c r="O240" s="286"/>
      <c r="P240" s="286"/>
      <c r="Q240" s="286"/>
      <c r="R240" s="286"/>
      <c r="S240" s="286"/>
      <c r="T240" s="286"/>
      <c r="U240" s="286"/>
      <c r="V240" s="286"/>
      <c r="W240" s="286"/>
      <c r="X240" s="286"/>
      <c r="Y240" s="286"/>
      <c r="Z240" s="286"/>
      <c r="AA240" s="286"/>
    </row>
    <row r="241" spans="1:27" x14ac:dyDescent="0.25">
      <c r="A241" s="286"/>
      <c r="B241" s="286"/>
      <c r="C241" s="286"/>
      <c r="D241" s="286"/>
      <c r="E241" s="286"/>
      <c r="F241" s="286"/>
      <c r="G241" s="286"/>
      <c r="H241" s="286"/>
      <c r="I241" s="286"/>
      <c r="J241" s="286"/>
      <c r="K241" s="286"/>
      <c r="L241" s="286"/>
      <c r="M241" s="286"/>
      <c r="N241" s="286"/>
      <c r="O241" s="286"/>
      <c r="P241" s="286"/>
      <c r="Q241" s="286"/>
      <c r="R241" s="286"/>
      <c r="S241" s="286"/>
      <c r="T241" s="286"/>
      <c r="U241" s="286"/>
      <c r="V241" s="286"/>
      <c r="W241" s="286"/>
      <c r="X241" s="286"/>
      <c r="Y241" s="286"/>
      <c r="Z241" s="286"/>
      <c r="AA241" s="286"/>
    </row>
    <row r="242" spans="1:27" x14ac:dyDescent="0.25">
      <c r="A242" s="286"/>
      <c r="B242" s="286"/>
      <c r="C242" s="286"/>
      <c r="D242" s="286"/>
      <c r="E242" s="286"/>
      <c r="F242" s="286"/>
      <c r="G242" s="286"/>
      <c r="H242" s="286"/>
      <c r="I242" s="286"/>
      <c r="J242" s="286"/>
      <c r="K242" s="286"/>
      <c r="L242" s="286"/>
      <c r="M242" s="286"/>
      <c r="N242" s="286"/>
      <c r="O242" s="286"/>
      <c r="P242" s="286"/>
      <c r="Q242" s="286"/>
      <c r="R242" s="286"/>
      <c r="S242" s="286"/>
      <c r="T242" s="286"/>
      <c r="U242" s="286"/>
      <c r="V242" s="286"/>
      <c r="W242" s="286"/>
      <c r="X242" s="286"/>
      <c r="Y242" s="286"/>
      <c r="Z242" s="286"/>
      <c r="AA242" s="286"/>
    </row>
  </sheetData>
  <mergeCells count="56">
    <mergeCell ref="T47:V47"/>
    <mergeCell ref="T48:V48"/>
    <mergeCell ref="T49:V49"/>
    <mergeCell ref="T44:V44"/>
    <mergeCell ref="T45:V45"/>
    <mergeCell ref="T46:V46"/>
    <mergeCell ref="T42:V42"/>
    <mergeCell ref="T43:V43"/>
    <mergeCell ref="A13:B13"/>
    <mergeCell ref="A1:L1"/>
    <mergeCell ref="A4:B4"/>
    <mergeCell ref="A5:B5"/>
    <mergeCell ref="A9:B9"/>
    <mergeCell ref="A10:B10"/>
    <mergeCell ref="B43:D43"/>
    <mergeCell ref="F43:I43"/>
    <mergeCell ref="A14:B14"/>
    <mergeCell ref="A17:B17"/>
    <mergeCell ref="A18:B18"/>
    <mergeCell ref="A21:A22"/>
    <mergeCell ref="A25:B25"/>
    <mergeCell ref="A26:B26"/>
    <mergeCell ref="A29:A30"/>
    <mergeCell ref="B41:D41"/>
    <mergeCell ref="F41:I41"/>
    <mergeCell ref="B42:D42"/>
    <mergeCell ref="F42:I42"/>
    <mergeCell ref="B44:D44"/>
    <mergeCell ref="F44:I44"/>
    <mergeCell ref="B45:D45"/>
    <mergeCell ref="F45:I45"/>
    <mergeCell ref="B46:D46"/>
    <mergeCell ref="F46:I46"/>
    <mergeCell ref="B47:D47"/>
    <mergeCell ref="F47:I47"/>
    <mergeCell ref="B48:D48"/>
    <mergeCell ref="F48:I48"/>
    <mergeCell ref="B49:D49"/>
    <mergeCell ref="F49:I49"/>
    <mergeCell ref="W62:W63"/>
    <mergeCell ref="C63:D63"/>
    <mergeCell ref="E63:G63"/>
    <mergeCell ref="H63:J63"/>
    <mergeCell ref="L63:M63"/>
    <mergeCell ref="A52:B52"/>
    <mergeCell ref="O67:P67"/>
    <mergeCell ref="C69:G69"/>
    <mergeCell ref="O63:P63"/>
    <mergeCell ref="O64:P64"/>
    <mergeCell ref="O65:P65"/>
    <mergeCell ref="O66:P66"/>
    <mergeCell ref="G93:J93"/>
    <mergeCell ref="D94:E94"/>
    <mergeCell ref="G94:J94"/>
    <mergeCell ref="C89:D89"/>
    <mergeCell ref="D93:E9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212"/>
  <sheetViews>
    <sheetView topLeftCell="B184" zoomScaleNormal="100" workbookViewId="0">
      <selection activeCell="I22" sqref="I22"/>
    </sheetView>
  </sheetViews>
  <sheetFormatPr baseColWidth="10" defaultRowHeight="15" x14ac:dyDescent="0.25"/>
  <cols>
    <col min="1" max="1" width="6.140625" customWidth="1"/>
    <col min="2" max="2" width="23.7109375" customWidth="1"/>
    <col min="3" max="3" width="24.28515625" customWidth="1"/>
    <col min="4" max="4" width="11.85546875" customWidth="1"/>
    <col min="5" max="5" width="14.7109375" customWidth="1"/>
    <col min="6" max="6" width="13.140625" customWidth="1"/>
    <col min="7" max="7" width="12.42578125" customWidth="1"/>
    <col min="8" max="8" width="10.85546875" customWidth="1"/>
    <col min="9" max="9" width="15.85546875" customWidth="1"/>
    <col min="10" max="10" width="10.5703125" customWidth="1"/>
    <col min="11" max="11" width="10.7109375" customWidth="1"/>
    <col min="12" max="12" width="2.85546875" customWidth="1"/>
    <col min="13" max="13" width="10" customWidth="1"/>
    <col min="14" max="14" width="13.42578125" customWidth="1"/>
  </cols>
  <sheetData>
    <row r="1" spans="1:17" ht="24.75" x14ac:dyDescent="0.25">
      <c r="A1" s="1200" t="s">
        <v>163</v>
      </c>
      <c r="B1" s="1200"/>
      <c r="C1" s="1200"/>
      <c r="D1" s="1200"/>
      <c r="E1" s="1200"/>
      <c r="F1" s="1200"/>
      <c r="G1" s="1200"/>
      <c r="H1" s="1200"/>
      <c r="I1" s="1200"/>
      <c r="J1" s="1200"/>
      <c r="K1" s="1200"/>
      <c r="L1" s="17"/>
      <c r="M1" s="17"/>
      <c r="N1" s="8"/>
      <c r="O1" s="8"/>
      <c r="P1" s="3"/>
    </row>
    <row r="2" spans="1:17" ht="50.25" customHeight="1" x14ac:dyDescent="0.25">
      <c r="A2" s="1201" t="s">
        <v>164</v>
      </c>
      <c r="B2" s="1201"/>
      <c r="C2" s="1201"/>
      <c r="D2" s="1201"/>
      <c r="E2" s="1201"/>
      <c r="F2" s="1201"/>
      <c r="G2" s="1201"/>
      <c r="H2" s="1201"/>
      <c r="I2" s="1201"/>
      <c r="J2" s="1201"/>
      <c r="K2" s="1201"/>
      <c r="L2" s="17"/>
      <c r="M2" s="17"/>
      <c r="N2" s="8"/>
      <c r="O2" s="8"/>
      <c r="P2" s="3"/>
    </row>
    <row r="3" spans="1:17" x14ac:dyDescent="0.25">
      <c r="A3" s="1201" t="s">
        <v>165</v>
      </c>
      <c r="B3" s="1201"/>
      <c r="C3" s="1201"/>
      <c r="D3" s="1201"/>
      <c r="E3" s="1201"/>
      <c r="F3" s="1201"/>
      <c r="G3" s="1201"/>
      <c r="H3" s="1201"/>
      <c r="I3" s="1201"/>
      <c r="J3" s="1201"/>
      <c r="K3" s="1201"/>
      <c r="L3" s="566"/>
      <c r="M3" s="566"/>
      <c r="N3" s="286"/>
      <c r="O3" s="286"/>
    </row>
    <row r="4" spans="1:17" x14ac:dyDescent="0.25">
      <c r="A4" s="286"/>
      <c r="B4" s="286"/>
      <c r="C4" s="286"/>
      <c r="D4" s="728"/>
      <c r="E4" s="8"/>
      <c r="F4" s="286"/>
      <c r="G4" s="723"/>
      <c r="H4" s="723"/>
      <c r="I4" s="286"/>
      <c r="J4" s="286"/>
      <c r="K4" s="286"/>
      <c r="L4" s="17"/>
      <c r="M4" s="17"/>
      <c r="N4" s="8"/>
      <c r="O4" s="8"/>
      <c r="P4" s="3"/>
    </row>
    <row r="5" spans="1:17" x14ac:dyDescent="0.25">
      <c r="A5" s="733"/>
      <c r="B5" s="1154" t="s">
        <v>166</v>
      </c>
      <c r="C5" s="1155"/>
      <c r="D5" s="734" t="s">
        <v>2</v>
      </c>
      <c r="E5" s="6"/>
      <c r="F5" s="6"/>
      <c r="G5" s="6"/>
      <c r="H5" s="7"/>
      <c r="I5" s="8"/>
      <c r="J5" s="8"/>
      <c r="K5" s="8"/>
      <c r="L5" s="17"/>
      <c r="M5" s="17"/>
      <c r="N5" s="8"/>
      <c r="O5" s="8"/>
      <c r="P5" s="3"/>
    </row>
    <row r="6" spans="1:17" x14ac:dyDescent="0.25">
      <c r="A6" s="8"/>
      <c r="B6" s="1154" t="s">
        <v>6</v>
      </c>
      <c r="C6" s="1155"/>
      <c r="D6" s="735" t="s">
        <v>7</v>
      </c>
      <c r="E6" s="11" t="s">
        <v>167</v>
      </c>
      <c r="F6" s="12"/>
      <c r="G6" s="13"/>
      <c r="H6" s="14"/>
      <c r="I6" s="8"/>
      <c r="J6" s="8"/>
      <c r="K6" s="8"/>
      <c r="L6" s="17"/>
      <c r="M6" s="17"/>
      <c r="N6" s="8"/>
      <c r="O6" s="8"/>
      <c r="P6" s="3"/>
    </row>
    <row r="7" spans="1:17" x14ac:dyDescent="0.25">
      <c r="A7" s="8"/>
      <c r="B7" s="1198" t="s">
        <v>9</v>
      </c>
      <c r="C7" s="1199"/>
      <c r="D7" s="736" t="s">
        <v>7</v>
      </c>
      <c r="E7" s="646" t="s">
        <v>10</v>
      </c>
      <c r="F7" s="12"/>
      <c r="G7" s="13"/>
      <c r="H7" s="14"/>
      <c r="I7" s="8"/>
      <c r="J7" s="8"/>
      <c r="K7" s="8"/>
      <c r="L7" s="17"/>
      <c r="M7" s="17"/>
      <c r="N7" s="17" t="s">
        <v>361</v>
      </c>
      <c r="O7" s="17"/>
      <c r="P7" s="24"/>
      <c r="Q7" s="343" t="s">
        <v>363</v>
      </c>
    </row>
    <row r="8" spans="1:17" ht="15.75" thickBot="1" x14ac:dyDescent="0.3">
      <c r="A8" s="17"/>
      <c r="B8" s="18"/>
      <c r="C8" s="19"/>
      <c r="D8" s="737"/>
      <c r="E8" s="738"/>
      <c r="F8" s="21"/>
      <c r="G8" s="22"/>
      <c r="H8" s="23"/>
      <c r="I8" s="17"/>
      <c r="J8" s="17"/>
      <c r="K8" s="17"/>
      <c r="L8" s="17"/>
      <c r="M8" s="17"/>
      <c r="N8" s="286" t="s">
        <v>351</v>
      </c>
      <c r="O8" s="8"/>
      <c r="P8" s="3"/>
      <c r="Q8" s="343" t="s">
        <v>364</v>
      </c>
    </row>
    <row r="9" spans="1:17" x14ac:dyDescent="0.25">
      <c r="A9" s="739"/>
      <c r="B9" s="1165" t="s">
        <v>348</v>
      </c>
      <c r="C9" s="1166"/>
      <c r="D9" s="1166"/>
      <c r="E9" s="1166"/>
      <c r="F9" s="1167"/>
      <c r="G9" s="740"/>
      <c r="H9" s="7"/>
      <c r="I9" s="8"/>
      <c r="J9" s="8"/>
      <c r="K9" s="8"/>
      <c r="L9" s="17"/>
      <c r="M9" s="17"/>
      <c r="N9" s="286" t="s">
        <v>350</v>
      </c>
      <c r="O9" s="17"/>
      <c r="P9" s="24"/>
      <c r="Q9" t="s">
        <v>365</v>
      </c>
    </row>
    <row r="10" spans="1:17" x14ac:dyDescent="0.25">
      <c r="A10" s="741"/>
      <c r="B10" s="742" t="s">
        <v>349</v>
      </c>
      <c r="C10" s="742" t="s">
        <v>361</v>
      </c>
      <c r="D10" s="742" t="s">
        <v>365</v>
      </c>
      <c r="E10" s="742"/>
      <c r="F10" s="742"/>
      <c r="G10" s="743"/>
      <c r="H10" s="7"/>
      <c r="I10" s="17"/>
      <c r="J10" s="17"/>
      <c r="K10" s="17"/>
      <c r="L10" s="17"/>
      <c r="M10" s="17"/>
      <c r="N10" s="286" t="s">
        <v>157</v>
      </c>
      <c r="O10" s="8"/>
      <c r="P10" s="3"/>
      <c r="Q10" t="s">
        <v>366</v>
      </c>
    </row>
    <row r="11" spans="1:17" ht="15.75" thickBot="1" x14ac:dyDescent="0.3">
      <c r="A11" s="8"/>
      <c r="B11" s="8"/>
      <c r="C11" s="8"/>
      <c r="D11" s="141">
        <f>Info!B34</f>
        <v>1946</v>
      </c>
      <c r="E11" s="8"/>
      <c r="F11" s="8"/>
      <c r="G11" s="8"/>
      <c r="H11" s="7"/>
      <c r="I11" s="8"/>
      <c r="J11" s="8"/>
      <c r="K11" s="8"/>
      <c r="L11" s="17"/>
      <c r="M11" s="17"/>
      <c r="N11" s="286" t="s">
        <v>159</v>
      </c>
      <c r="O11" s="8"/>
      <c r="P11" s="3"/>
      <c r="Q11" t="s">
        <v>37</v>
      </c>
    </row>
    <row r="12" spans="1:17" ht="15.75" thickBot="1" x14ac:dyDescent="0.3">
      <c r="A12" s="8"/>
      <c r="B12" s="149"/>
      <c r="C12" s="6"/>
      <c r="D12" s="6"/>
      <c r="E12" s="6"/>
      <c r="F12" s="6"/>
      <c r="G12" s="6"/>
      <c r="H12" s="7"/>
      <c r="I12" s="8"/>
      <c r="J12" s="8"/>
      <c r="K12" s="8"/>
      <c r="L12" s="17"/>
      <c r="M12" s="17"/>
      <c r="N12" s="286" t="s">
        <v>352</v>
      </c>
      <c r="O12" s="8"/>
      <c r="P12" s="3"/>
      <c r="Q12" t="s">
        <v>367</v>
      </c>
    </row>
    <row r="13" spans="1:17" x14ac:dyDescent="0.25">
      <c r="A13" s="6"/>
      <c r="B13" s="1165" t="s">
        <v>168</v>
      </c>
      <c r="C13" s="1166"/>
      <c r="D13" s="1166"/>
      <c r="E13" s="1166"/>
      <c r="F13" s="1167"/>
      <c r="G13" s="142"/>
      <c r="H13" s="8"/>
      <c r="I13" s="105"/>
      <c r="J13" s="105"/>
      <c r="K13" s="8"/>
      <c r="L13" s="17"/>
      <c r="M13" s="17"/>
      <c r="N13" s="286" t="s">
        <v>23</v>
      </c>
      <c r="O13" s="8"/>
      <c r="P13" s="3"/>
      <c r="Q13" t="s">
        <v>368</v>
      </c>
    </row>
    <row r="14" spans="1:17" x14ac:dyDescent="0.25">
      <c r="A14" s="6"/>
      <c r="B14" s="744"/>
      <c r="C14" s="744"/>
      <c r="D14" s="745"/>
      <c r="E14" s="742"/>
      <c r="F14" s="144"/>
      <c r="G14" s="142"/>
      <c r="H14" s="8"/>
      <c r="I14" s="105"/>
      <c r="J14" s="105"/>
      <c r="K14" s="8"/>
      <c r="L14" s="17"/>
      <c r="M14" s="17"/>
      <c r="N14" s="286" t="s">
        <v>353</v>
      </c>
      <c r="O14" s="8"/>
      <c r="P14" s="3"/>
      <c r="Q14" t="s">
        <v>369</v>
      </c>
    </row>
    <row r="15" spans="1:17" x14ac:dyDescent="0.25">
      <c r="A15" s="6"/>
      <c r="B15" s="744"/>
      <c r="C15" s="92" t="s">
        <v>169</v>
      </c>
      <c r="D15" s="1190">
        <f>Info!B41</f>
        <v>44576</v>
      </c>
      <c r="E15" s="1190"/>
      <c r="F15" s="144"/>
      <c r="G15" s="142"/>
      <c r="H15" s="8"/>
      <c r="I15" s="105"/>
      <c r="J15" s="105"/>
      <c r="K15" s="8"/>
      <c r="L15" s="17"/>
      <c r="M15" s="17"/>
      <c r="N15" s="286" t="s">
        <v>354</v>
      </c>
      <c r="O15" s="8"/>
      <c r="P15" s="3"/>
      <c r="Q15" t="s">
        <v>370</v>
      </c>
    </row>
    <row r="16" spans="1:17" x14ac:dyDescent="0.25">
      <c r="A16" s="6"/>
      <c r="B16" s="744"/>
      <c r="C16" s="92" t="s">
        <v>82</v>
      </c>
      <c r="D16" s="1190">
        <f>Info!B49</f>
        <v>44583</v>
      </c>
      <c r="E16" s="1190"/>
      <c r="F16" s="144"/>
      <c r="G16" s="142"/>
      <c r="H16" s="8"/>
      <c r="I16" s="105"/>
      <c r="J16" s="105"/>
      <c r="K16" s="8"/>
      <c r="L16" s="17"/>
      <c r="M16" s="17"/>
      <c r="N16" s="286" t="s">
        <v>355</v>
      </c>
      <c r="O16" s="8"/>
      <c r="P16" s="3"/>
      <c r="Q16" t="s">
        <v>371</v>
      </c>
    </row>
    <row r="17" spans="1:20" x14ac:dyDescent="0.25">
      <c r="A17" s="6"/>
      <c r="B17" s="1191" t="s">
        <v>170</v>
      </c>
      <c r="C17" s="1191"/>
      <c r="D17" s="145">
        <f>Info!B40</f>
        <v>8</v>
      </c>
      <c r="E17" s="746"/>
      <c r="F17" s="104"/>
      <c r="G17" s="142"/>
      <c r="H17" s="8"/>
      <c r="I17" s="105"/>
      <c r="J17" s="105"/>
      <c r="K17" s="8"/>
      <c r="L17" s="71"/>
      <c r="M17" s="71"/>
      <c r="N17" s="286" t="s">
        <v>356</v>
      </c>
      <c r="O17" s="71"/>
      <c r="P17" s="38"/>
      <c r="Q17" t="s">
        <v>372</v>
      </c>
    </row>
    <row r="18" spans="1:20" ht="15.75" thickBot="1" x14ac:dyDescent="0.3">
      <c r="A18" s="109"/>
      <c r="B18" s="747"/>
      <c r="C18" s="747"/>
      <c r="D18" s="146"/>
      <c r="E18" s="147"/>
      <c r="F18" s="109"/>
      <c r="G18" s="148"/>
      <c r="H18" s="71"/>
      <c r="I18" s="106"/>
      <c r="J18" s="106"/>
      <c r="K18" s="71"/>
      <c r="L18" s="17"/>
      <c r="M18" s="17"/>
      <c r="N18" s="748" t="s">
        <v>358</v>
      </c>
      <c r="O18" s="8"/>
      <c r="P18" s="3"/>
      <c r="Q18" t="s">
        <v>37</v>
      </c>
    </row>
    <row r="19" spans="1:20" x14ac:dyDescent="0.25">
      <c r="A19" s="6"/>
      <c r="B19" s="1165" t="s">
        <v>171</v>
      </c>
      <c r="C19" s="1166"/>
      <c r="D19" s="1166"/>
      <c r="E19" s="1166"/>
      <c r="F19" s="1167"/>
      <c r="G19" s="149"/>
      <c r="H19" s="8"/>
      <c r="I19" s="8"/>
      <c r="J19" s="8"/>
      <c r="K19" s="8"/>
      <c r="L19" s="17"/>
      <c r="M19" s="17"/>
      <c r="N19" s="286" t="s">
        <v>357</v>
      </c>
      <c r="O19" s="8"/>
      <c r="P19" s="3"/>
      <c r="Q19" t="s">
        <v>373</v>
      </c>
    </row>
    <row r="20" spans="1:20" x14ac:dyDescent="0.25">
      <c r="A20" s="6"/>
      <c r="B20" s="749"/>
      <c r="C20" s="750"/>
      <c r="D20" s="8"/>
      <c r="E20" s="8"/>
      <c r="F20" s="8"/>
      <c r="G20" s="149"/>
      <c r="H20" s="8"/>
      <c r="I20" s="8"/>
      <c r="J20" s="8"/>
      <c r="K20" s="8"/>
      <c r="L20" s="17"/>
      <c r="M20" s="17"/>
      <c r="N20" s="286" t="s">
        <v>359</v>
      </c>
      <c r="O20" s="8"/>
      <c r="P20" s="3"/>
      <c r="Q20" t="s">
        <v>374</v>
      </c>
    </row>
    <row r="21" spans="1:20" x14ac:dyDescent="0.25">
      <c r="A21" s="6"/>
      <c r="B21" s="150"/>
      <c r="C21" s="151" t="s">
        <v>172</v>
      </c>
      <c r="D21" s="152">
        <v>6</v>
      </c>
      <c r="E21" s="8"/>
      <c r="F21" s="655" t="str">
        <f>IF(D23=0,"Indiquer le nombre prévisionnel de stagiaires !!","")</f>
        <v/>
      </c>
      <c r="G21" s="149"/>
      <c r="H21" s="8"/>
      <c r="I21" s="8"/>
      <c r="J21" s="8"/>
      <c r="K21" s="8"/>
      <c r="L21" s="17"/>
      <c r="M21" s="17"/>
      <c r="N21" s="286" t="s">
        <v>360</v>
      </c>
      <c r="O21" s="8"/>
      <c r="P21" s="3"/>
      <c r="Q21" t="s">
        <v>375</v>
      </c>
    </row>
    <row r="22" spans="1:20" x14ac:dyDescent="0.25">
      <c r="A22" s="6"/>
      <c r="B22" s="751"/>
      <c r="C22" s="153" t="s">
        <v>173</v>
      </c>
      <c r="D22" s="152">
        <v>0</v>
      </c>
      <c r="E22" s="146"/>
      <c r="F22" s="146"/>
      <c r="G22" s="149"/>
      <c r="H22" s="8"/>
      <c r="I22" s="8"/>
      <c r="J22" s="8"/>
      <c r="K22" s="8"/>
      <c r="L22" s="17"/>
      <c r="M22" s="17"/>
      <c r="N22" s="8"/>
      <c r="O22" s="8"/>
      <c r="P22" s="3"/>
      <c r="Q22" t="s">
        <v>376</v>
      </c>
    </row>
    <row r="23" spans="1:20" x14ac:dyDescent="0.25">
      <c r="A23" s="6"/>
      <c r="B23" s="751"/>
      <c r="C23" s="752" t="s">
        <v>174</v>
      </c>
      <c r="D23" s="145">
        <f>D21+D22</f>
        <v>6</v>
      </c>
      <c r="E23" s="146"/>
      <c r="F23" s="753" t="str">
        <f>IF(D21+D22=D23,"","ERREUR")</f>
        <v/>
      </c>
      <c r="G23" s="149"/>
      <c r="H23" s="8"/>
      <c r="I23" s="8"/>
      <c r="J23" s="8"/>
      <c r="K23" s="8"/>
      <c r="L23" s="71"/>
      <c r="M23" s="1192"/>
      <c r="N23" s="1192"/>
      <c r="O23" s="1"/>
      <c r="P23" s="2"/>
      <c r="Q23" t="s">
        <v>377</v>
      </c>
    </row>
    <row r="24" spans="1:20" ht="15.75" thickBot="1" x14ac:dyDescent="0.3">
      <c r="A24" s="110"/>
      <c r="B24" s="754"/>
      <c r="C24" s="755"/>
      <c r="D24" s="154"/>
      <c r="E24" s="146"/>
      <c r="F24" s="146"/>
      <c r="G24" s="142"/>
      <c r="H24" s="17"/>
      <c r="I24" s="17"/>
      <c r="J24" s="17"/>
      <c r="K24" s="17"/>
      <c r="L24" s="71"/>
      <c r="M24" s="756"/>
      <c r="N24" s="756"/>
      <c r="O24" s="71"/>
      <c r="P24" s="38"/>
      <c r="Q24" t="s">
        <v>378</v>
      </c>
    </row>
    <row r="25" spans="1:20" ht="15.75" thickBot="1" x14ac:dyDescent="0.3">
      <c r="A25" s="6"/>
      <c r="B25" s="1193" t="s">
        <v>175</v>
      </c>
      <c r="C25" s="1194"/>
      <c r="D25" s="155" t="s">
        <v>176</v>
      </c>
      <c r="E25" s="146"/>
      <c r="F25" s="156" t="s">
        <v>177</v>
      </c>
      <c r="G25" s="149"/>
      <c r="H25" s="8"/>
      <c r="I25" s="8"/>
      <c r="J25" s="8"/>
      <c r="K25" s="8"/>
      <c r="L25" s="71"/>
      <c r="M25" s="1195" t="s">
        <v>178</v>
      </c>
      <c r="N25" s="1196"/>
      <c r="O25" s="1"/>
      <c r="P25" s="2"/>
      <c r="Q25" t="s">
        <v>368</v>
      </c>
    </row>
    <row r="26" spans="1:20" ht="15.75" thickBot="1" x14ac:dyDescent="0.3">
      <c r="A26" s="158"/>
      <c r="B26" s="1197"/>
      <c r="C26" s="1197"/>
      <c r="D26" s="1"/>
      <c r="E26" s="157"/>
      <c r="F26" s="7"/>
      <c r="G26" s="158"/>
      <c r="H26" s="1"/>
      <c r="I26" s="1"/>
      <c r="J26" s="1"/>
      <c r="K26" s="1"/>
      <c r="L26" s="757"/>
      <c r="M26" s="71"/>
      <c r="N26" s="71"/>
      <c r="O26" s="71"/>
      <c r="P26" s="3"/>
      <c r="Q26" t="s">
        <v>369</v>
      </c>
    </row>
    <row r="27" spans="1:20" x14ac:dyDescent="0.25">
      <c r="A27" s="6"/>
      <c r="B27" s="1165" t="s">
        <v>179</v>
      </c>
      <c r="C27" s="1166"/>
      <c r="D27" s="1166"/>
      <c r="E27" s="1166"/>
      <c r="F27" s="1167"/>
      <c r="G27" s="158"/>
      <c r="H27" s="758"/>
      <c r="I27" s="758"/>
      <c r="J27" s="758"/>
      <c r="K27" s="758"/>
      <c r="L27" s="757"/>
      <c r="M27" s="71"/>
      <c r="N27" s="71"/>
      <c r="O27" s="71"/>
      <c r="P27" s="24"/>
      <c r="Q27" s="343" t="s">
        <v>379</v>
      </c>
    </row>
    <row r="28" spans="1:20" x14ac:dyDescent="0.25">
      <c r="A28" s="6"/>
      <c r="B28" s="742"/>
      <c r="C28" s="742"/>
      <c r="D28" s="742"/>
      <c r="E28" s="742"/>
      <c r="F28" s="742"/>
      <c r="G28" s="158"/>
      <c r="H28" s="758"/>
      <c r="I28" s="758"/>
      <c r="J28" s="758"/>
      <c r="K28" s="758"/>
      <c r="L28" s="757"/>
      <c r="M28" s="71"/>
      <c r="N28" s="71"/>
      <c r="O28" s="71"/>
      <c r="P28" s="24"/>
      <c r="Q28" t="s">
        <v>380</v>
      </c>
      <c r="T28" t="s">
        <v>623</v>
      </c>
    </row>
    <row r="29" spans="1:20" x14ac:dyDescent="0.25">
      <c r="A29" s="110"/>
      <c r="B29" s="759"/>
      <c r="C29" s="760"/>
      <c r="D29" s="187" t="s">
        <v>180</v>
      </c>
      <c r="E29" s="761" t="s">
        <v>181</v>
      </c>
      <c r="F29" s="159" t="s">
        <v>182</v>
      </c>
      <c r="G29" s="80">
        <f ca="1">IF(E30="",0,E30)</f>
        <v>0</v>
      </c>
      <c r="H29" s="766" t="s">
        <v>622</v>
      </c>
      <c r="I29" s="766">
        <v>1</v>
      </c>
      <c r="J29" s="763">
        <v>2</v>
      </c>
      <c r="K29" s="763"/>
      <c r="L29" s="757"/>
      <c r="M29" s="1188" t="s">
        <v>183</v>
      </c>
      <c r="N29" s="1189"/>
      <c r="O29" s="8"/>
      <c r="P29" s="3"/>
      <c r="Q29" t="s">
        <v>381</v>
      </c>
      <c r="T29" t="s">
        <v>624</v>
      </c>
    </row>
    <row r="30" spans="1:20" x14ac:dyDescent="0.25">
      <c r="A30" s="6"/>
      <c r="B30" s="764" t="str">
        <f ca="1">Info!E64</f>
        <v>Supplémentaire</v>
      </c>
      <c r="C30" s="765" t="str">
        <f ca="1">IF(AND(Info!B64="",Info!L64=""),"",IF(Info!L64="","Bénévole",Info!K64))</f>
        <v>Bénévole</v>
      </c>
      <c r="D30" s="341">
        <f ca="1">Info!O64</f>
        <v>8</v>
      </c>
      <c r="E30" s="766" t="str">
        <f ca="1">IF(C30=N$30,M$30*D30,IF(C30=N$32,M$32*D30,IF(C30=N$33,M$33*D30,"")))</f>
        <v/>
      </c>
      <c r="F30" s="160">
        <f ca="1">IF(C30="Bénévole",D30*M$34,"")</f>
        <v>800</v>
      </c>
      <c r="G30" s="286"/>
      <c r="H30" s="766" t="s">
        <v>623</v>
      </c>
      <c r="I30" s="767">
        <v>3</v>
      </c>
      <c r="J30" s="767"/>
      <c r="K30" s="767"/>
      <c r="L30" s="566"/>
      <c r="M30" s="162">
        <v>350</v>
      </c>
      <c r="N30" s="163" t="str">
        <f>'[1]3-Fichiers'!Q8</f>
        <v>GHM</v>
      </c>
      <c r="O30" s="286"/>
      <c r="Q30" t="s">
        <v>366</v>
      </c>
    </row>
    <row r="31" spans="1:20" x14ac:dyDescent="0.25">
      <c r="A31" s="6"/>
      <c r="B31" s="768" t="str">
        <f ca="1">IF(C30="Bénévole","Cocher X pour comptabiliser le bénévolat Instructeur au niveau professionnel ","")</f>
        <v xml:space="preserve">Cocher X pour comptabiliser le bénévolat Instructeur au niveau professionnel </v>
      </c>
      <c r="C31" s="769"/>
      <c r="D31" s="342"/>
      <c r="E31" s="761"/>
      <c r="F31" s="770"/>
      <c r="G31" s="80"/>
      <c r="H31" s="766" t="s">
        <v>624</v>
      </c>
      <c r="I31" s="767"/>
      <c r="J31" s="767">
        <v>2</v>
      </c>
      <c r="K31" s="767"/>
      <c r="L31" s="164" t="str">
        <f>IF('[1]2-Infos'!L72="X","X","")</f>
        <v>X</v>
      </c>
      <c r="M31" s="165">
        <f ca="1">IF(C30="Bénévole",M35,"Pas de")</f>
        <v>230</v>
      </c>
      <c r="N31" s="105" t="s">
        <v>184</v>
      </c>
      <c r="O31" s="286"/>
      <c r="Q31" t="s">
        <v>382</v>
      </c>
    </row>
    <row r="32" spans="1:20" x14ac:dyDescent="0.25">
      <c r="A32" s="6"/>
      <c r="B32" s="764" t="str">
        <f ca="1">Info!E65</f>
        <v>Supplémentaire</v>
      </c>
      <c r="C32" s="765" t="str">
        <f ca="1">IF(AND(Info!B65="",Info!L65=""),"",IF(Info!L65="","Bénévole",Info!K65))</f>
        <v>Bénévole</v>
      </c>
      <c r="D32" s="341">
        <f>IF(Info!O65="","",Info!O65)</f>
        <v>1</v>
      </c>
      <c r="E32" s="766" t="str">
        <f ca="1">IF(C32=N$30,M$30*D32,IF(C32=N$32,M$32*D32,IF(C32=N$33,M$33*D32,"")))</f>
        <v/>
      </c>
      <c r="F32" s="160">
        <f ca="1">IF(C32="Bénévole",D32*M$34,"")</f>
        <v>100</v>
      </c>
      <c r="G32" s="80" t="str">
        <f ca="1">IF(C32=N$30,M$30,IF(C32=N$32,M$32,IF(C32=N$33,M$33,"")))</f>
        <v/>
      </c>
      <c r="H32" s="766" t="s">
        <v>625</v>
      </c>
      <c r="I32" s="1"/>
      <c r="J32" s="1"/>
      <c r="K32" s="1"/>
      <c r="L32" s="8"/>
      <c r="M32" s="162">
        <v>100</v>
      </c>
      <c r="N32" s="163" t="str">
        <f>'[1]3-Fichiers'!O8</f>
        <v>AMM</v>
      </c>
      <c r="O32" s="8"/>
      <c r="P32" s="3"/>
      <c r="Q32" t="s">
        <v>383</v>
      </c>
    </row>
    <row r="33" spans="1:17" x14ac:dyDescent="0.25">
      <c r="A33" s="6"/>
      <c r="B33" s="764" t="str">
        <f>Info!E66</f>
        <v/>
      </c>
      <c r="C33" s="765" t="str">
        <f>IF(AND(Info!B66="",Info!L66=""),"",IF(Info!L66="","Bénévole",Info!K66))</f>
        <v/>
      </c>
      <c r="D33" s="341" t="str">
        <f>IF(Info!O66="","",Info!O66)</f>
        <v/>
      </c>
      <c r="E33" s="771" t="str">
        <f>IF('[1]2-Infos'!L70="Professionnel",D33*G33,"")</f>
        <v/>
      </c>
      <c r="F33" s="160" t="str">
        <f>IF(C33="Bénévole",D33*M$34,"")</f>
        <v/>
      </c>
      <c r="G33" s="80" t="str">
        <f>IF(C33=N$30,M$30,IF(C33=N$32,M$32,IF(C33=N$33,M$33,"")))</f>
        <v/>
      </c>
      <c r="H33" s="766" t="s">
        <v>629</v>
      </c>
      <c r="I33" s="1">
        <f>IF(I29="","",E44*I30)</f>
        <v>120</v>
      </c>
      <c r="J33" s="1"/>
      <c r="K33" s="1"/>
      <c r="L33" s="8"/>
      <c r="M33" s="162">
        <v>230</v>
      </c>
      <c r="N33" s="163" t="str">
        <f>'[1]3-Fichiers'!P8</f>
        <v>BEES</v>
      </c>
      <c r="O33" s="8"/>
      <c r="P33" s="3"/>
      <c r="Q33" t="s">
        <v>367</v>
      </c>
    </row>
    <row r="34" spans="1:17" x14ac:dyDescent="0.25">
      <c r="A34" s="286"/>
      <c r="B34" s="764" t="str">
        <f>Info!E67</f>
        <v/>
      </c>
      <c r="C34" s="765" t="str">
        <f>IF(AND(Info!B67="",Info!L67=""),"",IF(Info!L67="","Bénévole",Info!K67))</f>
        <v/>
      </c>
      <c r="D34" s="341" t="str">
        <f>IF(Info!O67="","",Info!O67)</f>
        <v/>
      </c>
      <c r="E34" s="771" t="str">
        <f>IF('[1]2-Infos'!L71="Professionnel",D34*G34,"")</f>
        <v/>
      </c>
      <c r="F34" s="160" t="str">
        <f>IF(C34="Bénévole",D34*M$34,"")</f>
        <v/>
      </c>
      <c r="G34" s="80" t="str">
        <f>IF(C34=N$30,M$30,IF(C34=N$32,M$32,IF(C34=N$33,M$33,"")))</f>
        <v/>
      </c>
      <c r="H34" s="80">
        <f>IF(B34="GOEMARE",E34,0)</f>
        <v>0</v>
      </c>
      <c r="I34" s="286"/>
      <c r="J34" s="286"/>
      <c r="K34" s="286"/>
      <c r="L34" s="566"/>
      <c r="M34" s="162">
        <v>100</v>
      </c>
      <c r="N34" s="163" t="s">
        <v>185</v>
      </c>
      <c r="O34" s="286"/>
      <c r="Q34" t="s">
        <v>384</v>
      </c>
    </row>
    <row r="35" spans="1:17" x14ac:dyDescent="0.25">
      <c r="A35" s="286"/>
      <c r="B35" s="772"/>
      <c r="C35" s="286"/>
      <c r="D35" s="80"/>
      <c r="E35" s="773">
        <f>IF(F31="X",D30*M35,0)</f>
        <v>0</v>
      </c>
      <c r="F35" s="773">
        <f>IF(F31="X",-F30,0)</f>
        <v>0</v>
      </c>
      <c r="G35" s="80">
        <f ca="1">G29+E35</f>
        <v>0</v>
      </c>
      <c r="H35" s="80">
        <f>E35</f>
        <v>0</v>
      </c>
      <c r="I35" s="286"/>
      <c r="J35" s="286"/>
      <c r="K35" s="286"/>
      <c r="L35" s="566"/>
      <c r="M35" s="162">
        <f>M33</f>
        <v>230</v>
      </c>
      <c r="N35" s="163" t="s">
        <v>186</v>
      </c>
      <c r="O35" s="286"/>
      <c r="Q35" t="s">
        <v>368</v>
      </c>
    </row>
    <row r="36" spans="1:17" ht="15.75" thickBot="1" x14ac:dyDescent="0.3">
      <c r="A36" s="286"/>
      <c r="B36" s="774" t="s">
        <v>187</v>
      </c>
      <c r="C36" s="286"/>
      <c r="D36" s="762"/>
      <c r="E36" s="775"/>
      <c r="F36" s="775"/>
      <c r="G36" s="762"/>
      <c r="H36" s="762"/>
      <c r="I36" s="566"/>
      <c r="J36" s="566"/>
      <c r="K36" s="566"/>
      <c r="L36" s="566"/>
      <c r="M36" s="166"/>
      <c r="N36" s="167"/>
      <c r="O36" s="286"/>
      <c r="Q36" t="s">
        <v>385</v>
      </c>
    </row>
    <row r="37" spans="1:17" ht="15.75" thickBot="1" x14ac:dyDescent="0.3">
      <c r="A37" s="776"/>
      <c r="B37" s="1181" t="s">
        <v>188</v>
      </c>
      <c r="C37" s="1182"/>
      <c r="D37" s="168">
        <f ca="1">SUM(E30:E35)</f>
        <v>0</v>
      </c>
      <c r="E37" s="169"/>
      <c r="F37" s="170">
        <f ca="1">D37/D$23</f>
        <v>0</v>
      </c>
      <c r="G37" s="171"/>
      <c r="H37" s="172"/>
      <c r="I37" s="172"/>
      <c r="J37" s="172"/>
      <c r="K37" s="172"/>
      <c r="L37" s="777"/>
      <c r="M37" s="71"/>
      <c r="N37" s="71"/>
      <c r="O37" s="71"/>
      <c r="P37" s="38"/>
      <c r="Q37" t="s">
        <v>386</v>
      </c>
    </row>
    <row r="38" spans="1:17" ht="15.75" thickBot="1" x14ac:dyDescent="0.3">
      <c r="A38" s="778"/>
      <c r="B38" s="779"/>
      <c r="C38" s="780"/>
      <c r="D38" s="173"/>
      <c r="E38" s="174"/>
      <c r="F38" s="175"/>
      <c r="G38" s="171"/>
      <c r="H38" s="172"/>
      <c r="I38" s="172"/>
      <c r="J38" s="172"/>
      <c r="K38" s="172"/>
      <c r="L38" s="781"/>
      <c r="M38" s="176"/>
      <c r="N38" s="8"/>
      <c r="O38" s="8"/>
      <c r="P38" s="3"/>
      <c r="Q38" t="s">
        <v>387</v>
      </c>
    </row>
    <row r="39" spans="1:17" ht="15.75" thickBot="1" x14ac:dyDescent="0.3">
      <c r="A39" s="6"/>
      <c r="B39" s="1183" t="s">
        <v>189</v>
      </c>
      <c r="C39" s="1184"/>
      <c r="D39" s="168">
        <f ca="1">SUM(F30:F35)</f>
        <v>900</v>
      </c>
      <c r="E39" s="169"/>
      <c r="F39" s="170">
        <f ca="1">D39/D$23</f>
        <v>150</v>
      </c>
      <c r="G39" s="177"/>
      <c r="H39" s="777"/>
      <c r="I39" s="777"/>
      <c r="J39" s="777"/>
      <c r="K39" s="777"/>
      <c r="L39" s="178"/>
      <c r="M39" s="179"/>
      <c r="N39" s="71"/>
      <c r="O39" s="71"/>
      <c r="P39" s="38"/>
      <c r="Q39" t="s">
        <v>388</v>
      </c>
    </row>
    <row r="40" spans="1:17" ht="15.75" thickBot="1" x14ac:dyDescent="0.3">
      <c r="A40" s="6"/>
      <c r="B40" s="782"/>
      <c r="C40" s="782"/>
      <c r="D40" s="71"/>
      <c r="E40" s="180"/>
      <c r="F40" s="181"/>
      <c r="G40" s="182"/>
      <c r="H40" s="178"/>
      <c r="I40" s="178"/>
      <c r="J40" s="178"/>
      <c r="K40" s="178"/>
      <c r="L40" s="17"/>
      <c r="M40" s="17"/>
      <c r="N40" s="8"/>
      <c r="O40" s="8"/>
      <c r="P40" s="3"/>
      <c r="Q40" t="s">
        <v>389</v>
      </c>
    </row>
    <row r="41" spans="1:17" x14ac:dyDescent="0.25">
      <c r="A41" s="6"/>
      <c r="B41" s="1165" t="s">
        <v>190</v>
      </c>
      <c r="C41" s="1166"/>
      <c r="D41" s="1166"/>
      <c r="E41" s="1166"/>
      <c r="F41" s="1167"/>
      <c r="G41" s="149"/>
      <c r="H41" s="8"/>
      <c r="I41" s="8"/>
      <c r="J41" s="8"/>
      <c r="K41" s="8"/>
      <c r="L41" s="17"/>
      <c r="M41" s="17"/>
      <c r="N41" s="17"/>
      <c r="O41" s="17"/>
      <c r="P41" s="24"/>
      <c r="Q41" t="s">
        <v>390</v>
      </c>
    </row>
    <row r="42" spans="1:17" x14ac:dyDescent="0.25">
      <c r="A42" s="110"/>
      <c r="B42" s="783"/>
      <c r="C42" s="742"/>
      <c r="D42" s="742"/>
      <c r="E42" s="742"/>
      <c r="F42" s="60"/>
      <c r="G42" s="1185" t="s">
        <v>191</v>
      </c>
      <c r="H42" s="1186"/>
      <c r="I42" s="1186"/>
      <c r="J42" s="1187"/>
      <c r="K42" s="17"/>
      <c r="L42" s="17"/>
      <c r="M42" s="784"/>
      <c r="N42" s="17"/>
      <c r="O42" s="17"/>
      <c r="P42" s="24"/>
      <c r="Q42" t="s">
        <v>391</v>
      </c>
    </row>
    <row r="43" spans="1:17" x14ac:dyDescent="0.25">
      <c r="A43" s="110"/>
      <c r="B43" s="785" t="str">
        <f>IF('[1]2-Infos'!B59="x","Mode principal :","")</f>
        <v/>
      </c>
      <c r="C43" s="757" t="str">
        <f>IF('[1]2-Infos'!B59="x",'[1]2-Infos'!A59,"")</f>
        <v/>
      </c>
      <c r="D43" s="786" t="s">
        <v>192</v>
      </c>
      <c r="E43" s="787" t="s">
        <v>193</v>
      </c>
      <c r="F43" s="187" t="s">
        <v>194</v>
      </c>
      <c r="G43" s="788" t="str">
        <f ca="1">B30</f>
        <v>Supplémentaire</v>
      </c>
      <c r="H43" s="788" t="str">
        <f ca="1">B32</f>
        <v>Supplémentaire</v>
      </c>
      <c r="I43" s="788" t="str">
        <f>B33</f>
        <v/>
      </c>
      <c r="J43" s="788" t="str">
        <f>B34</f>
        <v/>
      </c>
      <c r="K43" s="8"/>
      <c r="L43" s="17"/>
      <c r="M43" s="8"/>
      <c r="N43" s="8"/>
      <c r="O43" s="789"/>
      <c r="P43" s="3"/>
      <c r="Q43" t="s">
        <v>392</v>
      </c>
    </row>
    <row r="44" spans="1:17" x14ac:dyDescent="0.25">
      <c r="A44" s="6"/>
      <c r="B44" s="790" t="str">
        <f>IF(Info!B54="x","Mode principal :","")</f>
        <v>Mode principal :</v>
      </c>
      <c r="C44" s="791" t="str">
        <f>'[1]2-Infos'!A55</f>
        <v>Pension complète</v>
      </c>
      <c r="D44" s="340">
        <f>IF(B44="Mode principal :",$D$17-1,0)</f>
        <v>7</v>
      </c>
      <c r="E44" s="1101">
        <v>40</v>
      </c>
      <c r="F44" s="183">
        <f ca="1">(D44*D$23)+SUM(G44:J44)</f>
        <v>49</v>
      </c>
      <c r="G44" s="338">
        <f ca="1">IF(D$30="","",IF(D44=0,"",G$48-1))</f>
        <v>7</v>
      </c>
      <c r="H44" s="338">
        <f ca="1">IF(D$32="","",IF(D44=0,"",H$48-1))</f>
        <v>0</v>
      </c>
      <c r="I44" s="338" t="str">
        <f>IF($D33="","",D$44)</f>
        <v/>
      </c>
      <c r="J44" s="339" t="str">
        <f>IF($D$34="","",D44)</f>
        <v/>
      </c>
      <c r="K44" s="8"/>
      <c r="L44" s="17"/>
      <c r="M44" s="162">
        <v>70</v>
      </c>
      <c r="N44" s="792" t="str">
        <f>C44</f>
        <v>Pension complète</v>
      </c>
      <c r="O44" s="784"/>
      <c r="P44" s="3"/>
      <c r="Q44" t="s">
        <v>393</v>
      </c>
    </row>
    <row r="45" spans="1:17" x14ac:dyDescent="0.25">
      <c r="A45" s="6"/>
      <c r="B45" s="790" t="str">
        <f>IF(Info!B55="x","Mode principal :","")</f>
        <v/>
      </c>
      <c r="C45" s="791" t="str">
        <f>'[1]2-Infos'!A56</f>
        <v>Demi pension</v>
      </c>
      <c r="D45" s="340">
        <f t="shared" ref="D45:D47" si="0">IF(B45="Mode principal :",$D$17-1,0)</f>
        <v>0</v>
      </c>
      <c r="E45" s="1101">
        <f t="shared" ref="E45:E47" si="1">M45</f>
        <v>55</v>
      </c>
      <c r="F45" s="183">
        <f ca="1">(D45*D$23)+SUM(G45:J45)</f>
        <v>0</v>
      </c>
      <c r="G45" s="338" t="str">
        <f ca="1">IF(D$30="","",IF(D45=0,"",G$48-1))</f>
        <v/>
      </c>
      <c r="H45" s="338" t="str">
        <f>IF(D$32="","",IF(D45=0,"",H$48-1))</f>
        <v/>
      </c>
      <c r="I45" s="338" t="str">
        <f>IF($D34="","",D$44)</f>
        <v/>
      </c>
      <c r="J45" s="339" t="str">
        <f>IF($D$34="","",D45)</f>
        <v/>
      </c>
      <c r="K45" s="8"/>
      <c r="L45" s="17"/>
      <c r="M45" s="162">
        <v>55</v>
      </c>
      <c r="N45" s="792" t="str">
        <f>C45</f>
        <v>Demi pension</v>
      </c>
      <c r="O45" s="784"/>
      <c r="P45" s="3"/>
      <c r="Q45" t="s">
        <v>394</v>
      </c>
    </row>
    <row r="46" spans="1:17" x14ac:dyDescent="0.25">
      <c r="A46" s="6"/>
      <c r="B46" s="790" t="str">
        <f>IF(Info!B56="x","Mode principal :","")</f>
        <v/>
      </c>
      <c r="C46" s="791" t="str">
        <f>'[1]2-Infos'!A57</f>
        <v>Bivouac</v>
      </c>
      <c r="D46" s="340">
        <f t="shared" si="0"/>
        <v>0</v>
      </c>
      <c r="E46" s="1101">
        <f t="shared" si="1"/>
        <v>10</v>
      </c>
      <c r="F46" s="183">
        <f ca="1">(D46*D$23)+SUM(G46:J46)</f>
        <v>0</v>
      </c>
      <c r="G46" s="338" t="str">
        <f ca="1">IF(D$30="","",IF(D46=0,"",G$48-1))</f>
        <v/>
      </c>
      <c r="H46" s="338" t="str">
        <f>IF(D$32="","",IF(D46=0,"",H$48-1))</f>
        <v/>
      </c>
      <c r="I46" s="338" t="str">
        <f>IF($D35="","",D$44)</f>
        <v/>
      </c>
      <c r="J46" s="339" t="str">
        <f>IF($D$34="","",D46)</f>
        <v/>
      </c>
      <c r="K46" s="8"/>
      <c r="L46" s="17"/>
      <c r="M46" s="162">
        <v>10</v>
      </c>
      <c r="N46" s="792" t="str">
        <f>C46</f>
        <v>Bivouac</v>
      </c>
      <c r="O46" s="784"/>
      <c r="P46" s="3"/>
      <c r="Q46" s="343" t="s">
        <v>395</v>
      </c>
    </row>
    <row r="47" spans="1:17" x14ac:dyDescent="0.25">
      <c r="A47" s="6"/>
      <c r="B47" s="790" t="str">
        <f>IF(Info!B57="x","Mode principal :","")</f>
        <v/>
      </c>
      <c r="C47" s="791" t="str">
        <f>'[1]2-Infos'!A58</f>
        <v>Repas seul</v>
      </c>
      <c r="D47" s="340">
        <f t="shared" si="0"/>
        <v>0</v>
      </c>
      <c r="E47" s="1101">
        <f t="shared" si="1"/>
        <v>12</v>
      </c>
      <c r="F47" s="183">
        <f ca="1">(D47*D$23)+SUM(G47:J47)</f>
        <v>0</v>
      </c>
      <c r="G47" s="338" t="str">
        <f ca="1">IF(D$30="","",IF(D47=0,"",G$48-1))</f>
        <v/>
      </c>
      <c r="H47" s="338" t="str">
        <f>IF(D$32="","",IF(D47=0,"",H$48-1))</f>
        <v/>
      </c>
      <c r="I47" s="338" t="str">
        <f>IF($D36="","",D$44)</f>
        <v/>
      </c>
      <c r="J47" s="339" t="str">
        <f>IF($D$34="","",D47)</f>
        <v/>
      </c>
      <c r="K47" s="8"/>
      <c r="L47" s="17"/>
      <c r="M47" s="162">
        <v>12</v>
      </c>
      <c r="N47" s="792" t="str">
        <f>C47</f>
        <v>Repas seul</v>
      </c>
      <c r="O47" s="8"/>
      <c r="P47" s="3"/>
      <c r="Q47" t="s">
        <v>392</v>
      </c>
    </row>
    <row r="48" spans="1:17" x14ac:dyDescent="0.25">
      <c r="A48" s="6"/>
      <c r="B48" s="8"/>
      <c r="C48" s="8"/>
      <c r="D48" s="8"/>
      <c r="E48" s="8"/>
      <c r="F48" s="793" t="s">
        <v>195</v>
      </c>
      <c r="G48" s="794">
        <f ca="1">IF(G43="","",Info!O64)</f>
        <v>8</v>
      </c>
      <c r="H48" s="794">
        <f ca="1">IF(H43="","",Info!O65)</f>
        <v>1</v>
      </c>
      <c r="I48" s="794" t="str">
        <f>IF(I43="","",'[1]2-Infos'!O70)</f>
        <v/>
      </c>
      <c r="J48" s="794" t="str">
        <f>IF(J43="","",'[1]2-Infos'!O71)</f>
        <v/>
      </c>
      <c r="K48" s="8"/>
      <c r="L48" s="795"/>
      <c r="M48" s="176"/>
      <c r="N48" s="8"/>
      <c r="O48" s="8"/>
      <c r="P48" s="3"/>
      <c r="Q48" t="s">
        <v>396</v>
      </c>
    </row>
    <row r="49" spans="1:17" ht="15.75" thickBot="1" x14ac:dyDescent="0.3">
      <c r="A49" s="6"/>
      <c r="B49" s="8"/>
      <c r="C49" s="8"/>
      <c r="D49" s="8"/>
      <c r="E49" s="8"/>
      <c r="F49" s="8"/>
      <c r="G49" s="8"/>
      <c r="H49" s="8"/>
      <c r="I49" s="8" t="s">
        <v>626</v>
      </c>
      <c r="J49" s="8"/>
      <c r="K49" s="8" t="s">
        <v>627</v>
      </c>
      <c r="L49" s="795"/>
      <c r="M49" s="176"/>
      <c r="N49" s="8"/>
      <c r="O49" s="8"/>
      <c r="P49" s="3"/>
      <c r="Q49" t="s">
        <v>397</v>
      </c>
    </row>
    <row r="50" spans="1:17" ht="15.75" thickBot="1" x14ac:dyDescent="0.3">
      <c r="A50" s="6"/>
      <c r="B50" s="1168" t="s">
        <v>196</v>
      </c>
      <c r="C50" s="1169"/>
      <c r="D50" s="168">
        <f>F50*D23</f>
        <v>1400</v>
      </c>
      <c r="E50" s="796"/>
      <c r="F50" s="170">
        <f>IF(AND(K50="",I30=""),D44*E44+(D45*E45)+(D46*E46)+(D47*E47),IF(K50="",(D23-I29)*E44+(I30*I29),K50))</f>
        <v>233.33333333333334</v>
      </c>
      <c r="G50" s="177"/>
      <c r="H50" s="777"/>
      <c r="I50" s="777">
        <v>1400</v>
      </c>
      <c r="J50" s="777"/>
      <c r="K50" s="777">
        <f>IF(I50="","",I50/D23)</f>
        <v>233.33333333333334</v>
      </c>
      <c r="L50" s="797"/>
      <c r="M50" s="176"/>
      <c r="N50" s="17"/>
      <c r="O50" s="17"/>
      <c r="P50" s="24"/>
      <c r="Q50" t="s">
        <v>366</v>
      </c>
    </row>
    <row r="51" spans="1:17" ht="15.75" thickBot="1" x14ac:dyDescent="0.3">
      <c r="A51" s="110"/>
      <c r="B51" s="780"/>
      <c r="C51" s="780"/>
      <c r="D51" s="176"/>
      <c r="E51" s="798"/>
      <c r="F51" s="185"/>
      <c r="G51" s="177"/>
      <c r="H51" s="777"/>
      <c r="I51" s="777"/>
      <c r="J51" s="777"/>
      <c r="K51" s="777"/>
      <c r="L51" s="795"/>
      <c r="M51" s="176"/>
      <c r="N51" s="8"/>
      <c r="O51" s="8"/>
      <c r="P51" s="3"/>
      <c r="Q51" t="s">
        <v>368</v>
      </c>
    </row>
    <row r="52" spans="1:17" ht="15.75" thickBot="1" x14ac:dyDescent="0.3">
      <c r="A52" s="6"/>
      <c r="B52" s="1168" t="s">
        <v>197</v>
      </c>
      <c r="C52" s="1169"/>
      <c r="D52" s="168">
        <f ca="1">IF(I50="",(SUM(G44:J44)*E44)+(SUM(G45:J45)*E45)+(SUM(G46:J46)*E46)+(SUM(G47:J47)*E47),D52=0)</f>
        <v>0</v>
      </c>
      <c r="E52" s="796"/>
      <c r="F52" s="170">
        <f ca="1">D52/D23</f>
        <v>46.666666666666664</v>
      </c>
      <c r="G52" s="177"/>
      <c r="H52" s="777"/>
      <c r="I52" s="777"/>
      <c r="J52" s="777"/>
      <c r="K52" s="777"/>
      <c r="L52" s="178"/>
      <c r="M52" s="179"/>
      <c r="N52" s="71"/>
      <c r="O52" s="71"/>
      <c r="P52" s="38"/>
      <c r="Q52" t="s">
        <v>398</v>
      </c>
    </row>
    <row r="53" spans="1:17" ht="15.75" thickBot="1" x14ac:dyDescent="0.3">
      <c r="A53" s="6"/>
      <c r="B53" s="782"/>
      <c r="C53" s="782"/>
      <c r="D53" s="71"/>
      <c r="E53" s="180"/>
      <c r="F53" s="181"/>
      <c r="G53" s="182"/>
      <c r="H53" s="178"/>
      <c r="I53" s="178"/>
      <c r="J53" s="178"/>
      <c r="K53" s="178"/>
      <c r="L53" s="71"/>
      <c r="M53" s="17"/>
      <c r="N53" s="8"/>
      <c r="O53" s="8"/>
      <c r="P53" s="3"/>
      <c r="Q53" t="s">
        <v>399</v>
      </c>
    </row>
    <row r="54" spans="1:17" x14ac:dyDescent="0.25">
      <c r="A54" s="110"/>
      <c r="B54" s="1165" t="s">
        <v>198</v>
      </c>
      <c r="C54" s="1166"/>
      <c r="D54" s="1166"/>
      <c r="E54" s="1166"/>
      <c r="F54" s="1167"/>
      <c r="G54" s="621"/>
      <c r="H54" s="1"/>
      <c r="I54" s="1"/>
      <c r="J54" s="1"/>
      <c r="K54" s="1"/>
      <c r="L54" s="1"/>
      <c r="M54" s="17"/>
      <c r="N54" s="8"/>
      <c r="O54" s="8"/>
      <c r="P54" s="3"/>
    </row>
    <row r="55" spans="1:17" x14ac:dyDescent="0.25">
      <c r="A55" s="109"/>
      <c r="B55" s="783"/>
      <c r="C55" s="742"/>
      <c r="D55" s="799"/>
      <c r="E55" s="106"/>
      <c r="F55" s="106"/>
      <c r="G55" s="106"/>
      <c r="H55" s="106"/>
      <c r="I55" s="106"/>
      <c r="J55" s="106"/>
      <c r="K55" s="1"/>
      <c r="L55" s="8"/>
      <c r="M55" s="8"/>
      <c r="N55" s="8"/>
      <c r="O55" s="8"/>
      <c r="P55" s="3"/>
    </row>
    <row r="56" spans="1:17" ht="25.5" x14ac:dyDescent="0.25">
      <c r="A56" s="6"/>
      <c r="B56" s="1017" t="s">
        <v>568</v>
      </c>
      <c r="C56" s="800"/>
      <c r="D56" s="801" t="s">
        <v>199</v>
      </c>
      <c r="E56" s="186" t="s">
        <v>200</v>
      </c>
      <c r="F56" s="802" t="s">
        <v>201</v>
      </c>
      <c r="G56" s="186" t="s">
        <v>202</v>
      </c>
      <c r="H56" s="803" t="str">
        <f>IF(B$56="Location","Tarif Location",IF(B$56="Bus, Avion, Train","Prix du Ticket",""))</f>
        <v>Tarif Location</v>
      </c>
      <c r="I56" s="187" t="s">
        <v>203</v>
      </c>
      <c r="J56" s="8"/>
      <c r="K56" s="8"/>
      <c r="L56" s="8"/>
      <c r="M56" s="8"/>
      <c r="N56" s="8"/>
      <c r="O56" s="8"/>
      <c r="P56" s="3"/>
      <c r="Q56" t="s">
        <v>567</v>
      </c>
    </row>
    <row r="57" spans="1:17" x14ac:dyDescent="0.25">
      <c r="A57" s="6"/>
      <c r="B57" s="804" t="s">
        <v>204</v>
      </c>
      <c r="C57" s="805" t="str">
        <f>Info!F41</f>
        <v>Ailefroide</v>
      </c>
      <c r="D57" s="152">
        <v>1</v>
      </c>
      <c r="E57" s="188">
        <v>833</v>
      </c>
      <c r="F57" s="189">
        <f>IF(E57="","",M$57)</f>
        <v>0.3</v>
      </c>
      <c r="G57" s="190">
        <f>200</f>
        <v>200</v>
      </c>
      <c r="H57" s="1016">
        <v>688</v>
      </c>
      <c r="I57" s="191">
        <f>IF(E57="","",(D57*E57*F57)+G57+H57)</f>
        <v>1137.9000000000001</v>
      </c>
      <c r="J57" s="807"/>
      <c r="K57" s="8"/>
      <c r="L57" s="8"/>
      <c r="M57" s="808">
        <v>0.3</v>
      </c>
      <c r="N57" s="809" t="s">
        <v>205</v>
      </c>
      <c r="O57" s="8"/>
      <c r="P57" s="3"/>
      <c r="Q57" t="s">
        <v>568</v>
      </c>
    </row>
    <row r="58" spans="1:17" x14ac:dyDescent="0.25">
      <c r="A58" s="6"/>
      <c r="B58" s="804"/>
      <c r="C58" s="805"/>
      <c r="D58" s="152"/>
      <c r="E58" s="152"/>
      <c r="F58" s="189" t="str">
        <f>IF(E58="","",M$57)</f>
        <v/>
      </c>
      <c r="G58" s="192"/>
      <c r="H58" s="1016"/>
      <c r="I58" s="191" t="str">
        <f>IF(E58="","",(D58*E58*F58)+G58+H58)</f>
        <v/>
      </c>
      <c r="J58" s="807"/>
      <c r="K58" s="8"/>
      <c r="L58" s="8"/>
      <c r="M58" s="193"/>
      <c r="N58" s="8"/>
      <c r="O58" s="8"/>
      <c r="P58" s="3"/>
      <c r="Q58" t="s">
        <v>569</v>
      </c>
    </row>
    <row r="59" spans="1:17" x14ac:dyDescent="0.25">
      <c r="A59" s="6"/>
      <c r="B59" s="804"/>
      <c r="C59" s="805"/>
      <c r="D59" s="152"/>
      <c r="E59" s="152"/>
      <c r="F59" s="189" t="str">
        <f>IF(E59="","",M$57)</f>
        <v/>
      </c>
      <c r="G59" s="192"/>
      <c r="H59" s="1016"/>
      <c r="I59" s="191" t="str">
        <f>IF(E59="","",(D59*E59*F59)+G59+H59)</f>
        <v/>
      </c>
      <c r="J59" s="807"/>
      <c r="K59" s="8"/>
      <c r="L59" s="17"/>
      <c r="M59" s="17"/>
      <c r="N59" s="8"/>
      <c r="O59" s="8"/>
      <c r="P59" s="3"/>
    </row>
    <row r="60" spans="1:17" x14ac:dyDescent="0.25">
      <c r="A60" s="6"/>
      <c r="B60" s="810"/>
      <c r="C60" s="811"/>
      <c r="D60" s="812"/>
      <c r="E60" s="812"/>
      <c r="F60" s="194"/>
      <c r="G60" s="195"/>
      <c r="H60" s="286"/>
      <c r="I60" s="191">
        <f>SUM(I57:I59)</f>
        <v>1137.9000000000001</v>
      </c>
      <c r="J60" s="807"/>
      <c r="K60" s="8"/>
      <c r="L60" s="17"/>
      <c r="M60" s="17"/>
      <c r="N60" s="8"/>
      <c r="O60" s="8"/>
      <c r="P60" s="3"/>
    </row>
    <row r="61" spans="1:17" ht="15.75" thickBot="1" x14ac:dyDescent="0.3">
      <c r="A61" s="6"/>
      <c r="B61" s="813"/>
      <c r="C61" s="813"/>
      <c r="D61" s="814"/>
      <c r="E61" s="180"/>
      <c r="F61" s="196"/>
      <c r="G61" s="109"/>
      <c r="H61" s="71"/>
      <c r="I61" s="71"/>
      <c r="J61" s="71"/>
      <c r="K61" s="71"/>
      <c r="L61" s="71"/>
      <c r="M61" s="179"/>
      <c r="N61" s="71"/>
      <c r="O61" s="71"/>
      <c r="P61" s="38"/>
    </row>
    <row r="62" spans="1:17" ht="15.75" thickBot="1" x14ac:dyDescent="0.3">
      <c r="A62" s="6"/>
      <c r="B62" s="1168" t="s">
        <v>206</v>
      </c>
      <c r="C62" s="1169"/>
      <c r="D62" s="168">
        <f>SUM(I57:I59)</f>
        <v>1137.9000000000001</v>
      </c>
      <c r="E62" s="197"/>
      <c r="F62" s="170">
        <f>D62/D$23</f>
        <v>189.65</v>
      </c>
      <c r="G62" s="109"/>
      <c r="H62" s="71"/>
      <c r="I62" s="71"/>
      <c r="J62" s="71"/>
      <c r="K62" s="71"/>
      <c r="L62" s="71"/>
      <c r="M62" s="179"/>
      <c r="N62" s="71"/>
      <c r="O62" s="71"/>
      <c r="P62" s="38"/>
    </row>
    <row r="63" spans="1:17" ht="15.75" thickBot="1" x14ac:dyDescent="0.3">
      <c r="A63" s="6"/>
      <c r="B63" s="813"/>
      <c r="C63" s="813"/>
      <c r="D63" s="814"/>
      <c r="E63" s="180"/>
      <c r="F63" s="196"/>
      <c r="G63" s="109"/>
      <c r="H63" s="71"/>
      <c r="I63" s="71"/>
      <c r="J63" s="71"/>
      <c r="K63" s="71"/>
      <c r="L63" s="71"/>
      <c r="M63" s="17"/>
      <c r="N63" s="8"/>
      <c r="O63" s="8"/>
      <c r="P63" s="3"/>
    </row>
    <row r="64" spans="1:17" x14ac:dyDescent="0.25">
      <c r="A64" s="6"/>
      <c r="B64" s="1165" t="s">
        <v>207</v>
      </c>
      <c r="C64" s="1166"/>
      <c r="D64" s="1166"/>
      <c r="E64" s="1166"/>
      <c r="F64" s="1167"/>
      <c r="G64" s="742"/>
      <c r="H64" s="7"/>
      <c r="I64" s="8"/>
      <c r="J64" s="8"/>
      <c r="K64" s="8"/>
      <c r="L64" s="71"/>
      <c r="M64" s="621"/>
      <c r="N64" s="8"/>
      <c r="O64" s="8"/>
      <c r="P64" s="3"/>
    </row>
    <row r="65" spans="1:16" x14ac:dyDescent="0.25">
      <c r="A65" s="109"/>
      <c r="B65" s="815"/>
      <c r="C65" s="744"/>
      <c r="D65" s="816"/>
      <c r="E65" s="8"/>
      <c r="F65" s="198"/>
      <c r="G65" s="6"/>
      <c r="H65" s="7"/>
      <c r="I65" s="8"/>
      <c r="J65" s="8"/>
      <c r="K65" s="8"/>
      <c r="L65" s="71"/>
      <c r="M65" s="817"/>
      <c r="N65" s="8"/>
      <c r="O65" s="8"/>
      <c r="P65" s="3"/>
    </row>
    <row r="66" spans="1:16" x14ac:dyDescent="0.25">
      <c r="A66" s="6"/>
      <c r="B66" s="818"/>
      <c r="C66" s="819" t="s">
        <v>208</v>
      </c>
      <c r="D66" s="199"/>
      <c r="E66" s="8"/>
      <c r="F66" s="198"/>
      <c r="G66" s="8"/>
      <c r="H66" s="7"/>
      <c r="I66" s="8"/>
      <c r="J66" s="8"/>
      <c r="K66" s="8"/>
      <c r="L66" s="71"/>
      <c r="M66" s="591"/>
      <c r="N66" s="8"/>
      <c r="O66" s="8"/>
      <c r="P66" s="3"/>
    </row>
    <row r="67" spans="1:16" x14ac:dyDescent="0.25">
      <c r="A67" s="6"/>
      <c r="B67" s="818"/>
      <c r="C67" s="819" t="s">
        <v>209</v>
      </c>
      <c r="D67" s="199">
        <f>M66</f>
        <v>0</v>
      </c>
      <c r="E67" s="8"/>
      <c r="F67" s="198"/>
      <c r="G67" s="8"/>
      <c r="H67" s="7"/>
      <c r="I67" s="8"/>
      <c r="J67" s="8"/>
      <c r="K67" s="8"/>
      <c r="L67" s="8"/>
      <c r="M67" s="591"/>
      <c r="N67" s="8"/>
      <c r="O67" s="8"/>
      <c r="P67" s="3"/>
    </row>
    <row r="68" spans="1:16" x14ac:dyDescent="0.25">
      <c r="A68" s="6"/>
      <c r="B68" s="818"/>
      <c r="C68" s="819" t="s">
        <v>210</v>
      </c>
      <c r="D68" s="200">
        <v>0</v>
      </c>
      <c r="E68" s="8"/>
      <c r="F68" s="201"/>
      <c r="G68" s="1"/>
      <c r="H68" s="7"/>
      <c r="I68" s="1"/>
      <c r="J68" s="1"/>
      <c r="K68" s="820"/>
      <c r="L68" s="781"/>
      <c r="M68" s="821">
        <v>20</v>
      </c>
      <c r="N68" s="822" t="s">
        <v>211</v>
      </c>
      <c r="O68" s="17"/>
      <c r="P68" s="24"/>
    </row>
    <row r="69" spans="1:16" ht="15.75" thickBot="1" x14ac:dyDescent="0.3">
      <c r="A69" s="110"/>
      <c r="B69" s="220"/>
      <c r="C69" s="220"/>
      <c r="D69" s="823"/>
      <c r="E69" s="202"/>
      <c r="F69" s="203"/>
      <c r="G69" s="71"/>
      <c r="H69" s="7"/>
      <c r="I69" s="71"/>
      <c r="J69" s="71"/>
      <c r="K69" s="781"/>
      <c r="L69" s="781"/>
      <c r="M69" s="204"/>
      <c r="N69" s="185"/>
      <c r="O69" s="17"/>
      <c r="P69" s="24"/>
    </row>
    <row r="70" spans="1:16" ht="15.75" thickBot="1" x14ac:dyDescent="0.3">
      <c r="A70" s="110"/>
      <c r="B70" s="1168" t="s">
        <v>212</v>
      </c>
      <c r="C70" s="1169"/>
      <c r="D70" s="168">
        <f>SUM(D66:D68)</f>
        <v>0</v>
      </c>
      <c r="E70" s="197"/>
      <c r="F70" s="170">
        <f>D70/D$23</f>
        <v>0</v>
      </c>
      <c r="G70" s="71"/>
      <c r="H70" s="7"/>
      <c r="I70" s="71"/>
      <c r="J70" s="71"/>
      <c r="K70" s="781"/>
      <c r="L70" s="106"/>
      <c r="M70" s="179"/>
      <c r="N70" s="71"/>
      <c r="O70" s="71"/>
      <c r="P70" s="38"/>
    </row>
    <row r="71" spans="1:16" ht="15.75" thickBot="1" x14ac:dyDescent="0.3">
      <c r="A71" s="6"/>
      <c r="B71" s="813"/>
      <c r="C71" s="813"/>
      <c r="D71" s="814"/>
      <c r="E71" s="180"/>
      <c r="F71" s="196"/>
      <c r="G71" s="109"/>
      <c r="H71" s="71"/>
      <c r="I71" s="71"/>
      <c r="J71" s="71"/>
      <c r="K71" s="106"/>
      <c r="L71" s="71"/>
      <c r="M71" s="17"/>
      <c r="N71" s="8"/>
      <c r="O71" s="8"/>
      <c r="P71" s="3"/>
    </row>
    <row r="72" spans="1:16" x14ac:dyDescent="0.25">
      <c r="A72" s="6"/>
      <c r="B72" s="1165" t="s">
        <v>213</v>
      </c>
      <c r="C72" s="1166"/>
      <c r="D72" s="1166"/>
      <c r="E72" s="1166"/>
      <c r="F72" s="1167"/>
      <c r="G72" s="6"/>
      <c r="H72" s="1"/>
      <c r="I72" s="8"/>
      <c r="J72" s="8"/>
      <c r="K72" s="8"/>
      <c r="L72" s="17"/>
      <c r="M72" s="1177"/>
      <c r="N72" s="1177"/>
      <c r="O72" s="1177"/>
      <c r="P72" s="3"/>
    </row>
    <row r="73" spans="1:16" x14ac:dyDescent="0.25">
      <c r="A73" s="286"/>
      <c r="B73" s="759"/>
      <c r="C73" s="109"/>
      <c r="D73" s="1177"/>
      <c r="E73" s="1177"/>
      <c r="F73" s="60"/>
      <c r="G73" s="60"/>
      <c r="H73" s="1177"/>
      <c r="I73" s="1177"/>
      <c r="J73" s="1"/>
      <c r="K73" s="8"/>
      <c r="L73" s="17"/>
      <c r="M73" s="107"/>
      <c r="N73" s="104"/>
      <c r="O73" s="1"/>
      <c r="P73" s="3"/>
    </row>
    <row r="74" spans="1:16" x14ac:dyDescent="0.25">
      <c r="A74" s="6"/>
      <c r="B74" s="818"/>
      <c r="C74" s="819" t="s">
        <v>214</v>
      </c>
      <c r="D74" s="205">
        <f>M73</f>
        <v>0</v>
      </c>
      <c r="E74" s="107"/>
      <c r="F74" s="823"/>
      <c r="G74" s="107"/>
      <c r="H74" s="823"/>
      <c r="I74" s="107"/>
      <c r="J74" s="71"/>
      <c r="K74" s="8"/>
      <c r="L74" s="17"/>
      <c r="M74" s="107"/>
      <c r="N74" s="104"/>
      <c r="O74" s="107"/>
      <c r="P74" s="3"/>
    </row>
    <row r="75" spans="1:16" x14ac:dyDescent="0.25">
      <c r="A75" s="6"/>
      <c r="B75" s="818"/>
      <c r="C75" s="819" t="s">
        <v>215</v>
      </c>
      <c r="D75" s="200">
        <v>0</v>
      </c>
      <c r="E75" s="107"/>
      <c r="F75" s="823"/>
      <c r="G75" s="107"/>
      <c r="H75" s="823"/>
      <c r="I75" s="107"/>
      <c r="J75" s="206"/>
      <c r="K75" s="8"/>
      <c r="L75" s="17"/>
      <c r="M75" s="821">
        <v>20</v>
      </c>
      <c r="N75" s="822" t="s">
        <v>216</v>
      </c>
      <c r="O75" s="17"/>
      <c r="P75" s="24"/>
    </row>
    <row r="76" spans="1:16" ht="15.75" thickBot="1" x14ac:dyDescent="0.3">
      <c r="A76" s="6"/>
      <c r="B76" s="760"/>
      <c r="C76" s="760"/>
      <c r="D76" s="110"/>
      <c r="E76" s="144"/>
      <c r="F76" s="144"/>
      <c r="G76" s="110"/>
      <c r="H76" s="7"/>
      <c r="I76" s="17"/>
      <c r="J76" s="17"/>
      <c r="K76" s="17"/>
      <c r="L76" s="17"/>
      <c r="M76" s="17"/>
      <c r="N76" s="17"/>
      <c r="O76" s="17"/>
      <c r="P76" s="24"/>
    </row>
    <row r="77" spans="1:16" ht="15.75" thickBot="1" x14ac:dyDescent="0.3">
      <c r="A77" s="6"/>
      <c r="B77" s="1168" t="s">
        <v>217</v>
      </c>
      <c r="C77" s="1169"/>
      <c r="D77" s="168">
        <f>(D75*D17)+(D74*D$23*D17)</f>
        <v>0</v>
      </c>
      <c r="E77" s="8"/>
      <c r="F77" s="170">
        <f>D77/D$23</f>
        <v>0</v>
      </c>
      <c r="G77" s="110"/>
      <c r="H77" s="7"/>
      <c r="I77" s="17"/>
      <c r="J77" s="17"/>
      <c r="K77" s="17"/>
      <c r="L77" s="17"/>
      <c r="M77" s="17"/>
      <c r="N77" s="17"/>
      <c r="O77" s="17"/>
      <c r="P77" s="24"/>
    </row>
    <row r="78" spans="1:16" ht="15.75" thickBot="1" x14ac:dyDescent="0.3">
      <c r="A78" s="110"/>
      <c r="B78" s="824"/>
      <c r="C78" s="824"/>
      <c r="D78" s="176"/>
      <c r="E78" s="17"/>
      <c r="F78" s="185"/>
      <c r="G78" s="110"/>
      <c r="H78" s="7"/>
      <c r="I78" s="17"/>
      <c r="J78" s="17"/>
      <c r="K78" s="17"/>
      <c r="L78" s="17"/>
      <c r="M78" s="17"/>
      <c r="N78" s="8"/>
      <c r="O78" s="8"/>
      <c r="P78" s="3"/>
    </row>
    <row r="79" spans="1:16" x14ac:dyDescent="0.25">
      <c r="A79" s="6"/>
      <c r="B79" s="1165" t="s">
        <v>218</v>
      </c>
      <c r="C79" s="1166"/>
      <c r="D79" s="1166"/>
      <c r="E79" s="1166"/>
      <c r="F79" s="1167"/>
      <c r="G79" s="742"/>
      <c r="H79" s="7"/>
      <c r="I79" s="8"/>
      <c r="J79" s="8"/>
      <c r="K79" s="8"/>
      <c r="L79" s="71"/>
      <c r="M79" s="621"/>
      <c r="N79" s="8"/>
      <c r="O79" s="8"/>
      <c r="P79" s="3"/>
    </row>
    <row r="80" spans="1:16" x14ac:dyDescent="0.25">
      <c r="A80" s="109"/>
      <c r="B80" s="815"/>
      <c r="C80" s="744"/>
      <c r="D80" s="816"/>
      <c r="E80" s="8"/>
      <c r="F80" s="198"/>
      <c r="G80" s="6"/>
      <c r="H80" s="7"/>
      <c r="I80" s="8"/>
      <c r="J80" s="8"/>
      <c r="K80" s="8"/>
      <c r="L80" s="71"/>
      <c r="M80" s="817"/>
      <c r="N80" s="8"/>
      <c r="O80" s="8"/>
      <c r="P80" s="3"/>
    </row>
    <row r="81" spans="1:16" x14ac:dyDescent="0.25">
      <c r="A81" s="6"/>
      <c r="B81" s="825"/>
      <c r="C81" s="826" t="s">
        <v>219</v>
      </c>
      <c r="D81" s="207"/>
      <c r="E81" s="8"/>
      <c r="F81" s="198"/>
      <c r="G81" s="8"/>
      <c r="H81" s="7"/>
      <c r="I81" s="8"/>
      <c r="J81" s="8"/>
      <c r="K81" s="8"/>
      <c r="L81" s="71"/>
      <c r="M81" s="591"/>
      <c r="N81" s="8"/>
      <c r="O81" s="8"/>
      <c r="P81" s="3"/>
    </row>
    <row r="82" spans="1:16" x14ac:dyDescent="0.25">
      <c r="A82" s="6"/>
      <c r="B82" s="825"/>
      <c r="C82" s="826" t="s">
        <v>220</v>
      </c>
      <c r="D82" s="207">
        <f>M81</f>
        <v>0</v>
      </c>
      <c r="E82" s="8"/>
      <c r="F82" s="198"/>
      <c r="G82" s="8"/>
      <c r="H82" s="7"/>
      <c r="I82" s="8"/>
      <c r="J82" s="8"/>
      <c r="K82" s="8"/>
      <c r="L82" s="71"/>
      <c r="M82" s="591"/>
      <c r="N82" s="8"/>
      <c r="O82" s="8"/>
      <c r="P82" s="3"/>
    </row>
    <row r="83" spans="1:16" ht="15.75" thickBot="1" x14ac:dyDescent="0.3">
      <c r="A83" s="6"/>
      <c r="B83" s="827"/>
      <c r="C83" s="817"/>
      <c r="D83" s="823"/>
      <c r="E83" s="8"/>
      <c r="F83" s="198"/>
      <c r="G83" s="8"/>
      <c r="H83" s="7"/>
      <c r="I83" s="8"/>
      <c r="J83" s="8"/>
      <c r="K83" s="8"/>
      <c r="L83" s="71"/>
      <c r="M83" s="591"/>
      <c r="N83" s="8"/>
      <c r="O83" s="8"/>
      <c r="P83" s="3"/>
    </row>
    <row r="84" spans="1:16" ht="15.75" thickBot="1" x14ac:dyDescent="0.3">
      <c r="A84" s="110"/>
      <c r="B84" s="1168" t="s">
        <v>218</v>
      </c>
      <c r="C84" s="1169"/>
      <c r="D84" s="168">
        <f>SUM(D81:D82)</f>
        <v>0</v>
      </c>
      <c r="E84" s="197"/>
      <c r="F84" s="170">
        <f>D84/D$23</f>
        <v>0</v>
      </c>
      <c r="G84" s="71"/>
      <c r="H84" s="7"/>
      <c r="I84" s="71"/>
      <c r="J84" s="71"/>
      <c r="K84" s="781"/>
      <c r="L84" s="106"/>
      <c r="M84" s="179"/>
      <c r="N84" s="71"/>
      <c r="O84" s="71"/>
      <c r="P84" s="38"/>
    </row>
    <row r="85" spans="1:16" ht="15.75" thickBot="1" x14ac:dyDescent="0.3">
      <c r="A85" s="6"/>
      <c r="B85" s="813"/>
      <c r="C85" s="813"/>
      <c r="D85" s="814"/>
      <c r="E85" s="180"/>
      <c r="F85" s="196"/>
      <c r="G85" s="109"/>
      <c r="H85" s="71"/>
      <c r="I85" s="71"/>
      <c r="J85" s="71"/>
      <c r="K85" s="106"/>
      <c r="L85" s="71"/>
      <c r="M85" s="17"/>
      <c r="N85" s="8"/>
      <c r="O85" s="8"/>
      <c r="P85" s="3"/>
    </row>
    <row r="86" spans="1:16" x14ac:dyDescent="0.25">
      <c r="A86" s="6"/>
      <c r="B86" s="1165" t="s">
        <v>221</v>
      </c>
      <c r="C86" s="1166"/>
      <c r="D86" s="1166"/>
      <c r="E86" s="1166"/>
      <c r="F86" s="1167"/>
      <c r="G86" s="6"/>
      <c r="H86" s="7"/>
      <c r="I86" s="8"/>
      <c r="J86" s="8"/>
      <c r="K86" s="8"/>
      <c r="L86" s="71"/>
      <c r="M86" s="621"/>
      <c r="N86" s="8"/>
      <c r="O86" s="8"/>
      <c r="P86" s="3"/>
    </row>
    <row r="87" spans="1:16" x14ac:dyDescent="0.25">
      <c r="A87" s="109"/>
      <c r="B87" s="815"/>
      <c r="C87" s="744"/>
      <c r="D87" s="816"/>
      <c r="E87" s="8"/>
      <c r="F87" s="198"/>
      <c r="G87" s="6"/>
      <c r="H87" s="7"/>
      <c r="I87" s="8"/>
      <c r="J87" s="8"/>
      <c r="K87" s="8"/>
      <c r="L87" s="71"/>
      <c r="M87" s="8"/>
      <c r="N87" s="8"/>
      <c r="O87" s="8"/>
      <c r="P87" s="3"/>
    </row>
    <row r="88" spans="1:16" x14ac:dyDescent="0.25">
      <c r="A88" s="6"/>
      <c r="B88" s="825"/>
      <c r="C88" s="826" t="s">
        <v>222</v>
      </c>
      <c r="D88" s="208"/>
      <c r="E88" s="17"/>
      <c r="F88" s="209"/>
      <c r="G88" s="1"/>
      <c r="H88" s="7"/>
      <c r="I88" s="8"/>
      <c r="J88" s="8"/>
      <c r="K88" s="8"/>
      <c r="L88" s="71"/>
      <c r="M88" s="821">
        <v>18</v>
      </c>
      <c r="N88" s="828" t="s">
        <v>223</v>
      </c>
      <c r="O88" s="8"/>
      <c r="P88" s="3"/>
    </row>
    <row r="89" spans="1:16" x14ac:dyDescent="0.25">
      <c r="A89" s="6"/>
      <c r="B89" s="751"/>
      <c r="C89" s="826" t="s">
        <v>224</v>
      </c>
      <c r="D89" s="208">
        <v>0</v>
      </c>
      <c r="E89" s="17"/>
      <c r="F89" s="210"/>
      <c r="G89" s="1"/>
      <c r="H89" s="7"/>
      <c r="I89" s="8"/>
      <c r="J89" s="8"/>
      <c r="K89" s="8"/>
      <c r="L89" s="71"/>
      <c r="M89" s="821">
        <v>7.5</v>
      </c>
      <c r="N89" s="828" t="s">
        <v>225</v>
      </c>
      <c r="O89" s="8"/>
      <c r="P89" s="3"/>
    </row>
    <row r="90" spans="1:16" x14ac:dyDescent="0.25">
      <c r="A90" s="6"/>
      <c r="B90" s="825"/>
      <c r="C90" s="826" t="s">
        <v>226</v>
      </c>
      <c r="D90" s="208">
        <v>0</v>
      </c>
      <c r="E90" s="17"/>
      <c r="F90" s="210"/>
      <c r="G90" s="1"/>
      <c r="H90" s="7"/>
      <c r="I90" s="8"/>
      <c r="J90" s="8"/>
      <c r="K90" s="8"/>
      <c r="L90" s="71"/>
      <c r="M90" s="821">
        <v>5</v>
      </c>
      <c r="N90" s="828" t="s">
        <v>227</v>
      </c>
      <c r="O90" s="17"/>
      <c r="P90" s="24"/>
    </row>
    <row r="91" spans="1:16" ht="15.75" thickBot="1" x14ac:dyDescent="0.3">
      <c r="A91" s="110"/>
      <c r="B91" s="829"/>
      <c r="C91" s="830"/>
      <c r="D91" s="831"/>
      <c r="E91" s="71"/>
      <c r="F91" s="210"/>
      <c r="G91" s="71"/>
      <c r="H91" s="7"/>
      <c r="I91" s="71"/>
      <c r="J91" s="71"/>
      <c r="K91" s="71"/>
      <c r="L91" s="781"/>
      <c r="M91" s="204"/>
      <c r="N91" s="185"/>
      <c r="O91" s="17"/>
      <c r="P91" s="24"/>
    </row>
    <row r="92" spans="1:16" ht="15.75" thickBot="1" x14ac:dyDescent="0.3">
      <c r="A92" s="110"/>
      <c r="B92" s="1168" t="s">
        <v>228</v>
      </c>
      <c r="C92" s="1169"/>
      <c r="D92" s="168">
        <f>SUM(D88:D90)*D23</f>
        <v>0</v>
      </c>
      <c r="E92" s="197"/>
      <c r="F92" s="170">
        <f>SUM(D88:D90)</f>
        <v>0</v>
      </c>
      <c r="G92" s="71"/>
      <c r="H92" s="7"/>
      <c r="I92" s="71"/>
      <c r="J92" s="71"/>
      <c r="K92" s="781"/>
      <c r="L92" s="71"/>
      <c r="M92" s="832"/>
      <c r="N92" s="833"/>
      <c r="O92" s="8"/>
      <c r="P92" s="3"/>
    </row>
    <row r="93" spans="1:16" x14ac:dyDescent="0.25">
      <c r="A93" s="6"/>
      <c r="B93" s="825"/>
      <c r="C93" s="834"/>
      <c r="D93" s="835"/>
      <c r="E93" s="17"/>
      <c r="F93" s="210"/>
      <c r="G93" s="1"/>
      <c r="H93" s="7"/>
      <c r="I93" s="8"/>
      <c r="J93" s="8"/>
      <c r="K93" s="8"/>
      <c r="L93" s="71"/>
      <c r="M93" s="832"/>
      <c r="N93" s="833"/>
      <c r="O93" s="8"/>
      <c r="P93" s="3"/>
    </row>
    <row r="94" spans="1:16" x14ac:dyDescent="0.25">
      <c r="A94" s="6"/>
      <c r="B94" s="825"/>
      <c r="C94" s="826" t="s">
        <v>229</v>
      </c>
      <c r="D94" s="211">
        <f t="shared" ref="D94:D95" si="2">M93</f>
        <v>0</v>
      </c>
      <c r="E94" s="8"/>
      <c r="F94" s="623"/>
      <c r="G94" s="1"/>
      <c r="H94" s="7"/>
      <c r="I94" s="8"/>
      <c r="J94" s="8"/>
      <c r="K94" s="8"/>
      <c r="L94" s="8"/>
      <c r="M94" s="821">
        <v>0</v>
      </c>
      <c r="N94" s="836" t="s">
        <v>229</v>
      </c>
      <c r="O94" s="1"/>
      <c r="P94" s="3"/>
    </row>
    <row r="95" spans="1:16" x14ac:dyDescent="0.25">
      <c r="A95" s="6"/>
      <c r="B95" s="825"/>
      <c r="C95" s="826" t="s">
        <v>230</v>
      </c>
      <c r="D95" s="211">
        <f t="shared" si="2"/>
        <v>0</v>
      </c>
      <c r="E95" s="8"/>
      <c r="F95" s="212"/>
      <c r="G95" s="1"/>
      <c r="H95" s="7"/>
      <c r="I95" s="1"/>
      <c r="J95" s="1"/>
      <c r="K95" s="820"/>
      <c r="L95" s="781"/>
      <c r="M95" s="821">
        <v>0</v>
      </c>
      <c r="N95" s="836" t="s">
        <v>230</v>
      </c>
      <c r="O95" s="17"/>
      <c r="P95" s="24"/>
    </row>
    <row r="96" spans="1:16" ht="15.75" thickBot="1" x14ac:dyDescent="0.3">
      <c r="A96" s="110"/>
      <c r="B96" s="782"/>
      <c r="C96" s="782"/>
      <c r="D96" s="837"/>
      <c r="E96" s="213"/>
      <c r="F96" s="209"/>
      <c r="G96" s="71"/>
      <c r="H96" s="7"/>
      <c r="I96" s="71"/>
      <c r="J96" s="71"/>
      <c r="K96" s="781"/>
      <c r="L96" s="781"/>
      <c r="M96" s="204"/>
      <c r="N96" s="185"/>
      <c r="O96" s="17"/>
      <c r="P96" s="24"/>
    </row>
    <row r="97" spans="1:16" ht="15.75" thickBot="1" x14ac:dyDescent="0.3">
      <c r="A97" s="110"/>
      <c r="B97" s="1168" t="s">
        <v>231</v>
      </c>
      <c r="C97" s="1169"/>
      <c r="D97" s="168">
        <f>SUM(D94:D95)*D23</f>
        <v>0</v>
      </c>
      <c r="E97" s="197"/>
      <c r="F97" s="170">
        <f>SUM(D94:D95)</f>
        <v>0</v>
      </c>
      <c r="G97" s="71"/>
      <c r="H97" s="7"/>
      <c r="I97" s="71"/>
      <c r="J97" s="71"/>
      <c r="K97" s="781"/>
      <c r="L97" s="781"/>
      <c r="M97" s="204"/>
      <c r="N97" s="185"/>
      <c r="O97" s="17"/>
      <c r="P97" s="24"/>
    </row>
    <row r="98" spans="1:16" ht="15.75" thickBot="1" x14ac:dyDescent="0.3">
      <c r="A98" s="110"/>
      <c r="B98" s="782"/>
      <c r="C98" s="782"/>
      <c r="D98" s="837"/>
      <c r="E98" s="213"/>
      <c r="F98" s="209"/>
      <c r="G98" s="71"/>
      <c r="H98" s="7"/>
      <c r="I98" s="71"/>
      <c r="J98" s="71"/>
      <c r="K98" s="781"/>
      <c r="L98" s="17"/>
      <c r="M98" s="17"/>
      <c r="N98" s="8"/>
      <c r="O98" s="8"/>
      <c r="P98" s="3"/>
    </row>
    <row r="99" spans="1:16" x14ac:dyDescent="0.25">
      <c r="A99" s="6"/>
      <c r="B99" s="1165" t="s">
        <v>232</v>
      </c>
      <c r="C99" s="1166"/>
      <c r="D99" s="1166"/>
      <c r="E99" s="1166"/>
      <c r="F99" s="1167"/>
      <c r="G99" s="6"/>
      <c r="H99" s="1"/>
      <c r="I99" s="8"/>
      <c r="J99" s="8"/>
      <c r="K99" s="8"/>
      <c r="L99" s="17"/>
      <c r="M99" s="60"/>
      <c r="N99" s="60"/>
      <c r="O99" s="60"/>
      <c r="P99" s="3"/>
    </row>
    <row r="100" spans="1:16" x14ac:dyDescent="0.25">
      <c r="A100" s="109"/>
      <c r="B100" s="838"/>
      <c r="C100" s="109"/>
      <c r="D100" s="60"/>
      <c r="E100" s="60"/>
      <c r="F100" s="60"/>
      <c r="G100" s="60"/>
      <c r="H100" s="1177"/>
      <c r="I100" s="1177"/>
      <c r="J100" s="8"/>
      <c r="K100" s="8"/>
      <c r="L100" s="17"/>
      <c r="M100" s="8"/>
      <c r="N100" s="8"/>
      <c r="O100" s="621"/>
      <c r="P100" s="3"/>
    </row>
    <row r="101" spans="1:16" x14ac:dyDescent="0.25">
      <c r="A101" s="6"/>
      <c r="B101" s="838"/>
      <c r="C101" s="214" t="s">
        <v>400</v>
      </c>
      <c r="D101" s="224">
        <v>20</v>
      </c>
      <c r="E101" s="1"/>
      <c r="F101" s="621"/>
      <c r="G101" s="1"/>
      <c r="H101" s="1"/>
      <c r="I101" s="621"/>
      <c r="J101" s="8"/>
      <c r="K101" s="8"/>
      <c r="L101" s="17"/>
      <c r="M101" s="839"/>
      <c r="N101" s="216"/>
      <c r="O101" s="17"/>
      <c r="P101" s="3"/>
    </row>
    <row r="102" spans="1:16" x14ac:dyDescent="0.25">
      <c r="A102" s="6"/>
      <c r="B102" s="217"/>
      <c r="C102" s="214" t="s">
        <v>401</v>
      </c>
      <c r="D102" s="346">
        <v>10</v>
      </c>
      <c r="E102" s="1"/>
      <c r="F102" s="71"/>
      <c r="G102" s="1"/>
      <c r="H102" s="1"/>
      <c r="I102" s="1"/>
      <c r="J102" s="8"/>
      <c r="K102" s="8"/>
      <c r="L102" s="17"/>
      <c r="M102" s="223"/>
      <c r="N102" s="216"/>
      <c r="O102" s="202"/>
      <c r="P102" s="3"/>
    </row>
    <row r="103" spans="1:16" x14ac:dyDescent="0.25">
      <c r="A103" s="6"/>
      <c r="B103" s="217"/>
      <c r="C103" s="214"/>
      <c r="D103" s="516"/>
      <c r="E103" s="840"/>
      <c r="F103" s="840"/>
      <c r="G103" s="218"/>
      <c r="H103" s="1"/>
      <c r="I103" s="1"/>
      <c r="J103" s="8"/>
      <c r="K103" s="8"/>
      <c r="L103" s="17"/>
      <c r="M103" s="839"/>
      <c r="N103" s="216"/>
      <c r="O103" s="8"/>
      <c r="P103" s="3"/>
    </row>
    <row r="104" spans="1:16" ht="15.75" thickBot="1" x14ac:dyDescent="0.3">
      <c r="A104" s="6"/>
      <c r="B104" s="591"/>
      <c r="C104" s="591"/>
      <c r="D104" s="841"/>
      <c r="E104" s="219"/>
      <c r="F104" s="621"/>
      <c r="G104" s="158"/>
      <c r="H104" s="1"/>
      <c r="I104" s="1"/>
      <c r="J104" s="218"/>
      <c r="K104" s="8"/>
      <c r="L104" s="17"/>
      <c r="M104" s="204"/>
      <c r="N104" s="185"/>
      <c r="O104" s="8"/>
      <c r="P104" s="3"/>
    </row>
    <row r="105" spans="1:16" ht="15.75" thickBot="1" x14ac:dyDescent="0.3">
      <c r="A105" s="6"/>
      <c r="B105" s="1168" t="s">
        <v>235</v>
      </c>
      <c r="C105" s="1169"/>
      <c r="D105" s="168">
        <f>D101*D102</f>
        <v>200</v>
      </c>
      <c r="E105" s="197"/>
      <c r="F105" s="170">
        <f>D105/D$23</f>
        <v>33.333333333333336</v>
      </c>
      <c r="G105" s="158"/>
      <c r="H105" s="1"/>
      <c r="I105" s="1"/>
      <c r="J105" s="218"/>
      <c r="K105" s="8"/>
      <c r="L105" s="17"/>
      <c r="M105" s="204"/>
      <c r="N105" s="185"/>
      <c r="O105" s="17"/>
      <c r="P105" s="24"/>
    </row>
    <row r="106" spans="1:16" x14ac:dyDescent="0.25">
      <c r="A106" s="110"/>
      <c r="B106" s="824"/>
      <c r="C106" s="824"/>
      <c r="D106" s="176"/>
      <c r="E106" s="204"/>
      <c r="F106" s="185"/>
      <c r="G106" s="109"/>
      <c r="H106" s="71"/>
      <c r="I106" s="71"/>
      <c r="J106" s="218"/>
      <c r="K106" s="17"/>
      <c r="L106" s="17"/>
      <c r="M106" s="8"/>
      <c r="N106" s="8"/>
      <c r="O106" s="17"/>
      <c r="P106" s="3"/>
    </row>
    <row r="107" spans="1:16" x14ac:dyDescent="0.25">
      <c r="A107" s="6"/>
      <c r="B107" s="818"/>
      <c r="C107" s="214" t="s">
        <v>236</v>
      </c>
      <c r="D107" s="842">
        <v>0.05</v>
      </c>
      <c r="E107" s="843"/>
      <c r="F107" s="621"/>
      <c r="G107" s="8"/>
      <c r="H107" s="1"/>
      <c r="I107" s="1"/>
      <c r="J107" s="8"/>
      <c r="K107" s="8"/>
      <c r="L107" s="17"/>
      <c r="M107" s="844">
        <v>0.15</v>
      </c>
      <c r="N107" s="216" t="s">
        <v>237</v>
      </c>
      <c r="O107" s="17"/>
      <c r="P107" s="3"/>
    </row>
    <row r="108" spans="1:16" ht="15.75" thickBot="1" x14ac:dyDescent="0.3">
      <c r="A108" s="6"/>
      <c r="B108" s="594"/>
      <c r="C108" s="220"/>
      <c r="D108" s="845"/>
      <c r="E108" s="841"/>
      <c r="F108" s="621"/>
      <c r="G108" s="8"/>
      <c r="H108" s="1"/>
      <c r="I108" s="1"/>
      <c r="J108" s="8"/>
      <c r="K108" s="8"/>
      <c r="L108" s="17"/>
      <c r="M108" s="204"/>
      <c r="N108" s="185"/>
      <c r="O108" s="8"/>
      <c r="P108" s="3"/>
    </row>
    <row r="109" spans="1:16" ht="15.75" thickBot="1" x14ac:dyDescent="0.3">
      <c r="A109" s="6"/>
      <c r="B109" s="1168" t="s">
        <v>238</v>
      </c>
      <c r="C109" s="1169"/>
      <c r="D109" s="168">
        <f ca="1">D107*(D193+D196+D77)</f>
        <v>98.39500000000001</v>
      </c>
      <c r="E109" s="197"/>
      <c r="F109" s="170">
        <f ca="1">D109/D$23</f>
        <v>16.39916666666667</v>
      </c>
      <c r="G109" s="158"/>
      <c r="H109" s="1"/>
      <c r="I109" s="1"/>
      <c r="J109" s="218"/>
      <c r="K109" s="8"/>
      <c r="L109" s="17"/>
      <c r="M109" s="216" t="s">
        <v>239</v>
      </c>
      <c r="N109" s="185"/>
      <c r="O109" s="8"/>
      <c r="P109" s="3"/>
    </row>
    <row r="110" spans="1:16" ht="15.75" thickBot="1" x14ac:dyDescent="0.3">
      <c r="A110" s="6"/>
      <c r="B110" s="591"/>
      <c r="C110" s="591"/>
      <c r="D110" s="841"/>
      <c r="E110" s="219"/>
      <c r="F110" s="621"/>
      <c r="G110" s="158"/>
      <c r="H110" s="1"/>
      <c r="I110" s="1"/>
      <c r="J110" s="218"/>
      <c r="K110" s="8"/>
      <c r="L110" s="17"/>
      <c r="M110" s="17"/>
      <c r="N110" s="8"/>
      <c r="O110" s="8"/>
      <c r="P110" s="3"/>
    </row>
    <row r="111" spans="1:16" x14ac:dyDescent="0.25">
      <c r="A111" s="6"/>
      <c r="B111" s="1165" t="s">
        <v>240</v>
      </c>
      <c r="C111" s="1166"/>
      <c r="D111" s="1166"/>
      <c r="E111" s="1166"/>
      <c r="F111" s="1167"/>
      <c r="G111" s="6"/>
      <c r="H111" s="1"/>
      <c r="I111" s="8"/>
      <c r="J111" s="8"/>
      <c r="K111" s="8"/>
      <c r="L111" s="17"/>
      <c r="M111" s="8"/>
      <c r="N111" s="8"/>
      <c r="O111" s="60"/>
      <c r="P111" s="3"/>
    </row>
    <row r="112" spans="1:16" x14ac:dyDescent="0.25">
      <c r="A112" s="109"/>
      <c r="B112" s="838"/>
      <c r="C112" s="109"/>
      <c r="D112" s="1177"/>
      <c r="E112" s="1177"/>
      <c r="F112" s="60"/>
      <c r="G112" s="60"/>
      <c r="H112" s="1177"/>
      <c r="I112" s="1177"/>
      <c r="J112" s="8"/>
      <c r="K112" s="8"/>
      <c r="L112" s="17"/>
      <c r="M112" s="1177" t="s">
        <v>241</v>
      </c>
      <c r="N112" s="1177"/>
      <c r="O112" s="621"/>
      <c r="P112" s="3"/>
    </row>
    <row r="113" spans="1:16" x14ac:dyDescent="0.25">
      <c r="A113" s="6"/>
      <c r="B113" s="838"/>
      <c r="C113" s="221" t="s">
        <v>211</v>
      </c>
      <c r="D113" s="222"/>
      <c r="E113" s="621"/>
      <c r="F113" s="621"/>
      <c r="G113" s="1"/>
      <c r="H113" s="1"/>
      <c r="I113" s="621"/>
      <c r="J113" s="8"/>
      <c r="K113" s="8"/>
      <c r="L113" s="17"/>
      <c r="M113" s="223">
        <v>20</v>
      </c>
      <c r="N113" s="104" t="s">
        <v>211</v>
      </c>
      <c r="O113" s="1"/>
      <c r="P113" s="3"/>
    </row>
    <row r="114" spans="1:16" x14ac:dyDescent="0.25">
      <c r="A114" s="6"/>
      <c r="B114" s="818"/>
      <c r="C114" s="221" t="s">
        <v>233</v>
      </c>
      <c r="D114" s="222"/>
      <c r="E114" s="8"/>
      <c r="F114" s="8"/>
      <c r="G114" s="8"/>
      <c r="H114" s="1"/>
      <c r="I114" s="1"/>
      <c r="J114" s="8"/>
      <c r="K114" s="8"/>
      <c r="L114" s="17"/>
      <c r="M114" s="223">
        <v>5</v>
      </c>
      <c r="N114" s="104" t="s">
        <v>233</v>
      </c>
      <c r="O114" s="71"/>
      <c r="P114" s="24"/>
    </row>
    <row r="115" spans="1:16" ht="15.75" thickBot="1" x14ac:dyDescent="0.3">
      <c r="A115" s="110"/>
      <c r="B115" s="220"/>
      <c r="C115" s="220"/>
      <c r="D115" s="846"/>
      <c r="E115" s="840"/>
      <c r="F115" s="17"/>
      <c r="G115" s="218"/>
      <c r="H115" s="71"/>
      <c r="I115" s="71"/>
      <c r="J115" s="17"/>
      <c r="K115" s="17"/>
      <c r="L115" s="17"/>
      <c r="M115" s="204"/>
      <c r="N115" s="185"/>
      <c r="O115" s="8"/>
      <c r="P115" s="3"/>
    </row>
    <row r="116" spans="1:16" ht="15.75" thickBot="1" x14ac:dyDescent="0.3">
      <c r="A116" s="6"/>
      <c r="B116" s="1168" t="s">
        <v>242</v>
      </c>
      <c r="C116" s="1169"/>
      <c r="D116" s="168">
        <f>D113+(D114*D17)</f>
        <v>0</v>
      </c>
      <c r="E116" s="197"/>
      <c r="F116" s="170">
        <f>D116/D$23</f>
        <v>0</v>
      </c>
      <c r="G116" s="158"/>
      <c r="H116" s="1"/>
      <c r="I116" s="1"/>
      <c r="J116" s="218"/>
      <c r="K116" s="8"/>
      <c r="L116" s="17"/>
      <c r="M116" s="17"/>
      <c r="N116" s="17"/>
      <c r="O116" s="17"/>
      <c r="P116" s="24"/>
    </row>
    <row r="117" spans="1:16" ht="15.75" thickBot="1" x14ac:dyDescent="0.3">
      <c r="A117" s="6"/>
      <c r="B117" s="847"/>
      <c r="C117" s="591"/>
      <c r="D117" s="840"/>
      <c r="E117" s="621"/>
      <c r="F117" s="621"/>
      <c r="G117" s="621"/>
      <c r="H117" s="848"/>
      <c r="I117" s="848"/>
      <c r="J117" s="848"/>
      <c r="K117" s="849"/>
      <c r="L117" s="17"/>
      <c r="M117" s="1178"/>
      <c r="N117" s="1179"/>
      <c r="O117" s="8"/>
      <c r="P117" s="3"/>
    </row>
    <row r="118" spans="1:16" x14ac:dyDescent="0.25">
      <c r="A118" s="6"/>
      <c r="B118" s="1165" t="s">
        <v>628</v>
      </c>
      <c r="C118" s="1166"/>
      <c r="D118" s="1166"/>
      <c r="E118" s="1166"/>
      <c r="F118" s="1167"/>
      <c r="G118" s="158"/>
      <c r="H118" s="1"/>
      <c r="I118" s="8"/>
      <c r="J118" s="8"/>
      <c r="K118" s="8"/>
      <c r="L118" s="17"/>
      <c r="M118" s="1178"/>
      <c r="N118" s="1179"/>
      <c r="O118" s="17"/>
      <c r="P118" s="24"/>
    </row>
    <row r="119" spans="1:16" x14ac:dyDescent="0.25">
      <c r="A119" s="110"/>
      <c r="B119" s="759"/>
      <c r="C119" s="109"/>
      <c r="D119" s="1180"/>
      <c r="E119" s="1180"/>
      <c r="F119" s="7"/>
      <c r="G119" s="109"/>
      <c r="H119" s="71"/>
      <c r="I119" s="17"/>
      <c r="J119" s="17"/>
      <c r="K119" s="17"/>
      <c r="L119" s="17"/>
      <c r="M119" s="8"/>
      <c r="N119" s="8"/>
      <c r="O119" s="8"/>
      <c r="P119" s="3"/>
    </row>
    <row r="120" spans="1:16" x14ac:dyDescent="0.25">
      <c r="A120" s="109"/>
      <c r="B120" s="759"/>
      <c r="C120" s="214" t="s">
        <v>244</v>
      </c>
      <c r="D120" s="729"/>
      <c r="E120" s="850"/>
      <c r="F120" s="7"/>
      <c r="G120" s="158"/>
      <c r="H120" s="1"/>
      <c r="I120" s="8"/>
      <c r="J120" s="8"/>
      <c r="K120" s="8"/>
      <c r="L120" s="17"/>
      <c r="M120" s="844">
        <v>0.02</v>
      </c>
      <c r="N120" s="216" t="s">
        <v>245</v>
      </c>
      <c r="O120" s="8"/>
      <c r="P120" s="3"/>
    </row>
    <row r="121" spans="1:16" x14ac:dyDescent="0.25">
      <c r="A121" s="109"/>
      <c r="B121" s="759"/>
      <c r="C121" s="221" t="s">
        <v>246</v>
      </c>
      <c r="D121" s="730">
        <f ca="1">D120*(D193+D196+D77)</f>
        <v>0</v>
      </c>
      <c r="E121" s="850"/>
      <c r="F121" s="7"/>
      <c r="G121" s="158"/>
      <c r="H121" s="1"/>
      <c r="I121" s="8"/>
      <c r="J121" s="8"/>
      <c r="K121" s="8"/>
      <c r="L121" s="17"/>
      <c r="M121" s="851"/>
      <c r="N121" s="216"/>
      <c r="O121" s="8"/>
      <c r="P121" s="3"/>
    </row>
    <row r="122" spans="1:16" x14ac:dyDescent="0.25">
      <c r="A122" s="109"/>
      <c r="B122" s="759"/>
      <c r="C122" s="221" t="s">
        <v>211</v>
      </c>
      <c r="D122" s="215">
        <f>M122</f>
        <v>0</v>
      </c>
      <c r="E122" s="850"/>
      <c r="F122" s="7"/>
      <c r="G122" s="158"/>
      <c r="H122" s="1"/>
      <c r="I122" s="8"/>
      <c r="J122" s="8"/>
      <c r="K122" s="8"/>
      <c r="L122" s="17"/>
      <c r="M122" s="223">
        <v>0</v>
      </c>
      <c r="N122" s="216" t="s">
        <v>211</v>
      </c>
      <c r="O122" s="8"/>
      <c r="P122" s="3"/>
    </row>
    <row r="123" spans="1:16" x14ac:dyDescent="0.25">
      <c r="A123" s="6"/>
      <c r="B123" s="759"/>
      <c r="C123" s="221" t="s">
        <v>234</v>
      </c>
      <c r="D123" s="215">
        <f>M123</f>
        <v>0</v>
      </c>
      <c r="E123" s="8"/>
      <c r="F123" s="7"/>
      <c r="G123" s="158"/>
      <c r="H123" s="1"/>
      <c r="I123" s="8"/>
      <c r="J123" s="8"/>
      <c r="K123" s="8"/>
      <c r="L123" s="566"/>
      <c r="M123" s="223">
        <v>0</v>
      </c>
      <c r="N123" s="216" t="s">
        <v>234</v>
      </c>
      <c r="O123" s="286"/>
    </row>
    <row r="124" spans="1:16" ht="15.75" thickBot="1" x14ac:dyDescent="0.3">
      <c r="A124" s="6"/>
      <c r="B124" s="286"/>
      <c r="C124" s="286"/>
      <c r="D124" s="728"/>
      <c r="E124" s="8"/>
      <c r="F124" s="286"/>
      <c r="G124" s="723"/>
      <c r="H124" s="723"/>
      <c r="I124" s="286"/>
      <c r="J124" s="286"/>
      <c r="K124" s="286"/>
      <c r="L124" s="566"/>
      <c r="M124" s="566"/>
      <c r="N124" s="286"/>
      <c r="O124" s="286"/>
    </row>
    <row r="125" spans="1:16" ht="15.75" thickBot="1" x14ac:dyDescent="0.3">
      <c r="A125" s="6"/>
      <c r="B125" s="1168" t="s">
        <v>247</v>
      </c>
      <c r="C125" s="1169"/>
      <c r="D125" s="168">
        <f ca="1">D121+D122+(D123*D23)</f>
        <v>0</v>
      </c>
      <c r="E125" s="8"/>
      <c r="F125" s="170">
        <f ca="1">D125/D23</f>
        <v>0</v>
      </c>
      <c r="G125" s="723"/>
      <c r="H125" s="723"/>
      <c r="I125" s="286"/>
      <c r="J125" s="286"/>
      <c r="K125" s="286"/>
      <c r="L125" s="566"/>
      <c r="M125" s="566"/>
      <c r="N125" s="286"/>
      <c r="O125" s="286"/>
    </row>
    <row r="126" spans="1:16" ht="15.75" thickBot="1" x14ac:dyDescent="0.3">
      <c r="A126" s="6"/>
      <c r="B126" s="220"/>
      <c r="C126" s="220"/>
      <c r="D126" s="852"/>
      <c r="E126" s="219"/>
      <c r="F126" s="621"/>
      <c r="G126" s="109"/>
      <c r="H126" s="71"/>
      <c r="I126" s="71"/>
      <c r="J126" s="225"/>
      <c r="K126" s="17"/>
      <c r="L126" s="17"/>
      <c r="M126" s="17"/>
      <c r="N126" s="8"/>
      <c r="O126" s="8"/>
      <c r="P126" s="3"/>
    </row>
    <row r="127" spans="1:16" x14ac:dyDescent="0.25">
      <c r="A127" s="6"/>
      <c r="B127" s="1165" t="s">
        <v>248</v>
      </c>
      <c r="C127" s="1166"/>
      <c r="D127" s="1166"/>
      <c r="E127" s="1166"/>
      <c r="F127" s="1167"/>
      <c r="G127" s="6"/>
      <c r="H127" s="1"/>
      <c r="I127" s="8"/>
      <c r="J127" s="8"/>
      <c r="K127" s="8"/>
      <c r="L127" s="17"/>
      <c r="M127" s="621"/>
      <c r="N127" s="8"/>
      <c r="O127" s="8"/>
      <c r="P127" s="3"/>
    </row>
    <row r="128" spans="1:16" x14ac:dyDescent="0.25">
      <c r="A128" s="110"/>
      <c r="B128" s="759"/>
      <c r="C128" s="109"/>
      <c r="D128" s="48"/>
      <c r="E128" s="8"/>
      <c r="F128" s="7"/>
      <c r="G128" s="6"/>
      <c r="H128" s="1"/>
      <c r="I128" s="8"/>
      <c r="J128" s="8"/>
      <c r="K128" s="8"/>
      <c r="L128" s="849"/>
      <c r="M128" s="8"/>
      <c r="N128" s="8"/>
      <c r="O128" s="8"/>
      <c r="P128" s="3"/>
    </row>
    <row r="129" spans="1:16" x14ac:dyDescent="0.25">
      <c r="A129" s="6"/>
      <c r="B129" s="838"/>
      <c r="C129" s="214" t="s">
        <v>211</v>
      </c>
      <c r="D129" s="731">
        <f>M129</f>
        <v>0</v>
      </c>
      <c r="E129" s="1"/>
      <c r="F129" s="621"/>
      <c r="G129" s="621"/>
      <c r="H129" s="71"/>
      <c r="I129" s="621"/>
      <c r="J129" s="11"/>
      <c r="K129" s="849"/>
      <c r="L129" s="17"/>
      <c r="M129" s="223">
        <v>0</v>
      </c>
      <c r="N129" s="853" t="s">
        <v>249</v>
      </c>
      <c r="O129" s="8"/>
      <c r="P129" s="3"/>
    </row>
    <row r="130" spans="1:16" x14ac:dyDescent="0.25">
      <c r="A130" s="6"/>
      <c r="B130" s="838"/>
      <c r="C130" s="214" t="s">
        <v>234</v>
      </c>
      <c r="D130" s="731">
        <f>M130</f>
        <v>0</v>
      </c>
      <c r="E130" s="1"/>
      <c r="F130" s="621"/>
      <c r="G130" s="621"/>
      <c r="H130" s="71"/>
      <c r="I130" s="621"/>
      <c r="J130" s="11"/>
      <c r="K130" s="849"/>
      <c r="L130" s="17"/>
      <c r="M130" s="223">
        <v>0</v>
      </c>
      <c r="N130" s="853" t="s">
        <v>250</v>
      </c>
      <c r="O130" s="8"/>
      <c r="P130" s="3"/>
    </row>
    <row r="131" spans="1:16" ht="15.75" thickBot="1" x14ac:dyDescent="0.3">
      <c r="A131" s="6"/>
      <c r="B131" s="847"/>
      <c r="C131" s="591"/>
      <c r="D131" s="840"/>
      <c r="E131" s="621"/>
      <c r="F131" s="621"/>
      <c r="G131" s="621"/>
      <c r="H131" s="848"/>
      <c r="I131" s="848"/>
      <c r="J131" s="848"/>
      <c r="K131" s="849"/>
      <c r="L131" s="17"/>
      <c r="M131" s="204"/>
      <c r="N131" s="185"/>
      <c r="O131" s="8"/>
      <c r="P131" s="3"/>
    </row>
    <row r="132" spans="1:16" ht="15.75" thickBot="1" x14ac:dyDescent="0.3">
      <c r="A132" s="6"/>
      <c r="B132" s="1168" t="s">
        <v>251</v>
      </c>
      <c r="C132" s="1169"/>
      <c r="D132" s="168">
        <f>D129+(D130*D21)</f>
        <v>0</v>
      </c>
      <c r="E132" s="197"/>
      <c r="F132" s="170">
        <f>D129/D$23</f>
        <v>0</v>
      </c>
      <c r="G132" s="158"/>
      <c r="H132" s="1"/>
      <c r="I132" s="1"/>
      <c r="J132" s="218"/>
      <c r="K132" s="8"/>
      <c r="L132" s="17"/>
      <c r="M132" s="71"/>
      <c r="N132" s="181"/>
      <c r="O132" s="8"/>
      <c r="P132" s="3"/>
    </row>
    <row r="133" spans="1:16" ht="15.75" thickBot="1" x14ac:dyDescent="0.3">
      <c r="A133" s="6"/>
      <c r="B133" s="286"/>
      <c r="C133" s="286"/>
      <c r="D133" s="728"/>
      <c r="E133" s="8"/>
      <c r="F133" s="286"/>
      <c r="G133" s="723"/>
      <c r="H133" s="723"/>
      <c r="I133" s="286"/>
      <c r="J133" s="286"/>
      <c r="K133" s="286"/>
      <c r="L133" s="17"/>
      <c r="M133" s="17"/>
      <c r="N133" s="8"/>
      <c r="O133" s="8"/>
      <c r="P133" s="3"/>
    </row>
    <row r="134" spans="1:16" x14ac:dyDescent="0.25">
      <c r="A134" s="6"/>
      <c r="B134" s="1174" t="s">
        <v>252</v>
      </c>
      <c r="C134" s="1175"/>
      <c r="D134" s="1175"/>
      <c r="E134" s="1175"/>
      <c r="F134" s="1176"/>
      <c r="G134" s="6"/>
      <c r="H134" s="7"/>
      <c r="I134" s="8"/>
      <c r="J134" s="8"/>
      <c r="K134" s="8"/>
      <c r="L134" s="17"/>
      <c r="M134" s="17"/>
      <c r="N134" s="8"/>
      <c r="O134" s="8"/>
      <c r="P134" s="3"/>
    </row>
    <row r="135" spans="1:16" x14ac:dyDescent="0.25">
      <c r="A135" s="110"/>
      <c r="B135" s="759"/>
      <c r="C135" s="109"/>
      <c r="D135" s="1177"/>
      <c r="E135" s="1177"/>
      <c r="F135" s="1177"/>
      <c r="G135" s="1177"/>
      <c r="H135" s="1177"/>
      <c r="I135" s="1177"/>
      <c r="J135" s="854"/>
      <c r="K135" s="8"/>
      <c r="L135" s="17"/>
      <c r="M135" s="17"/>
      <c r="N135" s="8"/>
      <c r="O135" s="8"/>
      <c r="P135" s="3"/>
    </row>
    <row r="136" spans="1:16" x14ac:dyDescent="0.25">
      <c r="A136" s="6"/>
      <c r="B136" s="855" t="s">
        <v>292</v>
      </c>
      <c r="C136" s="856" t="str">
        <f>IF(B136="","",Info!B37)</f>
        <v>Pyrénées Atlantiques</v>
      </c>
      <c r="D136" s="622"/>
      <c r="E136" s="621"/>
      <c r="F136" s="621"/>
      <c r="G136" s="621"/>
      <c r="H136" s="71"/>
      <c r="I136" s="621"/>
      <c r="J136" s="71"/>
      <c r="K136" s="71"/>
      <c r="L136" s="17"/>
      <c r="M136" s="17"/>
      <c r="N136" s="8"/>
      <c r="O136" s="8"/>
      <c r="P136" s="3"/>
    </row>
    <row r="137" spans="1:16" x14ac:dyDescent="0.25">
      <c r="A137" s="6"/>
      <c r="B137" s="751"/>
      <c r="C137" s="826" t="s">
        <v>211</v>
      </c>
      <c r="D137" s="205"/>
      <c r="E137" s="226"/>
      <c r="F137" s="227"/>
      <c r="G137" s="226"/>
      <c r="H137" s="227"/>
      <c r="I137" s="857"/>
      <c r="J137" s="228"/>
      <c r="K137" s="218"/>
      <c r="L137" s="17"/>
      <c r="M137" s="223">
        <v>0</v>
      </c>
      <c r="N137" s="828" t="s">
        <v>211</v>
      </c>
      <c r="O137" s="8"/>
      <c r="P137" s="3"/>
    </row>
    <row r="138" spans="1:16" x14ac:dyDescent="0.25">
      <c r="A138" s="6"/>
      <c r="B138" s="751"/>
      <c r="C138" s="826" t="s">
        <v>253</v>
      </c>
      <c r="D138" s="205"/>
      <c r="E138" s="226"/>
      <c r="F138" s="227"/>
      <c r="G138" s="226"/>
      <c r="H138" s="227"/>
      <c r="I138" s="857"/>
      <c r="J138" s="228"/>
      <c r="K138" s="218"/>
      <c r="L138" s="17"/>
      <c r="M138" s="223">
        <v>0</v>
      </c>
      <c r="N138" s="828" t="s">
        <v>253</v>
      </c>
      <c r="O138" s="8"/>
      <c r="P138" s="3"/>
    </row>
    <row r="139" spans="1:16" x14ac:dyDescent="0.25">
      <c r="A139" s="6"/>
      <c r="B139" s="825"/>
      <c r="C139" s="858" t="s">
        <v>254</v>
      </c>
      <c r="D139" s="229">
        <f t="shared" ref="D139" si="3">M139</f>
        <v>0</v>
      </c>
      <c r="E139" s="230"/>
      <c r="F139" s="859"/>
      <c r="G139" s="226"/>
      <c r="H139" s="860"/>
      <c r="I139" s="226"/>
      <c r="J139" s="228"/>
      <c r="K139" s="218"/>
      <c r="L139" s="17"/>
      <c r="M139" s="510">
        <v>0</v>
      </c>
      <c r="N139" s="861" t="s">
        <v>255</v>
      </c>
      <c r="O139" s="8"/>
      <c r="P139" s="3"/>
    </row>
    <row r="140" spans="1:16" x14ac:dyDescent="0.25">
      <c r="A140" s="6"/>
      <c r="B140" s="862"/>
      <c r="C140" s="834" t="s">
        <v>256</v>
      </c>
      <c r="D140" s="224">
        <f>D105*D139</f>
        <v>0</v>
      </c>
      <c r="E140" s="230"/>
      <c r="F140" s="859"/>
      <c r="G140" s="226"/>
      <c r="H140" s="860"/>
      <c r="I140" s="226"/>
      <c r="J140" s="228"/>
      <c r="K140" s="218"/>
      <c r="L140" s="17"/>
      <c r="M140" s="863"/>
      <c r="N140" s="8"/>
      <c r="O140" s="8"/>
      <c r="P140" s="3"/>
    </row>
    <row r="141" spans="1:16" ht="15.75" thickBot="1" x14ac:dyDescent="0.3">
      <c r="A141" s="6"/>
      <c r="B141" s="864"/>
      <c r="C141" s="865" t="s">
        <v>174</v>
      </c>
      <c r="D141" s="866">
        <f>D137+D140+(D138*D21)</f>
        <v>0</v>
      </c>
      <c r="E141" s="230"/>
      <c r="F141" s="859"/>
      <c r="G141" s="226"/>
      <c r="H141" s="860"/>
      <c r="I141" s="226"/>
      <c r="J141" s="228"/>
      <c r="K141" s="218"/>
      <c r="L141" s="17"/>
      <c r="M141" s="863"/>
      <c r="N141" s="8"/>
      <c r="O141" s="8"/>
      <c r="P141" s="3"/>
    </row>
    <row r="142" spans="1:16" x14ac:dyDescent="0.25">
      <c r="A142" s="6"/>
      <c r="B142" s="867" t="s">
        <v>257</v>
      </c>
      <c r="C142" s="868" t="s">
        <v>293</v>
      </c>
      <c r="D142" s="8"/>
      <c r="E142" s="869"/>
      <c r="F142" s="227"/>
      <c r="G142" s="870"/>
      <c r="H142" s="227"/>
      <c r="I142" s="870"/>
      <c r="J142" s="228"/>
      <c r="K142" s="218"/>
      <c r="L142" s="17"/>
      <c r="M142" s="863"/>
      <c r="N142" s="185"/>
      <c r="O142" s="17"/>
      <c r="P142" s="24"/>
    </row>
    <row r="143" spans="1:16" x14ac:dyDescent="0.25">
      <c r="A143" s="6"/>
      <c r="B143" s="751"/>
      <c r="C143" s="826" t="s">
        <v>211</v>
      </c>
      <c r="D143" s="205"/>
      <c r="E143" s="226"/>
      <c r="F143" s="860"/>
      <c r="G143" s="226"/>
      <c r="H143" s="860"/>
      <c r="I143" s="226"/>
      <c r="J143" s="228"/>
      <c r="K143" s="218"/>
      <c r="L143" s="17"/>
      <c r="M143" s="223">
        <v>0</v>
      </c>
      <c r="N143" s="828" t="s">
        <v>211</v>
      </c>
      <c r="O143" s="8"/>
      <c r="P143" s="3"/>
    </row>
    <row r="144" spans="1:16" x14ac:dyDescent="0.25">
      <c r="A144" s="6"/>
      <c r="B144" s="871"/>
      <c r="C144" s="826" t="s">
        <v>253</v>
      </c>
      <c r="D144" s="205"/>
      <c r="E144" s="870"/>
      <c r="F144" s="227"/>
      <c r="G144" s="226"/>
      <c r="H144" s="227"/>
      <c r="I144" s="857"/>
      <c r="J144" s="232"/>
      <c r="K144" s="218"/>
      <c r="L144" s="17"/>
      <c r="M144" s="223">
        <v>0</v>
      </c>
      <c r="N144" s="828" t="s">
        <v>253</v>
      </c>
      <c r="O144" s="17"/>
      <c r="P144" s="24"/>
    </row>
    <row r="145" spans="1:16" ht="15.75" thickBot="1" x14ac:dyDescent="0.3">
      <c r="A145" s="6"/>
      <c r="B145" s="864"/>
      <c r="C145" s="865" t="s">
        <v>174</v>
      </c>
      <c r="D145" s="866">
        <f>D143+(D144*D$21)</f>
        <v>0</v>
      </c>
      <c r="E145" s="230"/>
      <c r="F145" s="859"/>
      <c r="G145" s="226"/>
      <c r="H145" s="860"/>
      <c r="I145" s="226"/>
      <c r="J145" s="228"/>
      <c r="K145" s="218"/>
      <c r="L145" s="17"/>
      <c r="M145" s="863"/>
      <c r="N145" s="8"/>
      <c r="O145" s="8"/>
      <c r="P145" s="3"/>
    </row>
    <row r="146" spans="1:16" x14ac:dyDescent="0.25">
      <c r="A146" s="110"/>
      <c r="B146" s="867" t="s">
        <v>258</v>
      </c>
      <c r="C146" s="782"/>
      <c r="D146" s="846"/>
      <c r="E146" s="870"/>
      <c r="F146" s="227"/>
      <c r="G146" s="226"/>
      <c r="H146" s="227"/>
      <c r="I146" s="857"/>
      <c r="J146" s="232"/>
      <c r="K146" s="218"/>
      <c r="L146" s="17"/>
      <c r="M146" s="863"/>
      <c r="N146" s="185"/>
      <c r="O146" s="17"/>
      <c r="P146" s="24"/>
    </row>
    <row r="147" spans="1:16" x14ac:dyDescent="0.25">
      <c r="A147" s="110"/>
      <c r="B147" s="751"/>
      <c r="C147" s="826" t="s">
        <v>211</v>
      </c>
      <c r="D147" s="205"/>
      <c r="E147" s="870"/>
      <c r="F147" s="227"/>
      <c r="G147" s="226"/>
      <c r="H147" s="227"/>
      <c r="I147" s="857"/>
      <c r="J147" s="232"/>
      <c r="K147" s="218"/>
      <c r="L147" s="17"/>
      <c r="M147" s="223">
        <v>0</v>
      </c>
      <c r="N147" s="828" t="s">
        <v>211</v>
      </c>
      <c r="O147" s="17"/>
      <c r="P147" s="24"/>
    </row>
    <row r="148" spans="1:16" x14ac:dyDescent="0.25">
      <c r="A148" s="110"/>
      <c r="B148" s="751"/>
      <c r="C148" s="826" t="s">
        <v>253</v>
      </c>
      <c r="D148" s="205"/>
      <c r="E148" s="870"/>
      <c r="F148" s="227"/>
      <c r="G148" s="226"/>
      <c r="H148" s="227"/>
      <c r="I148" s="857"/>
      <c r="J148" s="232"/>
      <c r="K148" s="218"/>
      <c r="L148" s="17"/>
      <c r="M148" s="223">
        <v>0</v>
      </c>
      <c r="N148" s="828" t="s">
        <v>253</v>
      </c>
      <c r="O148" s="17"/>
      <c r="P148" s="24"/>
    </row>
    <row r="149" spans="1:16" x14ac:dyDescent="0.25">
      <c r="A149" s="110"/>
      <c r="B149" s="872"/>
      <c r="C149" s="834" t="s">
        <v>174</v>
      </c>
      <c r="D149" s="224">
        <f>D147+(D148*D$21)</f>
        <v>0</v>
      </c>
      <c r="E149" s="870"/>
      <c r="F149" s="227"/>
      <c r="G149" s="226"/>
      <c r="H149" s="227"/>
      <c r="I149" s="857"/>
      <c r="J149" s="232"/>
      <c r="K149" s="218"/>
      <c r="L149" s="17"/>
      <c r="M149" s="873"/>
      <c r="N149" s="874"/>
      <c r="O149" s="17"/>
      <c r="P149" s="24"/>
    </row>
    <row r="150" spans="1:16" x14ac:dyDescent="0.25">
      <c r="A150" s="110"/>
      <c r="B150" s="751"/>
      <c r="C150" s="875" t="s">
        <v>259</v>
      </c>
      <c r="D150" s="233">
        <f t="shared" ref="D150" si="4">M150</f>
        <v>0</v>
      </c>
      <c r="E150" s="870"/>
      <c r="F150" s="227"/>
      <c r="G150" s="226"/>
      <c r="H150" s="227"/>
      <c r="I150" s="857"/>
      <c r="J150" s="232"/>
      <c r="K150" s="218"/>
      <c r="L150" s="17"/>
      <c r="M150" s="223">
        <v>0</v>
      </c>
      <c r="N150" s="828" t="s">
        <v>259</v>
      </c>
      <c r="O150" s="17"/>
      <c r="P150" s="24"/>
    </row>
    <row r="151" spans="1:16" ht="15.75" thickBot="1" x14ac:dyDescent="0.3">
      <c r="A151" s="6"/>
      <c r="B151" s="864"/>
      <c r="C151" s="865" t="s">
        <v>174</v>
      </c>
      <c r="D151" s="866">
        <f>D149+(D150*D22)</f>
        <v>0</v>
      </c>
      <c r="E151" s="230"/>
      <c r="F151" s="859"/>
      <c r="G151" s="226"/>
      <c r="H151" s="860"/>
      <c r="I151" s="226"/>
      <c r="J151" s="228"/>
      <c r="K151" s="218"/>
      <c r="L151" s="17"/>
      <c r="M151" s="863"/>
      <c r="N151" s="8"/>
      <c r="O151" s="8"/>
      <c r="P151" s="3"/>
    </row>
    <row r="152" spans="1:16" ht="15.75" thickBot="1" x14ac:dyDescent="0.3">
      <c r="A152" s="110"/>
      <c r="B152" s="782"/>
      <c r="C152" s="782"/>
      <c r="D152" s="846"/>
      <c r="E152" s="870"/>
      <c r="F152" s="227"/>
      <c r="G152" s="226"/>
      <c r="H152" s="227"/>
      <c r="I152" s="857"/>
      <c r="J152" s="232"/>
      <c r="K152" s="218"/>
      <c r="L152" s="17"/>
      <c r="M152" s="863"/>
      <c r="N152" s="185"/>
      <c r="O152" s="17"/>
      <c r="P152" s="24"/>
    </row>
    <row r="153" spans="1:16" ht="15.75" thickBot="1" x14ac:dyDescent="0.3">
      <c r="A153" s="110"/>
      <c r="B153" s="1168" t="s">
        <v>260</v>
      </c>
      <c r="C153" s="1169"/>
      <c r="D153" s="168">
        <f>D137+D140+D143+D147</f>
        <v>0</v>
      </c>
      <c r="E153" s="8"/>
      <c r="F153" s="170">
        <f>D153/D$23</f>
        <v>0</v>
      </c>
      <c r="G153" s="226"/>
      <c r="H153" s="227"/>
      <c r="I153" s="857"/>
      <c r="J153" s="232"/>
      <c r="K153" s="218"/>
      <c r="L153" s="71"/>
      <c r="M153" s="71"/>
      <c r="N153" s="71"/>
      <c r="O153" s="71"/>
      <c r="P153" s="38"/>
    </row>
    <row r="154" spans="1:16" ht="15.75" thickBot="1" x14ac:dyDescent="0.3">
      <c r="A154" s="110"/>
      <c r="B154" s="782"/>
      <c r="C154" s="782"/>
      <c r="D154" s="876"/>
      <c r="E154" s="180"/>
      <c r="F154" s="203"/>
      <c r="G154" s="234"/>
      <c r="H154" s="104"/>
      <c r="I154" s="71"/>
      <c r="J154" s="71"/>
      <c r="K154" s="71"/>
      <c r="L154" s="71"/>
      <c r="M154" s="71"/>
      <c r="N154" s="71"/>
      <c r="O154" s="71"/>
      <c r="P154" s="38"/>
    </row>
    <row r="155" spans="1:16" ht="15.75" thickBot="1" x14ac:dyDescent="0.3">
      <c r="A155" s="110"/>
      <c r="B155" s="1168" t="s">
        <v>261</v>
      </c>
      <c r="C155" s="1169"/>
      <c r="D155" s="168">
        <f>F155*D21</f>
        <v>0</v>
      </c>
      <c r="E155" s="8"/>
      <c r="F155" s="170">
        <f>D138+D144+D148</f>
        <v>0</v>
      </c>
      <c r="G155" s="234" t="s">
        <v>262</v>
      </c>
      <c r="H155" s="104"/>
      <c r="I155" s="71"/>
      <c r="J155" s="71"/>
      <c r="K155" s="71"/>
      <c r="L155" s="71"/>
      <c r="M155" s="71"/>
      <c r="N155" s="71"/>
      <c r="O155" s="71"/>
      <c r="P155" s="38"/>
    </row>
    <row r="156" spans="1:16" ht="15.75" thickBot="1" x14ac:dyDescent="0.3">
      <c r="A156" s="110"/>
      <c r="B156" s="824"/>
      <c r="C156" s="824"/>
      <c r="D156" s="176"/>
      <c r="E156" s="17"/>
      <c r="F156" s="185"/>
      <c r="G156" s="234"/>
      <c r="H156" s="104"/>
      <c r="I156" s="71"/>
      <c r="J156" s="71"/>
      <c r="K156" s="71"/>
      <c r="L156" s="71"/>
      <c r="M156" s="71"/>
      <c r="N156" s="71"/>
      <c r="O156" s="71"/>
      <c r="P156" s="38"/>
    </row>
    <row r="157" spans="1:16" ht="15.75" thickBot="1" x14ac:dyDescent="0.3">
      <c r="A157" s="110"/>
      <c r="B157" s="1168" t="s">
        <v>263</v>
      </c>
      <c r="C157" s="1169"/>
      <c r="D157" s="168">
        <f>F157*D22</f>
        <v>0</v>
      </c>
      <c r="E157" s="8"/>
      <c r="F157" s="170">
        <f>D150</f>
        <v>0</v>
      </c>
      <c r="G157" s="234" t="s">
        <v>264</v>
      </c>
      <c r="H157" s="104"/>
      <c r="I157" s="71"/>
      <c r="J157" s="71"/>
      <c r="K157" s="71"/>
      <c r="L157" s="71"/>
      <c r="M157" s="71"/>
      <c r="N157" s="71"/>
      <c r="O157" s="71"/>
      <c r="P157" s="38"/>
    </row>
    <row r="158" spans="1:16" ht="15.75" thickBot="1" x14ac:dyDescent="0.3">
      <c r="A158" s="110"/>
      <c r="B158" s="782"/>
      <c r="C158" s="782"/>
      <c r="D158" s="876"/>
      <c r="E158" s="180"/>
      <c r="F158" s="203"/>
      <c r="G158" s="234"/>
      <c r="H158" s="104"/>
      <c r="I158" s="71"/>
      <c r="J158" s="71"/>
      <c r="K158" s="71"/>
      <c r="L158" s="17"/>
      <c r="M158" s="17"/>
      <c r="N158" s="8"/>
      <c r="O158" s="8"/>
      <c r="P158" s="3"/>
    </row>
    <row r="159" spans="1:16" x14ac:dyDescent="0.25">
      <c r="A159" s="6"/>
      <c r="B159" s="1174" t="s">
        <v>265</v>
      </c>
      <c r="C159" s="1175"/>
      <c r="D159" s="1175"/>
      <c r="E159" s="1175"/>
      <c r="F159" s="1176"/>
      <c r="G159" s="6"/>
      <c r="H159" s="7"/>
      <c r="I159" s="8"/>
      <c r="J159" s="8"/>
      <c r="K159" s="8"/>
      <c r="L159" s="17"/>
      <c r="M159" s="17"/>
      <c r="N159" s="8"/>
      <c r="O159" s="8"/>
      <c r="P159" s="3"/>
    </row>
    <row r="160" spans="1:16" x14ac:dyDescent="0.25">
      <c r="A160" s="6"/>
      <c r="B160" s="759"/>
      <c r="C160" s="109"/>
      <c r="D160" s="621"/>
      <c r="E160" s="621"/>
      <c r="F160" s="621"/>
      <c r="G160" s="621"/>
      <c r="H160" s="71"/>
      <c r="I160" s="621"/>
      <c r="J160" s="71"/>
      <c r="K160" s="71"/>
      <c r="L160" s="17"/>
      <c r="M160" s="17"/>
      <c r="N160" s="8"/>
      <c r="O160" s="8"/>
      <c r="P160" s="3"/>
    </row>
    <row r="161" spans="1:16" x14ac:dyDescent="0.25">
      <c r="A161" s="6"/>
      <c r="B161" s="877" t="s">
        <v>266</v>
      </c>
      <c r="C161" s="827" t="str">
        <f>Info!B37</f>
        <v>Pyrénées Atlantiques</v>
      </c>
      <c r="D161" s="860"/>
      <c r="E161" s="226"/>
      <c r="F161" s="860"/>
      <c r="G161" s="226"/>
      <c r="H161" s="860"/>
      <c r="I161" s="226"/>
      <c r="J161" s="228"/>
      <c r="K161" s="218"/>
      <c r="L161" s="17"/>
      <c r="M161" s="17"/>
      <c r="N161" s="17"/>
      <c r="O161" s="17"/>
      <c r="P161" s="24"/>
    </row>
    <row r="162" spans="1:16" x14ac:dyDescent="0.25">
      <c r="A162" s="110"/>
      <c r="B162" s="825"/>
      <c r="C162" s="878" t="s">
        <v>267</v>
      </c>
      <c r="D162" s="205"/>
      <c r="E162" s="226"/>
      <c r="F162" s="860"/>
      <c r="G162" s="226"/>
      <c r="H162" s="860"/>
      <c r="I162" s="226"/>
      <c r="J162" s="228"/>
      <c r="K162" s="218"/>
      <c r="L162" s="17"/>
      <c r="M162" s="223">
        <v>0</v>
      </c>
      <c r="N162" s="828" t="s">
        <v>211</v>
      </c>
      <c r="O162" s="17"/>
      <c r="P162" s="24"/>
    </row>
    <row r="163" spans="1:16" x14ac:dyDescent="0.25">
      <c r="A163" s="110"/>
      <c r="B163" s="825"/>
      <c r="C163" s="878" t="s">
        <v>268</v>
      </c>
      <c r="D163" s="205">
        <f t="shared" ref="D163:D164" si="5">M163</f>
        <v>0</v>
      </c>
      <c r="E163" s="226"/>
      <c r="F163" s="860"/>
      <c r="G163" s="226"/>
      <c r="H163" s="860"/>
      <c r="I163" s="226"/>
      <c r="J163" s="228"/>
      <c r="K163" s="218"/>
      <c r="L163" s="17"/>
      <c r="M163" s="223">
        <v>0</v>
      </c>
      <c r="N163" s="828" t="s">
        <v>211</v>
      </c>
      <c r="O163" s="17"/>
      <c r="P163" s="24"/>
    </row>
    <row r="164" spans="1:16" x14ac:dyDescent="0.25">
      <c r="A164" s="110"/>
      <c r="B164" s="879"/>
      <c r="C164" s="878" t="s">
        <v>269</v>
      </c>
      <c r="D164" s="205">
        <f t="shared" si="5"/>
        <v>0</v>
      </c>
      <c r="E164" s="226"/>
      <c r="F164" s="860"/>
      <c r="G164" s="226"/>
      <c r="H164" s="860"/>
      <c r="I164" s="226"/>
      <c r="J164" s="228"/>
      <c r="K164" s="218"/>
      <c r="L164" s="17"/>
      <c r="M164" s="223">
        <v>0</v>
      </c>
      <c r="N164" s="828" t="s">
        <v>234</v>
      </c>
      <c r="O164" s="17"/>
      <c r="P164" s="24"/>
    </row>
    <row r="165" spans="1:16" ht="15.75" thickBot="1" x14ac:dyDescent="0.3">
      <c r="A165" s="6"/>
      <c r="B165" s="864"/>
      <c r="C165" s="865" t="s">
        <v>174</v>
      </c>
      <c r="D165" s="866">
        <f>SUM(D162:D163)+(D164*D23)</f>
        <v>0</v>
      </c>
      <c r="E165" s="230"/>
      <c r="F165" s="859"/>
      <c r="G165" s="226"/>
      <c r="H165" s="860"/>
      <c r="I165" s="226"/>
      <c r="J165" s="228"/>
      <c r="K165" s="218"/>
      <c r="L165" s="17"/>
      <c r="M165" s="863"/>
      <c r="N165" s="8"/>
      <c r="O165" s="8"/>
      <c r="P165" s="3"/>
    </row>
    <row r="166" spans="1:16" x14ac:dyDescent="0.25">
      <c r="A166" s="110"/>
      <c r="B166" s="749" t="s">
        <v>270</v>
      </c>
      <c r="C166" s="880" t="s">
        <v>293</v>
      </c>
      <c r="D166" s="860"/>
      <c r="E166" s="226"/>
      <c r="F166" s="860"/>
      <c r="G166" s="226"/>
      <c r="H166" s="860"/>
      <c r="I166" s="226"/>
      <c r="J166" s="228"/>
      <c r="K166" s="218"/>
      <c r="L166" s="17"/>
      <c r="M166" s="863"/>
      <c r="N166" s="8"/>
      <c r="O166" s="8"/>
      <c r="P166" s="3"/>
    </row>
    <row r="167" spans="1:16" x14ac:dyDescent="0.25">
      <c r="A167" s="110"/>
      <c r="B167" s="825"/>
      <c r="C167" s="878" t="s">
        <v>267</v>
      </c>
      <c r="D167" s="205"/>
      <c r="E167" s="226"/>
      <c r="F167" s="860"/>
      <c r="G167" s="226"/>
      <c r="H167" s="860"/>
      <c r="I167" s="226"/>
      <c r="J167" s="228"/>
      <c r="K167" s="218"/>
      <c r="L167" s="17"/>
      <c r="M167" s="223">
        <v>0</v>
      </c>
      <c r="N167" s="828" t="s">
        <v>211</v>
      </c>
      <c r="O167" s="17"/>
      <c r="P167" s="24"/>
    </row>
    <row r="168" spans="1:16" x14ac:dyDescent="0.25">
      <c r="A168" s="110"/>
      <c r="B168" s="825"/>
      <c r="C168" s="878" t="s">
        <v>268</v>
      </c>
      <c r="D168" s="205">
        <f t="shared" ref="D168:D169" si="6">M168</f>
        <v>0</v>
      </c>
      <c r="E168" s="226"/>
      <c r="F168" s="860"/>
      <c r="G168" s="226"/>
      <c r="H168" s="860"/>
      <c r="I168" s="226"/>
      <c r="J168" s="228"/>
      <c r="K168" s="218"/>
      <c r="L168" s="17"/>
      <c r="M168" s="223">
        <v>0</v>
      </c>
      <c r="N168" s="828" t="s">
        <v>211</v>
      </c>
      <c r="O168" s="17"/>
      <c r="P168" s="24"/>
    </row>
    <row r="169" spans="1:16" x14ac:dyDescent="0.25">
      <c r="A169" s="110"/>
      <c r="B169" s="879"/>
      <c r="C169" s="878" t="s">
        <v>269</v>
      </c>
      <c r="D169" s="205">
        <f t="shared" si="6"/>
        <v>0</v>
      </c>
      <c r="E169" s="226"/>
      <c r="F169" s="860"/>
      <c r="G169" s="226"/>
      <c r="H169" s="860"/>
      <c r="I169" s="226"/>
      <c r="J169" s="228"/>
      <c r="K169" s="218"/>
      <c r="L169" s="17"/>
      <c r="M169" s="223">
        <v>0</v>
      </c>
      <c r="N169" s="828" t="s">
        <v>234</v>
      </c>
      <c r="O169" s="17"/>
      <c r="P169" s="24"/>
    </row>
    <row r="170" spans="1:16" ht="15.75" thickBot="1" x14ac:dyDescent="0.3">
      <c r="A170" s="6"/>
      <c r="B170" s="864"/>
      <c r="C170" s="865" t="s">
        <v>174</v>
      </c>
      <c r="D170" s="866">
        <f>SUM(D167:D168)+(D169*D23)</f>
        <v>0</v>
      </c>
      <c r="E170" s="230"/>
      <c r="F170" s="859"/>
      <c r="G170" s="226"/>
      <c r="H170" s="860"/>
      <c r="I170" s="226"/>
      <c r="J170" s="228"/>
      <c r="K170" s="218"/>
      <c r="L170" s="17"/>
      <c r="M170" s="863"/>
      <c r="N170" s="8"/>
      <c r="O170" s="8"/>
      <c r="P170" s="3"/>
    </row>
    <row r="171" spans="1:16" x14ac:dyDescent="0.25">
      <c r="A171" s="110"/>
      <c r="B171" s="749" t="s">
        <v>271</v>
      </c>
      <c r="C171" s="782"/>
      <c r="D171" s="860"/>
      <c r="E171" s="226"/>
      <c r="F171" s="860"/>
      <c r="G171" s="226"/>
      <c r="H171" s="860"/>
      <c r="I171" s="226"/>
      <c r="J171" s="228"/>
      <c r="K171" s="218"/>
      <c r="L171" s="17"/>
      <c r="M171" s="863"/>
      <c r="N171" s="185"/>
      <c r="O171" s="17"/>
      <c r="P171" s="24"/>
    </row>
    <row r="172" spans="1:16" x14ac:dyDescent="0.25">
      <c r="A172" s="110"/>
      <c r="B172" s="825"/>
      <c r="C172" s="878" t="s">
        <v>267</v>
      </c>
      <c r="D172" s="205"/>
      <c r="E172" s="226"/>
      <c r="F172" s="860"/>
      <c r="G172" s="226"/>
      <c r="H172" s="860"/>
      <c r="I172" s="226"/>
      <c r="J172" s="228"/>
      <c r="K172" s="218"/>
      <c r="L172" s="17"/>
      <c r="M172" s="223">
        <v>0</v>
      </c>
      <c r="N172" s="828" t="s">
        <v>211</v>
      </c>
      <c r="O172" s="17"/>
      <c r="P172" s="24"/>
    </row>
    <row r="173" spans="1:16" x14ac:dyDescent="0.25">
      <c r="A173" s="110"/>
      <c r="B173" s="825"/>
      <c r="C173" s="878" t="s">
        <v>268</v>
      </c>
      <c r="D173" s="205">
        <f t="shared" ref="D173" si="7">M173</f>
        <v>0</v>
      </c>
      <c r="E173" s="226"/>
      <c r="F173" s="860"/>
      <c r="G173" s="226"/>
      <c r="H173" s="860"/>
      <c r="I173" s="226"/>
      <c r="J173" s="228"/>
      <c r="K173" s="218"/>
      <c r="L173" s="17"/>
      <c r="M173" s="223">
        <v>0</v>
      </c>
      <c r="N173" s="828" t="s">
        <v>211</v>
      </c>
      <c r="O173" s="17"/>
      <c r="P173" s="24"/>
    </row>
    <row r="174" spans="1:16" x14ac:dyDescent="0.25">
      <c r="A174" s="110"/>
      <c r="B174" s="879"/>
      <c r="C174" s="878" t="s">
        <v>269</v>
      </c>
      <c r="D174" s="205"/>
      <c r="E174" s="226"/>
      <c r="F174" s="860"/>
      <c r="G174" s="226"/>
      <c r="H174" s="860"/>
      <c r="I174" s="226"/>
      <c r="J174" s="228"/>
      <c r="K174" s="218"/>
      <c r="L174" s="17"/>
      <c r="M174" s="223">
        <v>0</v>
      </c>
      <c r="N174" s="828" t="s">
        <v>234</v>
      </c>
      <c r="O174" s="17"/>
      <c r="P174" s="24"/>
    </row>
    <row r="175" spans="1:16" ht="15.75" thickBot="1" x14ac:dyDescent="0.3">
      <c r="A175" s="6"/>
      <c r="B175" s="864"/>
      <c r="C175" s="865" t="s">
        <v>174</v>
      </c>
      <c r="D175" s="881">
        <f>SUM(D172:D173)+(D174*D23)</f>
        <v>0</v>
      </c>
      <c r="E175" s="230"/>
      <c r="F175" s="859"/>
      <c r="G175" s="226"/>
      <c r="H175" s="860"/>
      <c r="I175" s="226"/>
      <c r="J175" s="228"/>
      <c r="K175" s="218"/>
      <c r="L175" s="17"/>
      <c r="M175" s="863"/>
      <c r="N175" s="8"/>
      <c r="O175" s="8"/>
      <c r="P175" s="3"/>
    </row>
    <row r="176" spans="1:16" x14ac:dyDescent="0.25">
      <c r="A176" s="110"/>
      <c r="B176" s="749" t="s">
        <v>272</v>
      </c>
      <c r="C176" s="782"/>
      <c r="D176" s="227"/>
      <c r="E176" s="870"/>
      <c r="F176" s="227"/>
      <c r="G176" s="870"/>
      <c r="H176" s="227"/>
      <c r="I176" s="870"/>
      <c r="J176" s="228"/>
      <c r="K176" s="218"/>
      <c r="L176" s="17"/>
      <c r="M176" s="863"/>
      <c r="N176" s="185"/>
      <c r="O176" s="17"/>
      <c r="P176" s="24"/>
    </row>
    <row r="177" spans="1:16" x14ac:dyDescent="0.25">
      <c r="A177" s="110"/>
      <c r="B177" s="825"/>
      <c r="C177" s="878" t="s">
        <v>267</v>
      </c>
      <c r="D177" s="205">
        <f>M177</f>
        <v>0</v>
      </c>
      <c r="E177" s="226"/>
      <c r="F177" s="860"/>
      <c r="G177" s="226"/>
      <c r="H177" s="860"/>
      <c r="I177" s="226"/>
      <c r="J177" s="228"/>
      <c r="K177" s="218"/>
      <c r="L177" s="17"/>
      <c r="M177" s="223">
        <v>0</v>
      </c>
      <c r="N177" s="828" t="s">
        <v>211</v>
      </c>
      <c r="O177" s="17"/>
      <c r="P177" s="24"/>
    </row>
    <row r="178" spans="1:16" x14ac:dyDescent="0.25">
      <c r="A178" s="110"/>
      <c r="B178" s="825"/>
      <c r="C178" s="878" t="s">
        <v>268</v>
      </c>
      <c r="D178" s="205">
        <f t="shared" ref="D178:D179" si="8">M178</f>
        <v>0</v>
      </c>
      <c r="E178" s="226"/>
      <c r="F178" s="860"/>
      <c r="G178" s="226"/>
      <c r="H178" s="860"/>
      <c r="I178" s="226"/>
      <c r="J178" s="228"/>
      <c r="K178" s="218"/>
      <c r="L178" s="17"/>
      <c r="M178" s="223">
        <v>0</v>
      </c>
      <c r="N178" s="828" t="s">
        <v>211</v>
      </c>
      <c r="O178" s="17"/>
      <c r="P178" s="24"/>
    </row>
    <row r="179" spans="1:16" x14ac:dyDescent="0.25">
      <c r="A179" s="110"/>
      <c r="B179" s="879"/>
      <c r="C179" s="878" t="s">
        <v>269</v>
      </c>
      <c r="D179" s="205">
        <f t="shared" si="8"/>
        <v>0</v>
      </c>
      <c r="E179" s="226"/>
      <c r="F179" s="860"/>
      <c r="G179" s="226"/>
      <c r="H179" s="860"/>
      <c r="I179" s="226"/>
      <c r="J179" s="228"/>
      <c r="K179" s="218"/>
      <c r="L179" s="17"/>
      <c r="M179" s="223">
        <v>0</v>
      </c>
      <c r="N179" s="828" t="s">
        <v>234</v>
      </c>
      <c r="O179" s="17"/>
      <c r="P179" s="24"/>
    </row>
    <row r="180" spans="1:16" ht="15.75" thickBot="1" x14ac:dyDescent="0.3">
      <c r="A180" s="6"/>
      <c r="B180" s="864"/>
      <c r="C180" s="865" t="s">
        <v>174</v>
      </c>
      <c r="D180" s="866">
        <f>SUM(D177:D178)+(D179*$D$23)</f>
        <v>0</v>
      </c>
      <c r="E180" s="230"/>
      <c r="F180" s="859"/>
      <c r="G180" s="226"/>
      <c r="H180" s="860"/>
      <c r="I180" s="226"/>
      <c r="J180" s="228"/>
      <c r="K180" s="218"/>
      <c r="L180" s="17"/>
      <c r="M180" s="863"/>
      <c r="N180" s="8"/>
      <c r="O180" s="8"/>
      <c r="P180" s="3"/>
    </row>
    <row r="181" spans="1:16" ht="15.75" thickBot="1" x14ac:dyDescent="0.3">
      <c r="A181" s="110"/>
      <c r="B181" s="827"/>
      <c r="C181" s="817"/>
      <c r="D181" s="846"/>
      <c r="E181" s="870"/>
      <c r="F181" s="227"/>
      <c r="G181" s="870"/>
      <c r="H181" s="227"/>
      <c r="I181" s="870"/>
      <c r="J181" s="228"/>
      <c r="K181" s="218"/>
      <c r="L181" s="17"/>
      <c r="M181" s="863"/>
      <c r="N181" s="185"/>
      <c r="O181" s="17"/>
      <c r="P181" s="24"/>
    </row>
    <row r="182" spans="1:16" ht="15.75" thickBot="1" x14ac:dyDescent="0.3">
      <c r="A182" s="110"/>
      <c r="B182" s="1168" t="s">
        <v>273</v>
      </c>
      <c r="C182" s="1169"/>
      <c r="D182" s="235">
        <f>D162+D167+D172+D177</f>
        <v>0</v>
      </c>
      <c r="E182" s="882"/>
      <c r="F182" s="236">
        <f>D182/D$23</f>
        <v>0</v>
      </c>
      <c r="G182" s="226"/>
      <c r="H182" s="227"/>
      <c r="I182" s="857"/>
      <c r="J182" s="232"/>
      <c r="K182" s="218"/>
      <c r="L182" s="17"/>
      <c r="M182" s="863"/>
      <c r="N182" s="185"/>
      <c r="O182" s="17"/>
      <c r="P182" s="24"/>
    </row>
    <row r="183" spans="1:16" ht="15.75" thickBot="1" x14ac:dyDescent="0.3">
      <c r="A183" s="110"/>
      <c r="B183" s="827"/>
      <c r="C183" s="817"/>
      <c r="D183" s="846"/>
      <c r="E183" s="870"/>
      <c r="F183" s="227"/>
      <c r="G183" s="870"/>
      <c r="H183" s="227"/>
      <c r="I183" s="870"/>
      <c r="J183" s="228"/>
      <c r="K183" s="218"/>
      <c r="L183" s="17"/>
      <c r="M183" s="863"/>
      <c r="N183" s="185"/>
      <c r="O183" s="17"/>
      <c r="P183" s="24"/>
    </row>
    <row r="184" spans="1:16" ht="15.75" thickBot="1" x14ac:dyDescent="0.3">
      <c r="A184" s="110"/>
      <c r="B184" s="1168" t="s">
        <v>274</v>
      </c>
      <c r="C184" s="1169"/>
      <c r="D184" s="235">
        <f>D163+D168+D173+D178</f>
        <v>0</v>
      </c>
      <c r="E184" s="882"/>
      <c r="F184" s="236">
        <f>D184/D$23</f>
        <v>0</v>
      </c>
      <c r="G184" s="226"/>
      <c r="H184" s="227"/>
      <c r="I184" s="857"/>
      <c r="J184" s="232"/>
      <c r="K184" s="218"/>
      <c r="L184" s="71"/>
      <c r="M184" s="71"/>
      <c r="N184" s="71"/>
      <c r="O184" s="71"/>
      <c r="P184" s="38"/>
    </row>
    <row r="185" spans="1:16" ht="15.75" thickBot="1" x14ac:dyDescent="0.3">
      <c r="A185" s="110"/>
      <c r="B185" s="782"/>
      <c r="C185" s="782"/>
      <c r="D185" s="883"/>
      <c r="E185" s="237"/>
      <c r="F185" s="238"/>
      <c r="G185" s="234"/>
      <c r="H185" s="104"/>
      <c r="I185" s="71"/>
      <c r="J185" s="71"/>
      <c r="K185" s="71"/>
      <c r="L185" s="71"/>
      <c r="M185" s="71"/>
      <c r="N185" s="71"/>
      <c r="O185" s="71"/>
      <c r="P185" s="38"/>
    </row>
    <row r="186" spans="1:16" ht="15.75" thickBot="1" x14ac:dyDescent="0.3">
      <c r="A186" s="110"/>
      <c r="B186" s="1168" t="s">
        <v>275</v>
      </c>
      <c r="C186" s="1169"/>
      <c r="D186" s="235">
        <f>(D164+D169+D174+D179)*D$23</f>
        <v>0</v>
      </c>
      <c r="E186" s="882"/>
      <c r="F186" s="236">
        <f>D186/D$23</f>
        <v>0</v>
      </c>
      <c r="G186" s="234"/>
      <c r="H186" s="104"/>
      <c r="I186" s="71"/>
      <c r="J186" s="71"/>
      <c r="K186" s="71"/>
      <c r="L186" s="17"/>
      <c r="M186" s="17"/>
      <c r="N186" s="239"/>
      <c r="O186" s="17"/>
      <c r="P186" s="24"/>
    </row>
    <row r="187" spans="1:16" ht="15.75" thickBot="1" x14ac:dyDescent="0.3">
      <c r="A187" s="110"/>
      <c r="B187" s="782"/>
      <c r="C187" s="782"/>
      <c r="D187" s="227"/>
      <c r="E187" s="870"/>
      <c r="F187" s="227"/>
      <c r="G187" s="870"/>
      <c r="H187" s="227"/>
      <c r="I187" s="870"/>
      <c r="J187" s="228"/>
      <c r="K187" s="228"/>
      <c r="L187" s="17"/>
      <c r="M187" s="17"/>
      <c r="N187" s="239"/>
      <c r="O187" s="17"/>
      <c r="P187" s="24"/>
    </row>
    <row r="188" spans="1:16" x14ac:dyDescent="0.25">
      <c r="A188" s="6"/>
      <c r="B188" s="1171" t="str">
        <f>IF(A189="","","Pour information (subvention non imputée):")</f>
        <v>Pour information (subvention non imputée):</v>
      </c>
      <c r="C188" s="1172"/>
      <c r="D188" s="1172"/>
      <c r="E188" s="1172"/>
      <c r="F188" s="1173"/>
      <c r="G188" s="876"/>
      <c r="H188" s="240"/>
      <c r="I188" s="876"/>
      <c r="J188" s="241"/>
      <c r="K188" s="241"/>
      <c r="L188" s="71"/>
      <c r="M188" s="71"/>
      <c r="N188" s="71"/>
      <c r="O188" s="71"/>
      <c r="P188" s="38"/>
    </row>
    <row r="189" spans="1:16" x14ac:dyDescent="0.25">
      <c r="A189" s="884" t="str">
        <f>IF('[1]2-Infos'!G38="X",'[1]2-Infos'!A38,"")</f>
        <v>CT 64</v>
      </c>
      <c r="B189" s="885" t="str">
        <f>IF(A189="","","Subvention CG64 par stagiaire club formateur")</f>
        <v>Subvention CG64 par stagiaire club formateur</v>
      </c>
      <c r="C189" s="886"/>
      <c r="D189" s="242">
        <f ca="1">IF(E189="","",D205*E189)</f>
        <v>384.56774999999999</v>
      </c>
      <c r="E189" s="243">
        <f>IF(A189="","",70%)</f>
        <v>0.7</v>
      </c>
      <c r="F189" s="887" t="str">
        <f>IF(A189="","","inscrit dans un cursus de cadre ou d'officiel de compétition bénévole.")</f>
        <v>inscrit dans un cursus de cadre ou d'officiel de compétition bénévole.</v>
      </c>
      <c r="G189" s="244"/>
      <c r="H189" s="888"/>
      <c r="I189" s="889"/>
      <c r="J189" s="889"/>
      <c r="K189" s="889"/>
      <c r="L189" s="71"/>
      <c r="M189" s="71"/>
      <c r="N189" s="71"/>
      <c r="O189" s="71"/>
      <c r="P189" s="38"/>
    </row>
    <row r="190" spans="1:16" ht="15.75" thickBot="1" x14ac:dyDescent="0.3">
      <c r="A190" s="110"/>
      <c r="B190" s="782"/>
      <c r="C190" s="782"/>
      <c r="D190" s="876"/>
      <c r="E190" s="180"/>
      <c r="F190" s="203"/>
      <c r="G190" s="234"/>
      <c r="H190" s="104"/>
      <c r="I190" s="71"/>
      <c r="J190" s="71"/>
      <c r="K190" s="71"/>
      <c r="L190" s="71"/>
      <c r="M190" s="17"/>
      <c r="N190" s="8"/>
      <c r="O190" s="8"/>
      <c r="P190" s="3"/>
    </row>
    <row r="191" spans="1:16" x14ac:dyDescent="0.25">
      <c r="A191" s="6"/>
      <c r="B191" s="1165" t="s">
        <v>276</v>
      </c>
      <c r="C191" s="1166"/>
      <c r="D191" s="1166"/>
      <c r="E191" s="1166"/>
      <c r="F191" s="1167"/>
      <c r="G191" s="6"/>
      <c r="H191" s="7"/>
      <c r="I191" s="8"/>
      <c r="J191" s="8"/>
      <c r="K191" s="8"/>
      <c r="L191" s="71"/>
      <c r="M191" s="71"/>
      <c r="N191" s="71"/>
      <c r="O191" s="71"/>
      <c r="P191" s="38"/>
    </row>
    <row r="192" spans="1:16" x14ac:dyDescent="0.25">
      <c r="A192" s="110"/>
      <c r="B192" s="782"/>
      <c r="C192" s="782"/>
      <c r="D192" s="876"/>
      <c r="E192" s="180"/>
      <c r="F192" s="203"/>
      <c r="G192" s="234"/>
      <c r="H192" s="104"/>
      <c r="I192" s="71"/>
      <c r="J192" s="71"/>
      <c r="K192" s="71"/>
      <c r="L192" s="71"/>
      <c r="M192" s="71"/>
      <c r="N192" s="71"/>
      <c r="O192" s="71"/>
      <c r="P192" s="38"/>
    </row>
    <row r="193" spans="1:16" x14ac:dyDescent="0.25">
      <c r="A193" s="110"/>
      <c r="B193" s="890" t="s">
        <v>277</v>
      </c>
      <c r="C193" s="782"/>
      <c r="D193" s="224">
        <f ca="1">D37+D52+D62+D70+D84+D92+D97</f>
        <v>1767.9</v>
      </c>
      <c r="E193" s="760" t="str">
        <f>IF(AND('[1]2-Infos'!A38="CD 64",H29&gt;0),"y compris prestation CDST","")</f>
        <v/>
      </c>
      <c r="F193" s="245"/>
      <c r="G193" s="234"/>
      <c r="H193" s="104"/>
      <c r="I193" s="71"/>
      <c r="J193" s="71"/>
      <c r="K193" s="71"/>
      <c r="L193" s="71"/>
      <c r="M193" s="71"/>
      <c r="N193" s="71"/>
      <c r="O193" s="71"/>
      <c r="P193" s="38"/>
    </row>
    <row r="194" spans="1:16" x14ac:dyDescent="0.25">
      <c r="A194" s="110"/>
      <c r="B194" s="890" t="s">
        <v>278</v>
      </c>
      <c r="C194" s="782"/>
      <c r="D194" s="224">
        <f ca="1">D125</f>
        <v>0</v>
      </c>
      <c r="E194" s="180"/>
      <c r="F194" s="203"/>
      <c r="G194" s="234"/>
      <c r="H194" s="104"/>
      <c r="I194" s="71"/>
      <c r="J194" s="71"/>
      <c r="K194" s="71"/>
      <c r="L194" s="71"/>
      <c r="M194" s="71"/>
      <c r="N194" s="71"/>
      <c r="O194" s="71"/>
      <c r="P194" s="1123"/>
    </row>
    <row r="195" spans="1:16" x14ac:dyDescent="0.25">
      <c r="A195" s="110"/>
      <c r="B195" s="890" t="s">
        <v>279</v>
      </c>
      <c r="C195" s="782"/>
      <c r="D195" s="224">
        <f>D132</f>
        <v>0</v>
      </c>
      <c r="E195" s="180"/>
      <c r="F195" s="203"/>
      <c r="G195" s="234"/>
      <c r="H195" s="104"/>
      <c r="I195" s="71"/>
      <c r="J195" s="71"/>
      <c r="K195" s="71"/>
      <c r="L195" s="71"/>
      <c r="M195" s="71"/>
      <c r="N195" s="71"/>
      <c r="O195" s="71"/>
      <c r="P195" s="38"/>
    </row>
    <row r="196" spans="1:16" x14ac:dyDescent="0.25">
      <c r="A196" s="110"/>
      <c r="B196" s="890" t="s">
        <v>280</v>
      </c>
      <c r="C196" s="782"/>
      <c r="D196" s="224">
        <f>D77+D105+D116</f>
        <v>200</v>
      </c>
      <c r="E196" s="180"/>
      <c r="F196" s="203"/>
      <c r="G196" s="234"/>
      <c r="H196" s="104"/>
      <c r="I196" s="71"/>
      <c r="J196" s="71"/>
      <c r="K196" s="71"/>
      <c r="L196" s="71"/>
      <c r="M196" s="71"/>
      <c r="N196" s="71"/>
      <c r="O196" s="71"/>
      <c r="P196" s="38"/>
    </row>
    <row r="197" spans="1:16" x14ac:dyDescent="0.25">
      <c r="A197" s="110"/>
      <c r="B197" s="890" t="s">
        <v>238</v>
      </c>
      <c r="C197" s="782"/>
      <c r="D197" s="224">
        <f ca="1">D109</f>
        <v>98.39500000000001</v>
      </c>
      <c r="E197" s="180"/>
      <c r="F197" s="203"/>
      <c r="G197" s="234"/>
      <c r="H197" s="104"/>
      <c r="I197" s="71"/>
      <c r="J197" s="71"/>
      <c r="K197" s="71"/>
      <c r="L197" s="71"/>
      <c r="M197" s="71"/>
      <c r="N197" s="71"/>
      <c r="O197" s="71"/>
      <c r="P197" s="38"/>
    </row>
    <row r="198" spans="1:16" x14ac:dyDescent="0.25">
      <c r="A198" s="110"/>
      <c r="B198" s="890" t="s">
        <v>281</v>
      </c>
      <c r="C198" s="782"/>
      <c r="D198" s="224">
        <f>-(D153+D155+D182+D184+D186)</f>
        <v>0</v>
      </c>
      <c r="E198" s="180"/>
      <c r="F198" s="203"/>
      <c r="G198" s="234"/>
      <c r="H198" s="104"/>
      <c r="I198" s="71"/>
      <c r="J198" s="71"/>
      <c r="K198" s="71"/>
      <c r="L198" s="71"/>
      <c r="M198" s="71"/>
      <c r="N198" s="71"/>
      <c r="O198" s="71"/>
      <c r="P198" s="38"/>
    </row>
    <row r="199" spans="1:16" ht="15.75" thickBot="1" x14ac:dyDescent="0.3">
      <c r="A199" s="110"/>
      <c r="B199" s="782"/>
      <c r="C199" s="782"/>
      <c r="D199" s="876"/>
      <c r="E199" s="180"/>
      <c r="F199" s="203"/>
      <c r="G199" s="234" t="s">
        <v>630</v>
      </c>
      <c r="H199" s="104"/>
      <c r="I199" s="71" t="s">
        <v>631</v>
      </c>
      <c r="J199" s="71"/>
      <c r="K199" s="71"/>
      <c r="L199" s="71"/>
      <c r="M199" s="71"/>
      <c r="N199" s="71"/>
      <c r="O199" s="71"/>
      <c r="P199" s="38"/>
    </row>
    <row r="200" spans="1:16" ht="15.75" thickBot="1" x14ac:dyDescent="0.3">
      <c r="A200" s="110"/>
      <c r="B200" s="1168" t="s">
        <v>282</v>
      </c>
      <c r="C200" s="1169"/>
      <c r="D200" s="168">
        <f ca="1">SUM(D193:D198)</f>
        <v>2066.2950000000001</v>
      </c>
      <c r="E200" s="882"/>
      <c r="F200" s="246">
        <f ca="1">D200/D$23</f>
        <v>344.38249999999999</v>
      </c>
      <c r="G200" s="1118" t="str">
        <f>IF(D210="","",D210-F202)</f>
        <v/>
      </c>
      <c r="H200" s="104"/>
      <c r="I200" s="1122"/>
      <c r="J200" s="1121"/>
      <c r="K200" s="71"/>
      <c r="L200" s="71"/>
      <c r="M200" s="71"/>
      <c r="N200" s="71"/>
      <c r="O200" s="71"/>
      <c r="P200" s="38"/>
    </row>
    <row r="201" spans="1:16" ht="15.75" thickBot="1" x14ac:dyDescent="0.3">
      <c r="A201" s="110"/>
      <c r="B201" s="782"/>
      <c r="C201" s="782"/>
      <c r="D201" s="876"/>
      <c r="E201" s="180"/>
      <c r="F201" s="203"/>
      <c r="G201" s="234"/>
      <c r="H201" s="104"/>
      <c r="I201" s="71"/>
      <c r="J201" s="71"/>
      <c r="K201" s="71"/>
      <c r="L201" s="795"/>
      <c r="M201" s="176"/>
      <c r="N201" s="8"/>
      <c r="O201" s="8"/>
      <c r="P201" s="3"/>
    </row>
    <row r="202" spans="1:16" ht="15.75" thickBot="1" x14ac:dyDescent="0.3">
      <c r="A202" s="6"/>
      <c r="B202" s="1168" t="s">
        <v>196</v>
      </c>
      <c r="C202" s="1169"/>
      <c r="D202" s="168">
        <f>D50</f>
        <v>1400</v>
      </c>
      <c r="E202" s="796"/>
      <c r="F202" s="246">
        <f>F50</f>
        <v>233.33333333333334</v>
      </c>
      <c r="G202" s="177"/>
      <c r="H202" s="777"/>
      <c r="I202" s="777"/>
      <c r="J202" s="777"/>
      <c r="K202" s="777"/>
      <c r="L202" s="71"/>
      <c r="M202" s="71"/>
      <c r="N202" s="71"/>
      <c r="O202" s="71"/>
      <c r="P202" s="38"/>
    </row>
    <row r="203" spans="1:16" ht="15.75" thickBot="1" x14ac:dyDescent="0.3">
      <c r="A203" s="110"/>
      <c r="B203" s="782"/>
      <c r="C203" s="782"/>
      <c r="D203" s="876"/>
      <c r="E203" s="180"/>
      <c r="F203" s="203"/>
      <c r="G203" s="234"/>
      <c r="H203" s="104"/>
      <c r="I203" s="71"/>
      <c r="J203" s="71"/>
      <c r="K203" s="71"/>
      <c r="L203" s="17"/>
      <c r="M203" s="17"/>
      <c r="N203" s="8"/>
      <c r="O203" s="8"/>
      <c r="P203" s="3"/>
    </row>
    <row r="204" spans="1:16" x14ac:dyDescent="0.25">
      <c r="A204" s="8"/>
      <c r="B204" s="1165" t="s">
        <v>283</v>
      </c>
      <c r="C204" s="1166"/>
      <c r="D204" s="1166"/>
      <c r="E204" s="1166"/>
      <c r="F204" s="1167"/>
      <c r="G204" s="202"/>
      <c r="H204" s="7"/>
      <c r="I204" s="8"/>
      <c r="J204" s="8"/>
      <c r="K204" s="8"/>
      <c r="L204" s="566"/>
      <c r="M204" s="566"/>
      <c r="N204" s="286"/>
      <c r="O204" s="286"/>
    </row>
    <row r="205" spans="1:16" x14ac:dyDescent="0.25">
      <c r="A205" s="109"/>
      <c r="B205" s="891"/>
      <c r="C205" s="892" t="s">
        <v>402</v>
      </c>
      <c r="D205" s="893">
        <f ca="1">(D200+D202)/D23</f>
        <v>549.38250000000005</v>
      </c>
      <c r="E205" s="1170" t="s">
        <v>285</v>
      </c>
      <c r="F205" s="1164"/>
      <c r="G205" s="224">
        <f ca="1">F200+F202</f>
        <v>549.38249999999994</v>
      </c>
      <c r="H205" s="894" t="s">
        <v>286</v>
      </c>
      <c r="I205" s="286"/>
      <c r="J205" s="286"/>
      <c r="K205" s="286"/>
      <c r="L205" s="566"/>
      <c r="M205" s="566"/>
      <c r="N205" s="286"/>
      <c r="O205" s="286"/>
    </row>
    <row r="206" spans="1:16" ht="15.75" x14ac:dyDescent="0.25">
      <c r="A206" s="6"/>
      <c r="B206" s="891"/>
      <c r="C206" s="892" t="s">
        <v>287</v>
      </c>
      <c r="D206" s="895"/>
      <c r="E206" s="247">
        <f ca="1">G206</f>
        <v>164.81475</v>
      </c>
      <c r="F206" s="624"/>
      <c r="G206" s="224">
        <f ca="1">D205*0.3</f>
        <v>164.81475</v>
      </c>
      <c r="H206" s="896"/>
      <c r="I206" s="286"/>
      <c r="J206" s="286"/>
      <c r="K206" s="286"/>
      <c r="L206" s="566"/>
      <c r="M206" s="566"/>
      <c r="N206" s="286"/>
      <c r="O206" s="286"/>
    </row>
    <row r="207" spans="1:16" x14ac:dyDescent="0.25">
      <c r="A207" s="286"/>
      <c r="B207" s="897"/>
      <c r="C207" s="767"/>
      <c r="D207" s="893">
        <f ca="1">ROUNDUP(G207,0)</f>
        <v>550</v>
      </c>
      <c r="E207" s="1170" t="s">
        <v>288</v>
      </c>
      <c r="F207" s="1164"/>
      <c r="G207" s="224">
        <f ca="1">G205+F155</f>
        <v>549.38249999999994</v>
      </c>
      <c r="H207" s="896"/>
      <c r="I207" s="286"/>
      <c r="J207" s="286"/>
      <c r="K207" s="286"/>
      <c r="L207" s="566"/>
      <c r="M207" s="566"/>
      <c r="N207" s="286"/>
      <c r="O207" s="286"/>
    </row>
    <row r="208" spans="1:16" x14ac:dyDescent="0.25">
      <c r="A208" s="286"/>
      <c r="B208" s="898"/>
      <c r="C208" s="892" t="s">
        <v>289</v>
      </c>
      <c r="D208" s="248">
        <f ca="1">ROUNDUP(G208,0)</f>
        <v>572</v>
      </c>
      <c r="E208" s="1163" t="s">
        <v>290</v>
      </c>
      <c r="F208" s="1164"/>
      <c r="G208" s="224">
        <f ca="1">(D200+D202+F77+F39)/D23</f>
        <v>571.60472222222222</v>
      </c>
      <c r="H208" s="899" t="s">
        <v>291</v>
      </c>
      <c r="I208" s="900"/>
      <c r="J208" s="286"/>
      <c r="K208" s="286"/>
      <c r="L208" s="17"/>
      <c r="M208" s="17"/>
      <c r="N208" s="17"/>
      <c r="O208" s="17"/>
      <c r="P208" s="3"/>
    </row>
    <row r="209" spans="1:15" ht="15.75" x14ac:dyDescent="0.25">
      <c r="A209" s="884" t="str">
        <f>A189</f>
        <v>CT 64</v>
      </c>
      <c r="B209" s="901"/>
      <c r="C209" s="902" t="str">
        <f>IF(A209="","","Coût de revient effectif pour le club")</f>
        <v>Coût de revient effectif pour le club</v>
      </c>
      <c r="D209" s="249">
        <f ca="1">IF(A209="","",ROUNDUP(G209,0))</f>
        <v>165</v>
      </c>
      <c r="E209" s="250" t="str">
        <f>IF(A209="","","après subvention du CG64")</f>
        <v>après subvention du CG64</v>
      </c>
      <c r="F209" s="251"/>
      <c r="G209" s="224">
        <f ca="1">IF(A209="","",D205-D189)</f>
        <v>164.81475000000006</v>
      </c>
      <c r="H209" s="903" t="str">
        <f>IF(A209="","","par stagiaire (licencié FFME)inscrit dans un cursus de cadre ou d'officiel de compétition bénévole.")</f>
        <v>par stagiaire (licencié FFME)inscrit dans un cursus de cadre ou d'officiel de compétition bénévole.</v>
      </c>
      <c r="I209" s="904"/>
      <c r="J209" s="904"/>
      <c r="K209" s="904"/>
      <c r="L209" s="904"/>
      <c r="M209" s="904"/>
      <c r="N209" s="904"/>
      <c r="O209" s="904"/>
    </row>
    <row r="210" spans="1:15" x14ac:dyDescent="0.25">
      <c r="A210" s="286"/>
      <c r="B210" s="286"/>
      <c r="C210" s="286"/>
      <c r="D210" s="732"/>
      <c r="E210" s="286" t="s">
        <v>284</v>
      </c>
      <c r="F210" s="286"/>
      <c r="G210" s="286">
        <f ca="1">IF(D210="",D205*D23,D210*D23)</f>
        <v>3900</v>
      </c>
      <c r="H210" s="286" t="s">
        <v>608</v>
      </c>
      <c r="I210" s="286"/>
      <c r="J210" s="286"/>
      <c r="K210" s="286"/>
      <c r="L210" s="286"/>
      <c r="M210" s="286"/>
      <c r="N210" s="286"/>
      <c r="O210" s="286"/>
    </row>
    <row r="212" spans="1:15" x14ac:dyDescent="0.25">
      <c r="C212" t="s">
        <v>481</v>
      </c>
    </row>
  </sheetData>
  <mergeCells count="73">
    <mergeCell ref="B7:C7"/>
    <mergeCell ref="A1:K1"/>
    <mergeCell ref="A2:K2"/>
    <mergeCell ref="A3:K3"/>
    <mergeCell ref="B5:C5"/>
    <mergeCell ref="B6:C6"/>
    <mergeCell ref="M29:N29"/>
    <mergeCell ref="B9:F9"/>
    <mergeCell ref="B13:F13"/>
    <mergeCell ref="D15:E15"/>
    <mergeCell ref="D16:E16"/>
    <mergeCell ref="B17:C17"/>
    <mergeCell ref="B19:F19"/>
    <mergeCell ref="M23:N23"/>
    <mergeCell ref="B25:C25"/>
    <mergeCell ref="M25:N25"/>
    <mergeCell ref="B26:C26"/>
    <mergeCell ref="B27:F27"/>
    <mergeCell ref="M72:O72"/>
    <mergeCell ref="B37:C37"/>
    <mergeCell ref="B39:C39"/>
    <mergeCell ref="B41:F41"/>
    <mergeCell ref="G42:J42"/>
    <mergeCell ref="B50:C50"/>
    <mergeCell ref="B52:C52"/>
    <mergeCell ref="B54:F54"/>
    <mergeCell ref="B62:C62"/>
    <mergeCell ref="B64:F64"/>
    <mergeCell ref="B70:C70"/>
    <mergeCell ref="B72:F72"/>
    <mergeCell ref="B109:C109"/>
    <mergeCell ref="D73:E73"/>
    <mergeCell ref="H73:I73"/>
    <mergeCell ref="B77:C77"/>
    <mergeCell ref="B79:F79"/>
    <mergeCell ref="B84:C84"/>
    <mergeCell ref="B86:F86"/>
    <mergeCell ref="B92:C92"/>
    <mergeCell ref="B97:C97"/>
    <mergeCell ref="B99:F99"/>
    <mergeCell ref="H100:I100"/>
    <mergeCell ref="B105:C105"/>
    <mergeCell ref="B132:C132"/>
    <mergeCell ref="B111:F111"/>
    <mergeCell ref="D112:E112"/>
    <mergeCell ref="H112:I112"/>
    <mergeCell ref="M112:N112"/>
    <mergeCell ref="B116:C116"/>
    <mergeCell ref="M117:N117"/>
    <mergeCell ref="B118:F118"/>
    <mergeCell ref="M118:N118"/>
    <mergeCell ref="D119:E119"/>
    <mergeCell ref="B125:C125"/>
    <mergeCell ref="B127:F127"/>
    <mergeCell ref="B188:F188"/>
    <mergeCell ref="B134:F134"/>
    <mergeCell ref="D135:E135"/>
    <mergeCell ref="F135:G135"/>
    <mergeCell ref="H135:I135"/>
    <mergeCell ref="B153:C153"/>
    <mergeCell ref="B155:C155"/>
    <mergeCell ref="B157:C157"/>
    <mergeCell ref="B159:F159"/>
    <mergeCell ref="B182:C182"/>
    <mergeCell ref="B184:C184"/>
    <mergeCell ref="B186:C186"/>
    <mergeCell ref="E208:F208"/>
    <mergeCell ref="B191:F191"/>
    <mergeCell ref="B200:C200"/>
    <mergeCell ref="B202:C202"/>
    <mergeCell ref="B204:F204"/>
    <mergeCell ref="E205:F205"/>
    <mergeCell ref="E207:F207"/>
  </mergeCells>
  <dataValidations disablePrompts="1" count="3">
    <dataValidation type="list" allowBlank="1" showInputMessage="1" showErrorMessage="1" sqref="C10">
      <formula1>$N$7:$N$21</formula1>
    </dataValidation>
    <dataValidation type="list" allowBlank="1" showInputMessage="1" showErrorMessage="1" sqref="D10">
      <formula1>$Q$7:$Q$53</formula1>
    </dataValidation>
    <dataValidation type="list" allowBlank="1" showInputMessage="1" showErrorMessage="1" sqref="B56">
      <formula1>$Q$56:$Q$58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K47"/>
  <sheetViews>
    <sheetView topLeftCell="A31" zoomScale="130" zoomScaleNormal="130" workbookViewId="0">
      <selection activeCell="K43" sqref="K43"/>
    </sheetView>
  </sheetViews>
  <sheetFormatPr baseColWidth="10" defaultRowHeight="15" x14ac:dyDescent="0.25"/>
  <cols>
    <col min="1" max="1" width="2.7109375" customWidth="1"/>
    <col min="2" max="2" width="15.7109375" customWidth="1"/>
    <col min="3" max="3" width="3.7109375" customWidth="1"/>
    <col min="4" max="4" width="15.7109375" customWidth="1"/>
    <col min="5" max="5" width="11.7109375" customWidth="1"/>
    <col min="6" max="6" width="2.7109375" customWidth="1"/>
    <col min="7" max="7" width="13.28515625" customWidth="1"/>
    <col min="8" max="8" width="3.7109375" customWidth="1"/>
    <col min="9" max="9" width="11.140625" customWidth="1"/>
    <col min="10" max="10" width="4.42578125" customWidth="1"/>
    <col min="11" max="11" width="17.28515625" customWidth="1"/>
  </cols>
  <sheetData>
    <row r="1" spans="1:11" ht="20.25" x14ac:dyDescent="0.25">
      <c r="A1" s="344" t="s">
        <v>362</v>
      </c>
      <c r="B1" s="344"/>
      <c r="C1" s="344"/>
      <c r="D1" s="344"/>
      <c r="E1" s="344" t="str">
        <f>'Base Previ'!C10</f>
        <v>Montagne et Escalade</v>
      </c>
      <c r="F1" s="344"/>
      <c r="G1" s="344"/>
      <c r="H1" s="344"/>
      <c r="I1" s="344"/>
      <c r="J1" s="344"/>
      <c r="K1" s="345"/>
    </row>
    <row r="2" spans="1:11" x14ac:dyDescent="0.25">
      <c r="A2" s="252"/>
      <c r="B2" s="263"/>
      <c r="C2" s="263"/>
      <c r="D2" s="263"/>
      <c r="E2" s="286"/>
      <c r="F2" s="252"/>
      <c r="G2" s="263"/>
      <c r="H2" s="263"/>
      <c r="I2" s="263"/>
      <c r="J2" s="263"/>
      <c r="K2" s="286"/>
    </row>
    <row r="3" spans="1:11" ht="15.75" x14ac:dyDescent="0.25">
      <c r="A3" s="252"/>
      <c r="B3" s="263"/>
      <c r="C3" s="263"/>
      <c r="D3" s="1219" t="str">
        <f>Info!C9</f>
        <v>Perfectionnement</v>
      </c>
      <c r="E3" s="1220"/>
      <c r="F3" s="1220" t="str">
        <f>Info!C13</f>
        <v>Alpinisme</v>
      </c>
      <c r="G3" s="1220"/>
      <c r="H3" s="1220"/>
      <c r="I3" s="1220"/>
      <c r="J3" s="1220"/>
      <c r="K3" s="329" t="str">
        <f>IF('[2]2-Infos'!B35="","",'[2]2-Infos'!B35)</f>
        <v/>
      </c>
    </row>
    <row r="4" spans="1:11" x14ac:dyDescent="0.25">
      <c r="A4" s="252"/>
      <c r="B4" s="263"/>
      <c r="C4" s="263"/>
      <c r="D4" s="1221" t="str">
        <f>'[2]2-Infos'!G17</f>
        <v>Niveau visé</v>
      </c>
      <c r="E4" s="1222"/>
      <c r="F4" s="1222" t="str">
        <f>Info!C17</f>
        <v>Niveau 2</v>
      </c>
      <c r="G4" s="1222"/>
      <c r="H4" s="1222"/>
      <c r="I4" s="1222"/>
      <c r="J4" s="1222"/>
      <c r="K4" s="330" t="str">
        <f>Info!B36</f>
        <v>Comité Territorial</v>
      </c>
    </row>
    <row r="5" spans="1:11" ht="15.75" x14ac:dyDescent="0.25">
      <c r="A5" s="252"/>
      <c r="B5" s="263"/>
      <c r="C5" s="272"/>
      <c r="D5" s="634" t="s">
        <v>294</v>
      </c>
      <c r="E5" s="634">
        <f>Info!B34</f>
        <v>1946</v>
      </c>
      <c r="F5" s="301"/>
      <c r="G5" s="315" t="s">
        <v>295</v>
      </c>
      <c r="H5" s="1223">
        <f>Info!B41</f>
        <v>44576</v>
      </c>
      <c r="I5" s="1223"/>
      <c r="J5" s="1224"/>
      <c r="K5" s="330"/>
    </row>
    <row r="6" spans="1:11" x14ac:dyDescent="0.25">
      <c r="A6" s="252"/>
      <c r="B6" s="263"/>
      <c r="C6" s="263"/>
      <c r="D6" s="263"/>
      <c r="E6" s="286"/>
      <c r="F6" s="252"/>
      <c r="G6" s="263"/>
      <c r="H6" s="263"/>
      <c r="I6" s="263"/>
      <c r="J6" s="263"/>
      <c r="K6" s="286"/>
    </row>
    <row r="7" spans="1:11" ht="15.75" x14ac:dyDescent="0.25">
      <c r="A7" s="1209" t="s">
        <v>296</v>
      </c>
      <c r="B7" s="1210"/>
      <c r="C7" s="1210"/>
      <c r="D7" s="1210"/>
      <c r="E7" s="1211"/>
      <c r="F7" s="1209" t="s">
        <v>297</v>
      </c>
      <c r="G7" s="1210"/>
      <c r="H7" s="1210"/>
      <c r="I7" s="1210"/>
      <c r="J7" s="1210"/>
      <c r="K7" s="1211"/>
    </row>
    <row r="8" spans="1:11" x14ac:dyDescent="0.25">
      <c r="A8" s="253" t="s">
        <v>298</v>
      </c>
      <c r="B8" s="1203" t="s">
        <v>238</v>
      </c>
      <c r="C8" s="1203"/>
      <c r="D8" s="1204"/>
      <c r="E8" s="287"/>
      <c r="F8" s="1212" t="s">
        <v>298</v>
      </c>
      <c r="G8" s="1203" t="s">
        <v>347</v>
      </c>
      <c r="H8" s="1214"/>
      <c r="I8" s="1214"/>
      <c r="J8" s="1215"/>
      <c r="K8" s="331"/>
    </row>
    <row r="9" spans="1:11" x14ac:dyDescent="0.25">
      <c r="A9" s="254" t="s">
        <v>299</v>
      </c>
      <c r="B9" s="1207" t="s">
        <v>345</v>
      </c>
      <c r="C9" s="1207"/>
      <c r="D9" s="1208"/>
      <c r="E9" s="288">
        <f ca="1">'Base Previ'!D109</f>
        <v>98.39500000000001</v>
      </c>
      <c r="F9" s="1213"/>
      <c r="G9" s="1216"/>
      <c r="H9" s="1217"/>
      <c r="I9" s="1217"/>
      <c r="J9" s="1218"/>
      <c r="K9" s="332"/>
    </row>
    <row r="10" spans="1:11" x14ac:dyDescent="0.25">
      <c r="A10" s="254" t="s">
        <v>299</v>
      </c>
      <c r="B10" s="1202" t="s">
        <v>300</v>
      </c>
      <c r="C10" s="1202"/>
      <c r="D10" s="1202"/>
      <c r="E10" s="288">
        <f>'Base Previ'!D105</f>
        <v>200</v>
      </c>
      <c r="F10" s="302"/>
      <c r="G10" s="265">
        <f ca="1">IF('Base Previ'!D210="",'Base Previ'!F200,'Base Previ'!D210-'Base Previ'!F202)</f>
        <v>416.66666666666663</v>
      </c>
      <c r="H10" s="273" t="s">
        <v>4</v>
      </c>
      <c r="I10" s="323">
        <f>'Base Previ'!D23</f>
        <v>6</v>
      </c>
      <c r="J10" s="325"/>
      <c r="K10" s="288">
        <f ca="1">G10*I10</f>
        <v>2500</v>
      </c>
    </row>
    <row r="11" spans="1:11" x14ac:dyDescent="0.25">
      <c r="A11" s="254" t="s">
        <v>299</v>
      </c>
      <c r="B11" s="635" t="s">
        <v>218</v>
      </c>
      <c r="C11" s="635"/>
      <c r="D11" s="636"/>
      <c r="E11" s="288">
        <f>'Base Previ'!D84</f>
        <v>0</v>
      </c>
      <c r="F11" s="253" t="s">
        <v>301</v>
      </c>
      <c r="G11" s="1203" t="s">
        <v>302</v>
      </c>
      <c r="H11" s="1203"/>
      <c r="I11" s="1203"/>
      <c r="J11" s="1204"/>
      <c r="K11" s="295"/>
    </row>
    <row r="12" spans="1:11" x14ac:dyDescent="0.25">
      <c r="A12" s="254" t="s">
        <v>299</v>
      </c>
      <c r="B12" s="1205" t="s">
        <v>303</v>
      </c>
      <c r="C12" s="1205"/>
      <c r="D12" s="1206"/>
      <c r="E12" s="289">
        <f>'Base Previ'!D97</f>
        <v>0</v>
      </c>
      <c r="F12" s="254" t="s">
        <v>299</v>
      </c>
      <c r="G12" s="1207" t="s">
        <v>304</v>
      </c>
      <c r="H12" s="1207"/>
      <c r="I12" s="1207"/>
      <c r="J12" s="1208"/>
      <c r="K12" s="288" t="str">
        <f>IF('Base Previ'!D151=0,"",'Base Previ'!D151)</f>
        <v/>
      </c>
    </row>
    <row r="13" spans="1:11" x14ac:dyDescent="0.25">
      <c r="A13" s="254" t="s">
        <v>299</v>
      </c>
      <c r="B13" s="1205" t="s">
        <v>305</v>
      </c>
      <c r="C13" s="1205"/>
      <c r="D13" s="1206"/>
      <c r="E13" s="289">
        <f>'Base Previ'!D70</f>
        <v>0</v>
      </c>
      <c r="F13" s="254"/>
      <c r="G13" s="631" t="s">
        <v>306</v>
      </c>
      <c r="H13" s="631"/>
      <c r="I13" s="631"/>
      <c r="J13" s="632"/>
      <c r="K13" s="290"/>
    </row>
    <row r="14" spans="1:11" x14ac:dyDescent="0.25">
      <c r="A14" s="254" t="s">
        <v>299</v>
      </c>
      <c r="B14" s="635" t="s">
        <v>307</v>
      </c>
      <c r="C14" s="637"/>
      <c r="D14" s="638"/>
      <c r="E14" s="289">
        <f>'Base Previ'!D92</f>
        <v>0</v>
      </c>
      <c r="F14" s="303"/>
      <c r="G14" s="264" t="str">
        <f>IF('Base Previ'!D157=0,"",'Base Previ'!D148)</f>
        <v/>
      </c>
      <c r="H14" s="637"/>
      <c r="I14" s="281">
        <f>IF(G14="",'Base Previ'!D22)</f>
        <v>0</v>
      </c>
      <c r="J14" s="326"/>
      <c r="K14" s="288" t="str">
        <f>IF(G14="","",G$14*I$14)</f>
        <v/>
      </c>
    </row>
    <row r="15" spans="1:11" x14ac:dyDescent="0.25">
      <c r="A15" s="254" t="s">
        <v>299</v>
      </c>
      <c r="B15" s="1225" t="s">
        <v>242</v>
      </c>
      <c r="C15" s="1225"/>
      <c r="D15" s="1226"/>
      <c r="E15" s="289">
        <f>'Base Previ'!D116</f>
        <v>0</v>
      </c>
      <c r="F15" s="254" t="s">
        <v>299</v>
      </c>
      <c r="G15" s="635" t="s">
        <v>308</v>
      </c>
      <c r="H15" s="635"/>
      <c r="I15" s="635"/>
      <c r="J15" s="636"/>
      <c r="K15" s="288" t="str">
        <f>IF('Base Previ'!D145=0,"",'Base Previ'!D145)</f>
        <v/>
      </c>
    </row>
    <row r="16" spans="1:11" x14ac:dyDescent="0.25">
      <c r="A16" s="254" t="s">
        <v>299</v>
      </c>
      <c r="B16" s="1228" t="s">
        <v>309</v>
      </c>
      <c r="C16" s="1228"/>
      <c r="D16" s="1229"/>
      <c r="E16" s="289">
        <f>'Base Previ'!D77</f>
        <v>0</v>
      </c>
      <c r="F16" s="254" t="s">
        <v>299</v>
      </c>
      <c r="G16" s="631" t="s">
        <v>310</v>
      </c>
      <c r="H16" s="629"/>
      <c r="I16" s="629"/>
      <c r="J16" s="630"/>
      <c r="K16" s="288" t="str">
        <f>IF('Base Previ'!D141=0,"",'Base Previ'!D141)</f>
        <v/>
      </c>
    </row>
    <row r="17" spans="1:11" ht="24" x14ac:dyDescent="0.25">
      <c r="A17" s="253" t="s">
        <v>311</v>
      </c>
      <c r="B17" s="1203" t="s">
        <v>312</v>
      </c>
      <c r="C17" s="1203"/>
      <c r="D17" s="1204"/>
      <c r="E17" s="287"/>
      <c r="F17" s="304" t="s">
        <v>313</v>
      </c>
      <c r="G17" s="1227" t="s">
        <v>265</v>
      </c>
      <c r="H17" s="1227"/>
      <c r="I17" s="1227"/>
      <c r="J17" s="633"/>
      <c r="K17" s="295"/>
    </row>
    <row r="18" spans="1:11" x14ac:dyDescent="0.25">
      <c r="A18" s="254" t="s">
        <v>299</v>
      </c>
      <c r="B18" s="635" t="s">
        <v>314</v>
      </c>
      <c r="C18" s="635"/>
      <c r="D18" s="277" t="s">
        <v>180</v>
      </c>
      <c r="E18" s="290"/>
      <c r="F18" s="254" t="s">
        <v>299</v>
      </c>
      <c r="G18" s="631" t="s">
        <v>315</v>
      </c>
      <c r="H18" s="631"/>
      <c r="I18" s="631"/>
      <c r="J18" s="632"/>
      <c r="K18" s="288" t="str">
        <f>IF('Base Previ'!D170=0,"",'Base Previ'!D170)</f>
        <v/>
      </c>
    </row>
    <row r="19" spans="1:11" x14ac:dyDescent="0.25">
      <c r="A19" s="254"/>
      <c r="B19" s="264" t="str">
        <f ca="1">IF('Base Previ'!E30="","",'Base Previ'!E30/'Base Previ'!D30)</f>
        <v/>
      </c>
      <c r="C19" s="273" t="s">
        <v>4</v>
      </c>
      <c r="D19" s="278" t="str">
        <f ca="1">IF(B19="","",'Base Previ'!D30)</f>
        <v/>
      </c>
      <c r="E19" s="288" t="str">
        <f ca="1">IF(B19="","",B19*D19)</f>
        <v/>
      </c>
      <c r="F19" s="254" t="s">
        <v>299</v>
      </c>
      <c r="G19" s="631" t="s">
        <v>316</v>
      </c>
      <c r="H19" s="631"/>
      <c r="I19" s="631"/>
      <c r="J19" s="632"/>
      <c r="K19" s="288" t="str">
        <f>IF('Base Previ'!D165=0,"",'Base Previ'!D165)</f>
        <v/>
      </c>
    </row>
    <row r="20" spans="1:11" x14ac:dyDescent="0.25">
      <c r="A20" s="252"/>
      <c r="B20" s="264" t="str">
        <f>IF('Base Previ'!E31="","",'Base Previ'!E31/'Base Previ'!D31)</f>
        <v/>
      </c>
      <c r="C20" s="273" t="s">
        <v>4</v>
      </c>
      <c r="D20" s="278" t="str">
        <f>IF(B20="","",'Base Previ'!D31)</f>
        <v/>
      </c>
      <c r="E20" s="288" t="str">
        <f>IF(B20="","",B20*D20)</f>
        <v/>
      </c>
      <c r="F20" s="254" t="s">
        <v>299</v>
      </c>
      <c r="G20" s="631" t="s">
        <v>317</v>
      </c>
      <c r="H20" s="631"/>
      <c r="I20" s="631"/>
      <c r="J20" s="632"/>
      <c r="K20" s="288" t="str">
        <f>IF('Base Previ'!D180=0,"",'Base Previ'!D180)</f>
        <v/>
      </c>
    </row>
    <row r="21" spans="1:11" x14ac:dyDescent="0.25">
      <c r="A21" s="254"/>
      <c r="B21" s="264" t="str">
        <f ca="1">IF('Base Previ'!E32="","",'Base Previ'!E32/'Base Previ'!D32)</f>
        <v/>
      </c>
      <c r="C21" s="273" t="s">
        <v>4</v>
      </c>
      <c r="D21" s="278" t="str">
        <f ca="1">IF(B21="","",'Base Previ'!D32)</f>
        <v/>
      </c>
      <c r="E21" s="288" t="str">
        <f ca="1">IF(B21="","",B21*D21)</f>
        <v/>
      </c>
      <c r="F21" s="254" t="s">
        <v>299</v>
      </c>
      <c r="G21" s="1225" t="s">
        <v>318</v>
      </c>
      <c r="H21" s="1225"/>
      <c r="I21" s="1225"/>
      <c r="J21" s="1226"/>
      <c r="K21" s="288" t="str">
        <f>IF('Base Previ'!D175=0,"",'Base Previ'!D175)</f>
        <v/>
      </c>
    </row>
    <row r="22" spans="1:11" x14ac:dyDescent="0.25">
      <c r="A22" s="254"/>
      <c r="B22" s="264" t="str">
        <f>IF('Base Previ'!E33="","",'Base Previ'!E33/'Base Previ'!D33)</f>
        <v/>
      </c>
      <c r="C22" s="273" t="s">
        <v>4</v>
      </c>
      <c r="D22" s="278" t="str">
        <f>IF(B22="","",'Base Previ'!D33)</f>
        <v/>
      </c>
      <c r="E22" s="288" t="str">
        <f>IF(B22="","",B22*D22)</f>
        <v/>
      </c>
      <c r="F22" s="254"/>
      <c r="G22" s="631"/>
      <c r="H22" s="631"/>
      <c r="I22" s="631"/>
      <c r="J22" s="632"/>
      <c r="K22" s="290"/>
    </row>
    <row r="23" spans="1:11" x14ac:dyDescent="0.25">
      <c r="A23" s="254" t="s">
        <v>299</v>
      </c>
      <c r="B23" s="1225" t="s">
        <v>319</v>
      </c>
      <c r="C23" s="1225"/>
      <c r="D23" s="1226"/>
      <c r="E23" s="288">
        <v>0</v>
      </c>
      <c r="F23" s="255" t="s">
        <v>299</v>
      </c>
      <c r="G23" s="316" t="s">
        <v>320</v>
      </c>
      <c r="H23" s="316"/>
      <c r="I23" s="316"/>
      <c r="J23" s="327"/>
      <c r="K23" s="292"/>
    </row>
    <row r="24" spans="1:11" x14ac:dyDescent="0.25">
      <c r="A24" s="254" t="s">
        <v>299</v>
      </c>
      <c r="B24" s="1225" t="s">
        <v>321</v>
      </c>
      <c r="C24" s="1225"/>
      <c r="D24" s="1226"/>
      <c r="E24" s="288">
        <f>'Base Previ'!D62</f>
        <v>1137.9000000000001</v>
      </c>
      <c r="F24" s="256" t="s">
        <v>322</v>
      </c>
      <c r="G24" s="626" t="s">
        <v>323</v>
      </c>
      <c r="H24" s="626"/>
      <c r="I24" s="626"/>
      <c r="J24" s="627"/>
      <c r="K24" s="295"/>
    </row>
    <row r="25" spans="1:11" x14ac:dyDescent="0.25">
      <c r="A25" s="254" t="s">
        <v>299</v>
      </c>
      <c r="B25" s="1225" t="s">
        <v>324</v>
      </c>
      <c r="C25" s="1225"/>
      <c r="D25" s="1226"/>
      <c r="E25" s="289"/>
      <c r="F25" s="305" t="s">
        <v>299</v>
      </c>
      <c r="G25" s="1225" t="s">
        <v>325</v>
      </c>
      <c r="H25" s="1225"/>
      <c r="I25" s="1225"/>
      <c r="J25" s="1225"/>
      <c r="K25" s="288">
        <f>E$26</f>
        <v>0</v>
      </c>
    </row>
    <row r="26" spans="1:11" x14ac:dyDescent="0.25">
      <c r="A26" s="255"/>
      <c r="B26" s="265">
        <f ca="1">IF('Base Previ'!D39=0,"",'Base Previ'!M34)</f>
        <v>100</v>
      </c>
      <c r="C26" s="274" t="s">
        <v>4</v>
      </c>
      <c r="D26" s="279">
        <f ca="1">IF('Base Previ'!D39=0,"",E26/B26)</f>
        <v>0</v>
      </c>
      <c r="E26" s="288"/>
      <c r="F26" s="305"/>
      <c r="G26" s="1228"/>
      <c r="H26" s="1228"/>
      <c r="I26" s="1228"/>
      <c r="J26" s="1229"/>
      <c r="K26" s="333"/>
    </row>
    <row r="27" spans="1:11" x14ac:dyDescent="0.25">
      <c r="A27" s="253" t="s">
        <v>326</v>
      </c>
      <c r="B27" s="1227" t="s">
        <v>327</v>
      </c>
      <c r="C27" s="1227"/>
      <c r="D27" s="1227"/>
      <c r="E27" s="287"/>
      <c r="F27" s="306" t="s">
        <v>326</v>
      </c>
      <c r="G27" s="1230" t="s">
        <v>328</v>
      </c>
      <c r="H27" s="1230"/>
      <c r="I27" s="1230"/>
      <c r="J27" s="1231"/>
      <c r="K27" s="295"/>
    </row>
    <row r="28" spans="1:11" x14ac:dyDescent="0.25">
      <c r="A28" s="254" t="s">
        <v>299</v>
      </c>
      <c r="B28" s="1225" t="s">
        <v>329</v>
      </c>
      <c r="C28" s="1225"/>
      <c r="D28" s="1226"/>
      <c r="E28" s="288">
        <f>'Base Previ'!D50</f>
        <v>1400</v>
      </c>
      <c r="F28" s="307"/>
      <c r="G28" s="1232"/>
      <c r="H28" s="1232"/>
      <c r="I28" s="1232"/>
      <c r="J28" s="1233"/>
      <c r="K28" s="294"/>
    </row>
    <row r="29" spans="1:11" x14ac:dyDescent="0.25">
      <c r="A29" s="254" t="s">
        <v>299</v>
      </c>
      <c r="B29" s="1205" t="s">
        <v>330</v>
      </c>
      <c r="C29" s="1205"/>
      <c r="D29" s="1206"/>
      <c r="E29" s="291"/>
      <c r="F29" s="303"/>
      <c r="G29" s="264">
        <f>'Base Previ'!F202</f>
        <v>233.33333333333334</v>
      </c>
      <c r="H29" s="322" t="s">
        <v>4</v>
      </c>
      <c r="I29" s="281">
        <f>'Base Previ'!D23</f>
        <v>6</v>
      </c>
      <c r="J29" s="326"/>
      <c r="K29" s="288">
        <f>G$29*I$29</f>
        <v>1400</v>
      </c>
    </row>
    <row r="30" spans="1:11" x14ac:dyDescent="0.25">
      <c r="A30" s="256"/>
      <c r="B30" s="266">
        <f>'Base Previ'!F92</f>
        <v>0</v>
      </c>
      <c r="C30" s="273" t="s">
        <v>4</v>
      </c>
      <c r="D30" s="278">
        <f>'Base Previ'!D23</f>
        <v>6</v>
      </c>
      <c r="E30" s="288">
        <f>B30*D30</f>
        <v>0</v>
      </c>
      <c r="F30" s="252"/>
      <c r="G30" s="263"/>
      <c r="H30" s="263"/>
      <c r="I30" s="263"/>
      <c r="J30" s="263"/>
      <c r="K30" s="294"/>
    </row>
    <row r="31" spans="1:11" x14ac:dyDescent="0.25">
      <c r="A31" s="254" t="s">
        <v>299</v>
      </c>
      <c r="B31" s="1225" t="s">
        <v>331</v>
      </c>
      <c r="C31" s="1225"/>
      <c r="D31" s="1226"/>
      <c r="E31" s="288">
        <f>'Base Previ'!D97</f>
        <v>0</v>
      </c>
      <c r="F31" s="252"/>
      <c r="G31" s="263"/>
      <c r="H31" s="263"/>
      <c r="I31" s="263"/>
      <c r="J31" s="263"/>
      <c r="K31" s="905"/>
    </row>
    <row r="32" spans="1:11" x14ac:dyDescent="0.25">
      <c r="A32" s="255" t="s">
        <v>299</v>
      </c>
      <c r="B32" s="267" t="s">
        <v>320</v>
      </c>
      <c r="C32" s="267"/>
      <c r="D32" s="280"/>
      <c r="E32" s="292"/>
      <c r="F32" s="252"/>
      <c r="G32" s="263"/>
      <c r="H32" s="263"/>
      <c r="I32" s="263"/>
      <c r="J32" s="263"/>
      <c r="K32" s="906"/>
    </row>
    <row r="33" spans="1:11" x14ac:dyDescent="0.25">
      <c r="A33" s="253" t="s">
        <v>332</v>
      </c>
      <c r="B33" s="1227" t="s">
        <v>333</v>
      </c>
      <c r="C33" s="1227"/>
      <c r="D33" s="1241"/>
      <c r="E33" s="293"/>
      <c r="F33" s="253" t="s">
        <v>332</v>
      </c>
      <c r="G33" s="1242" t="s">
        <v>334</v>
      </c>
      <c r="H33" s="1242"/>
      <c r="I33" s="1242"/>
      <c r="J33" s="1243"/>
      <c r="K33" s="295"/>
    </row>
    <row r="34" spans="1:11" x14ac:dyDescent="0.25">
      <c r="A34" s="254" t="s">
        <v>299</v>
      </c>
      <c r="B34" s="631" t="s">
        <v>335</v>
      </c>
      <c r="C34" s="631"/>
      <c r="D34" s="632"/>
      <c r="E34" s="288">
        <f>'Base Previ'!D129</f>
        <v>0</v>
      </c>
      <c r="F34" s="254" t="s">
        <v>299</v>
      </c>
      <c r="G34" s="631" t="s">
        <v>336</v>
      </c>
      <c r="H34" s="631"/>
      <c r="I34" s="631"/>
      <c r="J34" s="632"/>
      <c r="K34" s="294"/>
    </row>
    <row r="35" spans="1:11" x14ac:dyDescent="0.25">
      <c r="A35" s="254" t="s">
        <v>299</v>
      </c>
      <c r="B35" s="631" t="s">
        <v>337</v>
      </c>
      <c r="C35" s="631"/>
      <c r="D35" s="632"/>
      <c r="E35" s="294"/>
      <c r="F35" s="309"/>
      <c r="G35" s="264" t="str">
        <f>IF(B36="","",B36)</f>
        <v/>
      </c>
      <c r="H35" s="319" t="s">
        <v>4</v>
      </c>
      <c r="I35" s="281" t="str">
        <f>IF(B36="","",D36)</f>
        <v/>
      </c>
      <c r="J35" s="56"/>
      <c r="K35" s="288">
        <f>IF(B36="",0,G35*I35)</f>
        <v>0</v>
      </c>
    </row>
    <row r="36" spans="1:11" x14ac:dyDescent="0.25">
      <c r="A36" s="254" t="s">
        <v>299</v>
      </c>
      <c r="B36" s="264" t="str">
        <f>IF('Base Previ'!D132=0,"",'Base Previ'!D130)</f>
        <v/>
      </c>
      <c r="C36" s="273" t="s">
        <v>4</v>
      </c>
      <c r="D36" s="281" t="str">
        <f>IF(B36="","",'Base Previ'!D21)</f>
        <v/>
      </c>
      <c r="E36" s="288" t="str">
        <f>IF(B36="","",B36*D36)</f>
        <v/>
      </c>
      <c r="F36" s="309"/>
      <c r="G36" s="318"/>
      <c r="H36" s="318"/>
      <c r="I36" s="318"/>
      <c r="J36" s="328"/>
      <c r="K36" s="290"/>
    </row>
    <row r="37" spans="1:11" x14ac:dyDescent="0.25">
      <c r="A37" s="253" t="s">
        <v>338</v>
      </c>
      <c r="B37" s="628" t="s">
        <v>339</v>
      </c>
      <c r="C37" s="626"/>
      <c r="D37" s="627"/>
      <c r="E37" s="295"/>
      <c r="F37" s="310"/>
      <c r="G37" s="319"/>
      <c r="H37" s="56"/>
      <c r="I37" s="56"/>
      <c r="J37" s="326"/>
      <c r="K37" s="290"/>
    </row>
    <row r="38" spans="1:11" x14ac:dyDescent="0.25">
      <c r="A38" s="254" t="s">
        <v>299</v>
      </c>
      <c r="B38" s="631" t="s">
        <v>335</v>
      </c>
      <c r="C38" s="631"/>
      <c r="D38" s="632"/>
      <c r="E38" s="288">
        <f ca="1">'Base Previ'!D125</f>
        <v>0</v>
      </c>
      <c r="F38" s="309"/>
      <c r="G38" s="320"/>
      <c r="H38" s="56"/>
      <c r="I38" s="324"/>
      <c r="J38" s="326"/>
      <c r="K38" s="290"/>
    </row>
    <row r="39" spans="1:11" x14ac:dyDescent="0.25">
      <c r="A39" s="254" t="s">
        <v>299</v>
      </c>
      <c r="B39" s="631" t="s">
        <v>337</v>
      </c>
      <c r="C39" s="631"/>
      <c r="D39" s="632"/>
      <c r="E39" s="294"/>
      <c r="F39" s="907"/>
      <c r="G39" s="908"/>
      <c r="H39" s="908"/>
      <c r="I39" s="908"/>
      <c r="J39" s="909"/>
      <c r="K39" s="910"/>
    </row>
    <row r="40" spans="1:11" x14ac:dyDescent="0.25">
      <c r="A40" s="252"/>
      <c r="B40" s="264" t="str">
        <f ca="1">IF('Base Previ'!D125=0,"",'Base Previ'!D123)</f>
        <v/>
      </c>
      <c r="C40" s="263"/>
      <c r="D40" s="282" t="str">
        <f ca="1">IF(B40="","",D30)</f>
        <v/>
      </c>
      <c r="E40" s="288" t="str">
        <f ca="1">IF(B40="","",B40*D40)</f>
        <v/>
      </c>
      <c r="F40" s="911"/>
      <c r="G40" s="912"/>
      <c r="H40" s="912"/>
      <c r="I40" s="912"/>
      <c r="J40" s="913"/>
      <c r="K40" s="914"/>
    </row>
    <row r="41" spans="1:11" ht="24" x14ac:dyDescent="0.25">
      <c r="A41" s="257"/>
      <c r="B41" s="268" t="s">
        <v>340</v>
      </c>
      <c r="C41" s="268"/>
      <c r="D41" s="283"/>
      <c r="E41" s="296">
        <f ca="1">SUM(E8:E40)</f>
        <v>3016.2950000000001</v>
      </c>
      <c r="F41" s="257"/>
      <c r="G41" s="1244" t="s">
        <v>341</v>
      </c>
      <c r="H41" s="1244"/>
      <c r="I41" s="1244"/>
      <c r="J41" s="1245"/>
      <c r="K41" s="296">
        <f ca="1">SUM(K8:K38)</f>
        <v>3900</v>
      </c>
    </row>
    <row r="42" spans="1:11" x14ac:dyDescent="0.25">
      <c r="A42" s="258" t="s">
        <v>342</v>
      </c>
      <c r="B42" s="1246" t="str">
        <f ca="1">IF(E42&gt;0,"Excédent","")</f>
        <v>Excédent</v>
      </c>
      <c r="C42" s="1246"/>
      <c r="D42" s="1247"/>
      <c r="E42" s="297">
        <f ca="1">IF(K41&gt;E41,K41-E41,0)</f>
        <v>883.70499999999993</v>
      </c>
      <c r="F42" s="258" t="s">
        <v>342</v>
      </c>
      <c r="G42" s="1248" t="str">
        <f ca="1">IF(K42&gt;0,"Déficit","")</f>
        <v/>
      </c>
      <c r="H42" s="1248"/>
      <c r="I42" s="1248"/>
      <c r="J42" s="1249"/>
      <c r="K42" s="297">
        <f ca="1">IF(E41&gt;K41,E41-K41,0)</f>
        <v>0</v>
      </c>
    </row>
    <row r="43" spans="1:11" ht="16.5" customHeight="1" thickBot="1" x14ac:dyDescent="0.3">
      <c r="A43" s="259"/>
      <c r="B43" s="1250" t="s">
        <v>343</v>
      </c>
      <c r="C43" s="1250"/>
      <c r="D43" s="1250"/>
      <c r="E43" s="298">
        <f ca="1">SUM(E41:E42)</f>
        <v>3900</v>
      </c>
      <c r="F43" s="311"/>
      <c r="G43" s="311"/>
      <c r="H43" s="311"/>
      <c r="I43" s="311"/>
      <c r="J43" s="311"/>
      <c r="K43" s="298" t="e">
        <f ca="1">SUM(K41:K42)</f>
        <v>#VALUE!</v>
      </c>
    </row>
    <row r="44" spans="1:11" ht="15.75" thickTop="1" x14ac:dyDescent="0.25">
      <c r="A44" s="260"/>
      <c r="B44" s="269"/>
      <c r="C44" s="275" t="str">
        <f ca="1">IF(E42&gt;0,"L'excédent est de :",IF(K42&gt;0,"Le déficit est de :",IF(E42=0,"Le budget est équilibré")))</f>
        <v>L'excédent est de :</v>
      </c>
      <c r="D44" s="284"/>
      <c r="E44" s="299">
        <f ca="1">IF(E42&gt;0,E42,K42)</f>
        <v>883.70499999999993</v>
      </c>
      <c r="F44" s="312"/>
      <c r="G44" s="312" t="str">
        <f ca="1">IF(E44=0,"","Il est géré par :")</f>
        <v>Il est géré par :</v>
      </c>
      <c r="H44" s="1234">
        <f ca="1">IF(E44=0,"",K5)</f>
        <v>0</v>
      </c>
      <c r="I44" s="1234"/>
      <c r="J44" s="1234"/>
      <c r="K44" s="336"/>
    </row>
    <row r="45" spans="1:11" x14ac:dyDescent="0.25">
      <c r="A45" s="261"/>
      <c r="B45" s="270"/>
      <c r="C45" s="276"/>
      <c r="D45" s="285"/>
      <c r="E45" s="276"/>
      <c r="F45" s="313"/>
      <c r="G45" s="270"/>
      <c r="H45" s="276"/>
      <c r="I45" s="270"/>
      <c r="J45" s="276"/>
      <c r="K45" s="337"/>
    </row>
    <row r="46" spans="1:11" ht="15.75" x14ac:dyDescent="0.25">
      <c r="A46" s="262"/>
      <c r="B46" s="271" t="s">
        <v>346</v>
      </c>
      <c r="C46" s="271"/>
      <c r="D46" s="271"/>
      <c r="E46" s="300"/>
      <c r="F46" s="314"/>
      <c r="G46" s="321"/>
      <c r="H46" s="625"/>
      <c r="I46" s="1235">
        <f ca="1">IF('Base Previ'!D210="",'Base Previ'!D205,'Base Previ'!D210)</f>
        <v>650</v>
      </c>
      <c r="J46" s="1235"/>
      <c r="K46" s="1236"/>
    </row>
    <row r="47" spans="1:11" x14ac:dyDescent="0.25">
      <c r="A47" s="1237" t="s">
        <v>344</v>
      </c>
      <c r="B47" s="1238"/>
      <c r="C47" s="1239"/>
      <c r="D47" s="1239"/>
      <c r="E47" s="1239"/>
      <c r="F47" s="1239"/>
      <c r="G47" s="1239"/>
      <c r="H47" s="1239"/>
      <c r="I47" s="1239"/>
      <c r="J47" s="1239"/>
      <c r="K47" s="1240"/>
    </row>
  </sheetData>
  <mergeCells count="41">
    <mergeCell ref="H44:J44"/>
    <mergeCell ref="I46:K46"/>
    <mergeCell ref="A47:B47"/>
    <mergeCell ref="C47:K47"/>
    <mergeCell ref="B33:D33"/>
    <mergeCell ref="G33:J33"/>
    <mergeCell ref="G41:J41"/>
    <mergeCell ref="B42:D42"/>
    <mergeCell ref="G42:J42"/>
    <mergeCell ref="B43:D43"/>
    <mergeCell ref="B13:D13"/>
    <mergeCell ref="B15:D15"/>
    <mergeCell ref="B31:D31"/>
    <mergeCell ref="B17:D17"/>
    <mergeCell ref="G17:I17"/>
    <mergeCell ref="G21:J21"/>
    <mergeCell ref="B23:D23"/>
    <mergeCell ref="B24:D24"/>
    <mergeCell ref="B25:D25"/>
    <mergeCell ref="G25:J25"/>
    <mergeCell ref="G26:J26"/>
    <mergeCell ref="B27:D27"/>
    <mergeCell ref="G27:J28"/>
    <mergeCell ref="B28:D28"/>
    <mergeCell ref="B29:D29"/>
    <mergeCell ref="B16:D16"/>
    <mergeCell ref="D3:E3"/>
    <mergeCell ref="F3:J3"/>
    <mergeCell ref="D4:E4"/>
    <mergeCell ref="F4:J4"/>
    <mergeCell ref="H5:J5"/>
    <mergeCell ref="B10:D10"/>
    <mergeCell ref="G11:J11"/>
    <mergeCell ref="B12:D12"/>
    <mergeCell ref="G12:J12"/>
    <mergeCell ref="A7:E7"/>
    <mergeCell ref="F7:K7"/>
    <mergeCell ref="B8:D8"/>
    <mergeCell ref="F8:F9"/>
    <mergeCell ref="G8:J9"/>
    <mergeCell ref="B9:D9"/>
  </mergeCells>
  <pageMargins left="0.7" right="0.7" top="0.75" bottom="0.75" header="0.3" footer="0.3"/>
  <pageSetup scale="88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Y23"/>
  <sheetViews>
    <sheetView workbookViewId="0">
      <selection activeCell="C8" sqref="C8"/>
    </sheetView>
  </sheetViews>
  <sheetFormatPr baseColWidth="10" defaultRowHeight="15" x14ac:dyDescent="0.25"/>
  <cols>
    <col min="3" max="3" width="30" customWidth="1"/>
    <col min="11" max="11" width="23.140625" customWidth="1"/>
  </cols>
  <sheetData>
    <row r="1" spans="1:25" x14ac:dyDescent="0.25">
      <c r="A1" t="s">
        <v>441</v>
      </c>
      <c r="B1" t="s">
        <v>403</v>
      </c>
      <c r="C1" t="s">
        <v>96</v>
      </c>
      <c r="D1" t="s">
        <v>404</v>
      </c>
      <c r="E1" t="s">
        <v>405</v>
      </c>
      <c r="H1" t="s">
        <v>406</v>
      </c>
      <c r="I1" t="s">
        <v>407</v>
      </c>
      <c r="J1" t="s">
        <v>408</v>
      </c>
      <c r="K1" t="s">
        <v>409</v>
      </c>
      <c r="L1" t="s">
        <v>410</v>
      </c>
      <c r="M1" t="s">
        <v>411</v>
      </c>
      <c r="N1" t="s">
        <v>412</v>
      </c>
      <c r="O1" t="s">
        <v>413</v>
      </c>
      <c r="P1" t="s">
        <v>414</v>
      </c>
      <c r="Q1" t="s">
        <v>415</v>
      </c>
      <c r="R1" t="s">
        <v>416</v>
      </c>
      <c r="S1" t="s">
        <v>417</v>
      </c>
      <c r="U1" t="s">
        <v>418</v>
      </c>
      <c r="V1" t="s">
        <v>418</v>
      </c>
      <c r="W1" t="s">
        <v>419</v>
      </c>
      <c r="X1" t="s">
        <v>420</v>
      </c>
      <c r="Y1" t="s">
        <v>421</v>
      </c>
    </row>
    <row r="2" spans="1:25" x14ac:dyDescent="0.25">
      <c r="A2" s="455">
        <v>1</v>
      </c>
      <c r="B2" s="455"/>
      <c r="C2" s="455" t="s">
        <v>638</v>
      </c>
      <c r="D2" s="455" t="s">
        <v>632</v>
      </c>
      <c r="E2" s="455"/>
      <c r="F2" s="916"/>
      <c r="G2" s="455"/>
      <c r="H2" s="916"/>
      <c r="I2" s="455"/>
      <c r="J2" s="455"/>
      <c r="K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 t="s">
        <v>615</v>
      </c>
    </row>
    <row r="3" spans="1:25" x14ac:dyDescent="0.25">
      <c r="A3" s="455">
        <v>2</v>
      </c>
      <c r="B3" s="455"/>
      <c r="C3" s="455" t="s">
        <v>639</v>
      </c>
      <c r="D3" s="455" t="s">
        <v>633</v>
      </c>
      <c r="E3" s="455"/>
      <c r="F3" s="916"/>
      <c r="G3" s="455"/>
      <c r="H3" s="916"/>
      <c r="I3" s="455"/>
      <c r="J3" s="455"/>
      <c r="K3" s="455"/>
      <c r="M3" s="455"/>
      <c r="N3" s="455"/>
      <c r="O3" s="455"/>
      <c r="P3" s="455"/>
      <c r="Q3" s="455"/>
      <c r="R3" s="455"/>
      <c r="S3" s="455"/>
      <c r="T3" s="455"/>
      <c r="U3" s="455"/>
      <c r="V3" s="455"/>
      <c r="W3" s="455"/>
      <c r="X3" s="455"/>
      <c r="Y3" s="455" t="s">
        <v>617</v>
      </c>
    </row>
    <row r="4" spans="1:25" x14ac:dyDescent="0.25">
      <c r="A4" s="455">
        <v>3</v>
      </c>
      <c r="B4" s="455"/>
      <c r="C4" s="455" t="s">
        <v>640</v>
      </c>
      <c r="D4" s="455" t="s">
        <v>634</v>
      </c>
      <c r="E4" s="455"/>
      <c r="F4" s="916"/>
      <c r="G4" s="455"/>
      <c r="H4" s="916"/>
      <c r="I4" s="455"/>
      <c r="J4" s="455"/>
      <c r="K4" s="455"/>
      <c r="M4" s="455"/>
      <c r="N4" s="455"/>
      <c r="O4" s="455"/>
      <c r="P4" s="455"/>
      <c r="Q4" s="455"/>
      <c r="R4" s="455"/>
      <c r="S4" s="455"/>
      <c r="T4" s="455"/>
      <c r="U4" s="455"/>
      <c r="V4" s="455"/>
      <c r="W4" s="455"/>
      <c r="X4" s="455"/>
      <c r="Y4" s="455"/>
    </row>
    <row r="5" spans="1:25" x14ac:dyDescent="0.25">
      <c r="A5" s="455">
        <v>4</v>
      </c>
      <c r="B5" s="455"/>
      <c r="C5" s="455" t="s">
        <v>641</v>
      </c>
      <c r="D5" s="455" t="s">
        <v>635</v>
      </c>
      <c r="E5" s="455"/>
      <c r="F5" s="916"/>
      <c r="G5" s="455"/>
      <c r="H5" s="916"/>
      <c r="I5" s="455"/>
      <c r="J5" s="455"/>
      <c r="K5" s="455"/>
      <c r="M5" s="455"/>
      <c r="N5" s="455"/>
      <c r="O5" s="455"/>
      <c r="P5" s="455"/>
      <c r="Q5" s="455"/>
      <c r="R5" s="455"/>
      <c r="S5" s="455"/>
      <c r="T5" s="455"/>
      <c r="U5" s="455"/>
      <c r="V5" s="455"/>
      <c r="W5" s="455"/>
      <c r="X5" s="455"/>
      <c r="Y5" s="455" t="s">
        <v>618</v>
      </c>
    </row>
    <row r="6" spans="1:25" x14ac:dyDescent="0.25">
      <c r="A6" s="455">
        <v>5</v>
      </c>
      <c r="B6" s="455"/>
      <c r="C6" s="455" t="s">
        <v>642</v>
      </c>
      <c r="D6" s="455" t="s">
        <v>636</v>
      </c>
      <c r="E6" s="455"/>
      <c r="F6" s="916"/>
      <c r="G6" s="455"/>
      <c r="H6" s="916"/>
      <c r="I6" s="455"/>
      <c r="J6" s="455"/>
      <c r="K6" s="455"/>
      <c r="M6" s="455"/>
      <c r="N6" s="455"/>
      <c r="O6" s="455"/>
      <c r="P6" s="455"/>
      <c r="Q6" s="455"/>
      <c r="R6" s="455"/>
      <c r="S6" s="455"/>
      <c r="T6" s="455"/>
      <c r="U6" s="455"/>
      <c r="V6" s="455"/>
      <c r="W6" s="455"/>
      <c r="X6" s="455"/>
      <c r="Y6" s="455"/>
    </row>
    <row r="7" spans="1:25" x14ac:dyDescent="0.25">
      <c r="A7" s="455">
        <v>6</v>
      </c>
      <c r="B7" s="455"/>
      <c r="C7" s="455" t="s">
        <v>643</v>
      </c>
      <c r="D7" s="455" t="s">
        <v>637</v>
      </c>
      <c r="E7" s="455"/>
      <c r="F7" s="916"/>
      <c r="G7" s="455"/>
      <c r="H7" s="916"/>
      <c r="I7" s="455"/>
      <c r="J7" s="455"/>
      <c r="K7" s="455"/>
      <c r="L7" s="455"/>
      <c r="M7" s="455"/>
      <c r="N7" s="455"/>
      <c r="O7" s="455"/>
      <c r="P7" s="455"/>
      <c r="Q7" s="455"/>
      <c r="R7" s="455"/>
      <c r="T7" s="455"/>
      <c r="U7" s="455"/>
      <c r="V7" s="455"/>
      <c r="W7" s="455"/>
      <c r="X7" s="455"/>
      <c r="Y7" s="455" t="s">
        <v>616</v>
      </c>
    </row>
    <row r="8" spans="1:25" x14ac:dyDescent="0.25">
      <c r="A8" s="455">
        <v>7</v>
      </c>
      <c r="B8" s="455"/>
      <c r="C8" s="455"/>
      <c r="D8" s="915"/>
      <c r="E8" s="455"/>
      <c r="F8" s="455"/>
      <c r="G8" s="455"/>
      <c r="H8" s="916"/>
      <c r="I8" s="455"/>
      <c r="J8" s="455"/>
      <c r="K8" s="455"/>
      <c r="L8" s="455"/>
      <c r="M8" s="455"/>
      <c r="N8" s="455"/>
      <c r="O8" s="455"/>
      <c r="P8" s="455"/>
      <c r="Q8" s="455"/>
      <c r="R8" s="455"/>
      <c r="S8" s="455"/>
      <c r="T8" s="455"/>
      <c r="U8" s="455"/>
      <c r="V8" s="455"/>
      <c r="W8" s="455"/>
      <c r="X8" s="455"/>
      <c r="Y8" s="455"/>
    </row>
    <row r="9" spans="1:25" x14ac:dyDescent="0.25">
      <c r="A9" s="455">
        <v>8</v>
      </c>
      <c r="B9" s="455"/>
      <c r="C9" s="455"/>
      <c r="D9" s="915"/>
      <c r="E9" s="455"/>
      <c r="F9" s="455"/>
      <c r="G9" s="455"/>
      <c r="H9" s="916"/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55"/>
      <c r="U9" s="455"/>
      <c r="V9" s="455"/>
      <c r="W9" s="455"/>
      <c r="X9" s="455"/>
      <c r="Y9" s="455"/>
    </row>
    <row r="10" spans="1:25" x14ac:dyDescent="0.25">
      <c r="A10" s="455">
        <v>9</v>
      </c>
      <c r="B10" s="455"/>
      <c r="C10" s="455"/>
      <c r="D10" s="915"/>
      <c r="E10" s="455"/>
      <c r="F10" s="455"/>
      <c r="G10" s="455"/>
      <c r="H10" s="916"/>
      <c r="I10" s="455"/>
      <c r="J10" s="455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</row>
    <row r="11" spans="1:25" x14ac:dyDescent="0.25">
      <c r="A11" s="455">
        <v>10</v>
      </c>
      <c r="B11" s="455"/>
      <c r="C11" s="455"/>
      <c r="D11" s="915"/>
      <c r="E11" s="455"/>
      <c r="F11" s="455"/>
      <c r="G11" s="455"/>
      <c r="H11" s="916"/>
      <c r="I11" s="455"/>
      <c r="J11" s="455"/>
      <c r="K11" s="455"/>
      <c r="L11" s="455"/>
      <c r="M11" s="455"/>
      <c r="N11" s="455"/>
      <c r="O11" s="455"/>
      <c r="P11" s="455"/>
      <c r="Q11" s="455"/>
      <c r="R11" s="455"/>
      <c r="S11" s="455"/>
      <c r="T11" s="455"/>
      <c r="U11" s="455"/>
      <c r="V11" s="455"/>
      <c r="W11" s="455"/>
      <c r="X11" s="455"/>
      <c r="Y11" s="455"/>
    </row>
    <row r="12" spans="1:25" x14ac:dyDescent="0.25">
      <c r="A12" s="455">
        <v>11</v>
      </c>
      <c r="B12" s="455"/>
      <c r="C12" s="455"/>
      <c r="D12" s="915"/>
      <c r="E12" s="455"/>
      <c r="F12" s="455"/>
      <c r="G12" s="455"/>
      <c r="H12" s="916"/>
      <c r="I12" s="455"/>
      <c r="J12" s="455"/>
      <c r="K12" s="455"/>
      <c r="L12" s="455"/>
      <c r="M12" s="455"/>
      <c r="N12" s="455"/>
      <c r="O12" s="455"/>
      <c r="P12" s="455"/>
      <c r="Q12" s="455"/>
      <c r="R12" s="455"/>
      <c r="S12" s="455"/>
      <c r="T12" s="455"/>
      <c r="U12" s="455"/>
      <c r="V12" s="455"/>
      <c r="W12" s="455"/>
      <c r="X12" s="455"/>
      <c r="Y12" s="455"/>
    </row>
    <row r="13" spans="1:25" x14ac:dyDescent="0.25">
      <c r="A13" s="455">
        <v>12</v>
      </c>
      <c r="B13" s="455"/>
      <c r="C13" s="455"/>
      <c r="D13" s="455"/>
      <c r="E13" s="455"/>
      <c r="F13" s="455"/>
      <c r="G13" s="455"/>
      <c r="H13" s="455"/>
      <c r="I13" s="455"/>
      <c r="J13" s="455"/>
      <c r="K13" s="455"/>
      <c r="L13" s="455"/>
      <c r="M13" s="455"/>
      <c r="N13" s="455"/>
      <c r="O13" s="455"/>
      <c r="P13" s="455"/>
      <c r="Q13" s="455"/>
      <c r="R13" s="455"/>
      <c r="S13" s="455"/>
      <c r="T13" s="455"/>
      <c r="U13" s="455"/>
      <c r="V13" s="455"/>
      <c r="W13" s="455"/>
      <c r="X13" s="455"/>
      <c r="Y13" s="455"/>
    </row>
    <row r="14" spans="1:25" x14ac:dyDescent="0.25">
      <c r="A14" s="455">
        <v>13</v>
      </c>
      <c r="B14" s="455"/>
      <c r="C14" s="455"/>
      <c r="D14" s="455"/>
      <c r="E14" s="455"/>
      <c r="F14" s="455"/>
      <c r="G14" s="455"/>
      <c r="H14" s="455"/>
      <c r="I14" s="455"/>
      <c r="J14" s="455"/>
      <c r="K14" s="455"/>
      <c r="L14" s="455"/>
      <c r="M14" s="455"/>
      <c r="N14" s="455"/>
      <c r="O14" s="455"/>
      <c r="P14" s="455"/>
      <c r="Q14" s="455"/>
      <c r="R14" s="455"/>
      <c r="S14" s="455"/>
      <c r="T14" s="455"/>
      <c r="U14" s="455"/>
      <c r="V14" s="455"/>
      <c r="W14" s="455"/>
      <c r="X14" s="455"/>
      <c r="Y14" s="455"/>
    </row>
    <row r="15" spans="1:25" x14ac:dyDescent="0.25">
      <c r="A15" s="455">
        <v>14</v>
      </c>
      <c r="B15" s="455"/>
      <c r="C15" s="455"/>
      <c r="D15" s="455"/>
      <c r="E15" s="455"/>
      <c r="F15" s="455"/>
      <c r="G15" s="455"/>
      <c r="H15" s="455"/>
      <c r="I15" s="455"/>
      <c r="J15" s="455"/>
      <c r="K15" s="455"/>
      <c r="L15" s="455"/>
      <c r="M15" s="455"/>
      <c r="N15" s="455"/>
      <c r="O15" s="455"/>
      <c r="P15" s="455"/>
      <c r="Q15" s="455"/>
      <c r="R15" s="455"/>
      <c r="S15" s="455"/>
      <c r="T15" s="455"/>
      <c r="U15" s="455"/>
      <c r="V15" s="455"/>
      <c r="W15" s="455"/>
      <c r="X15" s="455"/>
      <c r="Y15" s="455"/>
    </row>
    <row r="16" spans="1:25" x14ac:dyDescent="0.25">
      <c r="A16" s="455">
        <v>15</v>
      </c>
      <c r="B16" s="455"/>
      <c r="C16" s="455"/>
      <c r="D16" s="455"/>
      <c r="E16" s="455"/>
      <c r="F16" s="455"/>
      <c r="G16" s="455"/>
      <c r="H16" s="455"/>
      <c r="I16" s="455"/>
      <c r="J16" s="455"/>
      <c r="K16" s="455"/>
      <c r="L16" s="455"/>
      <c r="M16" s="455"/>
      <c r="N16" s="455"/>
      <c r="O16" s="455"/>
      <c r="P16" s="455"/>
      <c r="Q16" s="455"/>
      <c r="R16" s="455"/>
      <c r="S16" s="455"/>
      <c r="T16" s="455"/>
      <c r="U16" s="455"/>
      <c r="V16" s="455"/>
      <c r="W16" s="455"/>
      <c r="X16" s="455"/>
      <c r="Y16" s="455"/>
    </row>
    <row r="17" spans="1:25" x14ac:dyDescent="0.25">
      <c r="A17" s="455">
        <v>16</v>
      </c>
      <c r="B17" s="455"/>
      <c r="C17" s="455"/>
      <c r="D17" s="455"/>
      <c r="E17" s="455"/>
      <c r="F17" s="455"/>
      <c r="G17" s="455"/>
      <c r="H17" s="455"/>
      <c r="I17" s="455"/>
      <c r="J17" s="455"/>
      <c r="K17" s="455"/>
      <c r="L17" s="455"/>
      <c r="M17" s="455"/>
      <c r="N17" s="455"/>
      <c r="O17" s="455"/>
      <c r="P17" s="455"/>
      <c r="Q17" s="455"/>
      <c r="R17" s="455"/>
      <c r="S17" s="455"/>
      <c r="T17" s="455"/>
      <c r="U17" s="455"/>
      <c r="V17" s="455"/>
      <c r="W17" s="455"/>
      <c r="X17" s="455"/>
      <c r="Y17" s="455"/>
    </row>
    <row r="18" spans="1:25" x14ac:dyDescent="0.25">
      <c r="A18" s="455">
        <v>17</v>
      </c>
      <c r="B18" s="455"/>
      <c r="C18" s="455"/>
      <c r="D18" s="455"/>
      <c r="E18" s="455"/>
      <c r="F18" s="455"/>
      <c r="G18" s="455"/>
      <c r="H18" s="455"/>
      <c r="I18" s="455"/>
      <c r="J18" s="455"/>
      <c r="K18" s="455"/>
      <c r="L18" s="455"/>
      <c r="M18" s="455"/>
      <c r="N18" s="455"/>
      <c r="O18" s="455"/>
      <c r="P18" s="455"/>
      <c r="Q18" s="455"/>
      <c r="R18" s="455"/>
      <c r="S18" s="455"/>
      <c r="T18" s="455"/>
      <c r="U18" s="455"/>
      <c r="V18" s="455"/>
      <c r="W18" s="455"/>
      <c r="X18" s="455"/>
      <c r="Y18" s="455"/>
    </row>
    <row r="19" spans="1:25" x14ac:dyDescent="0.25">
      <c r="A19" s="455">
        <v>18</v>
      </c>
      <c r="B19" s="455"/>
      <c r="C19" s="455"/>
      <c r="D19" s="455"/>
      <c r="E19" s="455"/>
      <c r="F19" s="455"/>
      <c r="G19" s="455"/>
      <c r="H19" s="455"/>
      <c r="I19" s="455"/>
      <c r="J19" s="455"/>
      <c r="K19" s="455"/>
      <c r="L19" s="455"/>
      <c r="M19" s="455"/>
      <c r="N19" s="455"/>
      <c r="O19" s="455"/>
      <c r="P19" s="455"/>
      <c r="Q19" s="455"/>
      <c r="R19" s="455"/>
      <c r="S19" s="455"/>
      <c r="T19" s="455"/>
      <c r="U19" s="455"/>
      <c r="V19" s="455"/>
      <c r="W19" s="455"/>
      <c r="X19" s="455"/>
      <c r="Y19" s="455"/>
    </row>
    <row r="20" spans="1:25" x14ac:dyDescent="0.25">
      <c r="A20" s="455">
        <v>19</v>
      </c>
      <c r="B20" s="455"/>
      <c r="C20" s="455"/>
      <c r="D20" s="455"/>
      <c r="E20" s="455"/>
      <c r="F20" s="455"/>
      <c r="G20" s="455"/>
      <c r="H20" s="455"/>
      <c r="I20" s="455"/>
      <c r="J20" s="455"/>
      <c r="K20" s="455"/>
      <c r="L20" s="455"/>
      <c r="M20" s="455"/>
      <c r="N20" s="455"/>
      <c r="O20" s="455"/>
      <c r="P20" s="455"/>
      <c r="Q20" s="455"/>
      <c r="R20" s="455"/>
      <c r="S20" s="455"/>
      <c r="T20" s="455"/>
      <c r="U20" s="455"/>
      <c r="V20" s="455"/>
      <c r="W20" s="455"/>
      <c r="X20" s="455"/>
      <c r="Y20" s="455"/>
    </row>
    <row r="21" spans="1:25" x14ac:dyDescent="0.25">
      <c r="A21" s="455">
        <v>20</v>
      </c>
      <c r="B21" s="455"/>
      <c r="C21" s="455"/>
      <c r="D21" s="455"/>
      <c r="E21" s="455"/>
      <c r="F21" s="455"/>
      <c r="G21" s="455"/>
      <c r="H21" s="455"/>
      <c r="I21" s="455"/>
      <c r="J21" s="455"/>
      <c r="K21" s="455"/>
      <c r="L21" s="455"/>
      <c r="M21" s="455"/>
      <c r="N21" s="455"/>
      <c r="O21" s="455"/>
      <c r="P21" s="455"/>
      <c r="Q21" s="455"/>
      <c r="R21" s="455"/>
      <c r="S21" s="455"/>
      <c r="T21" s="455"/>
      <c r="U21" s="455"/>
      <c r="V21" s="455"/>
      <c r="W21" s="455"/>
      <c r="X21" s="455"/>
      <c r="Y21" s="455"/>
    </row>
    <row r="22" spans="1:25" x14ac:dyDescent="0.25">
      <c r="A22" s="455">
        <v>21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455"/>
      <c r="O22" s="455"/>
      <c r="P22" s="455"/>
      <c r="Q22" s="455"/>
      <c r="R22" s="455"/>
      <c r="S22" s="455"/>
      <c r="T22" s="455"/>
      <c r="U22" s="455"/>
      <c r="V22" s="455"/>
      <c r="W22" s="455"/>
      <c r="X22" s="455"/>
      <c r="Y22" s="455"/>
    </row>
    <row r="23" spans="1:25" x14ac:dyDescent="0.25">
      <c r="A23" s="455">
        <v>22</v>
      </c>
      <c r="B23" s="455"/>
      <c r="C23" s="455"/>
      <c r="D23" s="455"/>
      <c r="E23" s="455"/>
      <c r="F23" s="455"/>
      <c r="G23" s="455"/>
      <c r="H23" s="455"/>
      <c r="I23" s="455"/>
      <c r="J23" s="455"/>
      <c r="K23" s="455"/>
      <c r="L23" s="455"/>
      <c r="M23" s="455"/>
      <c r="N23" s="455"/>
      <c r="O23" s="455"/>
      <c r="P23" s="455"/>
      <c r="Q23" s="455"/>
      <c r="R23" s="455"/>
      <c r="S23" s="455"/>
      <c r="T23" s="455"/>
      <c r="U23" s="455"/>
      <c r="V23" s="455"/>
      <c r="W23" s="455"/>
      <c r="X23" s="455"/>
      <c r="Y23" s="45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reerFeuilles">
                <anchor moveWithCells="1" sizeWithCells="1">
                  <from>
                    <xdr:col>2</xdr:col>
                    <xdr:colOff>742950</xdr:colOff>
                    <xdr:row>23</xdr:row>
                    <xdr:rowOff>66675</xdr:rowOff>
                  </from>
                  <to>
                    <xdr:col>3</xdr:col>
                    <xdr:colOff>0</xdr:colOff>
                    <xdr:row>26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Imprimer">
                <anchor moveWithCells="1" sizeWithCells="1">
                  <from>
                    <xdr:col>4</xdr:col>
                    <xdr:colOff>0</xdr:colOff>
                    <xdr:row>23</xdr:row>
                    <xdr:rowOff>95250</xdr:rowOff>
                  </from>
                  <to>
                    <xdr:col>5</xdr:col>
                    <xdr:colOff>571500</xdr:colOff>
                    <xdr:row>27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O22"/>
  <sheetViews>
    <sheetView workbookViewId="0">
      <selection activeCell="B8" sqref="B8:C8"/>
    </sheetView>
  </sheetViews>
  <sheetFormatPr baseColWidth="10" defaultRowHeight="15" x14ac:dyDescent="0.25"/>
  <cols>
    <col min="2" max="2" width="22.85546875" customWidth="1"/>
  </cols>
  <sheetData>
    <row r="1" spans="1:15" x14ac:dyDescent="0.25">
      <c r="A1" s="1251" t="str">
        <f>'[3]2-Infos'!C9</f>
        <v>Perfectionnement</v>
      </c>
      <c r="B1" s="1251"/>
      <c r="C1" s="1251"/>
      <c r="D1" s="399" t="s">
        <v>423</v>
      </c>
      <c r="E1" s="1252">
        <f>Info!B41</f>
        <v>44576</v>
      </c>
      <c r="F1" s="1252"/>
      <c r="G1" s="639" t="str">
        <f>IF('[3]2-Infos'!B42='[3]2-Infos'!B50,"","au")</f>
        <v>au</v>
      </c>
      <c r="H1" s="1252">
        <f>IF(Info!B42=Info!B50,"",Info!B49)</f>
        <v>44583</v>
      </c>
      <c r="I1" s="1252"/>
      <c r="J1" s="348"/>
    </row>
    <row r="2" spans="1:15" x14ac:dyDescent="0.25">
      <c r="A2" s="394" t="str">
        <f>'[3]2-Infos'!C13</f>
        <v>Alpinisme</v>
      </c>
      <c r="B2" s="398"/>
      <c r="C2" s="396"/>
      <c r="D2" s="399" t="s">
        <v>72</v>
      </c>
      <c r="E2" s="1253" t="str">
        <f>Info!F41</f>
        <v>Ailefroide</v>
      </c>
      <c r="F2" s="1253"/>
      <c r="G2" s="1253"/>
      <c r="H2" s="1253"/>
      <c r="I2" s="917"/>
    </row>
    <row r="3" spans="1:15" x14ac:dyDescent="0.25">
      <c r="A3" s="394" t="str">
        <f>'[3]2-Infos'!G17</f>
        <v>Niveau visé</v>
      </c>
      <c r="B3" s="398"/>
      <c r="C3" s="918" t="str">
        <f>Info!C17</f>
        <v>Niveau 2</v>
      </c>
      <c r="D3" s="399"/>
      <c r="E3" s="919"/>
      <c r="F3" s="919"/>
      <c r="G3" s="919"/>
      <c r="H3" s="919"/>
      <c r="I3" s="919"/>
    </row>
    <row r="4" spans="1:15" x14ac:dyDescent="0.25">
      <c r="A4" s="349" t="s">
        <v>424</v>
      </c>
      <c r="B4" s="349"/>
      <c r="C4" s="401">
        <f>Info!B34</f>
        <v>1946</v>
      </c>
      <c r="D4" s="920" t="s">
        <v>425</v>
      </c>
      <c r="E4" s="402">
        <f>COUNTA(B8:B19)-COUNTIFS(B8:B19,"")</f>
        <v>6</v>
      </c>
      <c r="F4" s="403"/>
      <c r="G4" s="399" t="s">
        <v>426</v>
      </c>
      <c r="H4" s="404" t="s">
        <v>613</v>
      </c>
      <c r="I4" s="404"/>
      <c r="O4" s="351"/>
    </row>
    <row r="5" spans="1:15" s="140" customFormat="1" ht="7.5" hidden="1" customHeight="1" x14ac:dyDescent="0.25">
      <c r="A5" s="921"/>
      <c r="B5" s="566"/>
      <c r="C5" s="922"/>
      <c r="D5" s="920"/>
      <c r="E5" s="923"/>
      <c r="F5" s="923"/>
      <c r="G5" s="924"/>
      <c r="H5" s="925"/>
      <c r="I5" s="925"/>
      <c r="O5" s="352"/>
    </row>
    <row r="6" spans="1:15" s="353" customFormat="1" ht="23.25" customHeight="1" thickBot="1" x14ac:dyDescent="0.3">
      <c r="A6" s="926" t="s">
        <v>427</v>
      </c>
      <c r="B6" s="927"/>
      <c r="C6" s="928"/>
      <c r="D6" s="476"/>
      <c r="E6" s="477"/>
      <c r="F6" s="477"/>
      <c r="G6" s="476"/>
      <c r="H6" s="929"/>
      <c r="I6" s="929"/>
    </row>
    <row r="7" spans="1:15" ht="55.5" customHeight="1" x14ac:dyDescent="0.25">
      <c r="A7" s="930" t="s">
        <v>422</v>
      </c>
      <c r="B7" s="930" t="s">
        <v>96</v>
      </c>
      <c r="C7" s="931" t="s">
        <v>95</v>
      </c>
      <c r="D7" s="932">
        <f>Info!B41</f>
        <v>44576</v>
      </c>
      <c r="E7" s="932">
        <f>Info!B42</f>
        <v>44577</v>
      </c>
      <c r="F7" s="932">
        <f>Info!B43</f>
        <v>44578</v>
      </c>
      <c r="G7" s="932">
        <f>Info!B44</f>
        <v>44579</v>
      </c>
      <c r="H7" s="932">
        <f>Info!B45</f>
        <v>44580</v>
      </c>
      <c r="I7" s="933">
        <f>Info!B46</f>
        <v>44581</v>
      </c>
    </row>
    <row r="8" spans="1:15" ht="39.950000000000003" customHeight="1" x14ac:dyDescent="0.25">
      <c r="A8" s="934">
        <f>Intranet!B2</f>
        <v>0</v>
      </c>
      <c r="B8" s="1117" t="str">
        <f>Intranet!C2</f>
        <v>Oui</v>
      </c>
      <c r="C8" s="934" t="str">
        <f>Intranet!D2</f>
        <v>charles</v>
      </c>
      <c r="D8" s="935"/>
      <c r="E8" s="330"/>
      <c r="F8" s="936"/>
      <c r="G8" s="937"/>
      <c r="H8" s="938"/>
      <c r="I8" s="938"/>
    </row>
    <row r="9" spans="1:15" ht="39.950000000000003" customHeight="1" x14ac:dyDescent="0.25">
      <c r="A9" s="934" t="str">
        <f>IF(Intranet!B3="","",Intranet!B3)</f>
        <v/>
      </c>
      <c r="B9" s="934" t="str">
        <f>IF(Intranet!C3="","",Intranet!C3)</f>
        <v>Non</v>
      </c>
      <c r="C9" s="934" t="str">
        <f>IF(Intranet!D3="","",Intranet!D3)</f>
        <v>charli</v>
      </c>
      <c r="D9" s="935"/>
      <c r="E9" s="330"/>
      <c r="F9" s="936"/>
      <c r="G9" s="937"/>
      <c r="H9" s="938"/>
      <c r="I9" s="938"/>
    </row>
    <row r="10" spans="1:15" ht="39.950000000000003" customHeight="1" x14ac:dyDescent="0.25">
      <c r="A10" s="934" t="str">
        <f>IF(Intranet!B4="","",Intranet!B4)</f>
        <v/>
      </c>
      <c r="B10" s="934" t="str">
        <f>IF(Intranet!C4="","",Intranet!C4)</f>
        <v>Peut-Etre</v>
      </c>
      <c r="C10" s="934" t="str">
        <f>IF(Intranet!D4="","",Intranet!D4)</f>
        <v>charlo</v>
      </c>
      <c r="D10" s="935"/>
      <c r="E10" s="330"/>
      <c r="F10" s="936"/>
      <c r="G10" s="937"/>
      <c r="H10" s="938"/>
      <c r="I10" s="938"/>
    </row>
    <row r="11" spans="1:15" ht="39.950000000000003" customHeight="1" x14ac:dyDescent="0.25">
      <c r="A11" s="934" t="str">
        <f>IF(Intranet!B5="","",Intranet!B5)</f>
        <v/>
      </c>
      <c r="B11" s="934" t="str">
        <f>IF(Intranet!C5="","",Intranet!C5)</f>
        <v>Surement</v>
      </c>
      <c r="C11" s="934" t="str">
        <f>IF(Intranet!D5="","",Intranet!D5)</f>
        <v>charly</v>
      </c>
      <c r="D11" s="935"/>
      <c r="E11" s="330"/>
      <c r="F11" s="936"/>
      <c r="G11" s="937"/>
      <c r="H11" s="938"/>
      <c r="I11" s="938"/>
    </row>
    <row r="12" spans="1:15" ht="39.950000000000003" customHeight="1" x14ac:dyDescent="0.25">
      <c r="A12" s="934" t="str">
        <f>IF(Intranet!B6="","",Intranet!B6)</f>
        <v/>
      </c>
      <c r="B12" s="934" t="str">
        <f>IF(Intranet!C6="","",Intranet!C6)</f>
        <v>Pourquoi pas</v>
      </c>
      <c r="C12" s="934" t="str">
        <f>IF(Intranet!D6="","",Intranet!D6)</f>
        <v>charlu</v>
      </c>
      <c r="D12" s="935"/>
      <c r="E12" s="330"/>
      <c r="F12" s="936"/>
      <c r="G12" s="937"/>
      <c r="H12" s="938"/>
      <c r="I12" s="938"/>
    </row>
    <row r="13" spans="1:15" ht="39.950000000000003" customHeight="1" x14ac:dyDescent="0.25">
      <c r="A13" s="934" t="str">
        <f>IF(Intranet!B7="","",Intranet!B7)</f>
        <v/>
      </c>
      <c r="B13" s="934" t="str">
        <f>IF(Intranet!C7="","",Intranet!C7)</f>
        <v>oj</v>
      </c>
      <c r="C13" s="934" t="str">
        <f>IF(Intranet!D7="","",Intranet!D7)</f>
        <v>charla</v>
      </c>
      <c r="D13" s="935"/>
      <c r="E13" s="330"/>
      <c r="F13" s="936"/>
      <c r="G13" s="937"/>
      <c r="H13" s="938"/>
      <c r="I13" s="938"/>
    </row>
    <row r="14" spans="1:15" ht="39.950000000000003" customHeight="1" x14ac:dyDescent="0.25">
      <c r="A14" s="934" t="str">
        <f>IF(Intranet!B8="","",Intranet!B8)</f>
        <v/>
      </c>
      <c r="B14" s="934" t="str">
        <f>IF(Intranet!C8="","",Intranet!C8)</f>
        <v/>
      </c>
      <c r="C14" s="934" t="str">
        <f>IF(Intranet!D8="","",Intranet!D8)</f>
        <v/>
      </c>
      <c r="D14" s="935"/>
      <c r="E14" s="330"/>
      <c r="F14" s="936"/>
      <c r="G14" s="937"/>
      <c r="H14" s="938"/>
      <c r="I14" s="938"/>
    </row>
    <row r="15" spans="1:15" ht="39.950000000000003" customHeight="1" x14ac:dyDescent="0.25">
      <c r="A15" s="934" t="str">
        <f>IF(Intranet!B9="","",Intranet!B9)</f>
        <v/>
      </c>
      <c r="B15" s="934" t="str">
        <f>IF(Intranet!C9="","",Intranet!C9)</f>
        <v/>
      </c>
      <c r="C15" s="934" t="str">
        <f>IF(Intranet!D9="","",Intranet!D9)</f>
        <v/>
      </c>
      <c r="D15" s="935"/>
      <c r="E15" s="330"/>
      <c r="F15" s="936"/>
      <c r="G15" s="937"/>
      <c r="H15" s="938"/>
      <c r="I15" s="938"/>
    </row>
    <row r="16" spans="1:15" ht="39.950000000000003" customHeight="1" x14ac:dyDescent="0.25">
      <c r="A16" s="934" t="str">
        <f>IF(Intranet!B10="","",Intranet!B10)</f>
        <v/>
      </c>
      <c r="B16" s="934" t="str">
        <f>IF(Intranet!C10="","",Intranet!C10)</f>
        <v/>
      </c>
      <c r="C16" s="934" t="str">
        <f>IF(Intranet!D10="","",Intranet!D10)</f>
        <v/>
      </c>
      <c r="D16" s="935"/>
      <c r="E16" s="330"/>
      <c r="F16" s="936"/>
      <c r="G16" s="937"/>
      <c r="H16" s="938"/>
      <c r="I16" s="938"/>
    </row>
    <row r="17" spans="1:9" ht="39.950000000000003" customHeight="1" x14ac:dyDescent="0.25">
      <c r="A17" s="934" t="str">
        <f>IF(Intranet!B11="","",Intranet!B11)</f>
        <v/>
      </c>
      <c r="B17" s="934" t="str">
        <f>IF(Intranet!C11="","",Intranet!C11)</f>
        <v/>
      </c>
      <c r="C17" s="934" t="str">
        <f>IF(Intranet!D11="","",Intranet!D11)</f>
        <v/>
      </c>
      <c r="D17" s="935"/>
      <c r="E17" s="330"/>
      <c r="F17" s="936"/>
      <c r="G17" s="937"/>
      <c r="H17" s="938"/>
      <c r="I17" s="938"/>
    </row>
    <row r="18" spans="1:9" ht="39.75" customHeight="1" x14ac:dyDescent="0.25">
      <c r="A18" s="934" t="str">
        <f>IF(Intranet!B12="","",Intranet!B12)</f>
        <v/>
      </c>
      <c r="B18" s="934" t="str">
        <f>IF(Intranet!C12="","",Intranet!C12)</f>
        <v/>
      </c>
      <c r="C18" s="934" t="str">
        <f>IF(Intranet!D12="","",Intranet!D12)</f>
        <v/>
      </c>
      <c r="D18" s="935"/>
      <c r="E18" s="330"/>
      <c r="F18" s="936"/>
      <c r="G18" s="937"/>
      <c r="H18" s="938"/>
      <c r="I18" s="938"/>
    </row>
    <row r="19" spans="1:9" ht="39.75" customHeight="1" x14ac:dyDescent="0.25">
      <c r="A19" s="934" t="str">
        <f>IF(Intranet!B13="","",Intranet!B13)</f>
        <v/>
      </c>
      <c r="B19" s="934" t="str">
        <f>IF(Intranet!C13="","",Intranet!C13)</f>
        <v/>
      </c>
      <c r="C19" s="934" t="str">
        <f>IF(Intranet!D13="","",Intranet!D13)</f>
        <v/>
      </c>
      <c r="D19" s="935"/>
      <c r="E19" s="330"/>
      <c r="F19" s="936"/>
      <c r="G19" s="937"/>
      <c r="H19" s="938"/>
      <c r="I19" s="938"/>
    </row>
    <row r="20" spans="1:9" ht="39.950000000000003" customHeight="1" x14ac:dyDescent="0.25">
      <c r="A20" s="934" t="str">
        <f>IF(Intranet!B14="","",Intranet!B14)</f>
        <v/>
      </c>
      <c r="B20" s="934" t="str">
        <f>IF(Intranet!C14="","",Intranet!C14)</f>
        <v/>
      </c>
      <c r="C20" s="934" t="str">
        <f>IF(Intranet!D14="","",Intranet!D14)</f>
        <v/>
      </c>
      <c r="D20" s="935"/>
      <c r="E20" s="330"/>
      <c r="F20" s="936"/>
      <c r="G20" s="937"/>
      <c r="H20" s="938"/>
      <c r="I20" s="938"/>
    </row>
    <row r="21" spans="1:9" ht="39.75" customHeight="1" x14ac:dyDescent="0.25">
      <c r="A21" s="934" t="str">
        <f>IF(Intranet!B15="","",Intranet!B15)</f>
        <v/>
      </c>
      <c r="B21" s="934" t="str">
        <f>IF(Intranet!C15="","",Intranet!C15)</f>
        <v/>
      </c>
      <c r="C21" s="934" t="str">
        <f>IF(Intranet!D15="","",Intranet!D15)</f>
        <v/>
      </c>
      <c r="D21" s="935"/>
      <c r="E21" s="330"/>
      <c r="F21" s="936"/>
      <c r="G21" s="937"/>
      <c r="H21" s="938"/>
      <c r="I21" s="938"/>
    </row>
    <row r="22" spans="1:9" ht="39.75" customHeight="1" x14ac:dyDescent="0.25">
      <c r="A22" s="934" t="str">
        <f>IF(Intranet!B16="","",Intranet!B16)</f>
        <v/>
      </c>
      <c r="B22" s="934" t="str">
        <f>IF(Intranet!C16="","",Intranet!C16)</f>
        <v/>
      </c>
      <c r="C22" s="934" t="str">
        <f>IF(Intranet!D16="","",Intranet!D16)</f>
        <v/>
      </c>
      <c r="D22" s="935"/>
      <c r="E22" s="330"/>
      <c r="F22" s="936"/>
      <c r="G22" s="937"/>
      <c r="H22" s="938"/>
      <c r="I22" s="938"/>
    </row>
  </sheetData>
  <mergeCells count="4">
    <mergeCell ref="A1:C1"/>
    <mergeCell ref="E1:F1"/>
    <mergeCell ref="H1:I1"/>
    <mergeCell ref="E2:H2"/>
  </mergeCells>
  <pageMargins left="0.7" right="0.7" top="0.75" bottom="0.75" header="0.3" footer="0.3"/>
  <pageSetup paperSize="9" scale="7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Z26"/>
  <sheetViews>
    <sheetView workbookViewId="0">
      <selection activeCell="P8" sqref="P8"/>
    </sheetView>
  </sheetViews>
  <sheetFormatPr baseColWidth="10" defaultRowHeight="15" x14ac:dyDescent="0.25"/>
  <cols>
    <col min="1" max="1" width="3.28515625" customWidth="1"/>
    <col min="2" max="2" width="7.42578125" customWidth="1"/>
    <col min="3" max="3" width="22" customWidth="1"/>
    <col min="5" max="5" width="23" customWidth="1"/>
    <col min="6" max="6" width="4.7109375" customWidth="1"/>
    <col min="7" max="7" width="1.7109375" customWidth="1"/>
    <col min="8" max="8" width="21.42578125" customWidth="1"/>
    <col min="9" max="9" width="1.85546875" customWidth="1"/>
    <col min="10" max="10" width="12.7109375" bestFit="1" customWidth="1"/>
    <col min="11" max="11" width="23" customWidth="1"/>
    <col min="12" max="12" width="6.42578125" customWidth="1"/>
    <col min="19" max="19" width="12.42578125" bestFit="1" customWidth="1"/>
    <col min="20" max="20" width="6.5703125" customWidth="1"/>
    <col min="21" max="21" width="5.5703125" customWidth="1"/>
    <col min="22" max="22" width="4.28515625" customWidth="1"/>
  </cols>
  <sheetData>
    <row r="1" spans="1:26" x14ac:dyDescent="0.25">
      <c r="B1" s="394" t="str">
        <f>'[3]2-Infos'!C9</f>
        <v>Perfectionnement</v>
      </c>
      <c r="C1" s="395"/>
      <c r="D1" s="396"/>
      <c r="E1" s="365" t="s">
        <v>459</v>
      </c>
      <c r="F1" s="1252">
        <f>'[3]2-Infos'!B42</f>
        <v>44547</v>
      </c>
      <c r="G1" s="1252"/>
      <c r="H1" s="1252"/>
      <c r="I1" s="397" t="s">
        <v>460</v>
      </c>
      <c r="J1" s="1252">
        <f>'[3]2-Infos'!B50</f>
        <v>44548</v>
      </c>
      <c r="K1" s="1252"/>
      <c r="L1" s="397"/>
    </row>
    <row r="2" spans="1:26" x14ac:dyDescent="0.25">
      <c r="B2" s="394" t="str">
        <f>'[3]2-Infos'!C13</f>
        <v>Alpinisme</v>
      </c>
      <c r="C2" s="398"/>
      <c r="D2" s="396"/>
      <c r="E2" s="347" t="s">
        <v>72</v>
      </c>
      <c r="F2" s="399"/>
      <c r="G2" s="1254" t="str">
        <f>'[3]2-Infos'!F42</f>
        <v>St Lary Soulan</v>
      </c>
      <c r="H2" s="1254"/>
      <c r="I2" s="1254"/>
      <c r="J2" s="1254"/>
      <c r="K2" s="286"/>
      <c r="L2" s="286"/>
    </row>
    <row r="3" spans="1:26" x14ac:dyDescent="0.25">
      <c r="B3" s="400" t="s">
        <v>424</v>
      </c>
      <c r="C3" s="398"/>
      <c r="D3" s="401">
        <f>'[3]2-Infos'!B34</f>
        <v>1945</v>
      </c>
      <c r="E3" s="350" t="s">
        <v>425</v>
      </c>
      <c r="F3" s="402">
        <f>COUNTA(C7:C18)-COUNTIFS(C7:C18,"")</f>
        <v>6</v>
      </c>
      <c r="G3" s="403"/>
      <c r="H3" s="399" t="s">
        <v>426</v>
      </c>
      <c r="I3" s="404">
        <f>COUNTA(B7:B18)-COUNTIFS(B7:B18,"=0")</f>
        <v>12</v>
      </c>
      <c r="J3" s="405"/>
      <c r="K3" s="286"/>
      <c r="L3" s="286"/>
      <c r="R3" s="351"/>
    </row>
    <row r="4" spans="1:26" s="353" customFormat="1" ht="23.25" customHeight="1" thickBot="1" x14ac:dyDescent="0.3">
      <c r="B4" s="406" t="s">
        <v>461</v>
      </c>
      <c r="C4" s="407"/>
      <c r="E4" s="408"/>
      <c r="F4" s="354"/>
      <c r="G4" s="355"/>
      <c r="H4" s="355"/>
      <c r="I4" s="354"/>
      <c r="J4" s="356"/>
      <c r="R4" s="409"/>
    </row>
    <row r="5" spans="1:26" x14ac:dyDescent="0.25">
      <c r="B5" s="410"/>
      <c r="C5" s="411"/>
      <c r="D5" s="412"/>
      <c r="G5" s="351"/>
      <c r="J5" s="351"/>
      <c r="M5" s="1255" t="s">
        <v>462</v>
      </c>
      <c r="N5" s="1256"/>
      <c r="O5" s="1256"/>
      <c r="P5" s="1256"/>
      <c r="Q5" s="1256"/>
      <c r="R5" s="1256"/>
      <c r="S5" s="1257"/>
      <c r="T5" s="1256" t="s">
        <v>463</v>
      </c>
      <c r="U5" s="1256"/>
      <c r="V5" s="1257"/>
    </row>
    <row r="6" spans="1:26" ht="93" customHeight="1" x14ac:dyDescent="0.25">
      <c r="A6" t="s">
        <v>441</v>
      </c>
      <c r="B6" s="413" t="s">
        <v>422</v>
      </c>
      <c r="C6" s="414" t="s">
        <v>96</v>
      </c>
      <c r="D6" s="439" t="s">
        <v>95</v>
      </c>
      <c r="E6" s="415" t="s">
        <v>405</v>
      </c>
      <c r="F6" s="416" t="s">
        <v>464</v>
      </c>
      <c r="G6" s="415" t="s">
        <v>465</v>
      </c>
      <c r="H6" s="416" t="s">
        <v>466</v>
      </c>
      <c r="I6" s="416" t="s">
        <v>467</v>
      </c>
      <c r="J6" s="416" t="s">
        <v>468</v>
      </c>
      <c r="K6" s="416" t="s">
        <v>469</v>
      </c>
      <c r="L6" s="416" t="s">
        <v>481</v>
      </c>
      <c r="M6" s="417" t="s">
        <v>470</v>
      </c>
      <c r="N6" s="418" t="s">
        <v>471</v>
      </c>
      <c r="O6" s="418" t="s">
        <v>472</v>
      </c>
      <c r="P6" s="419" t="s">
        <v>455</v>
      </c>
      <c r="Q6" s="420" t="s">
        <v>473</v>
      </c>
      <c r="R6" s="420" t="s">
        <v>609</v>
      </c>
      <c r="S6" s="421" t="s">
        <v>474</v>
      </c>
      <c r="T6" s="422" t="s">
        <v>475</v>
      </c>
      <c r="U6" s="421" t="s">
        <v>476</v>
      </c>
      <c r="V6" s="423" t="s">
        <v>477</v>
      </c>
      <c r="W6" t="s">
        <v>418</v>
      </c>
      <c r="X6" t="s">
        <v>418</v>
      </c>
      <c r="Y6" t="s">
        <v>419</v>
      </c>
      <c r="Z6" t="s">
        <v>420</v>
      </c>
    </row>
    <row r="7" spans="1:26" x14ac:dyDescent="0.25">
      <c r="A7">
        <v>1</v>
      </c>
      <c r="B7" s="438" t="str">
        <f>IF(Intranet!B2="","",Intranet!B2)</f>
        <v/>
      </c>
      <c r="C7" s="436" t="str">
        <f>IF(Intranet!C2="","",Intranet!C2)</f>
        <v>Oui</v>
      </c>
      <c r="D7" s="440" t="str">
        <f>IF(Intranet!D2="","",Intranet!D2)</f>
        <v>charles</v>
      </c>
      <c r="E7" s="436" t="str">
        <f>IF(Intranet!E2="","",Intranet!E2)</f>
        <v/>
      </c>
      <c r="F7" s="436" t="str">
        <f>IF(Intranet!F2="","",Intranet!F2)</f>
        <v/>
      </c>
      <c r="G7" s="436" t="str">
        <f>IF(Intranet!G2="","",Intranet!G2)</f>
        <v/>
      </c>
      <c r="H7" s="436" t="str">
        <f>IF(Intranet!H2="","",Intranet!H2)</f>
        <v/>
      </c>
      <c r="I7" s="437" t="str">
        <f>IF(Intranet!I2="","",Intranet!I2)</f>
        <v/>
      </c>
      <c r="J7" s="437" t="str">
        <f>IF(Intranet!J2="","",Intranet!J2)</f>
        <v/>
      </c>
      <c r="K7" s="436" t="str">
        <f>IF(Intranet!K2="","",Intranet!K2)</f>
        <v/>
      </c>
      <c r="L7" s="939"/>
      <c r="M7" s="1098">
        <f t="shared" ref="M7:M9" ca="1" si="0">IF(AND(B7="",C7="")="",0,IF(L7="",D$24,L7))</f>
        <v>650</v>
      </c>
      <c r="N7" s="424">
        <v>180</v>
      </c>
      <c r="O7" s="425">
        <v>0</v>
      </c>
      <c r="P7" s="1099">
        <f ca="1">M7-N7-O7</f>
        <v>0</v>
      </c>
      <c r="Q7" s="424"/>
      <c r="R7" s="424"/>
      <c r="S7" s="1100">
        <f ca="1">P7-(Q7+R7)</f>
        <v>470</v>
      </c>
      <c r="T7" s="426"/>
      <c r="U7" s="427"/>
      <c r="V7" s="428"/>
      <c r="W7">
        <f>Intranet!U2</f>
        <v>0</v>
      </c>
      <c r="X7" t="str">
        <f>IF(Intranet!V2="","",Intranet!V2)</f>
        <v/>
      </c>
      <c r="Y7">
        <f>Intranet!W2</f>
        <v>0</v>
      </c>
      <c r="Z7">
        <f>Intranet!X2</f>
        <v>0</v>
      </c>
    </row>
    <row r="8" spans="1:26" x14ac:dyDescent="0.25">
      <c r="A8">
        <v>2</v>
      </c>
      <c r="B8" s="438" t="str">
        <f>IF(Intranet!B3="","",Intranet!B3)</f>
        <v/>
      </c>
      <c r="C8" s="436" t="str">
        <f>IF(Intranet!C3="","",Intranet!C3)</f>
        <v>Non</v>
      </c>
      <c r="D8" s="440" t="str">
        <f>IF(Intranet!D3="","",Intranet!D3)</f>
        <v>charli</v>
      </c>
      <c r="E8" s="436" t="str">
        <f>IF(Intranet!E3="","",Intranet!E3)</f>
        <v/>
      </c>
      <c r="F8" s="436" t="str">
        <f>IF(Intranet!F3="","",Intranet!F3)</f>
        <v/>
      </c>
      <c r="G8" s="436" t="str">
        <f>IF(Intranet!G3="","",Intranet!G3)</f>
        <v/>
      </c>
      <c r="H8" s="436" t="str">
        <f>IF(Intranet!H3="","",Intranet!H3)</f>
        <v/>
      </c>
      <c r="I8" s="437" t="str">
        <f>IF(Intranet!I3="","",Intranet!I3)</f>
        <v/>
      </c>
      <c r="J8" s="437" t="str">
        <f>IF(Intranet!J3="","",Intranet!J3)</f>
        <v/>
      </c>
      <c r="K8" s="436" t="str">
        <f>IF(Intranet!K3="","",Intranet!K3)</f>
        <v/>
      </c>
      <c r="L8" s="939"/>
      <c r="M8" s="1098">
        <f t="shared" ca="1" si="0"/>
        <v>650</v>
      </c>
      <c r="N8" s="424"/>
      <c r="O8" s="425">
        <v>0</v>
      </c>
      <c r="P8" s="1099">
        <f t="shared" ref="P8:P12" ca="1" si="1">M8-(N8+O8)</f>
        <v>650</v>
      </c>
      <c r="Q8" s="424"/>
      <c r="R8" s="424"/>
      <c r="S8" s="1100">
        <f t="shared" ref="S8:S21" ca="1" si="2">P8-(Q8+R8)</f>
        <v>650</v>
      </c>
      <c r="T8" s="426"/>
      <c r="U8" s="427"/>
      <c r="V8" s="428"/>
      <c r="W8">
        <f>Intranet!U3</f>
        <v>0</v>
      </c>
      <c r="X8" t="str">
        <f>IF(Intranet!V3="","",Intranet!V3)</f>
        <v/>
      </c>
      <c r="Y8">
        <f>Intranet!W3</f>
        <v>0</v>
      </c>
      <c r="Z8">
        <f>Intranet!X3</f>
        <v>0</v>
      </c>
    </row>
    <row r="9" spans="1:26" x14ac:dyDescent="0.25">
      <c r="A9">
        <v>3</v>
      </c>
      <c r="B9" s="438" t="str">
        <f>IF(Intranet!B4="","",Intranet!B4)</f>
        <v/>
      </c>
      <c r="C9" s="436" t="str">
        <f>IF(Intranet!C4="","",Intranet!C4)</f>
        <v>Peut-Etre</v>
      </c>
      <c r="D9" s="440" t="str">
        <f>IF(Intranet!D4="","",Intranet!D4)</f>
        <v>charlo</v>
      </c>
      <c r="E9" s="436" t="str">
        <f>IF(Intranet!E4="","",Intranet!E4)</f>
        <v/>
      </c>
      <c r="F9" s="436" t="str">
        <f>IF(Intranet!F4="","",Intranet!F4)</f>
        <v/>
      </c>
      <c r="G9" s="436" t="str">
        <f>IF(Intranet!G4="","",Intranet!G4)</f>
        <v/>
      </c>
      <c r="H9" s="436" t="str">
        <f>IF(Intranet!H4="","",Intranet!H4)</f>
        <v/>
      </c>
      <c r="I9" s="437" t="str">
        <f>IF(Intranet!I4="","",Intranet!I4)</f>
        <v/>
      </c>
      <c r="J9" s="437" t="str">
        <f>IF(Intranet!J4="","",Intranet!J4)</f>
        <v/>
      </c>
      <c r="K9" s="436" t="str">
        <f>IF(Intranet!K4="","",Intranet!K4)</f>
        <v/>
      </c>
      <c r="L9" s="939"/>
      <c r="M9" s="1098">
        <f t="shared" ca="1" si="0"/>
        <v>650</v>
      </c>
      <c r="N9" s="424">
        <v>0</v>
      </c>
      <c r="O9" s="425">
        <v>0</v>
      </c>
      <c r="P9" s="1099">
        <f t="shared" ca="1" si="1"/>
        <v>650</v>
      </c>
      <c r="Q9" s="424"/>
      <c r="R9" s="424"/>
      <c r="S9" s="1100">
        <f t="shared" ca="1" si="2"/>
        <v>650</v>
      </c>
      <c r="T9" s="426"/>
      <c r="U9" s="427"/>
      <c r="V9" s="428"/>
      <c r="W9">
        <f>Intranet!U4</f>
        <v>0</v>
      </c>
      <c r="X9" t="str">
        <f>IF(Intranet!V4="","",Intranet!V4)</f>
        <v/>
      </c>
      <c r="Y9">
        <f>Intranet!W4</f>
        <v>0</v>
      </c>
      <c r="Z9">
        <f>Intranet!X4</f>
        <v>0</v>
      </c>
    </row>
    <row r="10" spans="1:26" x14ac:dyDescent="0.25">
      <c r="A10">
        <v>4</v>
      </c>
      <c r="B10" s="438" t="str">
        <f>IF(Intranet!B5="","",Intranet!B5)</f>
        <v/>
      </c>
      <c r="C10" s="436" t="str">
        <f>IF(Intranet!C5="","",Intranet!C5)</f>
        <v>Surement</v>
      </c>
      <c r="D10" s="440" t="str">
        <f>IF(Intranet!D5="","",Intranet!D5)</f>
        <v>charly</v>
      </c>
      <c r="E10" s="436" t="str">
        <f>IF(Intranet!E5="","",Intranet!E5)</f>
        <v/>
      </c>
      <c r="F10" s="436" t="str">
        <f>IF(Intranet!F5="","",Intranet!F5)</f>
        <v/>
      </c>
      <c r="G10" s="436" t="str">
        <f>IF(Intranet!G5="","",Intranet!G5)</f>
        <v/>
      </c>
      <c r="H10" s="436" t="str">
        <f>IF(Intranet!H5="","",Intranet!H5)</f>
        <v/>
      </c>
      <c r="I10" s="437" t="str">
        <f>IF(Intranet!I5="","",Intranet!I5)</f>
        <v/>
      </c>
      <c r="J10" s="437" t="str">
        <f>IF(Intranet!J5="","",Intranet!J5)</f>
        <v/>
      </c>
      <c r="K10" s="436" t="str">
        <f>IF(Intranet!K5="","",Intranet!K5)</f>
        <v/>
      </c>
      <c r="L10" s="939">
        <v>280</v>
      </c>
      <c r="M10" s="1098">
        <f>IF(AND(B10="",C10="")="",0,IF(L10="",D$24,L10))</f>
        <v>280</v>
      </c>
      <c r="N10" s="424"/>
      <c r="O10" s="425">
        <v>0</v>
      </c>
      <c r="P10" s="1099">
        <f t="shared" si="1"/>
        <v>280</v>
      </c>
      <c r="Q10" s="424"/>
      <c r="R10" s="424"/>
      <c r="S10" s="1100">
        <f t="shared" si="2"/>
        <v>280</v>
      </c>
      <c r="T10" s="426"/>
      <c r="U10" s="427"/>
      <c r="V10" s="428"/>
      <c r="W10">
        <f>Intranet!U5</f>
        <v>0</v>
      </c>
      <c r="X10" t="str">
        <f>IF(Intranet!V5="","",Intranet!V5)</f>
        <v/>
      </c>
      <c r="Y10">
        <f>Intranet!W5</f>
        <v>0</v>
      </c>
      <c r="Z10">
        <f>Intranet!X5</f>
        <v>0</v>
      </c>
    </row>
    <row r="11" spans="1:26" x14ac:dyDescent="0.25">
      <c r="A11">
        <v>5</v>
      </c>
      <c r="B11" s="438" t="str">
        <f>IF(Intranet!B6="","",Intranet!B6)</f>
        <v/>
      </c>
      <c r="C11" s="436" t="str">
        <f>IF(Intranet!C6="","",Intranet!C6)</f>
        <v>Pourquoi pas</v>
      </c>
      <c r="D11" s="440" t="str">
        <f>IF(Intranet!D6="","",Intranet!D6)</f>
        <v>charlu</v>
      </c>
      <c r="E11" s="436" t="str">
        <f>IF(Intranet!E6="","",Intranet!E6)</f>
        <v/>
      </c>
      <c r="F11" s="436" t="str">
        <f>IF(Intranet!F6="","",Intranet!F6)</f>
        <v/>
      </c>
      <c r="G11" s="436" t="str">
        <f>IF(Intranet!G6="","",Intranet!G6)</f>
        <v/>
      </c>
      <c r="H11" s="436" t="str">
        <f>IF(Intranet!H6="","",Intranet!H6)</f>
        <v/>
      </c>
      <c r="I11" s="437" t="str">
        <f>IF(Intranet!I6="","",Intranet!I6)</f>
        <v/>
      </c>
      <c r="J11" s="437" t="str">
        <f>IF(Intranet!J6="","",Intranet!J6)</f>
        <v/>
      </c>
      <c r="K11" s="436" t="str">
        <f>IF(Intranet!K6="","",Intranet!K6)</f>
        <v/>
      </c>
      <c r="L11" s="939"/>
      <c r="M11" s="1098">
        <f t="shared" ref="M11:M12" ca="1" si="3">IF(AND(B11="",C11="")="",0,IF(L11="",D$24,L11))</f>
        <v>650</v>
      </c>
      <c r="N11" s="424">
        <v>0</v>
      </c>
      <c r="O11" s="425">
        <v>0</v>
      </c>
      <c r="P11" s="1099">
        <f t="shared" ca="1" si="1"/>
        <v>650</v>
      </c>
      <c r="Q11" s="424"/>
      <c r="R11" s="424"/>
      <c r="S11" s="1100">
        <f t="shared" ca="1" si="2"/>
        <v>650</v>
      </c>
      <c r="T11" s="426"/>
      <c r="U11" s="427"/>
      <c r="V11" s="428"/>
      <c r="W11">
        <f>Intranet!U6</f>
        <v>0</v>
      </c>
      <c r="X11" t="str">
        <f>IF(Intranet!V6="","",Intranet!V6)</f>
        <v/>
      </c>
      <c r="Y11">
        <f>Intranet!W6</f>
        <v>0</v>
      </c>
      <c r="Z11">
        <f>Intranet!X6</f>
        <v>0</v>
      </c>
    </row>
    <row r="12" spans="1:26" x14ac:dyDescent="0.25">
      <c r="A12">
        <v>6</v>
      </c>
      <c r="B12" s="438" t="str">
        <f>IF(Intranet!B7="","",Intranet!B7)</f>
        <v/>
      </c>
      <c r="C12" s="436" t="str">
        <f>IF(Intranet!C7="","",Intranet!C7)</f>
        <v>oj</v>
      </c>
      <c r="D12" s="440" t="str">
        <f>IF(Intranet!D7="","",Intranet!D7)</f>
        <v>charla</v>
      </c>
      <c r="E12" s="436" t="str">
        <f>IF(Intranet!E7="","",Intranet!E7)</f>
        <v/>
      </c>
      <c r="F12" s="436" t="str">
        <f>IF(Intranet!F7="","",Intranet!F7)</f>
        <v/>
      </c>
      <c r="G12" s="436" t="str">
        <f>IF(Intranet!G7="","",Intranet!G7)</f>
        <v/>
      </c>
      <c r="H12" s="436" t="str">
        <f>IF(Intranet!H7="","",Intranet!H7)</f>
        <v/>
      </c>
      <c r="I12" s="437" t="str">
        <f>IF(Intranet!I7="","",Intranet!I7)</f>
        <v/>
      </c>
      <c r="J12" s="437" t="str">
        <f>IF(Intranet!J7="","",Intranet!J7)</f>
        <v/>
      </c>
      <c r="K12" s="436" t="str">
        <f>IF(Intranet!K7="","",Intranet!K7)</f>
        <v/>
      </c>
      <c r="L12" s="939"/>
      <c r="M12" s="1098">
        <f t="shared" ca="1" si="3"/>
        <v>650</v>
      </c>
      <c r="N12" s="424"/>
      <c r="O12" s="425">
        <v>0</v>
      </c>
      <c r="P12" s="1099">
        <f t="shared" ca="1" si="1"/>
        <v>650</v>
      </c>
      <c r="Q12" s="424"/>
      <c r="R12" s="424"/>
      <c r="S12" s="1100">
        <f t="shared" ca="1" si="2"/>
        <v>650</v>
      </c>
      <c r="T12" s="426"/>
      <c r="U12" s="427"/>
      <c r="V12" s="428"/>
      <c r="W12">
        <f>Intranet!U7</f>
        <v>0</v>
      </c>
      <c r="X12" t="str">
        <f>IF(Intranet!V7="","",Intranet!V7)</f>
        <v/>
      </c>
      <c r="Y12">
        <f>Intranet!W7</f>
        <v>0</v>
      </c>
      <c r="Z12">
        <f>Intranet!X7</f>
        <v>0</v>
      </c>
    </row>
    <row r="13" spans="1:26" x14ac:dyDescent="0.25">
      <c r="A13">
        <v>7</v>
      </c>
      <c r="B13" s="438" t="str">
        <f>IF(Intranet!B8="","",Intranet!B8)</f>
        <v/>
      </c>
      <c r="C13" s="436" t="str">
        <f>IF(Intranet!C8="","",Intranet!C8)</f>
        <v/>
      </c>
      <c r="D13" s="440" t="str">
        <f>IF(Intranet!D8="","",Intranet!D8)</f>
        <v/>
      </c>
      <c r="E13" s="436" t="str">
        <f>IF(Intranet!E8="","",Intranet!E8)</f>
        <v/>
      </c>
      <c r="F13" s="436" t="str">
        <f>IF(Intranet!F8="","",Intranet!F8)</f>
        <v/>
      </c>
      <c r="G13" s="436" t="str">
        <f>IF(Intranet!G8="","",Intranet!G8)</f>
        <v/>
      </c>
      <c r="H13" s="436" t="str">
        <f>IF(Intranet!H8="","",Intranet!H8)</f>
        <v/>
      </c>
      <c r="I13" s="437" t="str">
        <f>IF(Intranet!I8="","",Intranet!I8)</f>
        <v/>
      </c>
      <c r="J13" s="437" t="str">
        <f>IF(Intranet!J8="","",Intranet!J8)</f>
        <v/>
      </c>
      <c r="K13" s="436" t="str">
        <f>IF(Intranet!K8="","",Intranet!K8)</f>
        <v/>
      </c>
      <c r="L13" s="939"/>
      <c r="M13" s="1098">
        <f t="shared" ref="M13:M17" si="4">IF(AND(B13="",C13=""),0,IF(B13&gt;0,D$24,D$25))</f>
        <v>0</v>
      </c>
      <c r="N13" s="424"/>
      <c r="O13" s="425">
        <v>0</v>
      </c>
      <c r="P13" s="1099">
        <f t="shared" ref="P13:P21" si="5">M13-N13</f>
        <v>0</v>
      </c>
      <c r="Q13" s="424"/>
      <c r="R13" s="424"/>
      <c r="S13" s="1100">
        <f t="shared" si="2"/>
        <v>0</v>
      </c>
      <c r="T13" s="426"/>
      <c r="U13" s="427"/>
      <c r="V13" s="428"/>
      <c r="W13">
        <f>Intranet!U8</f>
        <v>0</v>
      </c>
      <c r="X13" t="str">
        <f>IF(Intranet!V8="","",Intranet!V8)</f>
        <v/>
      </c>
      <c r="Y13">
        <f>Intranet!W8</f>
        <v>0</v>
      </c>
      <c r="Z13">
        <f>Intranet!X8</f>
        <v>0</v>
      </c>
    </row>
    <row r="14" spans="1:26" x14ac:dyDescent="0.25">
      <c r="A14">
        <v>8</v>
      </c>
      <c r="B14" s="438" t="str">
        <f>IF(Intranet!B9="","",Intranet!B9)</f>
        <v/>
      </c>
      <c r="C14" s="436" t="str">
        <f>IF(Intranet!C9="","",Intranet!C9)</f>
        <v/>
      </c>
      <c r="D14" s="440" t="str">
        <f>IF(Intranet!D9="","",Intranet!D9)</f>
        <v/>
      </c>
      <c r="E14" s="436" t="str">
        <f>IF(Intranet!E9="","",Intranet!E9)</f>
        <v/>
      </c>
      <c r="F14" s="436" t="str">
        <f>IF(Intranet!F9="","",Intranet!F9)</f>
        <v/>
      </c>
      <c r="G14" s="436" t="str">
        <f>IF(Intranet!G9="","",Intranet!G9)</f>
        <v/>
      </c>
      <c r="H14" s="436" t="str">
        <f>IF(Intranet!H9="","",Intranet!H9)</f>
        <v/>
      </c>
      <c r="I14" s="437" t="str">
        <f>IF(Intranet!I9="","",Intranet!I9)</f>
        <v/>
      </c>
      <c r="J14" s="437" t="str">
        <f>IF(Intranet!J9="","",Intranet!J9)</f>
        <v/>
      </c>
      <c r="K14" s="436" t="str">
        <f>IF(Intranet!K9="","",Intranet!K9)</f>
        <v/>
      </c>
      <c r="L14" s="939"/>
      <c r="M14" s="1098">
        <f t="shared" si="4"/>
        <v>0</v>
      </c>
      <c r="N14" s="424"/>
      <c r="O14" s="425">
        <v>0</v>
      </c>
      <c r="P14" s="1099">
        <f t="shared" si="5"/>
        <v>0</v>
      </c>
      <c r="Q14" s="424"/>
      <c r="R14" s="424"/>
      <c r="S14" s="1100">
        <f t="shared" si="2"/>
        <v>0</v>
      </c>
      <c r="T14" s="426"/>
      <c r="U14" s="427"/>
      <c r="V14" s="428"/>
      <c r="W14">
        <f>Intranet!U9</f>
        <v>0</v>
      </c>
      <c r="X14" t="str">
        <f>IF(Intranet!V9="","",Intranet!V9)</f>
        <v/>
      </c>
      <c r="Y14">
        <f>Intranet!W9</f>
        <v>0</v>
      </c>
      <c r="Z14">
        <f>Intranet!X9</f>
        <v>0</v>
      </c>
    </row>
    <row r="15" spans="1:26" x14ac:dyDescent="0.25">
      <c r="A15">
        <v>9</v>
      </c>
      <c r="B15" s="438" t="str">
        <f>IF(Intranet!B10="","",Intranet!B10)</f>
        <v/>
      </c>
      <c r="C15" s="436" t="str">
        <f>IF(Intranet!C10="","",Intranet!C10)</f>
        <v/>
      </c>
      <c r="D15" s="440" t="str">
        <f>IF(Intranet!D10="","",Intranet!D10)</f>
        <v/>
      </c>
      <c r="E15" s="436" t="str">
        <f>IF(Intranet!E10="","",Intranet!E10)</f>
        <v/>
      </c>
      <c r="F15" s="436" t="str">
        <f>IF(Intranet!F10="","",Intranet!F10)</f>
        <v/>
      </c>
      <c r="G15" s="436" t="str">
        <f>IF(Intranet!G10="","",Intranet!G10)</f>
        <v/>
      </c>
      <c r="H15" s="436" t="str">
        <f>IF(Intranet!H10="","",Intranet!H10)</f>
        <v/>
      </c>
      <c r="I15" s="437" t="str">
        <f>IF(Intranet!I10="","",Intranet!I10)</f>
        <v/>
      </c>
      <c r="J15" s="437" t="str">
        <f>IF(Intranet!J10="","",Intranet!J10)</f>
        <v/>
      </c>
      <c r="K15" s="436" t="str">
        <f>IF(Intranet!K10="","",Intranet!K10)</f>
        <v/>
      </c>
      <c r="L15" s="939"/>
      <c r="M15" s="1098">
        <f t="shared" si="4"/>
        <v>0</v>
      </c>
      <c r="N15" s="424"/>
      <c r="O15" s="425">
        <v>0</v>
      </c>
      <c r="P15" s="1099">
        <f t="shared" si="5"/>
        <v>0</v>
      </c>
      <c r="Q15" s="424"/>
      <c r="R15" s="424"/>
      <c r="S15" s="1100">
        <f t="shared" si="2"/>
        <v>0</v>
      </c>
      <c r="T15" s="426"/>
      <c r="U15" s="427"/>
      <c r="V15" s="428"/>
      <c r="W15">
        <f>Intranet!U10</f>
        <v>0</v>
      </c>
      <c r="X15" t="str">
        <f>IF(Intranet!V10="","",Intranet!V10)</f>
        <v/>
      </c>
      <c r="Y15">
        <f>Intranet!W10</f>
        <v>0</v>
      </c>
      <c r="Z15">
        <f>Intranet!X10</f>
        <v>0</v>
      </c>
    </row>
    <row r="16" spans="1:26" x14ac:dyDescent="0.25">
      <c r="A16">
        <v>10</v>
      </c>
      <c r="B16" s="438" t="str">
        <f>IF(Intranet!B11="","",Intranet!B11)</f>
        <v/>
      </c>
      <c r="C16" s="436" t="str">
        <f>IF(Intranet!C11="","",Intranet!C11)</f>
        <v/>
      </c>
      <c r="D16" s="440" t="str">
        <f>IF(Intranet!D11="","",Intranet!D11)</f>
        <v/>
      </c>
      <c r="E16" s="436" t="str">
        <f>IF(Intranet!E11="","",Intranet!E11)</f>
        <v/>
      </c>
      <c r="F16" s="436" t="str">
        <f>IF(Intranet!F11="","",Intranet!F11)</f>
        <v/>
      </c>
      <c r="G16" s="436" t="str">
        <f>IF(Intranet!G11="","",Intranet!G11)</f>
        <v/>
      </c>
      <c r="H16" s="436" t="str">
        <f>IF(Intranet!H11="","",Intranet!H11)</f>
        <v/>
      </c>
      <c r="I16" s="437" t="str">
        <f>IF(Intranet!I11="","",Intranet!I11)</f>
        <v/>
      </c>
      <c r="J16" s="437" t="str">
        <f>IF(Intranet!J11="","",Intranet!J11)</f>
        <v/>
      </c>
      <c r="K16" s="436" t="str">
        <f>IF(Intranet!K11="","",Intranet!K11)</f>
        <v/>
      </c>
      <c r="L16" s="939"/>
      <c r="M16" s="1098">
        <f t="shared" si="4"/>
        <v>0</v>
      </c>
      <c r="N16" s="424"/>
      <c r="O16" s="425">
        <v>0</v>
      </c>
      <c r="P16" s="1099">
        <f t="shared" si="5"/>
        <v>0</v>
      </c>
      <c r="Q16" s="424"/>
      <c r="R16" s="424"/>
      <c r="S16" s="1100">
        <f t="shared" si="2"/>
        <v>0</v>
      </c>
      <c r="T16" s="426"/>
      <c r="U16" s="427"/>
      <c r="V16" s="428"/>
      <c r="W16">
        <f>Intranet!U11</f>
        <v>0</v>
      </c>
      <c r="X16" t="str">
        <f>IF(Intranet!V11="","",Intranet!V11)</f>
        <v/>
      </c>
      <c r="Y16">
        <f>Intranet!W11</f>
        <v>0</v>
      </c>
      <c r="Z16">
        <f>Intranet!X11</f>
        <v>0</v>
      </c>
    </row>
    <row r="17" spans="1:26" x14ac:dyDescent="0.25">
      <c r="A17">
        <v>11</v>
      </c>
      <c r="B17" s="438" t="str">
        <f>IF(Intranet!B12="","",Intranet!B12)</f>
        <v/>
      </c>
      <c r="C17" s="436" t="str">
        <f>IF(Intranet!C12="","",Intranet!C12)</f>
        <v/>
      </c>
      <c r="D17" s="440" t="str">
        <f>IF(Intranet!D12="","",Intranet!D12)</f>
        <v/>
      </c>
      <c r="E17" s="436" t="str">
        <f>IF(Intranet!E12="","",Intranet!E12)</f>
        <v/>
      </c>
      <c r="F17" s="436" t="str">
        <f>IF(Intranet!F12="","",Intranet!F12)</f>
        <v/>
      </c>
      <c r="G17" s="436" t="str">
        <f>IF(Intranet!G12="","",Intranet!G12)</f>
        <v/>
      </c>
      <c r="H17" s="436" t="str">
        <f>IF(Intranet!H12="","",Intranet!H12)</f>
        <v/>
      </c>
      <c r="I17" s="437" t="str">
        <f>IF(Intranet!I12="","",Intranet!I12)</f>
        <v/>
      </c>
      <c r="J17" s="437" t="str">
        <f>IF(Intranet!J12="","",Intranet!J12)</f>
        <v/>
      </c>
      <c r="K17" s="436" t="str">
        <f>IF(Intranet!K12="","",Intranet!K12)</f>
        <v/>
      </c>
      <c r="L17" s="939"/>
      <c r="M17" s="1098">
        <f t="shared" si="4"/>
        <v>0</v>
      </c>
      <c r="N17" s="424">
        <v>0</v>
      </c>
      <c r="O17" s="425">
        <v>0</v>
      </c>
      <c r="P17" s="1099">
        <f t="shared" si="5"/>
        <v>0</v>
      </c>
      <c r="Q17" s="424"/>
      <c r="R17" s="424"/>
      <c r="S17" s="1100">
        <f t="shared" si="2"/>
        <v>0</v>
      </c>
      <c r="T17" s="426"/>
      <c r="U17" s="427"/>
      <c r="V17" s="428"/>
      <c r="W17">
        <f>Intranet!U12</f>
        <v>0</v>
      </c>
      <c r="X17" t="str">
        <f>IF(Intranet!V12="","",Intranet!V12)</f>
        <v/>
      </c>
      <c r="Y17">
        <f>Intranet!W12</f>
        <v>0</v>
      </c>
      <c r="Z17">
        <f>Intranet!X12</f>
        <v>0</v>
      </c>
    </row>
    <row r="18" spans="1:26" x14ac:dyDescent="0.25">
      <c r="A18">
        <v>12</v>
      </c>
      <c r="B18" s="436" t="str">
        <f>IF(Intranet!B13="","",Intranet!B13)</f>
        <v/>
      </c>
      <c r="C18" s="436" t="str">
        <f>IF(Intranet!C13="","",Intranet!C13)</f>
        <v/>
      </c>
      <c r="D18" s="436" t="str">
        <f>IF(Intranet!D13="","",Intranet!D13)</f>
        <v/>
      </c>
      <c r="E18" s="436" t="str">
        <f>IF(Intranet!E13="","",Intranet!E13)</f>
        <v/>
      </c>
      <c r="F18" s="436" t="str">
        <f>IF(Intranet!F13="","",Intranet!F13)</f>
        <v/>
      </c>
      <c r="G18" s="436" t="str">
        <f>IF(Intranet!G13="","",Intranet!G13)</f>
        <v/>
      </c>
      <c r="H18" s="436" t="str">
        <f>IF(Intranet!H13="","",Intranet!H13)</f>
        <v/>
      </c>
      <c r="I18" s="437" t="str">
        <f>IF(Intranet!I13="","",Intranet!I13)</f>
        <v/>
      </c>
      <c r="J18" s="437" t="str">
        <f>IF(Intranet!J13="","",Intranet!J13)</f>
        <v/>
      </c>
      <c r="K18" s="436" t="str">
        <f>IF(Intranet!K13="","",Intranet!K13)</f>
        <v/>
      </c>
      <c r="L18" s="939"/>
      <c r="M18" s="1098">
        <f>IF(AND(B18="",C18=""),0,IF(B18&gt;0,D$24,D$25))</f>
        <v>0</v>
      </c>
      <c r="N18" s="424">
        <v>0</v>
      </c>
      <c r="O18" s="425">
        <v>0</v>
      </c>
      <c r="P18" s="1099">
        <f t="shared" si="5"/>
        <v>0</v>
      </c>
      <c r="Q18" s="424"/>
      <c r="R18" s="424"/>
      <c r="S18" s="1100">
        <f t="shared" si="2"/>
        <v>0</v>
      </c>
      <c r="T18" s="426"/>
      <c r="U18" s="427"/>
      <c r="V18" s="428"/>
      <c r="W18">
        <f>Intranet!U13</f>
        <v>0</v>
      </c>
      <c r="X18" t="str">
        <f>IF(Intranet!V13="","",Intranet!V13)</f>
        <v/>
      </c>
      <c r="Y18">
        <f>Intranet!W13</f>
        <v>0</v>
      </c>
      <c r="Z18">
        <f>Intranet!X13</f>
        <v>0</v>
      </c>
    </row>
    <row r="19" spans="1:26" x14ac:dyDescent="0.25">
      <c r="A19">
        <v>13</v>
      </c>
      <c r="B19" s="436" t="str">
        <f>IF(Intranet!B14="","",Intranet!B14)</f>
        <v/>
      </c>
      <c r="C19" s="436" t="str">
        <f>IF(Intranet!C14="","",Intranet!C14)</f>
        <v/>
      </c>
      <c r="D19" s="436" t="str">
        <f>IF(Intranet!D14="","",Intranet!D14)</f>
        <v/>
      </c>
      <c r="E19" s="436" t="str">
        <f>IF(Intranet!E14="","",Intranet!E14)</f>
        <v/>
      </c>
      <c r="F19" s="436" t="str">
        <f>IF(Intranet!F14="","",Intranet!F14)</f>
        <v/>
      </c>
      <c r="G19" s="436" t="str">
        <f>IF(Intranet!G14="","",Intranet!G14)</f>
        <v/>
      </c>
      <c r="H19" s="436" t="str">
        <f>IF(Intranet!H14="","",Intranet!H14)</f>
        <v/>
      </c>
      <c r="I19" s="437" t="str">
        <f>IF(Intranet!I14="","",Intranet!I14)</f>
        <v/>
      </c>
      <c r="J19" s="437" t="str">
        <f>IF(Intranet!J14="","",Intranet!J14)</f>
        <v/>
      </c>
      <c r="K19" s="436" t="str">
        <f>IF(Intranet!K14="","",Intranet!K14)</f>
        <v/>
      </c>
      <c r="L19" s="939"/>
      <c r="M19" s="1098">
        <f t="shared" ref="M19:M21" si="6">IF(AND(B19="",C19=""),0,IF(B19&gt;0,D$24,D$25))</f>
        <v>0</v>
      </c>
      <c r="N19" s="424">
        <v>0</v>
      </c>
      <c r="O19" s="425">
        <v>0</v>
      </c>
      <c r="P19" s="1099">
        <f t="shared" si="5"/>
        <v>0</v>
      </c>
      <c r="Q19" s="424"/>
      <c r="R19" s="424"/>
      <c r="S19" s="1100">
        <f t="shared" si="2"/>
        <v>0</v>
      </c>
      <c r="T19" s="426"/>
      <c r="U19" s="427"/>
      <c r="V19" s="428"/>
      <c r="W19">
        <f>Intranet!U14</f>
        <v>0</v>
      </c>
      <c r="X19" t="str">
        <f>IF(Intranet!V14="","",Intranet!V14)</f>
        <v/>
      </c>
      <c r="Y19">
        <f>Intranet!W14</f>
        <v>0</v>
      </c>
      <c r="Z19">
        <f>Intranet!X14</f>
        <v>0</v>
      </c>
    </row>
    <row r="20" spans="1:26" x14ac:dyDescent="0.25">
      <c r="A20">
        <v>14</v>
      </c>
      <c r="B20" s="436" t="str">
        <f>IF(Intranet!B15="","",Intranet!B15)</f>
        <v/>
      </c>
      <c r="C20" s="436" t="str">
        <f>IF(Intranet!C15="","",Intranet!C15)</f>
        <v/>
      </c>
      <c r="D20" s="436" t="str">
        <f>IF(Intranet!D15="","",Intranet!D15)</f>
        <v/>
      </c>
      <c r="E20" s="436" t="str">
        <f>IF(Intranet!E15="","",Intranet!E15)</f>
        <v/>
      </c>
      <c r="F20" s="436" t="str">
        <f>IF(Intranet!F15="","",Intranet!F15)</f>
        <v/>
      </c>
      <c r="G20" s="436" t="str">
        <f>IF(Intranet!G15="","",Intranet!G15)</f>
        <v/>
      </c>
      <c r="H20" s="436" t="str">
        <f>IF(Intranet!H15="","",Intranet!H15)</f>
        <v/>
      </c>
      <c r="I20" s="437" t="str">
        <f>IF(Intranet!I15="","",Intranet!I15)</f>
        <v/>
      </c>
      <c r="J20" s="437" t="str">
        <f>IF(Intranet!J15="","",Intranet!J15)</f>
        <v/>
      </c>
      <c r="K20" s="436" t="str">
        <f>IF(Intranet!K15="","",Intranet!K15)</f>
        <v/>
      </c>
      <c r="L20" s="939"/>
      <c r="M20" s="1098">
        <f t="shared" si="6"/>
        <v>0</v>
      </c>
      <c r="N20" s="424">
        <v>0</v>
      </c>
      <c r="O20" s="425">
        <v>0</v>
      </c>
      <c r="P20" s="1099">
        <f t="shared" si="5"/>
        <v>0</v>
      </c>
      <c r="Q20" s="424"/>
      <c r="R20" s="424"/>
      <c r="S20" s="1100">
        <f t="shared" si="2"/>
        <v>0</v>
      </c>
      <c r="T20" s="426"/>
      <c r="U20" s="427"/>
      <c r="V20" s="428"/>
      <c r="W20">
        <f>Intranet!U15</f>
        <v>0</v>
      </c>
      <c r="X20" t="str">
        <f>IF(Intranet!V15="","",Intranet!V15)</f>
        <v/>
      </c>
      <c r="Y20">
        <f>Intranet!W15</f>
        <v>0</v>
      </c>
      <c r="Z20">
        <f>Intranet!X15</f>
        <v>0</v>
      </c>
    </row>
    <row r="21" spans="1:26" x14ac:dyDescent="0.25">
      <c r="A21">
        <v>15</v>
      </c>
      <c r="B21" s="436" t="str">
        <f>IF(Intranet!B16="","",Intranet!B16)</f>
        <v/>
      </c>
      <c r="C21" s="436" t="str">
        <f>IF(Intranet!C16="","",Intranet!C16)</f>
        <v/>
      </c>
      <c r="D21" s="436" t="str">
        <f>IF(Intranet!D16="","",Intranet!D16)</f>
        <v/>
      </c>
      <c r="E21" s="436" t="str">
        <f>IF(Intranet!E16="","",Intranet!E16)</f>
        <v/>
      </c>
      <c r="F21" s="436" t="str">
        <f>IF(Intranet!F16="","",Intranet!F16)</f>
        <v/>
      </c>
      <c r="G21" s="436" t="str">
        <f>IF(Intranet!G16="","",Intranet!G16)</f>
        <v/>
      </c>
      <c r="H21" s="436" t="str">
        <f>IF(Intranet!H16="","",Intranet!H16)</f>
        <v/>
      </c>
      <c r="I21" s="437" t="str">
        <f>IF(Intranet!I16="","",Intranet!I16)</f>
        <v/>
      </c>
      <c r="J21" s="437" t="str">
        <f>IF(Intranet!J16="","",Intranet!J16)</f>
        <v/>
      </c>
      <c r="K21" s="436" t="str">
        <f>IF(Intranet!K16="","",Intranet!K16)</f>
        <v/>
      </c>
      <c r="L21" s="939"/>
      <c r="M21" s="1098">
        <f t="shared" si="6"/>
        <v>0</v>
      </c>
      <c r="N21" s="424">
        <v>0</v>
      </c>
      <c r="O21" s="425">
        <v>0</v>
      </c>
      <c r="P21" s="1099">
        <f t="shared" si="5"/>
        <v>0</v>
      </c>
      <c r="Q21" s="424"/>
      <c r="R21" s="424"/>
      <c r="S21" s="1100">
        <f t="shared" si="2"/>
        <v>0</v>
      </c>
      <c r="T21" s="426"/>
      <c r="U21" s="427"/>
      <c r="V21" s="428"/>
      <c r="W21">
        <f>Intranet!U16</f>
        <v>0</v>
      </c>
      <c r="X21" t="str">
        <f>IF(Intranet!V16="","",Intranet!V16)</f>
        <v/>
      </c>
      <c r="Y21">
        <f>Intranet!W16</f>
        <v>0</v>
      </c>
      <c r="Z21">
        <f>Intranet!X16</f>
        <v>0</v>
      </c>
    </row>
    <row r="22" spans="1:26" ht="15.75" thickBot="1" x14ac:dyDescent="0.3">
      <c r="G22" s="351"/>
      <c r="I22" s="343"/>
      <c r="J22" s="351"/>
      <c r="M22" s="429">
        <f ca="1">SUM(M7:M21)</f>
        <v>3530</v>
      </c>
      <c r="N22" s="429">
        <f>SUM(N7:N21)</f>
        <v>180</v>
      </c>
      <c r="O22" s="429">
        <f>SUM(O7:O21)</f>
        <v>0</v>
      </c>
      <c r="P22" s="429">
        <f ca="1">SUM(P7:P21)</f>
        <v>3530</v>
      </c>
      <c r="Q22" s="429">
        <f t="shared" ref="Q22:S22" si="7">SUM(Q7:Q21)</f>
        <v>0</v>
      </c>
      <c r="R22" s="429">
        <f t="shared" si="7"/>
        <v>0</v>
      </c>
      <c r="S22" s="429">
        <f t="shared" ca="1" si="7"/>
        <v>3530</v>
      </c>
      <c r="T22" s="430"/>
      <c r="U22" s="430"/>
      <c r="V22" s="431"/>
      <c r="W22">
        <f>Intranet!U17</f>
        <v>0</v>
      </c>
      <c r="X22" t="str">
        <f>IF(Intranet!V17="","",Intranet!V17)</f>
        <v/>
      </c>
      <c r="Y22">
        <f>Intranet!W17</f>
        <v>0</v>
      </c>
      <c r="Z22">
        <f>Intranet!X17</f>
        <v>0</v>
      </c>
    </row>
    <row r="23" spans="1:26" x14ac:dyDescent="0.25">
      <c r="D23" s="432" t="s">
        <v>478</v>
      </c>
      <c r="G23" s="351"/>
      <c r="J23" s="351"/>
      <c r="R23" s="351"/>
    </row>
    <row r="24" spans="1:26" x14ac:dyDescent="0.25">
      <c r="B24" s="433" t="s">
        <v>479</v>
      </c>
      <c r="C24" s="434"/>
      <c r="D24" s="435">
        <f ca="1">'Budget Prévi'!I46</f>
        <v>650</v>
      </c>
      <c r="G24" s="351"/>
      <c r="J24" s="351"/>
      <c r="R24" s="351"/>
    </row>
    <row r="25" spans="1:26" x14ac:dyDescent="0.25">
      <c r="B25" s="433" t="s">
        <v>480</v>
      </c>
      <c r="C25" s="434"/>
      <c r="D25" s="435">
        <f ca="1">'Base Previ'!D207</f>
        <v>550</v>
      </c>
      <c r="G25" s="351"/>
      <c r="J25" s="351"/>
      <c r="R25" s="351"/>
    </row>
    <row r="26" spans="1:26" x14ac:dyDescent="0.25">
      <c r="G26" s="351"/>
      <c r="J26" s="351"/>
      <c r="R26" s="351"/>
    </row>
  </sheetData>
  <mergeCells count="5">
    <mergeCell ref="F1:H1"/>
    <mergeCell ref="J1:K1"/>
    <mergeCell ref="G2:J2"/>
    <mergeCell ref="M5:S5"/>
    <mergeCell ref="T5:V5"/>
  </mergeCells>
  <hyperlinks>
    <hyperlink ref="D6" location="'Att NOM Prénom'!A1" display="Prénom"/>
    <hyperlink ref="D7" location="'Att CHAPELLE Eric'!A1" display="Eric"/>
    <hyperlink ref="D8" location="'Att GARRIDO Laurent'!A1" display="Laurent"/>
    <hyperlink ref="D9" location="'Att GERMAIN Guillaume'!A1" display="Guillaume"/>
    <hyperlink ref="D10" location="'Att ROUGET Clemence'!A1" display="Clemence"/>
    <hyperlink ref="D11" location="'Att SARDA Damien'!A1" display="Damien"/>
    <hyperlink ref="D12" location="'Att TRUNET Gregoire'!A1" display="Gregoire"/>
    <hyperlink ref="D13" location="'Att MARGUIN Gaelle'!A1" display="Gaelle"/>
    <hyperlink ref="D14" location="'Att MAUHOURAT Sandra'!A1" display="Sandra"/>
    <hyperlink ref="D15" location="'Att MOLLIER Stéphanie'!A1" display="Stéphanie"/>
    <hyperlink ref="D16" location="'Att MONAMICQ Pierre'!A1" display="Pierre"/>
    <hyperlink ref="D17" location="'Att TRUNET Gregoire'!A1" display="Gregoire"/>
  </hyperlinks>
  <pageMargins left="0.7" right="0.7" top="0.75" bottom="0.75" header="0.3" footer="0.3"/>
  <pageSetup paperSize="9" scale="6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I30"/>
  <sheetViews>
    <sheetView workbookViewId="0">
      <selection activeCell="F41" sqref="F41"/>
    </sheetView>
  </sheetViews>
  <sheetFormatPr baseColWidth="10" defaultRowHeight="15" x14ac:dyDescent="0.25"/>
  <cols>
    <col min="1" max="1" width="26" customWidth="1"/>
    <col min="2" max="5" width="5.7109375" customWidth="1"/>
    <col min="6" max="6" width="26.85546875" customWidth="1"/>
    <col min="7" max="7" width="53" customWidth="1"/>
    <col min="9" max="9" width="7.140625" customWidth="1"/>
  </cols>
  <sheetData>
    <row r="1" spans="1:9" ht="24" customHeight="1" x14ac:dyDescent="0.25">
      <c r="B1" s="1261" t="s">
        <v>484</v>
      </c>
      <c r="C1" s="1261"/>
      <c r="D1" s="1261"/>
      <c r="E1" s="1261"/>
      <c r="F1" s="1261"/>
      <c r="I1" s="1262" t="s">
        <v>485</v>
      </c>
    </row>
    <row r="2" spans="1:9" ht="18.75" x14ac:dyDescent="0.3">
      <c r="A2" s="441"/>
      <c r="B2" s="1263" t="str">
        <f>Info!C9</f>
        <v>Perfectionnement</v>
      </c>
      <c r="C2" s="1263"/>
      <c r="D2" s="1263"/>
      <c r="E2" s="1263"/>
      <c r="F2" s="442" t="str">
        <f>Info!C13</f>
        <v>Alpinisme</v>
      </c>
      <c r="G2" s="184">
        <f>'Base Previ'!D11</f>
        <v>1946</v>
      </c>
      <c r="I2" s="1262"/>
    </row>
    <row r="3" spans="1:9" ht="18.75" x14ac:dyDescent="0.3">
      <c r="A3" s="441"/>
      <c r="C3" s="443"/>
      <c r="D3" s="443"/>
      <c r="E3" s="444" t="str">
        <f>'[3]2-Infos'!$G$17</f>
        <v>Niveau visé</v>
      </c>
      <c r="F3" s="443" t="str">
        <f>Info!C17</f>
        <v>Niveau 2</v>
      </c>
      <c r="G3" s="347" t="str">
        <f>Info!A37</f>
        <v>CT 64</v>
      </c>
      <c r="H3" s="445"/>
      <c r="I3" s="1262"/>
    </row>
    <row r="4" spans="1:9" ht="18.75" x14ac:dyDescent="0.3">
      <c r="A4" s="441"/>
      <c r="B4" s="1264" t="str">
        <f>Info!F49</f>
        <v>Ailefroide</v>
      </c>
      <c r="C4" s="1264"/>
      <c r="D4" s="1264"/>
      <c r="E4" s="1264"/>
      <c r="F4" s="1264"/>
      <c r="G4" s="347"/>
      <c r="I4" s="1262"/>
    </row>
    <row r="5" spans="1:9" ht="21" customHeight="1" x14ac:dyDescent="0.25">
      <c r="A5" s="446"/>
      <c r="B5" s="1264">
        <f>'Base Previ'!D16</f>
        <v>44583</v>
      </c>
      <c r="C5" s="1264"/>
      <c r="D5" s="1264"/>
      <c r="E5" s="1264"/>
      <c r="F5" s="1264"/>
      <c r="G5" s="447"/>
      <c r="I5" s="1262"/>
    </row>
    <row r="6" spans="1:9" ht="44.25" customHeight="1" x14ac:dyDescent="0.25">
      <c r="A6" s="448"/>
      <c r="B6" s="1265" t="s">
        <v>486</v>
      </c>
      <c r="C6" s="1265"/>
      <c r="D6" s="1265"/>
      <c r="E6" s="1265"/>
      <c r="F6" s="1265"/>
      <c r="G6" s="449"/>
      <c r="I6" s="1262"/>
    </row>
    <row r="7" spans="1:9" ht="25.5" customHeight="1" x14ac:dyDescent="0.25">
      <c r="A7" s="450" t="s">
        <v>487</v>
      </c>
      <c r="B7" s="640" t="s">
        <v>488</v>
      </c>
      <c r="C7" s="640" t="s">
        <v>489</v>
      </c>
      <c r="D7" s="640" t="s">
        <v>490</v>
      </c>
      <c r="E7" s="640" t="s">
        <v>491</v>
      </c>
      <c r="F7" s="1266" t="s">
        <v>492</v>
      </c>
      <c r="G7" s="1266"/>
      <c r="I7" s="1262"/>
    </row>
    <row r="8" spans="1:9" ht="39.950000000000003" customHeight="1" x14ac:dyDescent="0.25">
      <c r="A8" s="451" t="s">
        <v>493</v>
      </c>
      <c r="B8" s="451"/>
      <c r="C8" s="451"/>
      <c r="D8" s="451"/>
      <c r="E8" s="451"/>
      <c r="F8" s="1260"/>
      <c r="G8" s="1260"/>
      <c r="I8" s="1262"/>
    </row>
    <row r="9" spans="1:9" ht="39.950000000000003" customHeight="1" x14ac:dyDescent="0.25">
      <c r="A9" s="451" t="s">
        <v>494</v>
      </c>
      <c r="B9" s="451"/>
      <c r="C9" s="451"/>
      <c r="D9" s="451"/>
      <c r="E9" s="451"/>
      <c r="F9" s="1260"/>
      <c r="G9" s="1260"/>
      <c r="I9" s="1262"/>
    </row>
    <row r="10" spans="1:9" ht="39.950000000000003" customHeight="1" x14ac:dyDescent="0.25">
      <c r="A10" s="451" t="s">
        <v>495</v>
      </c>
      <c r="B10" s="451"/>
      <c r="C10" s="451"/>
      <c r="D10" s="451"/>
      <c r="E10" s="451"/>
      <c r="F10" s="1260"/>
      <c r="G10" s="1260"/>
      <c r="I10" s="1262"/>
    </row>
    <row r="11" spans="1:9" ht="39.950000000000003" customHeight="1" x14ac:dyDescent="0.25">
      <c r="A11" s="451" t="s">
        <v>496</v>
      </c>
      <c r="B11" s="451"/>
      <c r="C11" s="451"/>
      <c r="D11" s="451"/>
      <c r="E11" s="451"/>
      <c r="F11" s="1260"/>
      <c r="G11" s="1260"/>
      <c r="I11" s="1262"/>
    </row>
    <row r="12" spans="1:9" ht="39.950000000000003" customHeight="1" x14ac:dyDescent="0.25">
      <c r="A12" s="451" t="s">
        <v>497</v>
      </c>
      <c r="B12" s="451"/>
      <c r="C12" s="451"/>
      <c r="D12" s="451"/>
      <c r="E12" s="451"/>
      <c r="F12" s="1260"/>
      <c r="G12" s="1260"/>
      <c r="I12" s="1262"/>
    </row>
    <row r="13" spans="1:9" ht="39.950000000000003" customHeight="1" x14ac:dyDescent="0.25">
      <c r="A13" s="451" t="s">
        <v>498</v>
      </c>
      <c r="B13" s="451"/>
      <c r="C13" s="451"/>
      <c r="D13" s="451"/>
      <c r="E13" s="451"/>
      <c r="F13" s="1260"/>
      <c r="G13" s="1260"/>
      <c r="I13" s="1262"/>
    </row>
    <row r="14" spans="1:9" ht="39.950000000000003" customHeight="1" x14ac:dyDescent="0.25">
      <c r="A14" s="451" t="s">
        <v>499</v>
      </c>
      <c r="B14" s="451"/>
      <c r="C14" s="451"/>
      <c r="D14" s="451"/>
      <c r="E14" s="451"/>
      <c r="F14" s="1260"/>
      <c r="G14" s="1260"/>
      <c r="I14" s="1262"/>
    </row>
    <row r="15" spans="1:9" ht="39.950000000000003" customHeight="1" x14ac:dyDescent="0.25">
      <c r="A15" s="451" t="s">
        <v>500</v>
      </c>
      <c r="B15" s="451"/>
      <c r="C15" s="451"/>
      <c r="D15" s="451"/>
      <c r="E15" s="451"/>
      <c r="F15" s="1260"/>
      <c r="G15" s="1260"/>
      <c r="I15" s="1262"/>
    </row>
    <row r="16" spans="1:9" ht="39.950000000000003" customHeight="1" x14ac:dyDescent="0.25">
      <c r="A16" s="451" t="s">
        <v>501</v>
      </c>
      <c r="B16" s="451"/>
      <c r="C16" s="451"/>
      <c r="D16" s="451"/>
      <c r="E16" s="451"/>
      <c r="F16" s="1260"/>
      <c r="G16" s="1260"/>
      <c r="I16" s="1262"/>
    </row>
    <row r="17" spans="1:9" ht="39.950000000000003" customHeight="1" x14ac:dyDescent="0.25">
      <c r="A17" s="451" t="s">
        <v>502</v>
      </c>
      <c r="B17" s="451"/>
      <c r="C17" s="451"/>
      <c r="D17" s="451"/>
      <c r="E17" s="451"/>
      <c r="F17" s="1260"/>
      <c r="G17" s="1260"/>
      <c r="I17" s="1262"/>
    </row>
    <row r="18" spans="1:9" ht="39.950000000000003" customHeight="1" x14ac:dyDescent="0.25">
      <c r="A18" s="451" t="s">
        <v>503</v>
      </c>
      <c r="B18" s="451"/>
      <c r="C18" s="451"/>
      <c r="D18" s="451"/>
      <c r="E18" s="451"/>
      <c r="F18" s="1260"/>
      <c r="G18" s="1260"/>
      <c r="I18" s="1262"/>
    </row>
    <row r="19" spans="1:9" ht="15.75" x14ac:dyDescent="0.25">
      <c r="A19" s="452"/>
      <c r="I19" s="1262"/>
    </row>
    <row r="20" spans="1:9" ht="69.95" customHeight="1" x14ac:dyDescent="0.25">
      <c r="A20" s="451" t="s">
        <v>504</v>
      </c>
      <c r="B20" s="1258"/>
      <c r="C20" s="1258"/>
      <c r="D20" s="1258"/>
      <c r="E20" s="1258"/>
      <c r="F20" s="1258"/>
      <c r="G20" s="1258"/>
      <c r="I20" s="1262"/>
    </row>
    <row r="21" spans="1:9" ht="69.95" customHeight="1" x14ac:dyDescent="0.25">
      <c r="A21" s="451" t="s">
        <v>505</v>
      </c>
      <c r="B21" s="1258"/>
      <c r="C21" s="1258"/>
      <c r="D21" s="1258"/>
      <c r="E21" s="1258"/>
      <c r="F21" s="1258"/>
      <c r="G21" s="1258"/>
      <c r="I21" s="1262"/>
    </row>
    <row r="22" spans="1:9" ht="69.95" customHeight="1" x14ac:dyDescent="0.25">
      <c r="A22" s="453" t="s">
        <v>506</v>
      </c>
      <c r="B22" s="1258"/>
      <c r="C22" s="1258"/>
      <c r="D22" s="1258"/>
      <c r="E22" s="1258"/>
      <c r="F22" s="1258"/>
      <c r="G22" s="1258"/>
      <c r="I22" s="1262"/>
    </row>
    <row r="23" spans="1:9" ht="69.95" customHeight="1" x14ac:dyDescent="0.25">
      <c r="A23" s="451" t="s">
        <v>507</v>
      </c>
      <c r="B23" s="1258"/>
      <c r="C23" s="1258"/>
      <c r="D23" s="1258"/>
      <c r="E23" s="1258"/>
      <c r="F23" s="1258"/>
      <c r="G23" s="1258"/>
      <c r="I23" s="1262"/>
    </row>
    <row r="24" spans="1:9" ht="69.95" customHeight="1" x14ac:dyDescent="0.25">
      <c r="A24" s="451" t="s">
        <v>508</v>
      </c>
      <c r="B24" s="1258"/>
      <c r="C24" s="1258"/>
      <c r="D24" s="1258"/>
      <c r="E24" s="1258"/>
      <c r="F24" s="1258"/>
      <c r="G24" s="1258"/>
      <c r="I24" s="1262"/>
    </row>
    <row r="25" spans="1:9" ht="69.95" customHeight="1" x14ac:dyDescent="0.25">
      <c r="A25" s="451" t="s">
        <v>509</v>
      </c>
      <c r="B25" s="1258"/>
      <c r="C25" s="1258"/>
      <c r="D25" s="1258"/>
      <c r="E25" s="1258"/>
      <c r="F25" s="1258"/>
      <c r="G25" s="1258"/>
      <c r="I25" s="1262"/>
    </row>
    <row r="26" spans="1:9" ht="29.25" customHeight="1" x14ac:dyDescent="0.25">
      <c r="A26" s="452" t="s">
        <v>510</v>
      </c>
      <c r="I26" s="1262"/>
    </row>
    <row r="27" spans="1:9" ht="18.75" customHeight="1" x14ac:dyDescent="0.25">
      <c r="A27" s="452" t="s">
        <v>511</v>
      </c>
      <c r="B27" s="452"/>
      <c r="C27" s="452"/>
      <c r="D27" s="452"/>
      <c r="E27" s="452"/>
      <c r="F27" s="452" t="s">
        <v>512</v>
      </c>
      <c r="I27" s="1262"/>
    </row>
    <row r="28" spans="1:9" ht="18.75" customHeight="1" x14ac:dyDescent="0.25">
      <c r="A28" s="452" t="s">
        <v>513</v>
      </c>
      <c r="B28" s="452"/>
      <c r="C28" s="452"/>
      <c r="D28" s="452"/>
      <c r="E28" s="452"/>
      <c r="F28" s="452"/>
      <c r="I28" s="1262"/>
    </row>
    <row r="29" spans="1:9" ht="29.25" customHeight="1" x14ac:dyDescent="0.25">
      <c r="A29" s="454" t="s">
        <v>514</v>
      </c>
      <c r="I29" s="1262"/>
    </row>
    <row r="30" spans="1:9" ht="15.75" customHeight="1" x14ac:dyDescent="0.25">
      <c r="A30" s="1259" t="s">
        <v>515</v>
      </c>
      <c r="B30" s="1259"/>
      <c r="C30" s="1259"/>
      <c r="D30" s="1259"/>
      <c r="E30" s="1259"/>
      <c r="F30" s="1259"/>
      <c r="G30" s="1259"/>
      <c r="I30" s="1262"/>
    </row>
  </sheetData>
  <sheetProtection sheet="1" objects="1" scenarios="1"/>
  <mergeCells count="25">
    <mergeCell ref="F16:G16"/>
    <mergeCell ref="B1:F1"/>
    <mergeCell ref="I1:I30"/>
    <mergeCell ref="B2:E2"/>
    <mergeCell ref="B4:F4"/>
    <mergeCell ref="B5:F5"/>
    <mergeCell ref="B6:F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B24:G24"/>
    <mergeCell ref="B25:G25"/>
    <mergeCell ref="A30:G30"/>
    <mergeCell ref="F17:G17"/>
    <mergeCell ref="F18:G18"/>
    <mergeCell ref="B20:G20"/>
    <mergeCell ref="B21:G21"/>
    <mergeCell ref="B22:G22"/>
    <mergeCell ref="B23:G23"/>
  </mergeCells>
  <pageMargins left="0.7" right="0.7" top="0.75" bottom="0.75" header="0.3" footer="0.3"/>
  <pageSetup paperSize="9" scale="6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57"/>
  <sheetViews>
    <sheetView workbookViewId="0">
      <selection activeCell="L51" sqref="L51"/>
    </sheetView>
  </sheetViews>
  <sheetFormatPr baseColWidth="10" defaultRowHeight="15" x14ac:dyDescent="0.25"/>
  <cols>
    <col min="1" max="1" width="10.5703125" customWidth="1"/>
    <col min="2" max="2" width="6.7109375" customWidth="1"/>
    <col min="3" max="3" width="11.7109375" customWidth="1"/>
    <col min="4" max="4" width="15.7109375" customWidth="1"/>
    <col min="5" max="5" width="16.5703125" customWidth="1"/>
    <col min="6" max="6" width="11.42578125" customWidth="1"/>
    <col min="9" max="9" width="6.5703125" customWidth="1"/>
    <col min="258" max="258" width="10.5703125" customWidth="1"/>
    <col min="259" max="259" width="6.7109375" customWidth="1"/>
    <col min="260" max="260" width="11.7109375" customWidth="1"/>
    <col min="261" max="261" width="33.140625" customWidth="1"/>
    <col min="514" max="514" width="10.5703125" customWidth="1"/>
    <col min="515" max="515" width="6.7109375" customWidth="1"/>
    <col min="516" max="516" width="11.7109375" customWidth="1"/>
    <col min="517" max="517" width="33.140625" customWidth="1"/>
    <col min="770" max="770" width="10.5703125" customWidth="1"/>
    <col min="771" max="771" width="6.7109375" customWidth="1"/>
    <col min="772" max="772" width="11.7109375" customWidth="1"/>
    <col min="773" max="773" width="33.140625" customWidth="1"/>
    <col min="1026" max="1026" width="10.5703125" customWidth="1"/>
    <col min="1027" max="1027" width="6.7109375" customWidth="1"/>
    <col min="1028" max="1028" width="11.7109375" customWidth="1"/>
    <col min="1029" max="1029" width="33.140625" customWidth="1"/>
    <col min="1282" max="1282" width="10.5703125" customWidth="1"/>
    <col min="1283" max="1283" width="6.7109375" customWidth="1"/>
    <col min="1284" max="1284" width="11.7109375" customWidth="1"/>
    <col min="1285" max="1285" width="33.140625" customWidth="1"/>
    <col min="1538" max="1538" width="10.5703125" customWidth="1"/>
    <col min="1539" max="1539" width="6.7109375" customWidth="1"/>
    <col min="1540" max="1540" width="11.7109375" customWidth="1"/>
    <col min="1541" max="1541" width="33.140625" customWidth="1"/>
    <col min="1794" max="1794" width="10.5703125" customWidth="1"/>
    <col min="1795" max="1795" width="6.7109375" customWidth="1"/>
    <col min="1796" max="1796" width="11.7109375" customWidth="1"/>
    <col min="1797" max="1797" width="33.140625" customWidth="1"/>
    <col min="2050" max="2050" width="10.5703125" customWidth="1"/>
    <col min="2051" max="2051" width="6.7109375" customWidth="1"/>
    <col min="2052" max="2052" width="11.7109375" customWidth="1"/>
    <col min="2053" max="2053" width="33.140625" customWidth="1"/>
    <col min="2306" max="2306" width="10.5703125" customWidth="1"/>
    <col min="2307" max="2307" width="6.7109375" customWidth="1"/>
    <col min="2308" max="2308" width="11.7109375" customWidth="1"/>
    <col min="2309" max="2309" width="33.140625" customWidth="1"/>
    <col min="2562" max="2562" width="10.5703125" customWidth="1"/>
    <col min="2563" max="2563" width="6.7109375" customWidth="1"/>
    <col min="2564" max="2564" width="11.7109375" customWidth="1"/>
    <col min="2565" max="2565" width="33.140625" customWidth="1"/>
    <col min="2818" max="2818" width="10.5703125" customWidth="1"/>
    <col min="2819" max="2819" width="6.7109375" customWidth="1"/>
    <col min="2820" max="2820" width="11.7109375" customWidth="1"/>
    <col min="2821" max="2821" width="33.140625" customWidth="1"/>
    <col min="3074" max="3074" width="10.5703125" customWidth="1"/>
    <col min="3075" max="3075" width="6.7109375" customWidth="1"/>
    <col min="3076" max="3076" width="11.7109375" customWidth="1"/>
    <col min="3077" max="3077" width="33.140625" customWidth="1"/>
    <col min="3330" max="3330" width="10.5703125" customWidth="1"/>
    <col min="3331" max="3331" width="6.7109375" customWidth="1"/>
    <col min="3332" max="3332" width="11.7109375" customWidth="1"/>
    <col min="3333" max="3333" width="33.140625" customWidth="1"/>
    <col min="3586" max="3586" width="10.5703125" customWidth="1"/>
    <col min="3587" max="3587" width="6.7109375" customWidth="1"/>
    <col min="3588" max="3588" width="11.7109375" customWidth="1"/>
    <col min="3589" max="3589" width="33.140625" customWidth="1"/>
    <col min="3842" max="3842" width="10.5703125" customWidth="1"/>
    <col min="3843" max="3843" width="6.7109375" customWidth="1"/>
    <col min="3844" max="3844" width="11.7109375" customWidth="1"/>
    <col min="3845" max="3845" width="33.140625" customWidth="1"/>
    <col min="4098" max="4098" width="10.5703125" customWidth="1"/>
    <col min="4099" max="4099" width="6.7109375" customWidth="1"/>
    <col min="4100" max="4100" width="11.7109375" customWidth="1"/>
    <col min="4101" max="4101" width="33.140625" customWidth="1"/>
    <col min="4354" max="4354" width="10.5703125" customWidth="1"/>
    <col min="4355" max="4355" width="6.7109375" customWidth="1"/>
    <col min="4356" max="4356" width="11.7109375" customWidth="1"/>
    <col min="4357" max="4357" width="33.140625" customWidth="1"/>
    <col min="4610" max="4610" width="10.5703125" customWidth="1"/>
    <col min="4611" max="4611" width="6.7109375" customWidth="1"/>
    <col min="4612" max="4612" width="11.7109375" customWidth="1"/>
    <col min="4613" max="4613" width="33.140625" customWidth="1"/>
    <col min="4866" max="4866" width="10.5703125" customWidth="1"/>
    <col min="4867" max="4867" width="6.7109375" customWidth="1"/>
    <col min="4868" max="4868" width="11.7109375" customWidth="1"/>
    <col min="4869" max="4869" width="33.140625" customWidth="1"/>
    <col min="5122" max="5122" width="10.5703125" customWidth="1"/>
    <col min="5123" max="5123" width="6.7109375" customWidth="1"/>
    <col min="5124" max="5124" width="11.7109375" customWidth="1"/>
    <col min="5125" max="5125" width="33.140625" customWidth="1"/>
    <col min="5378" max="5378" width="10.5703125" customWidth="1"/>
    <col min="5379" max="5379" width="6.7109375" customWidth="1"/>
    <col min="5380" max="5380" width="11.7109375" customWidth="1"/>
    <col min="5381" max="5381" width="33.140625" customWidth="1"/>
    <col min="5634" max="5634" width="10.5703125" customWidth="1"/>
    <col min="5635" max="5635" width="6.7109375" customWidth="1"/>
    <col min="5636" max="5636" width="11.7109375" customWidth="1"/>
    <col min="5637" max="5637" width="33.140625" customWidth="1"/>
    <col min="5890" max="5890" width="10.5703125" customWidth="1"/>
    <col min="5891" max="5891" width="6.7109375" customWidth="1"/>
    <col min="5892" max="5892" width="11.7109375" customWidth="1"/>
    <col min="5893" max="5893" width="33.140625" customWidth="1"/>
    <col min="6146" max="6146" width="10.5703125" customWidth="1"/>
    <col min="6147" max="6147" width="6.7109375" customWidth="1"/>
    <col min="6148" max="6148" width="11.7109375" customWidth="1"/>
    <col min="6149" max="6149" width="33.140625" customWidth="1"/>
    <col min="6402" max="6402" width="10.5703125" customWidth="1"/>
    <col min="6403" max="6403" width="6.7109375" customWidth="1"/>
    <col min="6404" max="6404" width="11.7109375" customWidth="1"/>
    <col min="6405" max="6405" width="33.140625" customWidth="1"/>
    <col min="6658" max="6658" width="10.5703125" customWidth="1"/>
    <col min="6659" max="6659" width="6.7109375" customWidth="1"/>
    <col min="6660" max="6660" width="11.7109375" customWidth="1"/>
    <col min="6661" max="6661" width="33.140625" customWidth="1"/>
    <col min="6914" max="6914" width="10.5703125" customWidth="1"/>
    <col min="6915" max="6915" width="6.7109375" customWidth="1"/>
    <col min="6916" max="6916" width="11.7109375" customWidth="1"/>
    <col min="6917" max="6917" width="33.140625" customWidth="1"/>
    <col min="7170" max="7170" width="10.5703125" customWidth="1"/>
    <col min="7171" max="7171" width="6.7109375" customWidth="1"/>
    <col min="7172" max="7172" width="11.7109375" customWidth="1"/>
    <col min="7173" max="7173" width="33.140625" customWidth="1"/>
    <col min="7426" max="7426" width="10.5703125" customWidth="1"/>
    <col min="7427" max="7427" width="6.7109375" customWidth="1"/>
    <col min="7428" max="7428" width="11.7109375" customWidth="1"/>
    <col min="7429" max="7429" width="33.140625" customWidth="1"/>
    <col min="7682" max="7682" width="10.5703125" customWidth="1"/>
    <col min="7683" max="7683" width="6.7109375" customWidth="1"/>
    <col min="7684" max="7684" width="11.7109375" customWidth="1"/>
    <col min="7685" max="7685" width="33.140625" customWidth="1"/>
    <col min="7938" max="7938" width="10.5703125" customWidth="1"/>
    <col min="7939" max="7939" width="6.7109375" customWidth="1"/>
    <col min="7940" max="7940" width="11.7109375" customWidth="1"/>
    <col min="7941" max="7941" width="33.140625" customWidth="1"/>
    <col min="8194" max="8194" width="10.5703125" customWidth="1"/>
    <col min="8195" max="8195" width="6.7109375" customWidth="1"/>
    <col min="8196" max="8196" width="11.7109375" customWidth="1"/>
    <col min="8197" max="8197" width="33.140625" customWidth="1"/>
    <col min="8450" max="8450" width="10.5703125" customWidth="1"/>
    <col min="8451" max="8451" width="6.7109375" customWidth="1"/>
    <col min="8452" max="8452" width="11.7109375" customWidth="1"/>
    <col min="8453" max="8453" width="33.140625" customWidth="1"/>
    <col min="8706" max="8706" width="10.5703125" customWidth="1"/>
    <col min="8707" max="8707" width="6.7109375" customWidth="1"/>
    <col min="8708" max="8708" width="11.7109375" customWidth="1"/>
    <col min="8709" max="8709" width="33.140625" customWidth="1"/>
    <col min="8962" max="8962" width="10.5703125" customWidth="1"/>
    <col min="8963" max="8963" width="6.7109375" customWidth="1"/>
    <col min="8964" max="8964" width="11.7109375" customWidth="1"/>
    <col min="8965" max="8965" width="33.140625" customWidth="1"/>
    <col min="9218" max="9218" width="10.5703125" customWidth="1"/>
    <col min="9219" max="9219" width="6.7109375" customWidth="1"/>
    <col min="9220" max="9220" width="11.7109375" customWidth="1"/>
    <col min="9221" max="9221" width="33.140625" customWidth="1"/>
    <col min="9474" max="9474" width="10.5703125" customWidth="1"/>
    <col min="9475" max="9475" width="6.7109375" customWidth="1"/>
    <col min="9476" max="9476" width="11.7109375" customWidth="1"/>
    <col min="9477" max="9477" width="33.140625" customWidth="1"/>
    <col min="9730" max="9730" width="10.5703125" customWidth="1"/>
    <col min="9731" max="9731" width="6.7109375" customWidth="1"/>
    <col min="9732" max="9732" width="11.7109375" customWidth="1"/>
    <col min="9733" max="9733" width="33.140625" customWidth="1"/>
    <col min="9986" max="9986" width="10.5703125" customWidth="1"/>
    <col min="9987" max="9987" width="6.7109375" customWidth="1"/>
    <col min="9988" max="9988" width="11.7109375" customWidth="1"/>
    <col min="9989" max="9989" width="33.140625" customWidth="1"/>
    <col min="10242" max="10242" width="10.5703125" customWidth="1"/>
    <col min="10243" max="10243" width="6.7109375" customWidth="1"/>
    <col min="10244" max="10244" width="11.7109375" customWidth="1"/>
    <col min="10245" max="10245" width="33.140625" customWidth="1"/>
    <col min="10498" max="10498" width="10.5703125" customWidth="1"/>
    <col min="10499" max="10499" width="6.7109375" customWidth="1"/>
    <col min="10500" max="10500" width="11.7109375" customWidth="1"/>
    <col min="10501" max="10501" width="33.140625" customWidth="1"/>
    <col min="10754" max="10754" width="10.5703125" customWidth="1"/>
    <col min="10755" max="10755" width="6.7109375" customWidth="1"/>
    <col min="10756" max="10756" width="11.7109375" customWidth="1"/>
    <col min="10757" max="10757" width="33.140625" customWidth="1"/>
    <col min="11010" max="11010" width="10.5703125" customWidth="1"/>
    <col min="11011" max="11011" width="6.7109375" customWidth="1"/>
    <col min="11012" max="11012" width="11.7109375" customWidth="1"/>
    <col min="11013" max="11013" width="33.140625" customWidth="1"/>
    <col min="11266" max="11266" width="10.5703125" customWidth="1"/>
    <col min="11267" max="11267" width="6.7109375" customWidth="1"/>
    <col min="11268" max="11268" width="11.7109375" customWidth="1"/>
    <col min="11269" max="11269" width="33.140625" customWidth="1"/>
    <col min="11522" max="11522" width="10.5703125" customWidth="1"/>
    <col min="11523" max="11523" width="6.7109375" customWidth="1"/>
    <col min="11524" max="11524" width="11.7109375" customWidth="1"/>
    <col min="11525" max="11525" width="33.140625" customWidth="1"/>
    <col min="11778" max="11778" width="10.5703125" customWidth="1"/>
    <col min="11779" max="11779" width="6.7109375" customWidth="1"/>
    <col min="11780" max="11780" width="11.7109375" customWidth="1"/>
    <col min="11781" max="11781" width="33.140625" customWidth="1"/>
    <col min="12034" max="12034" width="10.5703125" customWidth="1"/>
    <col min="12035" max="12035" width="6.7109375" customWidth="1"/>
    <col min="12036" max="12036" width="11.7109375" customWidth="1"/>
    <col min="12037" max="12037" width="33.140625" customWidth="1"/>
    <col min="12290" max="12290" width="10.5703125" customWidth="1"/>
    <col min="12291" max="12291" width="6.7109375" customWidth="1"/>
    <col min="12292" max="12292" width="11.7109375" customWidth="1"/>
    <col min="12293" max="12293" width="33.140625" customWidth="1"/>
    <col min="12546" max="12546" width="10.5703125" customWidth="1"/>
    <col min="12547" max="12547" width="6.7109375" customWidth="1"/>
    <col min="12548" max="12548" width="11.7109375" customWidth="1"/>
    <col min="12549" max="12549" width="33.140625" customWidth="1"/>
    <col min="12802" max="12802" width="10.5703125" customWidth="1"/>
    <col min="12803" max="12803" width="6.7109375" customWidth="1"/>
    <col min="12804" max="12804" width="11.7109375" customWidth="1"/>
    <col min="12805" max="12805" width="33.140625" customWidth="1"/>
    <col min="13058" max="13058" width="10.5703125" customWidth="1"/>
    <col min="13059" max="13059" width="6.7109375" customWidth="1"/>
    <col min="13060" max="13060" width="11.7109375" customWidth="1"/>
    <col min="13061" max="13061" width="33.140625" customWidth="1"/>
    <col min="13314" max="13314" width="10.5703125" customWidth="1"/>
    <col min="13315" max="13315" width="6.7109375" customWidth="1"/>
    <col min="13316" max="13316" width="11.7109375" customWidth="1"/>
    <col min="13317" max="13317" width="33.140625" customWidth="1"/>
    <col min="13570" max="13570" width="10.5703125" customWidth="1"/>
    <col min="13571" max="13571" width="6.7109375" customWidth="1"/>
    <col min="13572" max="13572" width="11.7109375" customWidth="1"/>
    <col min="13573" max="13573" width="33.140625" customWidth="1"/>
    <col min="13826" max="13826" width="10.5703125" customWidth="1"/>
    <col min="13827" max="13827" width="6.7109375" customWidth="1"/>
    <col min="13828" max="13828" width="11.7109375" customWidth="1"/>
    <col min="13829" max="13829" width="33.140625" customWidth="1"/>
    <col min="14082" max="14082" width="10.5703125" customWidth="1"/>
    <col min="14083" max="14083" width="6.7109375" customWidth="1"/>
    <col min="14084" max="14084" width="11.7109375" customWidth="1"/>
    <col min="14085" max="14085" width="33.140625" customWidth="1"/>
    <col min="14338" max="14338" width="10.5703125" customWidth="1"/>
    <col min="14339" max="14339" width="6.7109375" customWidth="1"/>
    <col min="14340" max="14340" width="11.7109375" customWidth="1"/>
    <col min="14341" max="14341" width="33.140625" customWidth="1"/>
    <col min="14594" max="14594" width="10.5703125" customWidth="1"/>
    <col min="14595" max="14595" width="6.7109375" customWidth="1"/>
    <col min="14596" max="14596" width="11.7109375" customWidth="1"/>
    <col min="14597" max="14597" width="33.140625" customWidth="1"/>
    <col min="14850" max="14850" width="10.5703125" customWidth="1"/>
    <col min="14851" max="14851" width="6.7109375" customWidth="1"/>
    <col min="14852" max="14852" width="11.7109375" customWidth="1"/>
    <col min="14853" max="14853" width="33.140625" customWidth="1"/>
    <col min="15106" max="15106" width="10.5703125" customWidth="1"/>
    <col min="15107" max="15107" width="6.7109375" customWidth="1"/>
    <col min="15108" max="15108" width="11.7109375" customWidth="1"/>
    <col min="15109" max="15109" width="33.140625" customWidth="1"/>
    <col min="15362" max="15362" width="10.5703125" customWidth="1"/>
    <col min="15363" max="15363" width="6.7109375" customWidth="1"/>
    <col min="15364" max="15364" width="11.7109375" customWidth="1"/>
    <col min="15365" max="15365" width="33.140625" customWidth="1"/>
    <col min="15618" max="15618" width="10.5703125" customWidth="1"/>
    <col min="15619" max="15619" width="6.7109375" customWidth="1"/>
    <col min="15620" max="15620" width="11.7109375" customWidth="1"/>
    <col min="15621" max="15621" width="33.140625" customWidth="1"/>
    <col min="15874" max="15874" width="10.5703125" customWidth="1"/>
    <col min="15875" max="15875" width="6.7109375" customWidth="1"/>
    <col min="15876" max="15876" width="11.7109375" customWidth="1"/>
    <col min="15877" max="15877" width="33.140625" customWidth="1"/>
    <col min="16130" max="16130" width="10.5703125" customWidth="1"/>
    <col min="16131" max="16131" width="6.7109375" customWidth="1"/>
    <col min="16132" max="16132" width="11.7109375" customWidth="1"/>
    <col min="16133" max="16133" width="33.140625" customWidth="1"/>
  </cols>
  <sheetData>
    <row r="1" spans="1:9" ht="37.5" customHeight="1" x14ac:dyDescent="0.25">
      <c r="A1" s="286"/>
      <c r="B1" s="286"/>
      <c r="C1" s="1275" t="s">
        <v>516</v>
      </c>
      <c r="D1" s="1276"/>
      <c r="E1" s="1276"/>
      <c r="F1" s="1276"/>
      <c r="G1" s="940"/>
      <c r="I1" s="1274" t="s">
        <v>529</v>
      </c>
    </row>
    <row r="2" spans="1:9" ht="15.75" x14ac:dyDescent="0.25">
      <c r="A2" s="286"/>
      <c r="B2" s="286"/>
      <c r="C2" s="458"/>
      <c r="D2" s="456" t="str">
        <f>Info!C9</f>
        <v>Perfectionnement</v>
      </c>
      <c r="E2" s="457" t="str">
        <f>Info!C13</f>
        <v>Alpinisme</v>
      </c>
      <c r="F2" s="458"/>
      <c r="G2" s="458"/>
      <c r="I2" s="1262"/>
    </row>
    <row r="3" spans="1:9" x14ac:dyDescent="0.25">
      <c r="A3" s="286"/>
      <c r="B3" s="286"/>
      <c r="C3" s="458"/>
      <c r="D3" s="941" t="str">
        <f>'[3]2-Infos'!$G$17</f>
        <v>Niveau visé</v>
      </c>
      <c r="E3" s="942" t="str">
        <f>Info!C17</f>
        <v>Niveau 2</v>
      </c>
      <c r="F3" s="942"/>
      <c r="G3" s="942"/>
      <c r="H3" s="359"/>
      <c r="I3" s="1262"/>
    </row>
    <row r="4" spans="1:9" x14ac:dyDescent="0.25">
      <c r="A4" s="286"/>
      <c r="B4" s="286"/>
      <c r="C4" s="943" t="s">
        <v>517</v>
      </c>
      <c r="D4" s="458">
        <f>'Base Previ'!D11</f>
        <v>1946</v>
      </c>
      <c r="E4" s="458"/>
      <c r="F4" s="459"/>
      <c r="G4" s="459"/>
      <c r="I4" s="1262"/>
    </row>
    <row r="5" spans="1:9" ht="23.25" customHeight="1" x14ac:dyDescent="0.25">
      <c r="A5" s="1277"/>
      <c r="B5" s="1277"/>
      <c r="C5" s="1277"/>
      <c r="D5" s="458"/>
      <c r="E5" s="458"/>
      <c r="F5" s="459"/>
      <c r="G5" s="459"/>
      <c r="I5" s="1262"/>
    </row>
    <row r="6" spans="1:9" ht="23.25" customHeight="1" x14ac:dyDescent="0.25">
      <c r="A6" s="1278"/>
      <c r="B6" s="1278"/>
      <c r="C6" s="1278"/>
      <c r="D6" s="458"/>
      <c r="E6" s="458"/>
      <c r="F6" s="459"/>
      <c r="G6" s="459"/>
      <c r="I6" s="1262"/>
    </row>
    <row r="7" spans="1:9" ht="14.25" customHeight="1" x14ac:dyDescent="0.25">
      <c r="A7" s="944"/>
      <c r="B7" s="944"/>
      <c r="C7" s="945" t="s">
        <v>102</v>
      </c>
      <c r="D7" s="458" t="str">
        <f ca="1">Info!E64</f>
        <v>Supplémentaire</v>
      </c>
      <c r="E7" s="458" t="str">
        <f ca="1">Info!C64</f>
        <v xml:space="preserve">Initiateur </v>
      </c>
      <c r="F7" s="460" t="str">
        <f ca="1">Info!H64</f>
        <v>Initiateur</v>
      </c>
      <c r="G7" s="460" t="str">
        <f>IF('[3]2-Infos'!K68=0,"",'[3]2-Infos'!K68)</f>
        <v/>
      </c>
      <c r="I7" s="1262"/>
    </row>
    <row r="8" spans="1:9" ht="13.5" customHeight="1" x14ac:dyDescent="0.25">
      <c r="A8" s="286"/>
      <c r="B8" s="1279" t="s">
        <v>518</v>
      </c>
      <c r="C8" s="1279"/>
      <c r="D8" s="458" t="str">
        <f ca="1">Info!E65</f>
        <v>Supplémentaire</v>
      </c>
      <c r="E8" s="458" t="str">
        <f ca="1">Info!C65</f>
        <v xml:space="preserve">Initiateur </v>
      </c>
      <c r="F8" s="460" t="str">
        <f ca="1">Info!H65</f>
        <v>Initiateur</v>
      </c>
      <c r="G8" s="460" t="str">
        <f>IF('[3]2-Infos'!K69=0,"",'[3]2-Infos'!K69)</f>
        <v/>
      </c>
      <c r="I8" s="1262"/>
    </row>
    <row r="9" spans="1:9" x14ac:dyDescent="0.25">
      <c r="A9" s="286"/>
      <c r="B9" s="1279"/>
      <c r="C9" s="1279"/>
      <c r="D9" s="458" t="str">
        <f>IF('[3]2-Infos'!C70="","",'[3]2-Infos'!C70)</f>
        <v/>
      </c>
      <c r="E9" s="458" t="str">
        <f>IF('[3]2-Infos'!E70="","",'[3]2-Infos'!E70)</f>
        <v/>
      </c>
      <c r="F9" s="460" t="str">
        <f>IF('[3]2-Infos'!H70="","",'[3]2-Infos'!H70)</f>
        <v/>
      </c>
      <c r="G9" s="460" t="str">
        <f>IF('[3]2-Infos'!K70=0,"",'[3]2-Infos'!K70)</f>
        <v/>
      </c>
      <c r="I9" s="1262"/>
    </row>
    <row r="10" spans="1:9" x14ac:dyDescent="0.25">
      <c r="A10" s="286"/>
      <c r="B10" s="641"/>
      <c r="C10" s="641"/>
      <c r="D10" s="458" t="str">
        <f>IF('[3]2-Infos'!C71="","",'[3]2-Infos'!C71)</f>
        <v/>
      </c>
      <c r="E10" s="458" t="str">
        <f>IF('[3]2-Infos'!E71="","",'[3]2-Infos'!E71)</f>
        <v/>
      </c>
      <c r="F10" s="460" t="str">
        <f>IF('[3]2-Infos'!H71="","",'[3]2-Infos'!H71)</f>
        <v/>
      </c>
      <c r="G10" s="460" t="str">
        <f>IF('[3]2-Infos'!K71=0,"",'[3]2-Infos'!K71)</f>
        <v/>
      </c>
      <c r="I10" s="1262"/>
    </row>
    <row r="11" spans="1:9" s="461" customFormat="1" ht="19.5" customHeight="1" x14ac:dyDescent="0.25">
      <c r="A11" s="946"/>
      <c r="B11" s="457" t="s">
        <v>519</v>
      </c>
      <c r="C11" s="947"/>
      <c r="D11" s="947"/>
      <c r="E11" s="947"/>
      <c r="F11" s="947"/>
      <c r="G11" s="947"/>
      <c r="I11" s="1262"/>
    </row>
    <row r="12" spans="1:9" x14ac:dyDescent="0.25">
      <c r="A12" s="286"/>
      <c r="B12" s="1279" t="s">
        <v>520</v>
      </c>
      <c r="C12" s="1279"/>
      <c r="D12" s="1280"/>
      <c r="E12" s="948"/>
      <c r="F12" s="949"/>
      <c r="G12" s="748" t="s">
        <v>521</v>
      </c>
      <c r="I12" s="1262"/>
    </row>
    <row r="13" spans="1:9" x14ac:dyDescent="0.25">
      <c r="A13" s="286"/>
      <c r="B13" s="1279" t="s">
        <v>522</v>
      </c>
      <c r="C13" s="1279">
        <v>8</v>
      </c>
      <c r="D13" s="1280"/>
      <c r="E13" s="948"/>
      <c r="F13" s="949"/>
      <c r="G13" s="748" t="s">
        <v>521</v>
      </c>
      <c r="I13" s="1262"/>
    </row>
    <row r="14" spans="1:9" s="462" customFormat="1" ht="27.75" customHeight="1" x14ac:dyDescent="0.25">
      <c r="A14" s="917"/>
      <c r="B14" s="463" t="s">
        <v>523</v>
      </c>
      <c r="C14" s="464"/>
      <c r="D14" s="464"/>
      <c r="E14" s="464"/>
      <c r="F14" s="464"/>
      <c r="G14" s="464"/>
      <c r="I14" s="1262"/>
    </row>
    <row r="15" spans="1:9" ht="15.75" thickBot="1" x14ac:dyDescent="0.3">
      <c r="A15" s="286"/>
      <c r="B15" s="950" t="str">
        <f>'[3]7-Programme'!B9</f>
        <v>Heure</v>
      </c>
      <c r="C15" s="1281" t="s">
        <v>524</v>
      </c>
      <c r="D15" s="1282"/>
      <c r="E15" s="1282"/>
      <c r="F15" s="1282"/>
      <c r="G15" s="1283"/>
      <c r="I15" s="1262"/>
    </row>
    <row r="16" spans="1:9" ht="15.75" thickBot="1" x14ac:dyDescent="0.3">
      <c r="A16" s="951" t="s">
        <v>530</v>
      </c>
      <c r="B16" s="952" t="str">
        <f>IF('[3]7-Programme'!B10="","",'[3]7-Programme'!B10)</f>
        <v/>
      </c>
      <c r="C16" s="953" t="str">
        <f>'[3]7-Programme'!C10</f>
        <v>Lieu :</v>
      </c>
      <c r="D16" s="954" t="str">
        <f>Info!F49</f>
        <v>Ailefroide</v>
      </c>
      <c r="E16" s="955" t="str">
        <f>IF('[3]7-Programme'!E10="","",'[3]7-Programme'!E10)</f>
        <v/>
      </c>
      <c r="F16" s="956" t="str">
        <f>'[3]7-Programme'!F10</f>
        <v>Date :</v>
      </c>
      <c r="G16" s="957">
        <f>'[3]7-Programme'!G10</f>
        <v>44547</v>
      </c>
      <c r="I16" s="1262"/>
    </row>
    <row r="17" spans="1:9" x14ac:dyDescent="0.25">
      <c r="A17" s="958"/>
      <c r="B17" s="952">
        <f>IF('[3]7-Programme'!B11="","",'[3]7-Programme'!B11)</f>
        <v>8.3333333333333339</v>
      </c>
      <c r="C17" s="1284"/>
      <c r="D17" s="1285"/>
      <c r="E17" s="1285"/>
      <c r="F17" s="1285"/>
      <c r="G17" s="1286"/>
      <c r="I17" s="1262"/>
    </row>
    <row r="18" spans="1:9" x14ac:dyDescent="0.25">
      <c r="A18" s="897"/>
      <c r="B18" s="959"/>
      <c r="C18" s="1267"/>
      <c r="D18" s="1268"/>
      <c r="E18" s="1268"/>
      <c r="F18" s="1268"/>
      <c r="G18" s="1269"/>
      <c r="I18" s="1262"/>
    </row>
    <row r="19" spans="1:9" x14ac:dyDescent="0.25">
      <c r="A19" s="897"/>
      <c r="B19" s="959"/>
      <c r="C19" s="1267"/>
      <c r="D19" s="1268"/>
      <c r="E19" s="1268"/>
      <c r="F19" s="1268"/>
      <c r="G19" s="1269"/>
      <c r="I19" s="1262"/>
    </row>
    <row r="20" spans="1:9" x14ac:dyDescent="0.25">
      <c r="A20" s="897"/>
      <c r="B20" s="959"/>
      <c r="C20" s="1267"/>
      <c r="D20" s="1268"/>
      <c r="E20" s="1268"/>
      <c r="F20" s="1268"/>
      <c r="G20" s="1269"/>
      <c r="I20" s="1262"/>
    </row>
    <row r="21" spans="1:9" ht="15.75" thickBot="1" x14ac:dyDescent="0.3">
      <c r="A21" s="960"/>
      <c r="B21" s="961"/>
      <c r="C21" s="1267"/>
      <c r="D21" s="1268"/>
      <c r="E21" s="1268"/>
      <c r="F21" s="1268"/>
      <c r="G21" s="1269"/>
      <c r="I21" s="1262"/>
    </row>
    <row r="22" spans="1:9" ht="15.75" thickBot="1" x14ac:dyDescent="0.3">
      <c r="A22" s="962" t="str">
        <f>IF(Info!B40&gt;1,"Jour 2","")</f>
        <v>Jour 2</v>
      </c>
      <c r="B22" s="963"/>
      <c r="C22" s="964" t="str">
        <f>'[3]7-Programme'!C16</f>
        <v>Lieu :</v>
      </c>
      <c r="D22" s="965" t="str">
        <f>D16</f>
        <v>Ailefroide</v>
      </c>
      <c r="E22" s="966" t="str">
        <f>IF('[3]7-Programme'!E16="","",'[3]7-Programme'!E16)</f>
        <v/>
      </c>
      <c r="F22" s="967" t="str">
        <f>'[3]7-Programme'!F16</f>
        <v>Date :</v>
      </c>
      <c r="G22" s="968">
        <f>'[3]7-Programme'!G16</f>
        <v>44548</v>
      </c>
      <c r="I22" s="1262"/>
    </row>
    <row r="23" spans="1:9" x14ac:dyDescent="0.25">
      <c r="A23" s="897"/>
      <c r="B23" s="963"/>
      <c r="C23" s="1267"/>
      <c r="D23" s="1268"/>
      <c r="E23" s="1268"/>
      <c r="F23" s="1268"/>
      <c r="G23" s="1269"/>
      <c r="I23" s="1262"/>
    </row>
    <row r="24" spans="1:9" x14ac:dyDescent="0.25">
      <c r="A24" s="897"/>
      <c r="B24" s="959"/>
      <c r="C24" s="1267"/>
      <c r="D24" s="1268"/>
      <c r="E24" s="1268"/>
      <c r="F24" s="1268"/>
      <c r="G24" s="1269"/>
      <c r="I24" s="1262"/>
    </row>
    <row r="25" spans="1:9" x14ac:dyDescent="0.25">
      <c r="A25" s="897"/>
      <c r="B25" s="959"/>
      <c r="C25" s="1267"/>
      <c r="D25" s="1268"/>
      <c r="E25" s="1268"/>
      <c r="F25" s="1268"/>
      <c r="G25" s="1269"/>
      <c r="I25" s="1262"/>
    </row>
    <row r="26" spans="1:9" x14ac:dyDescent="0.25">
      <c r="A26" s="897"/>
      <c r="B26" s="959"/>
      <c r="C26" s="1267"/>
      <c r="D26" s="1268"/>
      <c r="E26" s="1268"/>
      <c r="F26" s="1268"/>
      <c r="G26" s="1269"/>
      <c r="I26" s="1262"/>
    </row>
    <row r="27" spans="1:9" ht="15.75" thickBot="1" x14ac:dyDescent="0.3">
      <c r="A27" s="960"/>
      <c r="B27" s="961"/>
      <c r="C27" s="1267"/>
      <c r="D27" s="1268"/>
      <c r="E27" s="1268"/>
      <c r="F27" s="1268"/>
      <c r="G27" s="1269"/>
      <c r="I27" s="1262"/>
    </row>
    <row r="28" spans="1:9" ht="15.75" thickBot="1" x14ac:dyDescent="0.3">
      <c r="A28" s="962" t="str">
        <f>IF(Info!$B$40&gt;2,"Jour 3","")</f>
        <v>Jour 3</v>
      </c>
      <c r="B28" s="963"/>
      <c r="C28" s="954" t="str">
        <f>IF(A28="","","Lieu :")</f>
        <v>Lieu :</v>
      </c>
      <c r="D28" s="954" t="str">
        <f>IF(A28="","",$D$16)</f>
        <v>Ailefroide</v>
      </c>
      <c r="E28" s="966"/>
      <c r="F28" s="967" t="str">
        <f>IF(A28="","","Date :")</f>
        <v>Date :</v>
      </c>
      <c r="G28" s="968">
        <f>IF(A28="","",G22+1)</f>
        <v>44549</v>
      </c>
      <c r="I28" s="1262"/>
    </row>
    <row r="29" spans="1:9" x14ac:dyDescent="0.25">
      <c r="A29" s="897"/>
      <c r="B29" s="963"/>
      <c r="C29" s="1267"/>
      <c r="D29" s="1268"/>
      <c r="E29" s="1268"/>
      <c r="F29" s="1268"/>
      <c r="G29" s="1269"/>
      <c r="I29" s="1262"/>
    </row>
    <row r="30" spans="1:9" x14ac:dyDescent="0.25">
      <c r="A30" s="897"/>
      <c r="B30" s="959"/>
      <c r="C30" s="1267"/>
      <c r="D30" s="1268"/>
      <c r="E30" s="1268"/>
      <c r="F30" s="1268"/>
      <c r="G30" s="1269"/>
      <c r="I30" s="1262"/>
    </row>
    <row r="31" spans="1:9" x14ac:dyDescent="0.25">
      <c r="A31" s="897"/>
      <c r="B31" s="959"/>
      <c r="C31" s="1267"/>
      <c r="D31" s="1268"/>
      <c r="E31" s="1268"/>
      <c r="F31" s="1268"/>
      <c r="G31" s="1269"/>
      <c r="I31" s="1262"/>
    </row>
    <row r="32" spans="1:9" x14ac:dyDescent="0.25">
      <c r="A32" s="897"/>
      <c r="B32" s="959"/>
      <c r="C32" s="1267"/>
      <c r="D32" s="1268"/>
      <c r="E32" s="1268"/>
      <c r="F32" s="1268"/>
      <c r="G32" s="1269"/>
      <c r="I32" s="1262"/>
    </row>
    <row r="33" spans="1:9" ht="15.75" thickBot="1" x14ac:dyDescent="0.3">
      <c r="A33" s="960"/>
      <c r="B33" s="961"/>
      <c r="C33" s="1267"/>
      <c r="D33" s="1268"/>
      <c r="E33" s="1268"/>
      <c r="F33" s="1268"/>
      <c r="G33" s="1269"/>
      <c r="I33" s="1262"/>
    </row>
    <row r="34" spans="1:9" ht="15.75" thickBot="1" x14ac:dyDescent="0.3">
      <c r="A34" s="962" t="str">
        <f>IF(Info!$B$40&gt;3,"Jour 4","")</f>
        <v>Jour 4</v>
      </c>
      <c r="B34" s="963"/>
      <c r="C34" s="954" t="str">
        <f>IF(A34="","","Lieu :")</f>
        <v>Lieu :</v>
      </c>
      <c r="D34" s="954" t="str">
        <f>IF(A34="","",$D$16)</f>
        <v>Ailefroide</v>
      </c>
      <c r="E34" s="966"/>
      <c r="F34" s="967" t="str">
        <f>IF(A34="","","Date :")</f>
        <v>Date :</v>
      </c>
      <c r="G34" s="968">
        <f>IF(A34="","",G28+1)</f>
        <v>44550</v>
      </c>
      <c r="I34" s="1262"/>
    </row>
    <row r="35" spans="1:9" x14ac:dyDescent="0.25">
      <c r="A35" s="897"/>
      <c r="B35" s="963"/>
      <c r="C35" s="1267"/>
      <c r="D35" s="1268"/>
      <c r="E35" s="1268"/>
      <c r="F35" s="1268"/>
      <c r="G35" s="1269"/>
      <c r="I35" s="1262"/>
    </row>
    <row r="36" spans="1:9" x14ac:dyDescent="0.25">
      <c r="A36" s="897"/>
      <c r="B36" s="959"/>
      <c r="C36" s="1267"/>
      <c r="D36" s="1268"/>
      <c r="E36" s="1268"/>
      <c r="F36" s="1268"/>
      <c r="G36" s="1269"/>
      <c r="I36" s="1262"/>
    </row>
    <row r="37" spans="1:9" x14ac:dyDescent="0.25">
      <c r="A37" s="897"/>
      <c r="B37" s="959"/>
      <c r="C37" s="1267"/>
      <c r="D37" s="1268"/>
      <c r="E37" s="1268"/>
      <c r="F37" s="1268"/>
      <c r="G37" s="1269"/>
      <c r="I37" s="1262"/>
    </row>
    <row r="38" spans="1:9" x14ac:dyDescent="0.25">
      <c r="A38" s="897"/>
      <c r="B38" s="959"/>
      <c r="C38" s="1267"/>
      <c r="D38" s="1268"/>
      <c r="E38" s="1268"/>
      <c r="F38" s="1268"/>
      <c r="G38" s="1269"/>
      <c r="I38" s="1262"/>
    </row>
    <row r="39" spans="1:9" ht="15.75" thickBot="1" x14ac:dyDescent="0.3">
      <c r="A39" s="960"/>
      <c r="B39" s="961"/>
      <c r="C39" s="1267"/>
      <c r="D39" s="1268"/>
      <c r="E39" s="1268"/>
      <c r="F39" s="1268"/>
      <c r="G39" s="1269"/>
      <c r="I39" s="1262"/>
    </row>
    <row r="40" spans="1:9" ht="15.75" thickBot="1" x14ac:dyDescent="0.3">
      <c r="A40" s="962" t="str">
        <f>IF(Info!$B$40&gt;4,"Jour 5","")</f>
        <v>Jour 5</v>
      </c>
      <c r="B40" s="963"/>
      <c r="C40" s="954" t="str">
        <f>IF(A40="","","Lieu :")</f>
        <v>Lieu :</v>
      </c>
      <c r="D40" s="954" t="str">
        <f>IF(A40="","",$D$16)</f>
        <v>Ailefroide</v>
      </c>
      <c r="E40" s="966"/>
      <c r="F40" s="967" t="str">
        <f>IF(A40="","","Date :")</f>
        <v>Date :</v>
      </c>
      <c r="G40" s="968">
        <f>IF(A40="","",G34+1)</f>
        <v>44551</v>
      </c>
      <c r="I40" s="1262"/>
    </row>
    <row r="41" spans="1:9" x14ac:dyDescent="0.25">
      <c r="A41" s="897"/>
      <c r="B41" s="963"/>
      <c r="C41" s="1267"/>
      <c r="D41" s="1268"/>
      <c r="E41" s="1268"/>
      <c r="F41" s="1268"/>
      <c r="G41" s="1269"/>
      <c r="I41" s="1262"/>
    </row>
    <row r="42" spans="1:9" x14ac:dyDescent="0.25">
      <c r="A42" s="897"/>
      <c r="B42" s="959"/>
      <c r="C42" s="1267"/>
      <c r="D42" s="1268"/>
      <c r="E42" s="1268"/>
      <c r="F42" s="1268"/>
      <c r="G42" s="1269"/>
      <c r="I42" s="1262"/>
    </row>
    <row r="43" spans="1:9" x14ac:dyDescent="0.25">
      <c r="A43" s="897"/>
      <c r="B43" s="959"/>
      <c r="C43" s="1267"/>
      <c r="D43" s="1268"/>
      <c r="E43" s="1268"/>
      <c r="F43" s="1268"/>
      <c r="G43" s="1269"/>
      <c r="I43" s="1262"/>
    </row>
    <row r="44" spans="1:9" x14ac:dyDescent="0.25">
      <c r="A44" s="897"/>
      <c r="B44" s="959"/>
      <c r="C44" s="1267"/>
      <c r="D44" s="1268"/>
      <c r="E44" s="1268"/>
      <c r="F44" s="1268"/>
      <c r="G44" s="1269"/>
      <c r="I44" s="1262"/>
    </row>
    <row r="45" spans="1:9" ht="15.75" thickBot="1" x14ac:dyDescent="0.3">
      <c r="A45" s="960"/>
      <c r="B45" s="969"/>
      <c r="C45" s="1270"/>
      <c r="D45" s="1271"/>
      <c r="E45" s="1271"/>
      <c r="F45" s="1271"/>
      <c r="G45" s="1272"/>
      <c r="I45" s="1262"/>
    </row>
    <row r="46" spans="1:9" ht="15.75" thickBot="1" x14ac:dyDescent="0.3">
      <c r="A46" s="962" t="str">
        <f>IF(Info!$B$40&gt;5,"Jour 6","")</f>
        <v>Jour 6</v>
      </c>
      <c r="B46" s="963"/>
      <c r="C46" s="954" t="str">
        <f>IF(A46="","","Lieu :")</f>
        <v>Lieu :</v>
      </c>
      <c r="D46" s="954" t="str">
        <f>IF(A46="","",$D$16)</f>
        <v>Ailefroide</v>
      </c>
      <c r="E46" s="966"/>
      <c r="F46" s="967" t="str">
        <f>IF(A46="","","Date :")</f>
        <v>Date :</v>
      </c>
      <c r="G46" s="968">
        <f>IF(A46="","",G40+1)</f>
        <v>44552</v>
      </c>
      <c r="I46" s="1262"/>
    </row>
    <row r="47" spans="1:9" x14ac:dyDescent="0.25">
      <c r="A47" s="897"/>
      <c r="B47" s="963"/>
      <c r="C47" s="1267"/>
      <c r="D47" s="1268"/>
      <c r="E47" s="1268"/>
      <c r="F47" s="1268"/>
      <c r="G47" s="1269"/>
      <c r="I47" s="1262"/>
    </row>
    <row r="48" spans="1:9" x14ac:dyDescent="0.25">
      <c r="A48" s="897"/>
      <c r="B48" s="959"/>
      <c r="C48" s="1267"/>
      <c r="D48" s="1268"/>
      <c r="E48" s="1268"/>
      <c r="F48" s="1268"/>
      <c r="G48" s="1269"/>
      <c r="I48" s="1262"/>
    </row>
    <row r="49" spans="1:9" x14ac:dyDescent="0.25">
      <c r="A49" s="897"/>
      <c r="B49" s="959"/>
      <c r="C49" s="1267"/>
      <c r="D49" s="1268"/>
      <c r="E49" s="1268"/>
      <c r="F49" s="1268"/>
      <c r="G49" s="1269"/>
      <c r="I49" s="1262"/>
    </row>
    <row r="50" spans="1:9" x14ac:dyDescent="0.25">
      <c r="A50" s="897"/>
      <c r="B50" s="959"/>
      <c r="C50" s="1267"/>
      <c r="D50" s="1268"/>
      <c r="E50" s="1268"/>
      <c r="F50" s="1268"/>
      <c r="G50" s="1269"/>
      <c r="I50" s="1262"/>
    </row>
    <row r="51" spans="1:9" ht="15.75" thickBot="1" x14ac:dyDescent="0.3">
      <c r="A51" s="960"/>
      <c r="B51" s="969"/>
      <c r="C51" s="1270"/>
      <c r="D51" s="1271"/>
      <c r="E51" s="1271"/>
      <c r="F51" s="1271"/>
      <c r="G51" s="1272"/>
      <c r="I51" s="1262"/>
    </row>
    <row r="52" spans="1:9" s="462" customFormat="1" ht="27.75" customHeight="1" x14ac:dyDescent="0.25">
      <c r="A52" s="917"/>
      <c r="B52" s="463" t="s">
        <v>525</v>
      </c>
      <c r="C52" s="464"/>
      <c r="D52" s="464"/>
      <c r="E52" s="465" t="s">
        <v>526</v>
      </c>
      <c r="F52" s="465" t="s">
        <v>527</v>
      </c>
      <c r="G52" s="465" t="s">
        <v>528</v>
      </c>
      <c r="I52" s="1262"/>
    </row>
    <row r="53" spans="1:9" s="462" customFormat="1" ht="18.75" customHeight="1" x14ac:dyDescent="0.25">
      <c r="A53" s="917"/>
      <c r="B53" s="1273" t="str">
        <f>'[3]14-Résultats'!H5</f>
        <v>Le niveau visé est estimé</v>
      </c>
      <c r="C53" s="1273"/>
      <c r="D53" s="1273"/>
      <c r="E53" s="465"/>
      <c r="F53" s="465"/>
      <c r="G53" s="465"/>
      <c r="I53" s="1262"/>
    </row>
    <row r="54" spans="1:9" x14ac:dyDescent="0.25">
      <c r="A54" s="286"/>
      <c r="B54" s="466" t="str">
        <f>IF(B53="Le niveau visé est","validé","globalement atteint")</f>
        <v>globalement atteint</v>
      </c>
      <c r="C54" s="466"/>
      <c r="D54" s="466"/>
      <c r="E54" s="467"/>
      <c r="F54" s="467"/>
      <c r="G54" s="467"/>
      <c r="I54" s="1262"/>
    </row>
    <row r="55" spans="1:9" x14ac:dyDescent="0.25">
      <c r="A55" s="286"/>
      <c r="B55" s="466" t="str">
        <f>IF(B53="Le niveau visé est","non validé","en voie d'acquisition")</f>
        <v>en voie d'acquisition</v>
      </c>
      <c r="C55" s="468"/>
      <c r="D55" s="468"/>
      <c r="E55" s="469"/>
      <c r="F55" s="469"/>
      <c r="G55" s="467"/>
      <c r="I55" s="1262"/>
    </row>
    <row r="56" spans="1:9" x14ac:dyDescent="0.25">
      <c r="A56" s="286"/>
      <c r="B56" s="286"/>
      <c r="C56" s="286"/>
      <c r="D56" s="470" t="s">
        <v>174</v>
      </c>
      <c r="E56" s="132"/>
      <c r="F56" s="132"/>
      <c r="G56" s="132"/>
      <c r="I56" s="1262"/>
    </row>
    <row r="57" spans="1:9" x14ac:dyDescent="0.25">
      <c r="A57" s="286"/>
      <c r="B57" s="286"/>
      <c r="C57" s="286"/>
      <c r="D57" s="470"/>
      <c r="E57" s="132"/>
      <c r="F57" s="132"/>
      <c r="G57" s="132"/>
      <c r="I57" s="471"/>
    </row>
  </sheetData>
  <sheetProtection sheet="1" objects="1" scenarios="1"/>
  <mergeCells count="40">
    <mergeCell ref="C20:G20"/>
    <mergeCell ref="C1:F1"/>
    <mergeCell ref="A5:C5"/>
    <mergeCell ref="A6:C6"/>
    <mergeCell ref="B8:C8"/>
    <mergeCell ref="B9:C9"/>
    <mergeCell ref="B12:D12"/>
    <mergeCell ref="B13:D13"/>
    <mergeCell ref="C15:G15"/>
    <mergeCell ref="C17:G17"/>
    <mergeCell ref="C18:G18"/>
    <mergeCell ref="C19:G19"/>
    <mergeCell ref="C35:G35"/>
    <mergeCell ref="C21:G21"/>
    <mergeCell ref="C23:G23"/>
    <mergeCell ref="C24:G24"/>
    <mergeCell ref="C25:G25"/>
    <mergeCell ref="C26:G26"/>
    <mergeCell ref="C27:G27"/>
    <mergeCell ref="C29:G29"/>
    <mergeCell ref="C30:G30"/>
    <mergeCell ref="C31:G31"/>
    <mergeCell ref="C32:G32"/>
    <mergeCell ref="C33:G33"/>
    <mergeCell ref="C50:G50"/>
    <mergeCell ref="C51:G51"/>
    <mergeCell ref="B53:D53"/>
    <mergeCell ref="I1:I56"/>
    <mergeCell ref="C43:G43"/>
    <mergeCell ref="C44:G44"/>
    <mergeCell ref="C45:G45"/>
    <mergeCell ref="C47:G47"/>
    <mergeCell ref="C48:G48"/>
    <mergeCell ref="C49:G49"/>
    <mergeCell ref="C36:G36"/>
    <mergeCell ref="C37:G37"/>
    <mergeCell ref="C38:G38"/>
    <mergeCell ref="C39:G39"/>
    <mergeCell ref="C41:G41"/>
    <mergeCell ref="C42:G42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38"/>
  <sheetViews>
    <sheetView workbookViewId="0">
      <selection activeCell="H5" sqref="H5"/>
    </sheetView>
  </sheetViews>
  <sheetFormatPr baseColWidth="10" defaultRowHeight="15" x14ac:dyDescent="0.25"/>
  <cols>
    <col min="8" max="8" width="26" customWidth="1"/>
    <col min="10" max="10" width="28.5703125" customWidth="1"/>
  </cols>
  <sheetData>
    <row r="1" spans="1:15" s="353" customFormat="1" ht="24.75" customHeight="1" thickBot="1" x14ac:dyDescent="0.25">
      <c r="A1" s="472" t="s">
        <v>531</v>
      </c>
      <c r="B1" s="473"/>
      <c r="C1" s="474"/>
      <c r="D1" s="475"/>
      <c r="E1" s="476"/>
      <c r="F1" s="477"/>
      <c r="G1" s="477"/>
      <c r="H1" s="478" t="str">
        <f>'[3]2-Infos'!G14</f>
        <v>Orientation montagne</v>
      </c>
      <c r="I1" s="479"/>
      <c r="J1" s="479" t="str">
        <f>'[3]2-Infos'!C14</f>
        <v>Escalade</v>
      </c>
      <c r="K1" s="408"/>
      <c r="L1" s="481" t="s">
        <v>534</v>
      </c>
      <c r="M1" s="482" t="s">
        <v>535</v>
      </c>
      <c r="N1" s="482" t="s">
        <v>536</v>
      </c>
      <c r="O1" s="483" t="s">
        <v>537</v>
      </c>
    </row>
    <row r="2" spans="1:15" ht="42" customHeight="1" thickBot="1" x14ac:dyDescent="0.3">
      <c r="A2" s="485" t="s">
        <v>532</v>
      </c>
      <c r="B2" s="486" t="s">
        <v>96</v>
      </c>
      <c r="C2" s="487" t="s">
        <v>95</v>
      </c>
      <c r="D2" s="488" t="s">
        <v>405</v>
      </c>
      <c r="E2" s="489" t="s">
        <v>464</v>
      </c>
      <c r="F2" s="490" t="s">
        <v>465</v>
      </c>
      <c r="G2" s="491" t="s">
        <v>466</v>
      </c>
      <c r="H2" s="492" t="str">
        <f>IF(H1="Avec validation","Le niveau visé est","Le niveau visé est estimé")</f>
        <v>Le niveau visé est estimé</v>
      </c>
      <c r="I2" s="493" t="str">
        <f>IF(H1="Avec validation","Si validé cocher x","Si atteint cocher x")</f>
        <v>Si atteint cocher x</v>
      </c>
      <c r="J2" s="480" t="s">
        <v>533</v>
      </c>
      <c r="K2" s="484"/>
      <c r="L2" s="481">
        <f>SUM(L3:L32)</f>
        <v>0</v>
      </c>
      <c r="M2" s="482">
        <f>SUM(M3:M32)</f>
        <v>0</v>
      </c>
      <c r="N2" s="482">
        <f>SUM(N3:N32)</f>
        <v>0</v>
      </c>
      <c r="O2" s="483">
        <f>SUM(O3:O32)</f>
        <v>0</v>
      </c>
    </row>
    <row r="3" spans="1:15" ht="64.5" customHeight="1" thickBot="1" x14ac:dyDescent="0.3">
      <c r="A3" s="494">
        <f>Intranet!B2</f>
        <v>0</v>
      </c>
      <c r="B3" s="494" t="str">
        <f>Intranet!C2</f>
        <v>Oui</v>
      </c>
      <c r="C3" s="494" t="str">
        <f>Intranet!D2</f>
        <v>charles</v>
      </c>
      <c r="D3" s="494">
        <f>Intranet!E2</f>
        <v>0</v>
      </c>
      <c r="E3" s="494">
        <f>Intranet!F2</f>
        <v>0</v>
      </c>
      <c r="F3" s="494">
        <f>Intranet!G2</f>
        <v>0</v>
      </c>
      <c r="G3" s="494">
        <f>Intranet!H2</f>
        <v>0</v>
      </c>
      <c r="H3" s="970" t="s">
        <v>538</v>
      </c>
      <c r="I3" s="971"/>
      <c r="J3" s="972"/>
      <c r="K3" s="343"/>
      <c r="L3" s="481">
        <f>IF(AND(F3="M",H3="validé"),1,0)</f>
        <v>0</v>
      </c>
      <c r="M3" s="482">
        <f>IF(AND(F3="F",H3="validé"),1,0)</f>
        <v>0</v>
      </c>
      <c r="N3" s="482">
        <f>IF(AND(F3="M",H3="non validé"),1,0)</f>
        <v>0</v>
      </c>
      <c r="O3" s="483">
        <f>IF(AND(F3="F",H3="non validé"),1,0)</f>
        <v>0</v>
      </c>
    </row>
    <row r="4" spans="1:15" ht="64.5" customHeight="1" thickBot="1" x14ac:dyDescent="0.3">
      <c r="A4" s="494">
        <f>Intranet!B3</f>
        <v>0</v>
      </c>
      <c r="B4" s="494" t="str">
        <f>Intranet!C3</f>
        <v>Non</v>
      </c>
      <c r="C4" s="494" t="str">
        <f>Intranet!D3</f>
        <v>charli</v>
      </c>
      <c r="D4" s="494">
        <f>Intranet!E3</f>
        <v>0</v>
      </c>
      <c r="E4" s="494">
        <f>Intranet!F3</f>
        <v>0</v>
      </c>
      <c r="F4" s="494">
        <f>Intranet!G3</f>
        <v>0</v>
      </c>
      <c r="G4" s="494">
        <f>Intranet!H3</f>
        <v>0</v>
      </c>
      <c r="H4" s="970" t="s">
        <v>538</v>
      </c>
      <c r="I4" s="971"/>
      <c r="J4" s="495"/>
      <c r="K4" s="343"/>
      <c r="L4" s="481">
        <f>IF(AND(F3="M",H4="globalement atteint"),1,0)</f>
        <v>0</v>
      </c>
      <c r="M4" s="482">
        <f>IF(AND(F3="F",H4="globalement atteint"),1,0)</f>
        <v>0</v>
      </c>
      <c r="N4" s="482">
        <f>IF(AND(F3="M",H4="en voie d'acquisition"),1,0)</f>
        <v>0</v>
      </c>
      <c r="O4" s="483">
        <f>IF(AND(F3="F",H4="en voie d'acquisition"),1,0)</f>
        <v>0</v>
      </c>
    </row>
    <row r="5" spans="1:15" ht="64.5" customHeight="1" thickBot="1" x14ac:dyDescent="0.3">
      <c r="A5" s="494">
        <f>Intranet!B4</f>
        <v>0</v>
      </c>
      <c r="B5" s="494" t="str">
        <f>Intranet!C4</f>
        <v>Peut-Etre</v>
      </c>
      <c r="C5" s="494" t="str">
        <f>Intranet!D4</f>
        <v>charlo</v>
      </c>
      <c r="D5" s="494">
        <f>Intranet!E4</f>
        <v>0</v>
      </c>
      <c r="E5" s="494">
        <f>Intranet!F4</f>
        <v>0</v>
      </c>
      <c r="F5" s="494">
        <f>Intranet!G4</f>
        <v>0</v>
      </c>
      <c r="G5" s="494">
        <f>Intranet!H4</f>
        <v>0</v>
      </c>
      <c r="H5" s="970"/>
      <c r="I5" s="971"/>
      <c r="J5" s="972"/>
      <c r="K5" s="143"/>
      <c r="L5" s="481">
        <f>IF(AND(F5="M",H5="validé"),1,0)</f>
        <v>0</v>
      </c>
      <c r="M5" s="482">
        <f>IF(AND(F5="F",H5="validé"),1,0)</f>
        <v>0</v>
      </c>
      <c r="N5" s="482">
        <f>IF(AND(F5="M",H5="non validé"),1,0)</f>
        <v>0</v>
      </c>
      <c r="O5" s="483">
        <f>IF(AND(F5="F",H5="non validé"),1,0)</f>
        <v>0</v>
      </c>
    </row>
    <row r="6" spans="1:15" s="3" customFormat="1" ht="64.5" customHeight="1" thickBot="1" x14ac:dyDescent="0.25">
      <c r="A6" s="494">
        <f>Intranet!B5</f>
        <v>0</v>
      </c>
      <c r="B6" s="494" t="str">
        <f>Intranet!C5</f>
        <v>Surement</v>
      </c>
      <c r="C6" s="494" t="str">
        <f>Intranet!D5</f>
        <v>charly</v>
      </c>
      <c r="D6" s="494">
        <f>Intranet!E5</f>
        <v>0</v>
      </c>
      <c r="E6" s="494">
        <f>Intranet!F5</f>
        <v>0</v>
      </c>
      <c r="F6" s="494">
        <f>Intranet!G5</f>
        <v>0</v>
      </c>
      <c r="G6" s="494">
        <f>Intranet!H5</f>
        <v>0</v>
      </c>
      <c r="H6" s="970"/>
      <c r="I6" s="971"/>
      <c r="J6" s="495"/>
      <c r="K6" s="143"/>
      <c r="L6" s="481">
        <f>IF(AND(F5="M",H6="globalement atteint"),1,0)</f>
        <v>0</v>
      </c>
      <c r="M6" s="482">
        <f>IF(AND(F5="F",H6="globalement atteint"),1,0)</f>
        <v>0</v>
      </c>
      <c r="N6" s="482">
        <f>IF(AND(F5="M",H6="en voie d'acquisition"),1,0)</f>
        <v>0</v>
      </c>
      <c r="O6" s="483">
        <f>IF(AND(F5="F",H6="en voie d'acquisition"),1,0)</f>
        <v>0</v>
      </c>
    </row>
    <row r="7" spans="1:15" s="3" customFormat="1" ht="64.5" customHeight="1" thickBot="1" x14ac:dyDescent="0.25">
      <c r="A7" s="494">
        <f>Intranet!B6</f>
        <v>0</v>
      </c>
      <c r="B7" s="494" t="str">
        <f>Intranet!C6</f>
        <v>Pourquoi pas</v>
      </c>
      <c r="C7" s="494" t="str">
        <f>Intranet!D6</f>
        <v>charlu</v>
      </c>
      <c r="D7" s="494">
        <f>Intranet!E6</f>
        <v>0</v>
      </c>
      <c r="E7" s="494">
        <f>Intranet!F6</f>
        <v>0</v>
      </c>
      <c r="F7" s="494">
        <f>Intranet!G6</f>
        <v>0</v>
      </c>
      <c r="G7" s="494">
        <f>Intranet!H6</f>
        <v>0</v>
      </c>
      <c r="H7" s="970"/>
      <c r="I7" s="971"/>
      <c r="J7" s="972"/>
      <c r="K7" s="143"/>
      <c r="L7" s="481">
        <f>IF(AND(F7="M",H7="validé"),1,0)</f>
        <v>0</v>
      </c>
      <c r="M7" s="482">
        <f>IF(AND(F7="F",H7="validé"),1,0)</f>
        <v>0</v>
      </c>
      <c r="N7" s="482">
        <f>IF(AND(F7="M",H7="non validé"),1,0)</f>
        <v>0</v>
      </c>
      <c r="O7" s="483">
        <f>IF(AND(F7="F",H7="non validé"),1,0)</f>
        <v>0</v>
      </c>
    </row>
    <row r="8" spans="1:15" s="3" customFormat="1" ht="64.5" customHeight="1" thickBot="1" x14ac:dyDescent="0.25">
      <c r="A8" s="494">
        <f>Intranet!B7</f>
        <v>0</v>
      </c>
      <c r="B8" s="494" t="str">
        <f>Intranet!C7</f>
        <v>oj</v>
      </c>
      <c r="C8" s="494" t="str">
        <f>Intranet!D7</f>
        <v>charla</v>
      </c>
      <c r="D8" s="494">
        <f>Intranet!E7</f>
        <v>0</v>
      </c>
      <c r="E8" s="494">
        <f>Intranet!F7</f>
        <v>0</v>
      </c>
      <c r="F8" s="494">
        <f>Intranet!G7</f>
        <v>0</v>
      </c>
      <c r="G8" s="494">
        <f>Intranet!H7</f>
        <v>0</v>
      </c>
      <c r="H8" s="970"/>
      <c r="I8" s="971"/>
      <c r="J8" s="495"/>
      <c r="K8" s="143"/>
      <c r="L8" s="481">
        <f>IF(AND(F7="M",H8="globalement atteint"),1,0)</f>
        <v>0</v>
      </c>
      <c r="M8" s="482">
        <f>IF(AND(F7="F",H8="globalement atteint"),1,0)</f>
        <v>0</v>
      </c>
      <c r="N8" s="482">
        <f>IF(AND(F7="M",H8="en voie d'acquisition"),1,0)</f>
        <v>0</v>
      </c>
      <c r="O8" s="483">
        <f>IF(AND(F7="F",H8="en voie d'acquisition"),1,0)</f>
        <v>0</v>
      </c>
    </row>
    <row r="9" spans="1:15" s="3" customFormat="1" ht="64.5" customHeight="1" thickBot="1" x14ac:dyDescent="0.25">
      <c r="A9" s="494">
        <f>Intranet!B8</f>
        <v>0</v>
      </c>
      <c r="B9" s="494">
        <f>Intranet!C8</f>
        <v>0</v>
      </c>
      <c r="C9" s="494">
        <f>Intranet!D8</f>
        <v>0</v>
      </c>
      <c r="D9" s="494">
        <f>Intranet!E8</f>
        <v>0</v>
      </c>
      <c r="E9" s="494">
        <f>Intranet!F8</f>
        <v>0</v>
      </c>
      <c r="F9" s="494">
        <f>Intranet!G8</f>
        <v>0</v>
      </c>
      <c r="G9" s="494">
        <f>Intranet!H8</f>
        <v>0</v>
      </c>
      <c r="H9" s="970"/>
      <c r="I9" s="971"/>
      <c r="J9" s="972"/>
      <c r="K9" s="343"/>
      <c r="L9" s="481">
        <f>IF(AND(F9="M",H9="validé"),1,0)</f>
        <v>0</v>
      </c>
      <c r="M9" s="482">
        <f>IF(AND(F9="F",H9="validé"),1,0)</f>
        <v>0</v>
      </c>
      <c r="N9" s="482">
        <f>IF(AND(F9="M",H9="non validé"),1,0)</f>
        <v>0</v>
      </c>
      <c r="O9" s="483">
        <f>IF(AND(F9="F",H9="non validé"),1,0)</f>
        <v>0</v>
      </c>
    </row>
    <row r="10" spans="1:15" ht="64.5" customHeight="1" thickBot="1" x14ac:dyDescent="0.3">
      <c r="A10" s="494">
        <f>Intranet!B9</f>
        <v>0</v>
      </c>
      <c r="B10" s="494">
        <f>Intranet!C9</f>
        <v>0</v>
      </c>
      <c r="C10" s="494">
        <f>Intranet!D9</f>
        <v>0</v>
      </c>
      <c r="D10" s="494">
        <f>Intranet!E9</f>
        <v>0</v>
      </c>
      <c r="E10" s="494">
        <f>Intranet!F9</f>
        <v>0</v>
      </c>
      <c r="F10" s="494">
        <f>Intranet!G9</f>
        <v>0</v>
      </c>
      <c r="G10" s="494">
        <f>Intranet!H9</f>
        <v>0</v>
      </c>
      <c r="H10" s="970"/>
      <c r="I10" s="971"/>
      <c r="J10" s="495"/>
      <c r="K10" s="343"/>
      <c r="L10" s="481">
        <f>IF(AND(F9="M",H10="globalement atteint"),1,0)</f>
        <v>0</v>
      </c>
      <c r="M10" s="482">
        <f>IF(AND(F9="F",H10="globalement atteint"),1,0)</f>
        <v>0</v>
      </c>
      <c r="N10" s="482">
        <f>IF(AND(F9="M",H10="en voie d'acquisition"),1,0)</f>
        <v>0</v>
      </c>
      <c r="O10" s="483">
        <f>IF(AND(F9="F",H10="en voie d'acquisition"),1,0)</f>
        <v>0</v>
      </c>
    </row>
    <row r="11" spans="1:15" ht="64.5" customHeight="1" thickBot="1" x14ac:dyDescent="0.3">
      <c r="A11" s="494">
        <f>Intranet!B10</f>
        <v>0</v>
      </c>
      <c r="B11" s="494">
        <f>Intranet!C10</f>
        <v>0</v>
      </c>
      <c r="C11" s="494">
        <f>Intranet!D10</f>
        <v>0</v>
      </c>
      <c r="D11" s="494">
        <f>Intranet!E10</f>
        <v>0</v>
      </c>
      <c r="E11" s="494">
        <f>Intranet!F10</f>
        <v>0</v>
      </c>
      <c r="F11" s="494">
        <f>Intranet!G10</f>
        <v>0</v>
      </c>
      <c r="G11" s="494">
        <f>Intranet!H10</f>
        <v>0</v>
      </c>
      <c r="H11" s="970"/>
      <c r="I11" s="971"/>
      <c r="J11" s="972"/>
      <c r="K11" s="343"/>
      <c r="L11" s="481">
        <f>IF(AND(F11="M",H11="validé"),1,0)</f>
        <v>0</v>
      </c>
      <c r="M11" s="482">
        <f>IF(AND(F11="F",H11="validé"),1,0)</f>
        <v>0</v>
      </c>
      <c r="N11" s="482">
        <f>IF(AND(F11="M",H11="non validé"),1,0)</f>
        <v>0</v>
      </c>
      <c r="O11" s="483">
        <f>IF(AND(F11="F",H11="non validé"),1,0)</f>
        <v>0</v>
      </c>
    </row>
    <row r="12" spans="1:15" ht="64.5" customHeight="1" thickBot="1" x14ac:dyDescent="0.3">
      <c r="A12" s="494">
        <f>Intranet!B11</f>
        <v>0</v>
      </c>
      <c r="B12" s="494">
        <f>Intranet!C11</f>
        <v>0</v>
      </c>
      <c r="C12" s="494">
        <f>Intranet!D11</f>
        <v>0</v>
      </c>
      <c r="D12" s="494">
        <f>Intranet!E11</f>
        <v>0</v>
      </c>
      <c r="E12" s="494">
        <f>Intranet!F11</f>
        <v>0</v>
      </c>
      <c r="F12" s="494">
        <f>Intranet!G11</f>
        <v>0</v>
      </c>
      <c r="G12" s="494">
        <f>Intranet!H11</f>
        <v>0</v>
      </c>
      <c r="H12" s="970"/>
      <c r="I12" s="971"/>
      <c r="J12" s="495"/>
      <c r="K12" s="343"/>
      <c r="L12" s="481">
        <f>IF(AND(F11="M",H12="globalement atteint"),1,0)</f>
        <v>0</v>
      </c>
      <c r="M12" s="482">
        <f>IF(AND(F11="F",H12="globalement atteint"),1,0)</f>
        <v>0</v>
      </c>
      <c r="N12" s="482">
        <f>IF(AND(F11="M",H12="en voie d'acquisition"),1,0)</f>
        <v>0</v>
      </c>
      <c r="O12" s="483">
        <f>IF(AND(F11="F",H12="en voie d'acquisition"),1,0)</f>
        <v>0</v>
      </c>
    </row>
    <row r="13" spans="1:15" ht="64.5" customHeight="1" thickBot="1" x14ac:dyDescent="0.3">
      <c r="A13" s="494">
        <f>Intranet!B12</f>
        <v>0</v>
      </c>
      <c r="B13" s="494">
        <f>Intranet!C12</f>
        <v>0</v>
      </c>
      <c r="C13" s="494">
        <f>Intranet!D12</f>
        <v>0</v>
      </c>
      <c r="D13" s="494">
        <f>Intranet!E12</f>
        <v>0</v>
      </c>
      <c r="E13" s="494">
        <f>Intranet!F12</f>
        <v>0</v>
      </c>
      <c r="F13" s="494">
        <f>Intranet!G12</f>
        <v>0</v>
      </c>
      <c r="G13" s="494">
        <f>Intranet!H12</f>
        <v>0</v>
      </c>
      <c r="H13" s="970"/>
      <c r="I13" s="971"/>
      <c r="J13" s="972"/>
      <c r="K13" s="343"/>
      <c r="L13" s="481">
        <f>IF(AND(F13="M",H13="validé"),1,0)</f>
        <v>0</v>
      </c>
      <c r="M13" s="482">
        <f>IF(AND(F13="F",H13="validé"),1,0)</f>
        <v>0</v>
      </c>
      <c r="N13" s="482">
        <f>IF(AND(F13="M",H13="non validé"),1,0)</f>
        <v>0</v>
      </c>
      <c r="O13" s="483">
        <f>IF(AND(F13="F",H13="non validé"),1,0)</f>
        <v>0</v>
      </c>
    </row>
    <row r="14" spans="1:15" ht="64.5" customHeight="1" thickBot="1" x14ac:dyDescent="0.3">
      <c r="A14" s="494">
        <f>Intranet!B13</f>
        <v>0</v>
      </c>
      <c r="B14" s="494">
        <f>Intranet!C13</f>
        <v>0</v>
      </c>
      <c r="C14" s="494">
        <f>Intranet!D13</f>
        <v>0</v>
      </c>
      <c r="D14" s="494">
        <f>Intranet!E13</f>
        <v>0</v>
      </c>
      <c r="E14" s="494">
        <f>Intranet!F13</f>
        <v>0</v>
      </c>
      <c r="F14" s="494">
        <f>Intranet!G13</f>
        <v>0</v>
      </c>
      <c r="G14" s="494">
        <f>Intranet!H13</f>
        <v>0</v>
      </c>
      <c r="H14" s="970"/>
      <c r="I14" s="971"/>
      <c r="J14" s="495"/>
      <c r="K14" s="343"/>
      <c r="L14" s="481">
        <f>IF(AND(F13="M",H14="globalement atteint"),1,0)</f>
        <v>0</v>
      </c>
      <c r="M14" s="482">
        <f>IF(AND(F13="F",H14="globalement atteint"),1,0)</f>
        <v>0</v>
      </c>
      <c r="N14" s="482">
        <f>IF(AND(F13="M",H14="en voie d'acquisition"),1,0)</f>
        <v>0</v>
      </c>
      <c r="O14" s="483">
        <f>IF(AND(F13="F",H14="en voie d'acquisition"),1,0)</f>
        <v>0</v>
      </c>
    </row>
    <row r="15" spans="1:15" ht="64.5" customHeight="1" thickBot="1" x14ac:dyDescent="0.3">
      <c r="A15" s="494">
        <f>Intranet!B14</f>
        <v>0</v>
      </c>
      <c r="B15" s="494">
        <f>Intranet!C14</f>
        <v>0</v>
      </c>
      <c r="C15" s="494">
        <f>Intranet!D14</f>
        <v>0</v>
      </c>
      <c r="D15" s="494">
        <f>Intranet!E14</f>
        <v>0</v>
      </c>
      <c r="E15" s="494">
        <f>Intranet!F14</f>
        <v>0</v>
      </c>
      <c r="F15" s="494">
        <f>Intranet!G14</f>
        <v>0</v>
      </c>
      <c r="G15" s="494">
        <f>Intranet!H14</f>
        <v>0</v>
      </c>
      <c r="H15" s="970"/>
      <c r="I15" s="971"/>
      <c r="J15" s="972"/>
      <c r="K15" s="343"/>
      <c r="L15" s="481">
        <f>IF(AND(F15="M",H15="validé"),1,0)</f>
        <v>0</v>
      </c>
      <c r="M15" s="482">
        <f>IF(AND(F15="F",H15="validé"),1,0)</f>
        <v>0</v>
      </c>
      <c r="N15" s="482">
        <f>IF(AND(F15="M",H15="non validé"),1,0)</f>
        <v>0</v>
      </c>
      <c r="O15" s="483">
        <f>IF(AND(F15="F",H15="non validé"),1,0)</f>
        <v>0</v>
      </c>
    </row>
    <row r="16" spans="1:15" ht="64.5" customHeight="1" thickBot="1" x14ac:dyDescent="0.3">
      <c r="A16" s="494">
        <f>Intranet!B15</f>
        <v>0</v>
      </c>
      <c r="B16" s="494">
        <f>Intranet!C15</f>
        <v>0</v>
      </c>
      <c r="C16" s="494">
        <f>Intranet!D15</f>
        <v>0</v>
      </c>
      <c r="D16" s="494">
        <f>Intranet!E15</f>
        <v>0</v>
      </c>
      <c r="E16" s="494">
        <f>Intranet!F15</f>
        <v>0</v>
      </c>
      <c r="F16" s="494">
        <f>Intranet!G15</f>
        <v>0</v>
      </c>
      <c r="G16" s="494">
        <f>Intranet!H15</f>
        <v>0</v>
      </c>
      <c r="H16" s="970"/>
      <c r="I16" s="971"/>
      <c r="J16" s="495"/>
      <c r="K16" s="343"/>
      <c r="L16" s="481">
        <f>IF(AND(F15="M",H16="globalement atteint"),1,0)</f>
        <v>0</v>
      </c>
      <c r="M16" s="482">
        <f>IF(AND(F15="F",H16="globalement atteint"),1,0)</f>
        <v>0</v>
      </c>
      <c r="N16" s="482">
        <f>IF(AND(F15="M",H16="en voie d'acquisition"),1,0)</f>
        <v>0</v>
      </c>
      <c r="O16" s="483">
        <f>IF(AND(F15="F",H16="en voie d'acquisition"),1,0)</f>
        <v>0</v>
      </c>
    </row>
    <row r="17" spans="1:15" ht="64.5" customHeight="1" thickBot="1" x14ac:dyDescent="0.3">
      <c r="A17" s="494">
        <f>Intranet!B16</f>
        <v>0</v>
      </c>
      <c r="B17" s="494">
        <f>Intranet!C16</f>
        <v>0</v>
      </c>
      <c r="C17" s="494">
        <f>Intranet!D16</f>
        <v>0</v>
      </c>
      <c r="D17" s="494">
        <f>Intranet!E16</f>
        <v>0</v>
      </c>
      <c r="E17" s="494">
        <f>Intranet!F16</f>
        <v>0</v>
      </c>
      <c r="F17" s="494">
        <f>Intranet!G16</f>
        <v>0</v>
      </c>
      <c r="G17" s="494">
        <f>Intranet!H16</f>
        <v>0</v>
      </c>
      <c r="H17" s="970"/>
      <c r="I17" s="971"/>
      <c r="J17" s="972"/>
      <c r="K17" s="343"/>
      <c r="L17" s="481">
        <f>IF(AND(F17="M",H17="validé"),1,0)</f>
        <v>0</v>
      </c>
      <c r="M17" s="482">
        <f>IF(AND(F17="F",H17="validé"),1,0)</f>
        <v>0</v>
      </c>
      <c r="N17" s="482">
        <f>IF(AND(F17="M",H17="non validé"),1,0)</f>
        <v>0</v>
      </c>
      <c r="O17" s="483">
        <f>IF(AND(F17="F",H17="non validé"),1,0)</f>
        <v>0</v>
      </c>
    </row>
    <row r="18" spans="1:15" ht="64.5" customHeight="1" thickBot="1" x14ac:dyDescent="0.3">
      <c r="A18" s="494">
        <f>Intranet!B17</f>
        <v>0</v>
      </c>
      <c r="B18" s="494">
        <f>Intranet!C17</f>
        <v>0</v>
      </c>
      <c r="C18" s="494">
        <f>Intranet!D17</f>
        <v>0</v>
      </c>
      <c r="D18" s="494">
        <f>Intranet!E17</f>
        <v>0</v>
      </c>
      <c r="E18" s="494">
        <f>Intranet!F17</f>
        <v>0</v>
      </c>
      <c r="F18" s="494">
        <f>Intranet!G17</f>
        <v>0</v>
      </c>
      <c r="G18" s="494">
        <f>Intranet!H17</f>
        <v>0</v>
      </c>
      <c r="H18" s="970"/>
      <c r="I18" s="971"/>
      <c r="J18" s="495"/>
      <c r="K18" s="343"/>
      <c r="L18" s="481">
        <f>IF(AND(F17="M",H18="globalement atteint"),1,0)</f>
        <v>0</v>
      </c>
      <c r="M18" s="482">
        <f>IF(AND(F17="F",H18="globalement atteint"),1,0)</f>
        <v>0</v>
      </c>
      <c r="N18" s="482">
        <f>IF(AND(F17="M",H18="en voie d'acquisition"),1,0)</f>
        <v>0</v>
      </c>
      <c r="O18" s="483">
        <f>IF(AND(F17="F",H18="en voie d'acquisition"),1,0)</f>
        <v>0</v>
      </c>
    </row>
    <row r="19" spans="1:15" ht="64.5" customHeight="1" thickBot="1" x14ac:dyDescent="0.3">
      <c r="A19" s="494">
        <f>Intranet!B18</f>
        <v>0</v>
      </c>
      <c r="B19" s="494">
        <f>Intranet!C18</f>
        <v>0</v>
      </c>
      <c r="C19" s="494">
        <f>Intranet!D18</f>
        <v>0</v>
      </c>
      <c r="D19" s="494">
        <f>Intranet!E18</f>
        <v>0</v>
      </c>
      <c r="E19" s="494">
        <f>Intranet!F18</f>
        <v>0</v>
      </c>
      <c r="F19" s="494">
        <f>Intranet!G18</f>
        <v>0</v>
      </c>
      <c r="G19" s="494">
        <f>Intranet!H18</f>
        <v>0</v>
      </c>
      <c r="H19" s="970"/>
      <c r="I19" s="971"/>
      <c r="J19" s="972"/>
      <c r="K19" s="343"/>
      <c r="L19" s="481">
        <f>IF(AND(F19="M",H19="validé"),1,0)</f>
        <v>0</v>
      </c>
      <c r="M19" s="482">
        <f>IF(AND(F19="F",H19="validé"),1,0)</f>
        <v>0</v>
      </c>
      <c r="N19" s="482">
        <f>IF(AND(F19="M",H19="non validé"),1,0)</f>
        <v>0</v>
      </c>
      <c r="O19" s="483">
        <f>IF(AND(F19="F",H19="non validé"),1,0)</f>
        <v>0</v>
      </c>
    </row>
    <row r="20" spans="1:15" ht="64.5" customHeight="1" thickBot="1" x14ac:dyDescent="0.3">
      <c r="A20" s="494">
        <f>Intranet!B19</f>
        <v>0</v>
      </c>
      <c r="B20" s="494">
        <f>Intranet!C19</f>
        <v>0</v>
      </c>
      <c r="C20" s="494">
        <f>Intranet!D19</f>
        <v>0</v>
      </c>
      <c r="D20" s="494">
        <f>Intranet!E19</f>
        <v>0</v>
      </c>
      <c r="E20" s="494">
        <f>Intranet!F19</f>
        <v>0</v>
      </c>
      <c r="F20" s="494">
        <f>Intranet!G19</f>
        <v>0</v>
      </c>
      <c r="G20" s="494">
        <f>Intranet!H19</f>
        <v>0</v>
      </c>
      <c r="H20" s="970"/>
      <c r="I20" s="971"/>
      <c r="J20" s="495"/>
      <c r="K20" s="343"/>
      <c r="L20" s="481">
        <f>IF(AND(F19="M",H20="globalement atteint"),1,0)</f>
        <v>0</v>
      </c>
      <c r="M20" s="482">
        <f>IF(AND(F19="F",H20="globalement atteint"),1,0)</f>
        <v>0</v>
      </c>
      <c r="N20" s="482">
        <f>IF(AND(F19="M",H20="en voie d'acquisition"),1,0)</f>
        <v>0</v>
      </c>
      <c r="O20" s="483">
        <f>IF(AND(F19="F",H20="en voie d'acquisition"),1,0)</f>
        <v>0</v>
      </c>
    </row>
    <row r="21" spans="1:15" ht="64.5" customHeight="1" thickBot="1" x14ac:dyDescent="0.3">
      <c r="A21" s="494">
        <f>Intranet!B20</f>
        <v>0</v>
      </c>
      <c r="B21" s="494">
        <f>Intranet!C20</f>
        <v>0</v>
      </c>
      <c r="C21" s="494">
        <f>Intranet!D20</f>
        <v>0</v>
      </c>
      <c r="D21" s="494">
        <f>Intranet!E20</f>
        <v>0</v>
      </c>
      <c r="E21" s="494">
        <f>Intranet!F20</f>
        <v>0</v>
      </c>
      <c r="F21" s="494">
        <f>Intranet!G20</f>
        <v>0</v>
      </c>
      <c r="G21" s="494">
        <f>Intranet!H20</f>
        <v>0</v>
      </c>
      <c r="H21" s="970"/>
      <c r="I21" s="971"/>
      <c r="J21" s="972"/>
      <c r="K21" s="343"/>
      <c r="L21" s="481">
        <f>IF(AND(F21="M",H21="validé"),1,0)</f>
        <v>0</v>
      </c>
      <c r="M21" s="482">
        <f>IF(AND(F21="F",H21="validé"),1,0)</f>
        <v>0</v>
      </c>
      <c r="N21" s="482">
        <f>IF(AND(F21="M",H21="non validé"),1,0)</f>
        <v>0</v>
      </c>
      <c r="O21" s="483">
        <f>IF(AND(F21="F",H21="non validé"),1,0)</f>
        <v>0</v>
      </c>
    </row>
    <row r="22" spans="1:15" ht="64.5" customHeight="1" thickBot="1" x14ac:dyDescent="0.3">
      <c r="A22" s="494">
        <f>Intranet!B21</f>
        <v>0</v>
      </c>
      <c r="B22" s="494">
        <f>Intranet!C21</f>
        <v>0</v>
      </c>
      <c r="C22" s="494">
        <f>Intranet!D21</f>
        <v>0</v>
      </c>
      <c r="D22" s="494">
        <f>Intranet!E21</f>
        <v>0</v>
      </c>
      <c r="E22" s="494">
        <f>Intranet!F21</f>
        <v>0</v>
      </c>
      <c r="F22" s="494">
        <f>Intranet!G21</f>
        <v>0</v>
      </c>
      <c r="G22" s="494">
        <f>Intranet!H21</f>
        <v>0</v>
      </c>
      <c r="H22" s="970"/>
      <c r="I22" s="971"/>
      <c r="J22" s="495"/>
      <c r="K22" s="343"/>
      <c r="L22" s="481">
        <f>IF(AND(F21="M",H22="globalement atteint"),1,0)</f>
        <v>0</v>
      </c>
      <c r="M22" s="482">
        <f>IF(AND(F21="F",H22="globalement atteint"),1,0)</f>
        <v>0</v>
      </c>
      <c r="N22" s="482">
        <f>IF(AND(F21="M",H22="en voie d'acquisition"),1,0)</f>
        <v>0</v>
      </c>
      <c r="O22" s="483">
        <f>IF(AND(F21="F",H22="en voie d'acquisition"),1,0)</f>
        <v>0</v>
      </c>
    </row>
    <row r="23" spans="1:15" ht="64.5" customHeight="1" thickBot="1" x14ac:dyDescent="0.3">
      <c r="A23" s="494">
        <f>Intranet!B22</f>
        <v>0</v>
      </c>
      <c r="B23" s="494">
        <f>Intranet!C22</f>
        <v>0</v>
      </c>
      <c r="C23" s="494">
        <f>Intranet!D22</f>
        <v>0</v>
      </c>
      <c r="D23" s="494">
        <f>Intranet!E22</f>
        <v>0</v>
      </c>
      <c r="E23" s="494">
        <f>Intranet!F22</f>
        <v>0</v>
      </c>
      <c r="F23" s="494">
        <f>Intranet!G22</f>
        <v>0</v>
      </c>
      <c r="G23" s="494">
        <f>Intranet!H22</f>
        <v>0</v>
      </c>
      <c r="H23" s="970"/>
      <c r="I23" s="971"/>
      <c r="J23" s="972"/>
      <c r="K23" s="343"/>
      <c r="L23" s="481">
        <f>IF(AND(F23="M",H23="validé"),1,0)</f>
        <v>0</v>
      </c>
      <c r="M23" s="482">
        <f>IF(AND(F23="F",H23="validé"),1,0)</f>
        <v>0</v>
      </c>
      <c r="N23" s="482">
        <f>IF(AND(F23="M",H23="non validé"),1,0)</f>
        <v>0</v>
      </c>
      <c r="O23" s="483">
        <f>IF(AND(F23="F",H23="non validé"),1,0)</f>
        <v>0</v>
      </c>
    </row>
    <row r="24" spans="1:15" ht="64.5" customHeight="1" thickBot="1" x14ac:dyDescent="0.3">
      <c r="A24" s="494">
        <f>Intranet!B23</f>
        <v>0</v>
      </c>
      <c r="B24" s="494">
        <f>Intranet!C23</f>
        <v>0</v>
      </c>
      <c r="C24" s="494">
        <f>Intranet!D23</f>
        <v>0</v>
      </c>
      <c r="D24" s="494">
        <f>Intranet!E23</f>
        <v>0</v>
      </c>
      <c r="E24" s="494">
        <f>Intranet!F23</f>
        <v>0</v>
      </c>
      <c r="F24" s="494">
        <f>Intranet!G23</f>
        <v>0</v>
      </c>
      <c r="G24" s="494">
        <f>Intranet!H23</f>
        <v>0</v>
      </c>
      <c r="H24" s="970"/>
      <c r="I24" s="971"/>
      <c r="J24" s="495"/>
      <c r="K24" s="343"/>
      <c r="L24" s="481">
        <f>IF(AND(F23="M",H24="globalement atteint"),1,0)</f>
        <v>0</v>
      </c>
      <c r="M24" s="482">
        <f>IF(AND(F23="F",H24="globalement atteint"),1,0)</f>
        <v>0</v>
      </c>
      <c r="N24" s="482">
        <f>IF(AND(F23="M",H24="en voie d'acquisition"),1,0)</f>
        <v>0</v>
      </c>
      <c r="O24" s="483">
        <f>IF(AND(F23="F",H24="en voie d'acquisition"),1,0)</f>
        <v>0</v>
      </c>
    </row>
    <row r="25" spans="1:15" ht="64.5" customHeight="1" thickBot="1" x14ac:dyDescent="0.3">
      <c r="A25" s="494">
        <f>Intranet!B24</f>
        <v>0</v>
      </c>
      <c r="B25" s="494">
        <f>Intranet!C24</f>
        <v>0</v>
      </c>
      <c r="C25" s="494">
        <f>Intranet!D24</f>
        <v>0</v>
      </c>
      <c r="D25" s="494">
        <f>Intranet!E24</f>
        <v>0</v>
      </c>
      <c r="E25" s="494">
        <f>Intranet!F24</f>
        <v>0</v>
      </c>
      <c r="F25" s="494">
        <f>Intranet!G24</f>
        <v>0</v>
      </c>
      <c r="G25" s="494">
        <f>Intranet!H24</f>
        <v>0</v>
      </c>
      <c r="H25" s="970"/>
      <c r="I25" s="971"/>
      <c r="J25" s="972"/>
      <c r="K25" s="343"/>
      <c r="L25" s="481">
        <f>IF(AND(F25="M",H25="validé"),1,0)</f>
        <v>0</v>
      </c>
      <c r="M25" s="482">
        <f>IF(AND(F25="F",H25="validé"),1,0)</f>
        <v>0</v>
      </c>
      <c r="N25" s="482">
        <f>IF(AND(F25="M",H25="non validé"),1,0)</f>
        <v>0</v>
      </c>
      <c r="O25" s="483">
        <f>IF(AND(F25="F",H25="non validé"),1,0)</f>
        <v>0</v>
      </c>
    </row>
    <row r="26" spans="1:15" ht="64.5" customHeight="1" thickBot="1" x14ac:dyDescent="0.3">
      <c r="A26" s="494">
        <f>Intranet!B25</f>
        <v>0</v>
      </c>
      <c r="B26" s="494">
        <f>Intranet!C25</f>
        <v>0</v>
      </c>
      <c r="C26" s="494">
        <f>Intranet!D25</f>
        <v>0</v>
      </c>
      <c r="D26" s="494">
        <f>Intranet!E25</f>
        <v>0</v>
      </c>
      <c r="E26" s="494">
        <f>Intranet!F25</f>
        <v>0</v>
      </c>
      <c r="F26" s="494">
        <f>Intranet!G25</f>
        <v>0</v>
      </c>
      <c r="G26" s="494">
        <f>Intranet!H25</f>
        <v>0</v>
      </c>
      <c r="H26" s="970"/>
      <c r="I26" s="971"/>
      <c r="J26" s="495"/>
      <c r="K26" s="343"/>
      <c r="L26" s="481">
        <f>IF(AND(F25="M",H26="globalement atteint"),1,0)</f>
        <v>0</v>
      </c>
      <c r="M26" s="482">
        <f>IF(AND(F25="F",H26="globalement atteint"),1,0)</f>
        <v>0</v>
      </c>
      <c r="N26" s="482">
        <f>IF(AND(F25="M",H26="en voie d'acquisition"),1,0)</f>
        <v>0</v>
      </c>
      <c r="O26" s="483">
        <f>IF(AND(F25="F",H26="en voie d'acquisition"),1,0)</f>
        <v>0</v>
      </c>
    </row>
    <row r="27" spans="1:15" ht="64.5" customHeight="1" thickBot="1" x14ac:dyDescent="0.3">
      <c r="A27" s="494">
        <f>Intranet!B26</f>
        <v>0</v>
      </c>
      <c r="B27" s="494">
        <f>Intranet!C26</f>
        <v>0</v>
      </c>
      <c r="C27" s="494">
        <f>Intranet!D26</f>
        <v>0</v>
      </c>
      <c r="D27" s="494">
        <f>Intranet!E26</f>
        <v>0</v>
      </c>
      <c r="E27" s="494">
        <f>Intranet!F26</f>
        <v>0</v>
      </c>
      <c r="F27" s="494">
        <f>Intranet!G26</f>
        <v>0</v>
      </c>
      <c r="G27" s="494">
        <f>Intranet!H26</f>
        <v>0</v>
      </c>
      <c r="H27" s="970"/>
      <c r="I27" s="971"/>
      <c r="J27" s="972"/>
      <c r="K27" s="343"/>
      <c r="L27" s="481">
        <f>IF(AND(F27="M",H27="validé"),1,0)</f>
        <v>0</v>
      </c>
      <c r="M27" s="482">
        <f>IF(AND(F27="F",H27="validé"),1,0)</f>
        <v>0</v>
      </c>
      <c r="N27" s="482">
        <f>IF(AND(F27="M",H27="non validé"),1,0)</f>
        <v>0</v>
      </c>
      <c r="O27" s="483">
        <f>IF(AND(F27="F",H27="non validé"),1,0)</f>
        <v>0</v>
      </c>
    </row>
    <row r="28" spans="1:15" ht="64.5" customHeight="1" thickBot="1" x14ac:dyDescent="0.3">
      <c r="A28" s="494">
        <f>Intranet!B27</f>
        <v>0</v>
      </c>
      <c r="B28" s="494">
        <f>Intranet!C27</f>
        <v>0</v>
      </c>
      <c r="C28" s="494">
        <f>Intranet!D27</f>
        <v>0</v>
      </c>
      <c r="D28" s="494">
        <f>Intranet!E27</f>
        <v>0</v>
      </c>
      <c r="E28" s="494">
        <f>Intranet!F27</f>
        <v>0</v>
      </c>
      <c r="F28" s="494">
        <f>Intranet!G27</f>
        <v>0</v>
      </c>
      <c r="G28" s="494">
        <f>Intranet!H27</f>
        <v>0</v>
      </c>
      <c r="H28" s="970"/>
      <c r="I28" s="971"/>
      <c r="J28" s="495"/>
      <c r="K28" s="343"/>
      <c r="L28" s="481">
        <f>IF(AND(F27="M",H28="globalement atteint"),1,0)</f>
        <v>0</v>
      </c>
      <c r="M28" s="482">
        <f>IF(AND(F27="F",H28="globalement atteint"),1,0)</f>
        <v>0</v>
      </c>
      <c r="N28" s="482">
        <f>IF(AND(F27="M",H28="en voie d'acquisition"),1,0)</f>
        <v>0</v>
      </c>
      <c r="O28" s="483">
        <f>IF(AND(F27="F",H28="en voie d'acquisition"),1,0)</f>
        <v>0</v>
      </c>
    </row>
    <row r="29" spans="1:15" ht="64.5" customHeight="1" thickBot="1" x14ac:dyDescent="0.3">
      <c r="A29" s="494">
        <f>Intranet!B28</f>
        <v>0</v>
      </c>
      <c r="B29" s="494">
        <f>Intranet!C28</f>
        <v>0</v>
      </c>
      <c r="C29" s="494">
        <f>Intranet!D28</f>
        <v>0</v>
      </c>
      <c r="D29" s="494">
        <f>Intranet!E28</f>
        <v>0</v>
      </c>
      <c r="E29" s="494">
        <f>Intranet!F28</f>
        <v>0</v>
      </c>
      <c r="F29" s="494">
        <f>Intranet!G28</f>
        <v>0</v>
      </c>
      <c r="G29" s="494">
        <f>Intranet!H28</f>
        <v>0</v>
      </c>
      <c r="H29" s="970"/>
      <c r="I29" s="971"/>
      <c r="J29" s="972"/>
      <c r="K29" s="343"/>
      <c r="L29" s="481">
        <f>IF(AND(F29="M",H29="validé"),1,0)</f>
        <v>0</v>
      </c>
      <c r="M29" s="482">
        <f>IF(AND(F29="F",H29="validé"),1,0)</f>
        <v>0</v>
      </c>
      <c r="N29" s="482">
        <f>IF(AND(F29="M",H29="non validé"),1,0)</f>
        <v>0</v>
      </c>
      <c r="O29" s="483">
        <f>IF(AND(F29="F",H29="non validé"),1,0)</f>
        <v>0</v>
      </c>
    </row>
    <row r="30" spans="1:15" ht="64.5" customHeight="1" thickBot="1" x14ac:dyDescent="0.3">
      <c r="A30" s="494">
        <f>Intranet!B29</f>
        <v>0</v>
      </c>
      <c r="B30" s="494">
        <f>Intranet!C29</f>
        <v>0</v>
      </c>
      <c r="C30" s="494">
        <f>Intranet!D29</f>
        <v>0</v>
      </c>
      <c r="D30" s="494">
        <f>Intranet!E29</f>
        <v>0</v>
      </c>
      <c r="E30" s="494">
        <f>Intranet!F29</f>
        <v>0</v>
      </c>
      <c r="F30" s="494">
        <f>Intranet!G29</f>
        <v>0</v>
      </c>
      <c r="G30" s="494">
        <f>Intranet!H29</f>
        <v>0</v>
      </c>
      <c r="H30" s="970"/>
      <c r="I30" s="971"/>
      <c r="J30" s="495"/>
      <c r="K30" s="343"/>
      <c r="L30" s="481">
        <f>IF(AND(F29="M",H30="globalement atteint"),1,0)</f>
        <v>0</v>
      </c>
      <c r="M30" s="482">
        <f>IF(AND(F29="F",H30="globalement atteint"),1,0)</f>
        <v>0</v>
      </c>
      <c r="N30" s="482">
        <f>IF(AND(F29="M",H30="en voie d'acquisition"),1,0)</f>
        <v>0</v>
      </c>
      <c r="O30" s="483">
        <f>IF(AND(F29="F",H30="en voie d'acquisition"),1,0)</f>
        <v>0</v>
      </c>
    </row>
    <row r="31" spans="1:15" ht="64.5" customHeight="1" thickBot="1" x14ac:dyDescent="0.3">
      <c r="A31" s="494">
        <f>Intranet!B30</f>
        <v>0</v>
      </c>
      <c r="B31" s="494">
        <f>Intranet!C30</f>
        <v>0</v>
      </c>
      <c r="C31" s="494">
        <f>Intranet!D30</f>
        <v>0</v>
      </c>
      <c r="D31" s="494">
        <f>Intranet!E30</f>
        <v>0</v>
      </c>
      <c r="E31" s="494">
        <f>Intranet!F30</f>
        <v>0</v>
      </c>
      <c r="F31" s="494">
        <f>Intranet!G30</f>
        <v>0</v>
      </c>
      <c r="G31" s="494">
        <f>Intranet!H30</f>
        <v>0</v>
      </c>
      <c r="H31" s="970"/>
      <c r="I31" s="971"/>
      <c r="J31" s="972"/>
      <c r="K31" s="343"/>
      <c r="L31" s="481">
        <f>IF(AND(F31="M",H31="validé"),1,0)</f>
        <v>0</v>
      </c>
      <c r="M31" s="482">
        <f>IF(AND(F31="F",H31="validé"),1,0)</f>
        <v>0</v>
      </c>
      <c r="N31" s="482">
        <f>IF(AND(F31="M",H31="non validé"),1,0)</f>
        <v>0</v>
      </c>
      <c r="O31" s="483">
        <f>IF(AND(F31="F",H31="non validé"),1,0)</f>
        <v>0</v>
      </c>
    </row>
    <row r="32" spans="1:15" ht="64.5" customHeight="1" thickBot="1" x14ac:dyDescent="0.3">
      <c r="A32" s="494">
        <f>Intranet!B31</f>
        <v>0</v>
      </c>
      <c r="B32" s="494">
        <f>Intranet!C31</f>
        <v>0</v>
      </c>
      <c r="C32" s="494">
        <f>Intranet!D31</f>
        <v>0</v>
      </c>
      <c r="D32" s="494">
        <f>Intranet!E31</f>
        <v>0</v>
      </c>
      <c r="E32" s="494">
        <f>Intranet!F31</f>
        <v>0</v>
      </c>
      <c r="F32" s="494">
        <f>Intranet!G31</f>
        <v>0</v>
      </c>
      <c r="G32" s="494">
        <f>Intranet!H31</f>
        <v>0</v>
      </c>
      <c r="H32" s="970"/>
      <c r="I32" s="971"/>
      <c r="J32" s="495"/>
      <c r="K32" s="343"/>
      <c r="L32" s="481">
        <f>IF(AND(F31="M",H32="globalement atteint"),1,0)</f>
        <v>0</v>
      </c>
      <c r="M32" s="482">
        <f>IF(AND(F31="F",H32="globalement atteint"),1,0)</f>
        <v>0</v>
      </c>
      <c r="N32" s="482">
        <f>IF(AND(F31="M",H32="en voie d'acquisition"),1,0)</f>
        <v>0</v>
      </c>
      <c r="O32" s="483">
        <f>IF(AND(F31="F",H32="en voie d'acquisition"),1,0)</f>
        <v>0</v>
      </c>
    </row>
    <row r="36" spans="1:1" x14ac:dyDescent="0.25">
      <c r="A36" s="496" t="s">
        <v>538</v>
      </c>
    </row>
    <row r="37" spans="1:1" x14ac:dyDescent="0.25">
      <c r="A37" s="496" t="s">
        <v>539</v>
      </c>
    </row>
    <row r="38" spans="1:1" x14ac:dyDescent="0.25">
      <c r="A38" s="496" t="s">
        <v>540</v>
      </c>
    </row>
  </sheetData>
  <sheetProtection sheet="1" objects="1" scenarios="1"/>
  <dataValidations count="1">
    <dataValidation type="list" allowBlank="1" showInputMessage="1" showErrorMessage="1" sqref="H3:H32">
      <formula1>$A$36:$A$38</formula1>
    </dataValidation>
  </dataValidation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210"/>
  <sheetViews>
    <sheetView topLeftCell="A118" workbookViewId="0">
      <selection activeCell="D106" sqref="D106"/>
    </sheetView>
  </sheetViews>
  <sheetFormatPr baseColWidth="10" defaultRowHeight="15" x14ac:dyDescent="0.25"/>
  <cols>
    <col min="1" max="1" width="6.140625" customWidth="1"/>
    <col min="2" max="2" width="19.5703125" customWidth="1"/>
    <col min="3" max="3" width="20.85546875" customWidth="1"/>
    <col min="4" max="4" width="11.28515625" customWidth="1"/>
    <col min="5" max="5" width="12.7109375" customWidth="1"/>
    <col min="6" max="6" width="13.140625" customWidth="1"/>
    <col min="7" max="7" width="12.42578125" customWidth="1"/>
    <col min="8" max="8" width="14.42578125" customWidth="1"/>
    <col min="9" max="10" width="10.5703125" customWidth="1"/>
    <col min="11" max="11" width="10.7109375" customWidth="1"/>
    <col min="12" max="12" width="2.85546875" customWidth="1"/>
    <col min="13" max="13" width="10" customWidth="1"/>
    <col min="14" max="14" width="13.42578125" customWidth="1"/>
  </cols>
  <sheetData>
    <row r="1" spans="1:17" s="3" customFormat="1" ht="21.75" customHeight="1" x14ac:dyDescent="0.25">
      <c r="A1" s="1200" t="s">
        <v>541</v>
      </c>
      <c r="B1" s="1200"/>
      <c r="C1" s="1200"/>
      <c r="D1" s="1200"/>
      <c r="E1" s="1200"/>
      <c r="F1" s="1200"/>
      <c r="G1" s="1200"/>
      <c r="H1" s="1200"/>
      <c r="I1" s="1200"/>
      <c r="J1" s="1200"/>
      <c r="K1" s="1200"/>
      <c r="L1" s="17"/>
      <c r="M1" s="17"/>
      <c r="N1" s="8"/>
      <c r="O1" s="8"/>
      <c r="P1" s="8"/>
      <c r="Q1" s="8"/>
    </row>
    <row r="2" spans="1:17" s="3" customFormat="1" ht="31.5" customHeight="1" x14ac:dyDescent="0.25">
      <c r="A2" s="1201" t="s">
        <v>542</v>
      </c>
      <c r="B2" s="1201"/>
      <c r="C2" s="1201"/>
      <c r="D2" s="1201"/>
      <c r="E2" s="1201"/>
      <c r="F2" s="1201"/>
      <c r="G2" s="1201"/>
      <c r="H2" s="1201"/>
      <c r="I2" s="1201"/>
      <c r="J2" s="1201"/>
      <c r="K2" s="1201"/>
      <c r="L2" s="17"/>
      <c r="M2" s="17"/>
      <c r="N2" s="8"/>
      <c r="O2" s="8"/>
      <c r="P2" s="8"/>
      <c r="Q2" s="8"/>
    </row>
    <row r="3" spans="1:17" ht="31.5" customHeight="1" x14ac:dyDescent="0.25">
      <c r="A3" s="1294" t="s">
        <v>543</v>
      </c>
      <c r="B3" s="1294"/>
      <c r="C3" s="1294"/>
      <c r="D3" s="1294"/>
      <c r="E3" s="1294"/>
      <c r="F3" s="1294"/>
      <c r="G3" s="1294"/>
      <c r="H3" s="1294"/>
      <c r="I3" s="1294"/>
      <c r="J3" s="1294"/>
      <c r="K3" s="1294"/>
      <c r="L3" s="566"/>
      <c r="M3" s="566"/>
      <c r="N3" s="286"/>
      <c r="O3" s="286"/>
      <c r="P3" s="286"/>
      <c r="Q3" s="286"/>
    </row>
    <row r="4" spans="1:17" s="3" customFormat="1" ht="15" customHeight="1" x14ac:dyDescent="0.25">
      <c r="A4" s="286"/>
      <c r="B4" s="286"/>
      <c r="C4" s="286"/>
      <c r="D4" s="728"/>
      <c r="E4" s="8"/>
      <c r="F4" s="286"/>
      <c r="G4" s="723"/>
      <c r="H4" s="723"/>
      <c r="I4" s="286"/>
      <c r="J4" s="286"/>
      <c r="K4" s="286"/>
      <c r="L4" s="17"/>
      <c r="M4" s="17"/>
      <c r="N4" s="8"/>
      <c r="O4" s="8"/>
      <c r="P4" s="8"/>
      <c r="Q4" s="8"/>
    </row>
    <row r="5" spans="1:17" s="3" customFormat="1" ht="15" customHeight="1" x14ac:dyDescent="0.2">
      <c r="A5" s="733"/>
      <c r="B5" s="1154" t="s">
        <v>544</v>
      </c>
      <c r="C5" s="1155"/>
      <c r="D5" s="734" t="s">
        <v>2</v>
      </c>
      <c r="E5" s="6"/>
      <c r="F5" s="6"/>
      <c r="G5" s="6"/>
      <c r="H5" s="7"/>
      <c r="I5" s="8"/>
      <c r="J5" s="8"/>
      <c r="K5" s="8"/>
      <c r="L5" s="17"/>
      <c r="M5" s="17"/>
      <c r="N5" s="8"/>
      <c r="O5" s="8"/>
      <c r="P5" s="8"/>
      <c r="Q5" s="8"/>
    </row>
    <row r="6" spans="1:17" s="3" customFormat="1" ht="15" customHeight="1" x14ac:dyDescent="0.2">
      <c r="A6" s="8"/>
      <c r="B6" s="1154" t="s">
        <v>6</v>
      </c>
      <c r="C6" s="1155"/>
      <c r="D6" s="735" t="s">
        <v>7</v>
      </c>
      <c r="E6" s="11" t="s">
        <v>167</v>
      </c>
      <c r="F6" s="12"/>
      <c r="G6" s="13"/>
      <c r="H6" s="14"/>
      <c r="I6" s="8"/>
      <c r="J6" s="8"/>
      <c r="K6" s="8"/>
      <c r="L6" s="17"/>
      <c r="M6" s="17"/>
      <c r="N6" s="8"/>
      <c r="O6" s="8"/>
      <c r="P6" s="8"/>
      <c r="Q6" s="8"/>
    </row>
    <row r="7" spans="1:17" s="24" customFormat="1" ht="15" customHeight="1" x14ac:dyDescent="0.2">
      <c r="A7" s="8"/>
      <c r="B7" s="1198" t="s">
        <v>9</v>
      </c>
      <c r="C7" s="1199"/>
      <c r="D7" s="736" t="s">
        <v>7</v>
      </c>
      <c r="E7" s="646" t="s">
        <v>10</v>
      </c>
      <c r="F7" s="12"/>
      <c r="G7" s="13"/>
      <c r="H7" s="14"/>
      <c r="I7" s="8"/>
      <c r="J7" s="8"/>
      <c r="K7" s="8"/>
      <c r="L7" s="17"/>
      <c r="M7" s="17"/>
      <c r="N7" s="17"/>
      <c r="O7" s="17"/>
      <c r="P7" s="17"/>
      <c r="Q7" s="17"/>
    </row>
    <row r="8" spans="1:17" s="3" customFormat="1" ht="15" customHeight="1" thickBot="1" x14ac:dyDescent="0.25">
      <c r="A8" s="17"/>
      <c r="B8" s="18"/>
      <c r="C8" s="19"/>
      <c r="D8" s="737"/>
      <c r="E8" s="738"/>
      <c r="F8" s="21"/>
      <c r="G8" s="22"/>
      <c r="H8" s="23"/>
      <c r="I8" s="17"/>
      <c r="J8" s="17"/>
      <c r="K8" s="17"/>
      <c r="L8" s="17"/>
      <c r="M8" s="17"/>
      <c r="N8" s="8"/>
      <c r="O8" s="8"/>
      <c r="P8" s="8"/>
      <c r="Q8" s="8"/>
    </row>
    <row r="9" spans="1:17" s="24" customFormat="1" ht="15.75" customHeight="1" x14ac:dyDescent="0.25">
      <c r="A9" s="739"/>
      <c r="B9" s="1165" t="s">
        <v>424</v>
      </c>
      <c r="C9" s="1166"/>
      <c r="D9" s="1166"/>
      <c r="E9" s="1166"/>
      <c r="F9" s="1167"/>
      <c r="G9" s="740"/>
      <c r="H9" s="7"/>
      <c r="I9" s="8"/>
      <c r="J9" s="8"/>
      <c r="K9" s="8"/>
      <c r="L9" s="17"/>
      <c r="M9" s="17"/>
      <c r="N9" s="17"/>
      <c r="O9" s="17"/>
      <c r="P9" s="17"/>
      <c r="Q9" s="17"/>
    </row>
    <row r="10" spans="1:17" s="3" customFormat="1" ht="15.75" customHeight="1" x14ac:dyDescent="0.25">
      <c r="A10" s="741"/>
      <c r="B10" s="742"/>
      <c r="C10" s="742"/>
      <c r="D10" s="742"/>
      <c r="E10" s="742"/>
      <c r="F10" s="742"/>
      <c r="G10" s="743"/>
      <c r="H10" s="7"/>
      <c r="I10" s="17"/>
      <c r="J10" s="17"/>
      <c r="K10" s="17"/>
      <c r="L10" s="17"/>
      <c r="M10" s="17"/>
      <c r="N10" s="8"/>
      <c r="O10" s="8"/>
      <c r="P10" s="8"/>
      <c r="Q10" s="8"/>
    </row>
    <row r="11" spans="1:17" s="3" customFormat="1" ht="15" customHeight="1" thickBot="1" x14ac:dyDescent="0.3">
      <c r="A11" s="8"/>
      <c r="B11" s="8"/>
      <c r="C11" s="8"/>
      <c r="D11" s="141">
        <f>Info!B34</f>
        <v>1946</v>
      </c>
      <c r="E11" s="8"/>
      <c r="F11" s="8"/>
      <c r="G11" s="8"/>
      <c r="H11" s="7"/>
      <c r="I11" s="8"/>
      <c r="J11" s="8"/>
      <c r="K11" s="8"/>
      <c r="L11" s="17"/>
      <c r="M11" s="17"/>
      <c r="N11" s="8"/>
      <c r="O11" s="8"/>
      <c r="P11" s="8"/>
      <c r="Q11" s="8"/>
    </row>
    <row r="12" spans="1:17" s="3" customFormat="1" ht="15" customHeight="1" thickBot="1" x14ac:dyDescent="0.3">
      <c r="A12" s="8"/>
      <c r="B12" s="149"/>
      <c r="C12" s="6"/>
      <c r="D12" s="6"/>
      <c r="E12" s="6"/>
      <c r="F12" s="6"/>
      <c r="G12" s="6"/>
      <c r="H12" s="7"/>
      <c r="I12" s="8"/>
      <c r="J12" s="8"/>
      <c r="K12" s="8"/>
      <c r="L12" s="17"/>
      <c r="M12" s="17"/>
      <c r="N12" s="8"/>
      <c r="O12" s="8"/>
      <c r="P12" s="8"/>
      <c r="Q12" s="8"/>
    </row>
    <row r="13" spans="1:17" s="3" customFormat="1" ht="15" customHeight="1" x14ac:dyDescent="0.25">
      <c r="A13" s="6"/>
      <c r="B13" s="1165" t="s">
        <v>168</v>
      </c>
      <c r="C13" s="1166"/>
      <c r="D13" s="1166"/>
      <c r="E13" s="1166"/>
      <c r="F13" s="1167"/>
      <c r="G13" s="142"/>
      <c r="H13" s="8"/>
      <c r="I13" s="105"/>
      <c r="J13" s="105"/>
      <c r="K13" s="8"/>
      <c r="L13" s="17"/>
      <c r="M13" s="17"/>
      <c r="N13" s="8"/>
      <c r="O13" s="8"/>
      <c r="P13" s="8"/>
      <c r="Q13" s="8"/>
    </row>
    <row r="14" spans="1:17" s="3" customFormat="1" ht="15" customHeight="1" x14ac:dyDescent="0.2">
      <c r="A14" s="6"/>
      <c r="B14" s="744"/>
      <c r="C14" s="744"/>
      <c r="D14" s="745"/>
      <c r="E14" s="742"/>
      <c r="F14" s="144"/>
      <c r="G14" s="142"/>
      <c r="H14" s="8"/>
      <c r="I14" s="105"/>
      <c r="J14" s="105"/>
      <c r="K14" s="8"/>
      <c r="L14" s="17"/>
      <c r="M14" s="17"/>
      <c r="N14" s="8"/>
      <c r="O14" s="8"/>
      <c r="P14" s="8"/>
      <c r="Q14" s="8"/>
    </row>
    <row r="15" spans="1:17" s="3" customFormat="1" ht="15" customHeight="1" x14ac:dyDescent="0.2">
      <c r="A15" s="6"/>
      <c r="B15" s="744"/>
      <c r="C15" s="92" t="s">
        <v>169</v>
      </c>
      <c r="D15" s="1293">
        <f>Info!B41</f>
        <v>44576</v>
      </c>
      <c r="E15" s="1293"/>
      <c r="F15" s="144"/>
      <c r="G15" s="142"/>
      <c r="H15" s="8"/>
      <c r="I15" s="105"/>
      <c r="J15" s="105"/>
      <c r="K15" s="8"/>
      <c r="L15" s="17"/>
      <c r="M15" s="17"/>
      <c r="N15" s="8"/>
      <c r="O15" s="8"/>
      <c r="P15" s="8"/>
      <c r="Q15" s="8"/>
    </row>
    <row r="16" spans="1:17" s="3" customFormat="1" ht="15" customHeight="1" x14ac:dyDescent="0.2">
      <c r="A16" s="6"/>
      <c r="B16" s="744"/>
      <c r="C16" s="92" t="s">
        <v>82</v>
      </c>
      <c r="D16" s="1293">
        <f>Info!B49</f>
        <v>44583</v>
      </c>
      <c r="E16" s="1293"/>
      <c r="F16" s="144"/>
      <c r="G16" s="142"/>
      <c r="H16" s="8"/>
      <c r="I16" s="105"/>
      <c r="J16" s="105"/>
      <c r="K16" s="8"/>
      <c r="L16" s="17"/>
      <c r="M16" s="17"/>
      <c r="N16" s="8"/>
      <c r="O16" s="8"/>
      <c r="P16" s="8"/>
      <c r="Q16" s="8"/>
    </row>
    <row r="17" spans="1:17" s="38" customFormat="1" ht="16.149999999999999" customHeight="1" x14ac:dyDescent="0.2">
      <c r="A17" s="6"/>
      <c r="B17" s="1191" t="s">
        <v>170</v>
      </c>
      <c r="C17" s="1191"/>
      <c r="D17" s="497">
        <f>Info!B50</f>
        <v>8</v>
      </c>
      <c r="E17" s="746"/>
      <c r="F17" s="104"/>
      <c r="G17" s="142"/>
      <c r="H17" s="8"/>
      <c r="I17" s="105"/>
      <c r="J17" s="105"/>
      <c r="K17" s="8"/>
      <c r="L17" s="71"/>
      <c r="M17" s="71"/>
      <c r="N17" s="71"/>
      <c r="O17" s="71"/>
      <c r="P17" s="71"/>
      <c r="Q17" s="71"/>
    </row>
    <row r="18" spans="1:17" s="3" customFormat="1" ht="16.149999999999999" customHeight="1" thickBot="1" x14ac:dyDescent="0.25">
      <c r="A18" s="109"/>
      <c r="B18" s="747"/>
      <c r="C18" s="747"/>
      <c r="D18" s="146"/>
      <c r="E18" s="147"/>
      <c r="F18" s="109"/>
      <c r="G18" s="148"/>
      <c r="H18" s="71"/>
      <c r="I18" s="106"/>
      <c r="J18" s="106"/>
      <c r="K18" s="71"/>
      <c r="L18" s="17"/>
      <c r="M18" s="17"/>
      <c r="N18" s="8"/>
      <c r="O18" s="8"/>
      <c r="P18" s="8"/>
      <c r="Q18" s="8"/>
    </row>
    <row r="19" spans="1:17" s="3" customFormat="1" ht="15.75" customHeight="1" x14ac:dyDescent="0.25">
      <c r="A19" s="6"/>
      <c r="B19" s="1165" t="s">
        <v>545</v>
      </c>
      <c r="C19" s="1166"/>
      <c r="D19" s="1166"/>
      <c r="E19" s="1166"/>
      <c r="F19" s="1167"/>
      <c r="G19" s="149"/>
      <c r="H19" s="8"/>
      <c r="I19" s="8"/>
      <c r="J19" s="8"/>
      <c r="K19" s="8"/>
      <c r="L19" s="17"/>
      <c r="M19" s="17"/>
      <c r="N19" s="8"/>
      <c r="O19" s="8"/>
      <c r="P19" s="8"/>
      <c r="Q19" s="8"/>
    </row>
    <row r="20" spans="1:17" s="3" customFormat="1" ht="16.149999999999999" customHeight="1" x14ac:dyDescent="0.2">
      <c r="A20" s="6"/>
      <c r="B20" s="749"/>
      <c r="C20" s="750"/>
      <c r="D20" s="8"/>
      <c r="E20" s="8"/>
      <c r="F20" s="8"/>
      <c r="G20" s="149"/>
      <c r="H20" s="8"/>
      <c r="I20" s="8"/>
      <c r="J20" s="8"/>
      <c r="K20" s="8"/>
      <c r="L20" s="17"/>
      <c r="M20" s="17"/>
      <c r="N20" s="8"/>
      <c r="O20" s="8"/>
      <c r="P20" s="8"/>
      <c r="Q20" s="8"/>
    </row>
    <row r="21" spans="1:17" s="3" customFormat="1" ht="16.149999999999999" customHeight="1" x14ac:dyDescent="0.25">
      <c r="A21" s="6"/>
      <c r="B21" s="150"/>
      <c r="C21" s="151" t="s">
        <v>172</v>
      </c>
      <c r="D21" s="152">
        <f>Paiement!F3</f>
        <v>6</v>
      </c>
      <c r="E21" s="8"/>
      <c r="F21" s="8"/>
      <c r="G21" s="149" t="str">
        <f>IF(D21+D22=D23,"","ERREUR")</f>
        <v/>
      </c>
      <c r="H21" s="8"/>
      <c r="I21" s="8"/>
      <c r="J21" s="8"/>
      <c r="K21" s="8"/>
      <c r="L21" s="17"/>
      <c r="M21" s="17"/>
      <c r="N21" s="8"/>
      <c r="O21" s="8"/>
      <c r="P21" s="8"/>
      <c r="Q21" s="8"/>
    </row>
    <row r="22" spans="1:17" s="3" customFormat="1" ht="16.149999999999999" customHeight="1" x14ac:dyDescent="0.2">
      <c r="A22" s="6"/>
      <c r="B22" s="751"/>
      <c r="C22" s="153" t="s">
        <v>173</v>
      </c>
      <c r="D22" s="152"/>
      <c r="E22" s="146"/>
      <c r="F22" s="146"/>
      <c r="G22" s="149"/>
      <c r="H22" s="8"/>
      <c r="I22" s="8"/>
      <c r="J22" s="8"/>
      <c r="K22" s="8"/>
      <c r="L22" s="17"/>
      <c r="M22" s="17"/>
      <c r="N22" s="8"/>
      <c r="O22" s="8"/>
      <c r="P22" s="8"/>
      <c r="Q22" s="8"/>
    </row>
    <row r="23" spans="1:17" s="2" customFormat="1" ht="16.149999999999999" customHeight="1" x14ac:dyDescent="0.2">
      <c r="A23" s="6"/>
      <c r="B23" s="751"/>
      <c r="C23" s="752" t="s">
        <v>174</v>
      </c>
      <c r="D23" s="145">
        <f>D21+D22</f>
        <v>6</v>
      </c>
      <c r="E23" s="146"/>
      <c r="F23" s="146"/>
      <c r="G23" s="149"/>
      <c r="H23" s="8"/>
      <c r="I23" s="8"/>
      <c r="J23" s="8"/>
      <c r="K23" s="8"/>
      <c r="L23" s="71"/>
      <c r="M23" s="1192"/>
      <c r="N23" s="1192"/>
      <c r="O23" s="1"/>
      <c r="P23" s="1"/>
      <c r="Q23" s="1"/>
    </row>
    <row r="24" spans="1:17" s="38" customFormat="1" ht="15" customHeight="1" thickBot="1" x14ac:dyDescent="0.25">
      <c r="A24" s="110"/>
      <c r="B24" s="754"/>
      <c r="C24" s="755"/>
      <c r="D24" s="154"/>
      <c r="E24" s="146"/>
      <c r="F24" s="146"/>
      <c r="G24" s="142"/>
      <c r="H24" s="17"/>
      <c r="I24" s="17"/>
      <c r="J24" s="17"/>
      <c r="K24" s="17"/>
      <c r="L24" s="71"/>
      <c r="M24" s="756"/>
      <c r="N24" s="756"/>
      <c r="O24" s="71"/>
      <c r="P24" s="71"/>
      <c r="Q24" s="71"/>
    </row>
    <row r="25" spans="1:17" s="2" customFormat="1" ht="16.149999999999999" customHeight="1" thickBot="1" x14ac:dyDescent="0.25">
      <c r="A25" s="6"/>
      <c r="B25" s="1193" t="s">
        <v>175</v>
      </c>
      <c r="C25" s="1194"/>
      <c r="D25" s="155" t="s">
        <v>176</v>
      </c>
      <c r="E25" s="146"/>
      <c r="F25" s="156" t="s">
        <v>177</v>
      </c>
      <c r="G25" s="149"/>
      <c r="H25" s="8"/>
      <c r="I25" s="8"/>
      <c r="J25" s="8"/>
      <c r="K25" s="8"/>
      <c r="L25" s="71"/>
      <c r="M25" s="1195" t="s">
        <v>178</v>
      </c>
      <c r="N25" s="1196"/>
      <c r="O25" s="1"/>
      <c r="P25" s="1"/>
      <c r="Q25" s="1"/>
    </row>
    <row r="26" spans="1:17" s="3" customFormat="1" ht="15" customHeight="1" thickBot="1" x14ac:dyDescent="0.25">
      <c r="A26" s="158"/>
      <c r="B26" s="1197"/>
      <c r="C26" s="1197"/>
      <c r="D26" s="1"/>
      <c r="E26" s="157"/>
      <c r="F26" s="7"/>
      <c r="G26" s="158"/>
      <c r="H26" s="1"/>
      <c r="I26" s="1"/>
      <c r="J26" s="1"/>
      <c r="K26" s="1"/>
      <c r="L26" s="757"/>
      <c r="M26" s="71"/>
      <c r="N26" s="71"/>
      <c r="O26" s="71"/>
      <c r="P26" s="8"/>
      <c r="Q26" s="8"/>
    </row>
    <row r="27" spans="1:17" s="24" customFormat="1" ht="16.149999999999999" customHeight="1" x14ac:dyDescent="0.25">
      <c r="A27" s="6"/>
      <c r="B27" s="1165" t="s">
        <v>546</v>
      </c>
      <c r="C27" s="1166"/>
      <c r="D27" s="1166"/>
      <c r="E27" s="1166"/>
      <c r="F27" s="1167"/>
      <c r="G27" s="158"/>
      <c r="H27" s="758"/>
      <c r="I27" s="758"/>
      <c r="J27" s="758"/>
      <c r="K27" s="758"/>
      <c r="L27" s="757"/>
      <c r="M27" s="71"/>
      <c r="N27" s="71"/>
      <c r="O27" s="71"/>
      <c r="P27" s="17"/>
      <c r="Q27" s="17"/>
    </row>
    <row r="28" spans="1:17" s="24" customFormat="1" ht="16.149999999999999" customHeight="1" x14ac:dyDescent="0.25">
      <c r="A28" s="6"/>
      <c r="B28" s="742"/>
      <c r="C28" s="742"/>
      <c r="D28" s="742"/>
      <c r="E28" s="742"/>
      <c r="F28" s="742"/>
      <c r="G28" s="158"/>
      <c r="H28" s="758"/>
      <c r="I28" s="758"/>
      <c r="J28" s="758"/>
      <c r="K28" s="758"/>
      <c r="L28" s="757"/>
      <c r="M28" s="71"/>
      <c r="N28" s="71"/>
      <c r="O28" s="71"/>
      <c r="P28" s="17"/>
      <c r="Q28" s="17"/>
    </row>
    <row r="29" spans="1:17" s="3" customFormat="1" ht="16.149999999999999" customHeight="1" x14ac:dyDescent="0.2">
      <c r="A29" s="110"/>
      <c r="B29" s="973"/>
      <c r="C29" s="760"/>
      <c r="D29" s="974" t="s">
        <v>547</v>
      </c>
      <c r="E29" s="498" t="s">
        <v>548</v>
      </c>
      <c r="F29" s="499" t="s">
        <v>182</v>
      </c>
      <c r="G29" s="975">
        <f ca="1">IF(E30="",0,E30)</f>
        <v>0</v>
      </c>
      <c r="H29" s="975">
        <f ca="1">SUM(H30:H35)</f>
        <v>0</v>
      </c>
      <c r="I29" s="758"/>
      <c r="J29" s="758"/>
      <c r="K29" s="758"/>
      <c r="L29" s="8"/>
      <c r="M29" s="1188" t="s">
        <v>183</v>
      </c>
      <c r="N29" s="1189"/>
      <c r="O29" s="8"/>
      <c r="P29" s="7"/>
      <c r="Q29" s="8"/>
    </row>
    <row r="30" spans="1:17" s="3" customFormat="1" ht="16.149999999999999" customHeight="1" x14ac:dyDescent="0.2">
      <c r="A30" s="110"/>
      <c r="B30" s="976" t="str">
        <f ca="1">'Base Previ'!B30</f>
        <v>Supplémentaire</v>
      </c>
      <c r="C30" s="806" t="str">
        <f ca="1">'Base Previ'!C30</f>
        <v>Bénévole</v>
      </c>
      <c r="D30" s="1116">
        <f ca="1">'Base Previ'!D30</f>
        <v>8</v>
      </c>
      <c r="E30" s="771" t="str">
        <f ca="1">'Base Previ'!E30</f>
        <v/>
      </c>
      <c r="F30" s="160">
        <f ca="1">'Base Previ'!F30</f>
        <v>800</v>
      </c>
      <c r="G30" s="975" t="str">
        <f ca="1">IF(C30=N$30,M$30,IF(C30=N$32,M$32,IF(C30=N$33,M$33,"")))</f>
        <v/>
      </c>
      <c r="H30" s="975">
        <f ca="1">IF(B30="GOEMARE",E30,0)</f>
        <v>0</v>
      </c>
      <c r="I30" s="1"/>
      <c r="J30" s="1"/>
      <c r="K30" s="1"/>
      <c r="L30" s="8"/>
      <c r="M30" s="162">
        <f>'[3]4-BASES PREVI'!M30</f>
        <v>300</v>
      </c>
      <c r="N30" s="977" t="str">
        <f>'[3]4-BASES PREVI'!N30</f>
        <v>GHM</v>
      </c>
      <c r="O30" s="8"/>
      <c r="P30" s="7"/>
      <c r="Q30" s="8"/>
    </row>
    <row r="31" spans="1:17" s="3" customFormat="1" ht="16.149999999999999" customHeight="1" x14ac:dyDescent="0.2">
      <c r="A31" s="110"/>
      <c r="B31" s="978" t="str">
        <f>'[3]4-BASES PREVI'!B31</f>
        <v xml:space="preserve">Cocher X pour comptabiliser le bénévolat Instructeur au niveau professionnel </v>
      </c>
      <c r="C31" s="979"/>
      <c r="D31" s="979"/>
      <c r="E31" s="980"/>
      <c r="F31" s="519"/>
      <c r="G31" s="975"/>
      <c r="H31" s="975"/>
      <c r="I31" s="1"/>
      <c r="J31" s="1"/>
      <c r="K31" s="1"/>
      <c r="L31" s="162" t="str">
        <f>'[3]4-BASES PREVI'!L31</f>
        <v>X</v>
      </c>
      <c r="M31" s="162">
        <f>'[3]4-BASES PREVI'!M31</f>
        <v>230</v>
      </c>
      <c r="N31" s="977" t="str">
        <f>'[3]4-BASES PREVI'!N31</f>
        <v>Comptabilisation bénévolat Instructeur</v>
      </c>
      <c r="O31" s="8"/>
      <c r="P31" s="7"/>
      <c r="Q31" s="8"/>
    </row>
    <row r="32" spans="1:17" x14ac:dyDescent="0.25">
      <c r="A32" s="6"/>
      <c r="B32" s="976" t="str">
        <f ca="1">'Base Previ'!B32</f>
        <v>Supplémentaire</v>
      </c>
      <c r="C32" s="976" t="str">
        <f ca="1">'Base Previ'!C32</f>
        <v>Bénévole</v>
      </c>
      <c r="D32" s="976">
        <f>'Base Previ'!D32</f>
        <v>1</v>
      </c>
      <c r="E32" s="771" t="str">
        <f ca="1">'Base Previ'!E32</f>
        <v/>
      </c>
      <c r="F32" s="160">
        <f ca="1">'Base Previ'!F32</f>
        <v>100</v>
      </c>
      <c r="G32" s="975" t="str">
        <f ca="1">IF(C32=N$30,M$30,IF(C32=N$32,M$32,IF(C32=N$33,M$33,"")))</f>
        <v/>
      </c>
      <c r="H32" s="975">
        <f ca="1">IF(B32="GOEMARE",E32,0)</f>
        <v>0</v>
      </c>
      <c r="I32" s="767"/>
      <c r="J32" s="981"/>
      <c r="K32" s="767"/>
      <c r="L32" s="566"/>
      <c r="M32" s="162">
        <f>'[3]4-BASES PREVI'!M32</f>
        <v>100</v>
      </c>
      <c r="N32" s="977" t="str">
        <f>'[3]4-BASES PREVI'!N32</f>
        <v>AMM</v>
      </c>
      <c r="O32" s="286"/>
      <c r="P32" s="286"/>
      <c r="Q32" s="286"/>
    </row>
    <row r="33" spans="1:17" s="3" customFormat="1" ht="16.149999999999999" customHeight="1" x14ac:dyDescent="0.2">
      <c r="A33" s="6"/>
      <c r="B33" s="976" t="str">
        <f>'Base Previ'!B33</f>
        <v/>
      </c>
      <c r="C33" s="976" t="str">
        <f>'Base Previ'!C33</f>
        <v/>
      </c>
      <c r="D33" s="976" t="str">
        <f>'Base Previ'!D33</f>
        <v/>
      </c>
      <c r="E33" s="771" t="str">
        <f>'Base Previ'!E33</f>
        <v/>
      </c>
      <c r="F33" s="160" t="str">
        <f>'Base Previ'!F33</f>
        <v/>
      </c>
      <c r="G33" s="975" t="str">
        <f>IF(C33=N$30,M$30,IF(C33=N$32,M$32,IF(C33=N$33,M$33,"")))</f>
        <v/>
      </c>
      <c r="H33" s="975">
        <f>IF(B33="GOEMARE",E33,0)</f>
        <v>0</v>
      </c>
      <c r="I33" s="1"/>
      <c r="J33" s="1"/>
      <c r="K33" s="1"/>
      <c r="L33" s="8"/>
      <c r="M33" s="162">
        <v>200</v>
      </c>
      <c r="N33" s="977" t="str">
        <f>'[3]4-BASES PREVI'!N33</f>
        <v>BEES</v>
      </c>
      <c r="O33" s="8"/>
      <c r="P33" s="8"/>
      <c r="Q33" s="8"/>
    </row>
    <row r="34" spans="1:17" s="3" customFormat="1" ht="16.149999999999999" customHeight="1" x14ac:dyDescent="0.2">
      <c r="A34" s="6"/>
      <c r="B34" s="976" t="str">
        <f>'Base Previ'!B34</f>
        <v/>
      </c>
      <c r="C34" s="976" t="str">
        <f>'Base Previ'!C34</f>
        <v/>
      </c>
      <c r="D34" s="976" t="str">
        <f>'Base Previ'!D34</f>
        <v/>
      </c>
      <c r="E34" s="771" t="str">
        <f>'Base Previ'!E34</f>
        <v/>
      </c>
      <c r="F34" s="160" t="str">
        <f>'Base Previ'!F34</f>
        <v/>
      </c>
      <c r="G34" s="975" t="str">
        <f>IF(C34=N$30,M$30,IF(C34=N$32,M$32,IF(C34=N$33,M$33,"")))</f>
        <v/>
      </c>
      <c r="H34" s="975">
        <f>IF(B34="GOEMARE",E34,0)</f>
        <v>0</v>
      </c>
      <c r="I34" s="1"/>
      <c r="J34" s="1"/>
      <c r="K34" s="1"/>
      <c r="L34" s="8"/>
      <c r="M34" s="162">
        <f>'[3]4-BASES PREVI'!M34</f>
        <v>100</v>
      </c>
      <c r="N34" s="977" t="str">
        <f>'[3]4-BASES PREVI'!N34</f>
        <v>Bénévole</v>
      </c>
      <c r="O34" s="8"/>
      <c r="P34" s="8"/>
      <c r="Q34" s="8"/>
    </row>
    <row r="35" spans="1:17" s="24" customFormat="1" ht="16.149999999999999" customHeight="1" x14ac:dyDescent="0.2">
      <c r="A35" s="110"/>
      <c r="B35" s="772"/>
      <c r="C35" s="982"/>
      <c r="D35" s="975"/>
      <c r="E35" s="983">
        <f>IF(F31="X",D30*M35,0)</f>
        <v>0</v>
      </c>
      <c r="F35" s="983">
        <f>IF(F31="X",-F30,0)</f>
        <v>0</v>
      </c>
      <c r="G35" s="975">
        <f ca="1">G29+E35</f>
        <v>0</v>
      </c>
      <c r="H35" s="975">
        <f>E35</f>
        <v>0</v>
      </c>
      <c r="I35" s="71"/>
      <c r="J35" s="71"/>
      <c r="K35" s="71"/>
      <c r="L35" s="17"/>
      <c r="M35" s="162">
        <f>'[3]4-BASES PREVI'!M35</f>
        <v>230</v>
      </c>
      <c r="N35" s="977" t="str">
        <f>'[3]4-BASES PREVI'!N35</f>
        <v>Encadrement technique interne</v>
      </c>
      <c r="O35" s="17"/>
      <c r="P35" s="17"/>
      <c r="Q35" s="17"/>
    </row>
    <row r="36" spans="1:17" s="24" customFormat="1" ht="16.149999999999999" customHeight="1" thickBot="1" x14ac:dyDescent="0.25">
      <c r="A36" s="110"/>
      <c r="B36" s="984" t="s">
        <v>187</v>
      </c>
      <c r="C36" s="985"/>
      <c r="D36" s="762"/>
      <c r="E36" s="775"/>
      <c r="F36" s="775"/>
      <c r="G36" s="762"/>
      <c r="H36" s="762"/>
      <c r="I36" s="71"/>
      <c r="J36" s="71"/>
      <c r="K36" s="71"/>
      <c r="L36" s="17"/>
      <c r="M36" s="166"/>
      <c r="N36" s="760"/>
      <c r="O36" s="17"/>
      <c r="P36" s="17"/>
      <c r="Q36" s="17"/>
    </row>
    <row r="37" spans="1:17" s="38" customFormat="1" ht="13.5" customHeight="1" thickBot="1" x14ac:dyDescent="0.25">
      <c r="A37" s="776"/>
      <c r="B37" s="1181" t="s">
        <v>188</v>
      </c>
      <c r="C37" s="1289"/>
      <c r="D37" s="168">
        <f ca="1">SUM(E30:E35)</f>
        <v>0</v>
      </c>
      <c r="E37" s="169"/>
      <c r="F37" s="170">
        <f ca="1">D37/D$23</f>
        <v>0</v>
      </c>
      <c r="G37" s="171"/>
      <c r="H37" s="172"/>
      <c r="I37" s="172"/>
      <c r="J37" s="172"/>
      <c r="K37" s="172"/>
      <c r="L37" s="777"/>
      <c r="M37" s="986">
        <f>'[3]4-BASES PREVI'!D37</f>
        <v>0</v>
      </c>
      <c r="N37" s="987" t="s">
        <v>549</v>
      </c>
      <c r="O37" s="71"/>
      <c r="P37" s="71"/>
      <c r="Q37" s="71"/>
    </row>
    <row r="38" spans="1:17" s="3" customFormat="1" ht="7.5" customHeight="1" thickBot="1" x14ac:dyDescent="0.25">
      <c r="A38" s="778"/>
      <c r="B38" s="779"/>
      <c r="C38" s="780"/>
      <c r="D38" s="173"/>
      <c r="E38" s="174"/>
      <c r="F38" s="175"/>
      <c r="G38" s="171"/>
      <c r="H38" s="172"/>
      <c r="I38" s="172"/>
      <c r="J38" s="172"/>
      <c r="K38" s="172"/>
      <c r="L38" s="781"/>
      <c r="M38" s="176"/>
      <c r="N38" s="8"/>
      <c r="O38" s="8"/>
      <c r="P38" s="8"/>
      <c r="Q38" s="8"/>
    </row>
    <row r="39" spans="1:17" s="38" customFormat="1" ht="15" customHeight="1" thickBot="1" x14ac:dyDescent="0.25">
      <c r="A39" s="6"/>
      <c r="B39" s="1183" t="s">
        <v>189</v>
      </c>
      <c r="C39" s="1184"/>
      <c r="D39" s="168">
        <f ca="1">SUM(F30:F35)</f>
        <v>900</v>
      </c>
      <c r="E39" s="169"/>
      <c r="F39" s="170">
        <f ca="1">D39/D$23</f>
        <v>150</v>
      </c>
      <c r="G39" s="177"/>
      <c r="H39" s="777"/>
      <c r="I39" s="777"/>
      <c r="J39" s="777"/>
      <c r="K39" s="777"/>
      <c r="L39" s="178"/>
      <c r="M39" s="986">
        <f>'[3]4-BASES PREVI'!D39</f>
        <v>500</v>
      </c>
      <c r="N39" s="987" t="s">
        <v>549</v>
      </c>
      <c r="O39" s="71"/>
      <c r="P39" s="71"/>
      <c r="Q39" s="71"/>
    </row>
    <row r="40" spans="1:17" s="3" customFormat="1" ht="16.149999999999999" customHeight="1" thickBot="1" x14ac:dyDescent="0.25">
      <c r="A40" s="6"/>
      <c r="B40" s="782"/>
      <c r="C40" s="782"/>
      <c r="D40" s="71"/>
      <c r="E40" s="180"/>
      <c r="F40" s="181"/>
      <c r="G40" s="182"/>
      <c r="H40" s="178"/>
      <c r="I40" s="178"/>
      <c r="J40" s="178"/>
      <c r="K40" s="178"/>
      <c r="L40" s="17"/>
      <c r="M40" s="17"/>
      <c r="N40" s="8"/>
      <c r="O40" s="8"/>
      <c r="P40" s="8"/>
      <c r="Q40" s="8"/>
    </row>
    <row r="41" spans="1:17" s="24" customFormat="1" ht="16.149999999999999" customHeight="1" x14ac:dyDescent="0.25">
      <c r="A41" s="6"/>
      <c r="B41" s="1165" t="s">
        <v>550</v>
      </c>
      <c r="C41" s="1166"/>
      <c r="D41" s="1166"/>
      <c r="E41" s="1166"/>
      <c r="F41" s="1167"/>
      <c r="G41" s="149"/>
      <c r="H41" s="8"/>
      <c r="I41" s="8"/>
      <c r="J41" s="8"/>
      <c r="K41" s="8"/>
      <c r="L41" s="17"/>
      <c r="M41" s="17"/>
      <c r="N41" s="17"/>
      <c r="O41" s="17"/>
      <c r="P41" s="17"/>
      <c r="Q41" s="17"/>
    </row>
    <row r="42" spans="1:17" s="24" customFormat="1" ht="16.149999999999999" customHeight="1" x14ac:dyDescent="0.25">
      <c r="A42" s="110"/>
      <c r="B42" s="783"/>
      <c r="C42" s="742"/>
      <c r="D42" s="742"/>
      <c r="E42" s="742"/>
      <c r="F42" s="988"/>
      <c r="G42" s="1290" t="s">
        <v>191</v>
      </c>
      <c r="H42" s="1291"/>
      <c r="I42" s="1291"/>
      <c r="J42" s="1292"/>
      <c r="K42" s="17"/>
      <c r="L42" s="17"/>
      <c r="M42" s="784"/>
      <c r="N42" s="17"/>
      <c r="O42" s="17"/>
      <c r="P42" s="17"/>
      <c r="Q42" s="17"/>
    </row>
    <row r="43" spans="1:17" s="3" customFormat="1" ht="16.149999999999999" customHeight="1" x14ac:dyDescent="0.2">
      <c r="A43" s="110"/>
      <c r="B43" s="989"/>
      <c r="C43" s="745"/>
      <c r="D43" s="786" t="s">
        <v>192</v>
      </c>
      <c r="E43" s="787" t="s">
        <v>193</v>
      </c>
      <c r="F43" s="187" t="s">
        <v>194</v>
      </c>
      <c r="G43" s="990" t="str">
        <f ca="1">B30</f>
        <v>Supplémentaire</v>
      </c>
      <c r="H43" s="990" t="str">
        <f ca="1">B32</f>
        <v>Supplémentaire</v>
      </c>
      <c r="I43" s="990" t="str">
        <f>B33</f>
        <v/>
      </c>
      <c r="J43" s="990" t="str">
        <f>B34</f>
        <v/>
      </c>
      <c r="K43" s="8"/>
      <c r="L43" s="17"/>
      <c r="M43" s="8"/>
      <c r="N43" s="8"/>
      <c r="O43" s="789"/>
      <c r="P43" s="8"/>
      <c r="Q43" s="8"/>
    </row>
    <row r="44" spans="1:17" s="3" customFormat="1" ht="16.149999999999999" customHeight="1" x14ac:dyDescent="0.25">
      <c r="A44" s="6"/>
      <c r="B44" s="790" t="str">
        <f>IF(Info!B54="x","Mode principal :","")</f>
        <v>Mode principal :</v>
      </c>
      <c r="C44" s="791" t="str">
        <f>'[3]4-BASES PREVI'!C44</f>
        <v>Pension complète</v>
      </c>
      <c r="D44" s="152">
        <f>IF(B44="Mode principal :",$D$17-1,0)</f>
        <v>7</v>
      </c>
      <c r="E44" s="500">
        <v>40</v>
      </c>
      <c r="F44" s="183">
        <f ca="1">(D44*D$23)+SUM(G44:J44)</f>
        <v>49</v>
      </c>
      <c r="G44" s="501">
        <f ca="1">IF($D$30="","",D44)</f>
        <v>7</v>
      </c>
      <c r="H44" s="501">
        <v>0</v>
      </c>
      <c r="I44" s="338" t="str">
        <f>IF($D33="","",D$44)</f>
        <v/>
      </c>
      <c r="J44" s="991" t="str">
        <f>IF($D34="","",D$44)</f>
        <v/>
      </c>
      <c r="K44" s="8"/>
      <c r="L44" s="17"/>
      <c r="M44" s="162"/>
      <c r="N44" s="792"/>
      <c r="O44" s="784"/>
      <c r="P44" s="8"/>
      <c r="Q44" s="8"/>
    </row>
    <row r="45" spans="1:17" s="3" customFormat="1" ht="16.149999999999999" customHeight="1" x14ac:dyDescent="0.25">
      <c r="A45" s="6"/>
      <c r="B45" s="790" t="str">
        <f>IF(Info!B55="x","Mode principal :","")</f>
        <v/>
      </c>
      <c r="C45" s="791" t="str">
        <f>'[3]4-BASES PREVI'!C45</f>
        <v>Demi pension</v>
      </c>
      <c r="D45" s="188"/>
      <c r="E45" s="500">
        <v>55</v>
      </c>
      <c r="F45" s="183">
        <f ca="1">(D45*D$23)+SUM(G45:J45)</f>
        <v>0</v>
      </c>
      <c r="G45" s="501">
        <f t="shared" ref="G45:G47" ca="1" si="0">IF($D$30="","",D45)</f>
        <v>0</v>
      </c>
      <c r="H45" s="501">
        <f t="shared" ref="H45:H47" si="1">IF($D$32="","",D45)</f>
        <v>0</v>
      </c>
      <c r="I45" s="338" t="str">
        <f>IF($D33="","",D$45)</f>
        <v/>
      </c>
      <c r="J45" s="991" t="str">
        <f>IF($D34="","",D$45)</f>
        <v/>
      </c>
      <c r="K45" s="8"/>
      <c r="L45" s="17"/>
      <c r="M45" s="162"/>
      <c r="N45" s="792"/>
      <c r="O45" s="784"/>
      <c r="P45" s="8"/>
      <c r="Q45" s="8"/>
    </row>
    <row r="46" spans="1:17" s="3" customFormat="1" ht="16.149999999999999" customHeight="1" x14ac:dyDescent="0.25">
      <c r="A46" s="6"/>
      <c r="B46" s="790" t="str">
        <f>IF(Info!B56="x","Mode principal :","")</f>
        <v/>
      </c>
      <c r="C46" s="791" t="str">
        <f>'[3]4-BASES PREVI'!C46</f>
        <v>Bivouac</v>
      </c>
      <c r="D46" s="188"/>
      <c r="E46" s="500">
        <v>10</v>
      </c>
      <c r="F46" s="183">
        <f ca="1">(D46*D$23)+SUM(G46:J46)</f>
        <v>0</v>
      </c>
      <c r="G46" s="501">
        <f t="shared" ca="1" si="0"/>
        <v>0</v>
      </c>
      <c r="H46" s="501">
        <f t="shared" si="1"/>
        <v>0</v>
      </c>
      <c r="I46" s="338" t="str">
        <f>IF($D33="","",D$46)</f>
        <v/>
      </c>
      <c r="J46" s="991" t="str">
        <f>IF($D34="","",D$46)</f>
        <v/>
      </c>
      <c r="K46" s="8"/>
      <c r="L46" s="17"/>
      <c r="M46" s="162"/>
      <c r="N46" s="792"/>
      <c r="O46" s="784"/>
      <c r="P46" s="8"/>
      <c r="Q46" s="8"/>
    </row>
    <row r="47" spans="1:17" s="3" customFormat="1" ht="12.75" customHeight="1" x14ac:dyDescent="0.25">
      <c r="A47" s="6"/>
      <c r="B47" s="790" t="str">
        <f>IF(Info!B57="x","Mode principal :","")</f>
        <v/>
      </c>
      <c r="C47" s="791" t="str">
        <f>'[3]4-BASES PREVI'!C47</f>
        <v>Repas seul</v>
      </c>
      <c r="D47" s="188"/>
      <c r="E47" s="500">
        <v>12</v>
      </c>
      <c r="F47" s="183">
        <f ca="1">(D47*D$23)+SUM(G47:J47)</f>
        <v>0</v>
      </c>
      <c r="G47" s="501">
        <f t="shared" ca="1" si="0"/>
        <v>0</v>
      </c>
      <c r="H47" s="501">
        <f t="shared" si="1"/>
        <v>0</v>
      </c>
      <c r="I47" s="338" t="str">
        <f>IF($D33="","",D$47)</f>
        <v/>
      </c>
      <c r="J47" s="338" t="str">
        <f>IF($D34="","",D$47)</f>
        <v/>
      </c>
      <c r="K47" s="8"/>
      <c r="L47" s="17"/>
      <c r="M47" s="162"/>
      <c r="N47" s="792"/>
      <c r="O47" s="8"/>
      <c r="P47" s="8"/>
      <c r="Q47" s="8"/>
    </row>
    <row r="48" spans="1:17" s="3" customFormat="1" ht="17.25" customHeight="1" x14ac:dyDescent="0.25">
      <c r="A48" s="6"/>
      <c r="B48" s="8"/>
      <c r="C48" s="8"/>
      <c r="D48" s="8"/>
      <c r="E48" s="8"/>
      <c r="F48" s="793" t="s">
        <v>195</v>
      </c>
      <c r="G48" s="992">
        <f ca="1">IF(G43="","",D30)</f>
        <v>8</v>
      </c>
      <c r="H48" s="992">
        <f ca="1">IF(H43="","",D32)</f>
        <v>1</v>
      </c>
      <c r="I48" s="992" t="str">
        <f>IF(I43="","",D33)</f>
        <v/>
      </c>
      <c r="J48" s="992" t="str">
        <f>IF(J43="","",D34)</f>
        <v/>
      </c>
      <c r="K48" s="8"/>
      <c r="L48" s="795"/>
      <c r="M48" s="176"/>
      <c r="N48" s="8"/>
      <c r="O48" s="8"/>
      <c r="P48" s="8"/>
      <c r="Q48" s="8"/>
    </row>
    <row r="49" spans="1:17" s="3" customFormat="1" ht="9" customHeight="1" thickBot="1" x14ac:dyDescent="0.3">
      <c r="A49" s="6"/>
      <c r="B49" s="8"/>
      <c r="C49" s="8"/>
      <c r="D49" s="8"/>
      <c r="E49" s="8"/>
      <c r="F49" s="8"/>
      <c r="G49" s="8"/>
      <c r="H49" s="8"/>
      <c r="I49" s="8"/>
      <c r="J49" s="8"/>
      <c r="K49" s="8"/>
      <c r="L49" s="795"/>
      <c r="M49" s="176"/>
      <c r="N49" s="8"/>
      <c r="O49" s="8"/>
      <c r="P49" s="8"/>
      <c r="Q49" s="8"/>
    </row>
    <row r="50" spans="1:17" s="24" customFormat="1" ht="13.5" customHeight="1" thickBot="1" x14ac:dyDescent="0.25">
      <c r="A50" s="6"/>
      <c r="B50" s="1168" t="s">
        <v>196</v>
      </c>
      <c r="C50" s="1169"/>
      <c r="D50" s="155">
        <f>F50*D23</f>
        <v>1680</v>
      </c>
      <c r="E50" s="796"/>
      <c r="F50" s="156">
        <f>(D44*E44)+(D45*E45)+(D46*E46)+(D47*E47)</f>
        <v>280</v>
      </c>
      <c r="G50" s="177"/>
      <c r="H50" s="777"/>
      <c r="I50" s="777"/>
      <c r="J50" s="777"/>
      <c r="K50" s="777"/>
      <c r="L50" s="797"/>
      <c r="M50" s="986">
        <f>'[3]4-BASES PREVI'!D50</f>
        <v>240</v>
      </c>
      <c r="N50" s="987" t="s">
        <v>549</v>
      </c>
      <c r="O50" s="17"/>
      <c r="P50" s="17"/>
      <c r="Q50" s="17"/>
    </row>
    <row r="51" spans="1:17" s="3" customFormat="1" ht="8.25" customHeight="1" thickBot="1" x14ac:dyDescent="0.25">
      <c r="A51" s="110"/>
      <c r="B51" s="780"/>
      <c r="C51" s="780"/>
      <c r="D51" s="176"/>
      <c r="E51" s="798"/>
      <c r="F51" s="185"/>
      <c r="G51" s="177"/>
      <c r="H51" s="777"/>
      <c r="I51" s="777"/>
      <c r="J51" s="777"/>
      <c r="K51" s="777"/>
      <c r="L51" s="795"/>
      <c r="M51" s="176"/>
      <c r="N51" s="8"/>
      <c r="O51" s="8"/>
      <c r="P51" s="8"/>
      <c r="Q51" s="8"/>
    </row>
    <row r="52" spans="1:17" s="38" customFormat="1" ht="15.75" customHeight="1" thickBot="1" x14ac:dyDescent="0.25">
      <c r="A52" s="6"/>
      <c r="B52" s="1168" t="s">
        <v>197</v>
      </c>
      <c r="C52" s="1169"/>
      <c r="D52" s="155">
        <f ca="1">(SUM(G44:J44)*E44)+(SUM(G45:J45)*E45)+(SUM(G46:J46)*E46)+(SUM(G47:J47)*E47)</f>
        <v>280</v>
      </c>
      <c r="E52" s="796"/>
      <c r="F52" s="156">
        <f ca="1">D52/D23</f>
        <v>46.666666666666664</v>
      </c>
      <c r="G52" s="177"/>
      <c r="H52" s="777"/>
      <c r="I52" s="777"/>
      <c r="J52" s="777"/>
      <c r="K52" s="777"/>
      <c r="L52" s="178"/>
      <c r="M52" s="986">
        <f>'[3]4-BASES PREVI'!D52</f>
        <v>135</v>
      </c>
      <c r="N52" s="987" t="s">
        <v>549</v>
      </c>
      <c r="O52" s="993"/>
      <c r="P52" s="71"/>
      <c r="Q52" s="71"/>
    </row>
    <row r="53" spans="1:17" s="3" customFormat="1" ht="16.149999999999999" customHeight="1" thickBot="1" x14ac:dyDescent="0.25">
      <c r="A53" s="6"/>
      <c r="B53" s="782"/>
      <c r="C53" s="782"/>
      <c r="D53" s="71"/>
      <c r="E53" s="180"/>
      <c r="F53" s="181"/>
      <c r="G53" s="182"/>
      <c r="H53" s="178"/>
      <c r="I53" s="178"/>
      <c r="J53" s="178"/>
      <c r="K53" s="178"/>
      <c r="L53" s="71"/>
      <c r="M53" s="17"/>
      <c r="N53" s="8"/>
      <c r="O53" s="8"/>
      <c r="P53" s="8"/>
      <c r="Q53" s="8"/>
    </row>
    <row r="54" spans="1:17" s="3" customFormat="1" ht="15" customHeight="1" x14ac:dyDescent="0.25">
      <c r="A54" s="110"/>
      <c r="B54" s="1165" t="s">
        <v>198</v>
      </c>
      <c r="C54" s="1166"/>
      <c r="D54" s="1166"/>
      <c r="E54" s="1166"/>
      <c r="F54" s="1167"/>
      <c r="G54" s="621"/>
      <c r="H54" s="1"/>
      <c r="I54" s="1"/>
      <c r="J54" s="1"/>
      <c r="K54" s="1"/>
      <c r="L54" s="1"/>
      <c r="M54" s="17"/>
      <c r="N54" s="8"/>
      <c r="O54" s="8"/>
      <c r="P54" s="8"/>
      <c r="Q54" s="8"/>
    </row>
    <row r="55" spans="1:17" s="3" customFormat="1" ht="9" customHeight="1" x14ac:dyDescent="0.25">
      <c r="A55" s="109"/>
      <c r="B55" s="783"/>
      <c r="C55" s="742"/>
      <c r="D55" s="799"/>
      <c r="E55" s="106"/>
      <c r="F55" s="106"/>
      <c r="G55" s="106"/>
      <c r="H55" s="8"/>
      <c r="I55" s="106"/>
      <c r="J55" s="106"/>
      <c r="K55" s="1"/>
      <c r="L55" s="8"/>
      <c r="M55" s="8"/>
      <c r="N55" s="8"/>
      <c r="O55" s="8"/>
      <c r="P55" s="8"/>
      <c r="Q55" s="8"/>
    </row>
    <row r="56" spans="1:17" s="3" customFormat="1" ht="15" customHeight="1" x14ac:dyDescent="0.2">
      <c r="A56" s="6"/>
      <c r="B56" s="1017" t="s">
        <v>568</v>
      </c>
      <c r="C56" s="800"/>
      <c r="D56" s="801" t="s">
        <v>199</v>
      </c>
      <c r="E56" s="186" t="s">
        <v>200</v>
      </c>
      <c r="F56" s="802" t="s">
        <v>201</v>
      </c>
      <c r="G56" s="186" t="s">
        <v>202</v>
      </c>
      <c r="H56" s="803" t="str">
        <f>IF(B$56="Location","Tarif Location",IF(B$56="Bus, Avion, Train","Prix du Ticket",""))</f>
        <v>Tarif Location</v>
      </c>
      <c r="I56" s="187" t="s">
        <v>203</v>
      </c>
      <c r="J56" s="8"/>
      <c r="K56" s="8"/>
      <c r="L56" s="8"/>
      <c r="M56" s="994"/>
      <c r="N56" s="104"/>
      <c r="O56" s="8"/>
      <c r="P56" s="995" t="s">
        <v>567</v>
      </c>
      <c r="Q56" s="8"/>
    </row>
    <row r="57" spans="1:17" s="3" customFormat="1" ht="15" customHeight="1" x14ac:dyDescent="0.25">
      <c r="A57" s="6"/>
      <c r="B57" s="188" t="str">
        <f>IF('Base Previ'!B57="","",'Base Previ'!B57)</f>
        <v>Pau</v>
      </c>
      <c r="C57" s="188" t="str">
        <f>IF('Base Previ'!C57="","",'Base Previ'!C57)</f>
        <v>Ailefroide</v>
      </c>
      <c r="D57" s="188">
        <v>1</v>
      </c>
      <c r="E57" s="188">
        <f>IF('Base Previ'!E57="","",'Base Previ'!E57)</f>
        <v>833</v>
      </c>
      <c r="F57" s="996">
        <f>IF('Base Previ'!F57="","",'Base Previ'!F57)</f>
        <v>0.3</v>
      </c>
      <c r="G57" s="500">
        <f>IF('Base Previ'!G57="","",'Base Previ'!G57)</f>
        <v>200</v>
      </c>
      <c r="H57" s="500">
        <f>IF('Base Previ'!H57="","",'Base Previ'!H57)</f>
        <v>688</v>
      </c>
      <c r="I57" s="160">
        <f>IF(E57="","",(D57*E57*F57)+G57+H57)</f>
        <v>1137.9000000000001</v>
      </c>
      <c r="J57" s="807"/>
      <c r="K57" s="8"/>
      <c r="L57" s="8"/>
      <c r="M57" s="997">
        <f>'[3]4-BASES PREVI'!H57</f>
        <v>185.2</v>
      </c>
      <c r="N57" s="998"/>
      <c r="O57" s="8"/>
      <c r="P57" s="995" t="s">
        <v>568</v>
      </c>
      <c r="Q57" s="8"/>
    </row>
    <row r="58" spans="1:17" s="3" customFormat="1" ht="15" customHeight="1" x14ac:dyDescent="0.25">
      <c r="A58" s="6"/>
      <c r="B58" s="188" t="str">
        <f>IF('Base Previ'!B58="","",'Base Previ'!B58)</f>
        <v/>
      </c>
      <c r="C58" s="188" t="str">
        <f>IF('Base Previ'!C58="","",'Base Previ'!C58)</f>
        <v/>
      </c>
      <c r="D58" s="188" t="str">
        <f>IF('[3]4-BASES PREVI'!D58="","",'[3]4-BASES PREVI'!D58)</f>
        <v/>
      </c>
      <c r="E58" s="188" t="str">
        <f>IF('Base Previ'!E58="","",'Base Previ'!E58)</f>
        <v/>
      </c>
      <c r="F58" s="996" t="str">
        <f>IF('Base Previ'!F58="","",'Base Previ'!F58)</f>
        <v/>
      </c>
      <c r="G58" s="500"/>
      <c r="H58" s="1016"/>
      <c r="I58" s="160" t="str">
        <f t="shared" ref="I58:I59" si="2">IF(E58="","",(D58*E58*F58)+G58+H58)</f>
        <v/>
      </c>
      <c r="J58" s="807"/>
      <c r="K58" s="8"/>
      <c r="L58" s="8"/>
      <c r="M58" s="999" t="str">
        <f>'[3]4-BASES PREVI'!H58</f>
        <v/>
      </c>
      <c r="N58" s="8"/>
      <c r="O58" s="8"/>
      <c r="P58" s="995" t="s">
        <v>569</v>
      </c>
      <c r="Q58" s="8"/>
    </row>
    <row r="59" spans="1:17" s="3" customFormat="1" ht="15" customHeight="1" x14ac:dyDescent="0.25">
      <c r="A59" s="6"/>
      <c r="B59" s="188" t="str">
        <f>IF('Base Previ'!B59="","",'Base Previ'!B59)</f>
        <v/>
      </c>
      <c r="C59" s="188" t="str">
        <f>IF('Base Previ'!C59="","",'Base Previ'!C59)</f>
        <v/>
      </c>
      <c r="D59" s="188" t="str">
        <f>IF('[3]4-BASES PREVI'!D59="","",'[3]4-BASES PREVI'!D59)</f>
        <v/>
      </c>
      <c r="E59" s="188" t="str">
        <f>IF('Base Previ'!E59="","",'Base Previ'!E59)</f>
        <v/>
      </c>
      <c r="F59" s="996" t="str">
        <f>IF('Base Previ'!F59="","",'Base Previ'!F59)</f>
        <v/>
      </c>
      <c r="G59" s="500"/>
      <c r="H59" s="1016"/>
      <c r="I59" s="160" t="str">
        <f t="shared" si="2"/>
        <v/>
      </c>
      <c r="J59" s="807"/>
      <c r="K59" s="8"/>
      <c r="L59" s="17"/>
      <c r="M59" s="1000" t="str">
        <f>'[3]4-BASES PREVI'!H59</f>
        <v/>
      </c>
      <c r="N59" s="8"/>
      <c r="O59" s="8"/>
      <c r="P59" s="8"/>
      <c r="Q59" s="8"/>
    </row>
    <row r="60" spans="1:17" s="38" customFormat="1" ht="9" customHeight="1" thickBot="1" x14ac:dyDescent="0.25">
      <c r="A60" s="6"/>
      <c r="B60" s="813"/>
      <c r="C60" s="813"/>
      <c r="D60" s="814"/>
      <c r="E60" s="180"/>
      <c r="F60" s="196"/>
      <c r="G60" s="109"/>
      <c r="H60" s="71"/>
      <c r="I60" s="71"/>
      <c r="J60" s="71"/>
      <c r="K60" s="71"/>
      <c r="L60" s="71"/>
      <c r="M60" s="179"/>
      <c r="N60" s="71"/>
      <c r="O60" s="71"/>
      <c r="P60" s="71"/>
      <c r="Q60" s="71"/>
    </row>
    <row r="61" spans="1:17" s="38" customFormat="1" ht="15" customHeight="1" thickBot="1" x14ac:dyDescent="0.25">
      <c r="A61" s="6"/>
      <c r="B61" s="1168" t="s">
        <v>206</v>
      </c>
      <c r="C61" s="1169"/>
      <c r="D61" s="155">
        <f>SUM(I57:I59)</f>
        <v>1137.9000000000001</v>
      </c>
      <c r="E61" s="197"/>
      <c r="F61" s="156">
        <f>D61/D$23</f>
        <v>189.65</v>
      </c>
      <c r="G61" s="109"/>
      <c r="H61" s="71"/>
      <c r="I61" s="71"/>
      <c r="J61" s="71"/>
      <c r="K61" s="71"/>
      <c r="L61" s="71"/>
      <c r="M61" s="986">
        <f>'[3]4-BASES PREVI'!D70</f>
        <v>185.2</v>
      </c>
      <c r="N61" s="987" t="s">
        <v>549</v>
      </c>
      <c r="O61" s="71"/>
      <c r="P61" s="71"/>
      <c r="Q61" s="71"/>
    </row>
    <row r="62" spans="1:17" s="3" customFormat="1" ht="13.5" customHeight="1" thickBot="1" x14ac:dyDescent="0.25">
      <c r="A62" s="6"/>
      <c r="B62" s="813"/>
      <c r="C62" s="813"/>
      <c r="D62" s="814"/>
      <c r="E62" s="180"/>
      <c r="F62" s="196"/>
      <c r="G62" s="109"/>
      <c r="H62" s="71"/>
      <c r="I62" s="71"/>
      <c r="J62" s="71"/>
      <c r="K62" s="71"/>
      <c r="L62" s="71"/>
      <c r="M62" s="17"/>
      <c r="N62" s="8"/>
      <c r="O62" s="8"/>
      <c r="P62" s="8"/>
      <c r="Q62" s="8"/>
    </row>
    <row r="63" spans="1:17" s="3" customFormat="1" ht="15" customHeight="1" x14ac:dyDescent="0.25">
      <c r="A63" s="6"/>
      <c r="B63" s="1165" t="s">
        <v>207</v>
      </c>
      <c r="C63" s="1166"/>
      <c r="D63" s="1166"/>
      <c r="E63" s="1166"/>
      <c r="F63" s="1167"/>
      <c r="G63" s="742"/>
      <c r="H63" s="7"/>
      <c r="I63" s="8"/>
      <c r="J63" s="8"/>
      <c r="K63" s="8"/>
      <c r="L63" s="71"/>
      <c r="M63" s="621"/>
      <c r="N63" s="8"/>
      <c r="O63" s="8"/>
      <c r="P63" s="8"/>
      <c r="Q63" s="8"/>
    </row>
    <row r="64" spans="1:17" s="3" customFormat="1" ht="7.5" customHeight="1" x14ac:dyDescent="0.2">
      <c r="A64" s="109"/>
      <c r="B64" s="815"/>
      <c r="C64" s="744"/>
      <c r="D64" s="816"/>
      <c r="E64" s="8"/>
      <c r="F64" s="198"/>
      <c r="G64" s="6"/>
      <c r="H64" s="7"/>
      <c r="I64" s="8"/>
      <c r="J64" s="8"/>
      <c r="K64" s="8"/>
      <c r="L64" s="71"/>
      <c r="M64" s="817"/>
      <c r="N64" s="8"/>
      <c r="O64" s="8"/>
      <c r="P64" s="8"/>
      <c r="Q64" s="8"/>
    </row>
    <row r="65" spans="1:17" s="3" customFormat="1" ht="15" customHeight="1" x14ac:dyDescent="0.25">
      <c r="A65" s="6"/>
      <c r="B65" s="818"/>
      <c r="C65" s="819" t="s">
        <v>208</v>
      </c>
      <c r="D65" s="502">
        <f>M65</f>
        <v>0</v>
      </c>
      <c r="E65" s="8"/>
      <c r="F65" s="198"/>
      <c r="G65" s="8"/>
      <c r="H65" s="7"/>
      <c r="I65" s="8"/>
      <c r="J65" s="8"/>
      <c r="K65" s="8"/>
      <c r="L65" s="71"/>
      <c r="M65" s="162">
        <f>'[3]4-BASES PREVI'!D74</f>
        <v>0</v>
      </c>
      <c r="N65" s="8"/>
      <c r="O65" s="8"/>
      <c r="P65" s="8"/>
      <c r="Q65" s="8"/>
    </row>
    <row r="66" spans="1:17" s="3" customFormat="1" ht="15" customHeight="1" x14ac:dyDescent="0.25">
      <c r="A66" s="6"/>
      <c r="B66" s="818"/>
      <c r="C66" s="819" t="s">
        <v>209</v>
      </c>
      <c r="D66" s="502">
        <f t="shared" ref="D66:D67" si="3">M66</f>
        <v>0</v>
      </c>
      <c r="E66" s="8"/>
      <c r="F66" s="198"/>
      <c r="G66" s="8"/>
      <c r="H66" s="7"/>
      <c r="I66" s="8"/>
      <c r="J66" s="8"/>
      <c r="K66" s="8"/>
      <c r="L66" s="8"/>
      <c r="M66" s="162">
        <f>'[3]4-BASES PREVI'!D75</f>
        <v>0</v>
      </c>
      <c r="N66" s="8"/>
      <c r="O66" s="8"/>
      <c r="P66" s="8"/>
      <c r="Q66" s="8"/>
    </row>
    <row r="67" spans="1:17" s="24" customFormat="1" ht="15" customHeight="1" x14ac:dyDescent="0.25">
      <c r="A67" s="6"/>
      <c r="B67" s="818"/>
      <c r="C67" s="819" t="s">
        <v>210</v>
      </c>
      <c r="D67" s="502">
        <f t="shared" si="3"/>
        <v>0</v>
      </c>
      <c r="E67" s="8"/>
      <c r="F67" s="201"/>
      <c r="G67" s="1"/>
      <c r="H67" s="7"/>
      <c r="I67" s="1"/>
      <c r="J67" s="1"/>
      <c r="K67" s="820"/>
      <c r="L67" s="781"/>
      <c r="M67" s="162">
        <f>'[3]4-BASES PREVI'!D76</f>
        <v>0</v>
      </c>
      <c r="N67" s="185"/>
      <c r="O67" s="17"/>
      <c r="P67" s="17"/>
      <c r="Q67" s="17"/>
    </row>
    <row r="68" spans="1:17" s="24" customFormat="1" ht="8.25" customHeight="1" thickBot="1" x14ac:dyDescent="0.3">
      <c r="A68" s="110"/>
      <c r="B68" s="818"/>
      <c r="C68" s="220"/>
      <c r="D68" s="823"/>
      <c r="E68" s="202"/>
      <c r="F68" s="203"/>
      <c r="G68" s="71"/>
      <c r="H68" s="7"/>
      <c r="I68" s="71"/>
      <c r="J68" s="71"/>
      <c r="K68" s="781"/>
      <c r="L68" s="781"/>
      <c r="M68" s="204"/>
      <c r="N68" s="185"/>
      <c r="O68" s="17"/>
      <c r="P68" s="17"/>
      <c r="Q68" s="17"/>
    </row>
    <row r="69" spans="1:17" s="38" customFormat="1" ht="15" customHeight="1" thickBot="1" x14ac:dyDescent="0.25">
      <c r="A69" s="110"/>
      <c r="B69" s="1168" t="s">
        <v>212</v>
      </c>
      <c r="C69" s="1169"/>
      <c r="D69" s="155">
        <f>SUM(D65:D67)</f>
        <v>0</v>
      </c>
      <c r="E69" s="197"/>
      <c r="F69" s="156">
        <f>D69/D$23</f>
        <v>0</v>
      </c>
      <c r="G69" s="71"/>
      <c r="H69" s="7"/>
      <c r="I69" s="71"/>
      <c r="J69" s="71"/>
      <c r="K69" s="781"/>
      <c r="L69" s="106"/>
      <c r="M69" s="503">
        <f>'[3]4-BASES PREVI'!D78</f>
        <v>0</v>
      </c>
      <c r="N69" s="83" t="s">
        <v>549</v>
      </c>
      <c r="O69" s="71"/>
      <c r="P69" s="71"/>
      <c r="Q69" s="71"/>
    </row>
    <row r="70" spans="1:17" s="3" customFormat="1" ht="15" customHeight="1" thickBot="1" x14ac:dyDescent="0.25">
      <c r="A70" s="6"/>
      <c r="B70" s="813"/>
      <c r="C70" s="813"/>
      <c r="D70" s="814"/>
      <c r="E70" s="180"/>
      <c r="F70" s="196"/>
      <c r="G70" s="109"/>
      <c r="H70" s="71"/>
      <c r="I70" s="71"/>
      <c r="J70" s="71"/>
      <c r="K70" s="106"/>
      <c r="L70" s="71"/>
      <c r="M70" s="17"/>
      <c r="N70" s="8"/>
      <c r="O70" s="8"/>
      <c r="P70" s="8"/>
      <c r="Q70" s="8"/>
    </row>
    <row r="71" spans="1:17" s="3" customFormat="1" ht="15" customHeight="1" x14ac:dyDescent="0.25">
      <c r="A71" s="6"/>
      <c r="B71" s="1165" t="s">
        <v>551</v>
      </c>
      <c r="C71" s="1166"/>
      <c r="D71" s="1166"/>
      <c r="E71" s="1166"/>
      <c r="F71" s="1167"/>
      <c r="G71" s="6"/>
      <c r="H71" s="1"/>
      <c r="I71" s="8"/>
      <c r="J71" s="8"/>
      <c r="K71" s="8"/>
      <c r="L71" s="17"/>
      <c r="M71" s="1177"/>
      <c r="N71" s="1177"/>
      <c r="O71" s="1177"/>
      <c r="P71" s="8"/>
      <c r="Q71" s="8"/>
    </row>
    <row r="72" spans="1:17" s="3" customFormat="1" ht="9" customHeight="1" x14ac:dyDescent="0.25">
      <c r="A72" s="286"/>
      <c r="B72" s="759"/>
      <c r="C72" s="109"/>
      <c r="D72" s="1177"/>
      <c r="E72" s="1177"/>
      <c r="F72" s="60"/>
      <c r="G72" s="60"/>
      <c r="H72" s="1177"/>
      <c r="I72" s="1177"/>
      <c r="J72" s="1"/>
      <c r="K72" s="8"/>
      <c r="L72" s="17"/>
      <c r="M72" s="107"/>
      <c r="N72" s="104"/>
      <c r="O72" s="1"/>
      <c r="P72" s="8"/>
      <c r="Q72" s="8"/>
    </row>
    <row r="73" spans="1:17" s="3" customFormat="1" ht="15" customHeight="1" x14ac:dyDescent="0.25">
      <c r="A73" s="6"/>
      <c r="B73" s="818"/>
      <c r="C73" s="819" t="s">
        <v>214</v>
      </c>
      <c r="D73" s="502">
        <f>M73</f>
        <v>0</v>
      </c>
      <c r="E73" s="107"/>
      <c r="F73" s="823"/>
      <c r="G73" s="107"/>
      <c r="H73" s="823"/>
      <c r="I73" s="107"/>
      <c r="J73" s="71"/>
      <c r="K73" s="8"/>
      <c r="L73" s="17"/>
      <c r="M73" s="1001">
        <f>'[3]4-BASES PREVI'!D82</f>
        <v>0</v>
      </c>
      <c r="N73" s="104"/>
      <c r="O73" s="107"/>
      <c r="P73" s="8"/>
      <c r="Q73" s="8"/>
    </row>
    <row r="74" spans="1:17" s="24" customFormat="1" ht="15" customHeight="1" x14ac:dyDescent="0.25">
      <c r="A74" s="6"/>
      <c r="B74" s="818"/>
      <c r="C74" s="819" t="s">
        <v>215</v>
      </c>
      <c r="D74" s="504">
        <f t="shared" ref="D74" si="4">M74</f>
        <v>0</v>
      </c>
      <c r="E74" s="107"/>
      <c r="F74" s="823"/>
      <c r="G74" s="107"/>
      <c r="H74" s="823"/>
      <c r="I74" s="107"/>
      <c r="J74" s="206"/>
      <c r="K74" s="8"/>
      <c r="L74" s="17"/>
      <c r="M74" s="162">
        <f>'[3]4-BASES PREVI'!D83</f>
        <v>0</v>
      </c>
      <c r="N74" s="17"/>
      <c r="O74" s="17"/>
      <c r="P74" s="17"/>
      <c r="Q74" s="17"/>
    </row>
    <row r="75" spans="1:17" s="24" customFormat="1" ht="8.25" customHeight="1" thickBot="1" x14ac:dyDescent="0.25">
      <c r="A75" s="6"/>
      <c r="B75" s="818"/>
      <c r="C75" s="760"/>
      <c r="D75" s="110"/>
      <c r="E75" s="144"/>
      <c r="F75" s="144"/>
      <c r="G75" s="110"/>
      <c r="H75" s="7"/>
      <c r="I75" s="17"/>
      <c r="J75" s="17"/>
      <c r="K75" s="17"/>
      <c r="L75" s="17"/>
      <c r="M75" s="17"/>
      <c r="N75" s="17"/>
      <c r="O75" s="17"/>
      <c r="P75" s="17"/>
      <c r="Q75" s="17"/>
    </row>
    <row r="76" spans="1:17" s="24" customFormat="1" ht="15" customHeight="1" thickBot="1" x14ac:dyDescent="0.25">
      <c r="A76" s="6"/>
      <c r="B76" s="1168" t="s">
        <v>552</v>
      </c>
      <c r="C76" s="1169"/>
      <c r="D76" s="155">
        <f>(D74*D17)+(D73*D$23*D17)</f>
        <v>0</v>
      </c>
      <c r="E76" s="8"/>
      <c r="F76" s="156">
        <f>D76/D$23</f>
        <v>0</v>
      </c>
      <c r="G76" s="110"/>
      <c r="H76" s="7"/>
      <c r="I76" s="17"/>
      <c r="J76" s="17"/>
      <c r="K76" s="17"/>
      <c r="L76" s="17"/>
      <c r="M76" s="503">
        <f>'[3]4-BASES PREVI'!D85</f>
        <v>0</v>
      </c>
      <c r="N76" s="83" t="s">
        <v>549</v>
      </c>
      <c r="O76" s="17"/>
      <c r="P76" s="17"/>
      <c r="Q76" s="17"/>
    </row>
    <row r="77" spans="1:17" s="3" customFormat="1" ht="15" customHeight="1" thickBot="1" x14ac:dyDescent="0.25">
      <c r="A77" s="110"/>
      <c r="B77" s="824"/>
      <c r="C77" s="824"/>
      <c r="D77" s="176"/>
      <c r="E77" s="17"/>
      <c r="F77" s="185"/>
      <c r="G77" s="110"/>
      <c r="H77" s="7"/>
      <c r="I77" s="17"/>
      <c r="J77" s="17"/>
      <c r="K77" s="17"/>
      <c r="L77" s="17"/>
      <c r="M77" s="17"/>
      <c r="N77" s="8"/>
      <c r="O77" s="8"/>
      <c r="P77" s="8"/>
      <c r="Q77" s="8"/>
    </row>
    <row r="78" spans="1:17" s="3" customFormat="1" ht="15" customHeight="1" x14ac:dyDescent="0.25">
      <c r="A78" s="6"/>
      <c r="B78" s="1165" t="s">
        <v>218</v>
      </c>
      <c r="C78" s="1166"/>
      <c r="D78" s="1166"/>
      <c r="E78" s="1166"/>
      <c r="F78" s="1167"/>
      <c r="G78" s="742"/>
      <c r="H78" s="7"/>
      <c r="I78" s="8"/>
      <c r="J78" s="8"/>
      <c r="K78" s="8"/>
      <c r="L78" s="71"/>
      <c r="M78" s="621"/>
      <c r="N78" s="8"/>
      <c r="O78" s="8"/>
      <c r="P78" s="8"/>
      <c r="Q78" s="8"/>
    </row>
    <row r="79" spans="1:17" s="3" customFormat="1" ht="8.25" customHeight="1" x14ac:dyDescent="0.2">
      <c r="A79" s="109"/>
      <c r="B79" s="815"/>
      <c r="C79" s="744"/>
      <c r="D79" s="816"/>
      <c r="E79" s="8"/>
      <c r="F79" s="198"/>
      <c r="G79" s="6"/>
      <c r="H79" s="7"/>
      <c r="I79" s="8"/>
      <c r="J79" s="8"/>
      <c r="K79" s="8"/>
      <c r="L79" s="71"/>
      <c r="M79" s="817"/>
      <c r="N79" s="8"/>
      <c r="O79" s="8"/>
      <c r="P79" s="8"/>
      <c r="Q79" s="8"/>
    </row>
    <row r="80" spans="1:17" s="3" customFormat="1" ht="15" customHeight="1" x14ac:dyDescent="0.2">
      <c r="A80" s="6"/>
      <c r="B80" s="825"/>
      <c r="C80" s="826" t="s">
        <v>553</v>
      </c>
      <c r="D80" s="502">
        <f>M80</f>
        <v>0</v>
      </c>
      <c r="E80" s="8"/>
      <c r="F80" s="198"/>
      <c r="G80" s="8"/>
      <c r="H80" s="7"/>
      <c r="I80" s="8"/>
      <c r="J80" s="8"/>
      <c r="K80" s="8"/>
      <c r="L80" s="71"/>
      <c r="M80" s="1001">
        <f>'[3]4-BASES PREVI'!D89</f>
        <v>0</v>
      </c>
      <c r="N80" s="8"/>
      <c r="O80" s="8"/>
      <c r="P80" s="8"/>
      <c r="Q80" s="8"/>
    </row>
    <row r="81" spans="1:17" s="3" customFormat="1" ht="15" customHeight="1" x14ac:dyDescent="0.2">
      <c r="A81" s="6"/>
      <c r="B81" s="825"/>
      <c r="C81" s="826" t="s">
        <v>554</v>
      </c>
      <c r="D81" s="502">
        <f t="shared" ref="D81" si="5">M81</f>
        <v>0</v>
      </c>
      <c r="E81" s="8"/>
      <c r="F81" s="198"/>
      <c r="G81" s="8"/>
      <c r="H81" s="7"/>
      <c r="I81" s="8"/>
      <c r="J81" s="8"/>
      <c r="K81" s="8"/>
      <c r="L81" s="71"/>
      <c r="M81" s="1001">
        <f>'[3]4-BASES PREVI'!D90</f>
        <v>0</v>
      </c>
      <c r="N81" s="8"/>
      <c r="O81" s="8"/>
      <c r="P81" s="8"/>
      <c r="Q81" s="8"/>
    </row>
    <row r="82" spans="1:17" s="3" customFormat="1" ht="8.25" customHeight="1" thickBot="1" x14ac:dyDescent="0.25">
      <c r="A82" s="6"/>
      <c r="B82" s="825"/>
      <c r="C82" s="817"/>
      <c r="D82" s="823"/>
      <c r="E82" s="8"/>
      <c r="F82" s="198"/>
      <c r="G82" s="8"/>
      <c r="H82" s="7"/>
      <c r="I82" s="8"/>
      <c r="J82" s="8"/>
      <c r="K82" s="8"/>
      <c r="L82" s="71"/>
      <c r="M82" s="591"/>
      <c r="N82" s="8"/>
      <c r="O82" s="8"/>
      <c r="P82" s="8"/>
      <c r="Q82" s="8"/>
    </row>
    <row r="83" spans="1:17" s="38" customFormat="1" ht="15" customHeight="1" thickBot="1" x14ac:dyDescent="0.25">
      <c r="A83" s="110"/>
      <c r="B83" s="1168" t="s">
        <v>218</v>
      </c>
      <c r="C83" s="1169"/>
      <c r="D83" s="155">
        <f>SUM(D80:D81)</f>
        <v>0</v>
      </c>
      <c r="E83" s="197"/>
      <c r="F83" s="156">
        <f>D83/D$23</f>
        <v>0</v>
      </c>
      <c r="G83" s="71"/>
      <c r="H83" s="7"/>
      <c r="I83" s="71"/>
      <c r="J83" s="71"/>
      <c r="K83" s="781"/>
      <c r="L83" s="106"/>
      <c r="M83" s="503">
        <f>'[3]4-BASES PREVI'!D92</f>
        <v>0</v>
      </c>
      <c r="N83" s="83" t="s">
        <v>549</v>
      </c>
      <c r="O83" s="71"/>
      <c r="P83" s="71"/>
      <c r="Q83" s="71"/>
    </row>
    <row r="84" spans="1:17" s="38" customFormat="1" ht="15" customHeight="1" thickBot="1" x14ac:dyDescent="0.25">
      <c r="A84" s="110"/>
      <c r="B84" s="1002"/>
      <c r="C84" s="824"/>
      <c r="D84" s="505"/>
      <c r="E84" s="204"/>
      <c r="F84" s="185"/>
      <c r="G84" s="71"/>
      <c r="H84" s="7"/>
      <c r="I84" s="71"/>
      <c r="J84" s="71"/>
      <c r="K84" s="781"/>
      <c r="L84" s="106"/>
      <c r="M84" s="179"/>
      <c r="N84" s="71"/>
      <c r="O84" s="71"/>
      <c r="P84" s="71"/>
      <c r="Q84" s="71"/>
    </row>
    <row r="85" spans="1:17" s="3" customFormat="1" ht="15" customHeight="1" x14ac:dyDescent="0.25">
      <c r="A85" s="6"/>
      <c r="B85" s="1165" t="s">
        <v>221</v>
      </c>
      <c r="C85" s="1166"/>
      <c r="D85" s="1166"/>
      <c r="E85" s="1166"/>
      <c r="F85" s="1167"/>
      <c r="G85" s="6"/>
      <c r="H85" s="7"/>
      <c r="I85" s="8"/>
      <c r="J85" s="8"/>
      <c r="K85" s="8"/>
      <c r="L85" s="71"/>
      <c r="M85" s="621"/>
      <c r="N85" s="8"/>
      <c r="O85" s="8"/>
      <c r="P85" s="8"/>
      <c r="Q85" s="8"/>
    </row>
    <row r="86" spans="1:17" s="3" customFormat="1" ht="9" customHeight="1" x14ac:dyDescent="0.2">
      <c r="A86" s="109"/>
      <c r="B86" s="815"/>
      <c r="C86" s="744"/>
      <c r="D86" s="816"/>
      <c r="E86" s="8"/>
      <c r="F86" s="198"/>
      <c r="G86" s="6"/>
      <c r="H86" s="7"/>
      <c r="I86" s="8"/>
      <c r="J86" s="8"/>
      <c r="K86" s="8"/>
      <c r="L86" s="71"/>
      <c r="M86" s="8"/>
      <c r="N86" s="8"/>
      <c r="O86" s="8"/>
      <c r="P86" s="8"/>
      <c r="Q86" s="8"/>
    </row>
    <row r="87" spans="1:17" s="3" customFormat="1" ht="15" customHeight="1" x14ac:dyDescent="0.2">
      <c r="A87" s="6"/>
      <c r="B87" s="825"/>
      <c r="C87" s="826" t="s">
        <v>222</v>
      </c>
      <c r="D87" s="500">
        <f>M87</f>
        <v>0</v>
      </c>
      <c r="E87" s="17"/>
      <c r="F87" s="209"/>
      <c r="G87" s="1"/>
      <c r="H87" s="7"/>
      <c r="I87" s="8"/>
      <c r="J87" s="8"/>
      <c r="K87" s="8"/>
      <c r="L87" s="71"/>
      <c r="M87" s="506">
        <f>'[3]4-BASES PREVI'!D96</f>
        <v>0</v>
      </c>
      <c r="N87" s="899" t="s">
        <v>555</v>
      </c>
      <c r="O87" s="8"/>
      <c r="P87" s="8"/>
      <c r="Q87" s="8"/>
    </row>
    <row r="88" spans="1:17" s="3" customFormat="1" ht="15" customHeight="1" x14ac:dyDescent="0.2">
      <c r="A88" s="6"/>
      <c r="B88" s="751"/>
      <c r="C88" s="826" t="s">
        <v>224</v>
      </c>
      <c r="D88" s="500">
        <f t="shared" ref="D88:D89" si="6">M88</f>
        <v>0</v>
      </c>
      <c r="E88" s="17"/>
      <c r="F88" s="210"/>
      <c r="G88" s="1"/>
      <c r="H88" s="7"/>
      <c r="I88" s="8"/>
      <c r="J88" s="8"/>
      <c r="K88" s="8"/>
      <c r="L88" s="71"/>
      <c r="M88" s="506">
        <f>'[3]4-BASES PREVI'!D97</f>
        <v>0</v>
      </c>
      <c r="N88" s="899" t="s">
        <v>225</v>
      </c>
      <c r="O88" s="8"/>
      <c r="P88" s="8"/>
      <c r="Q88" s="8"/>
    </row>
    <row r="89" spans="1:17" s="24" customFormat="1" ht="15" customHeight="1" x14ac:dyDescent="0.2">
      <c r="A89" s="6"/>
      <c r="B89" s="825"/>
      <c r="C89" s="826" t="s">
        <v>226</v>
      </c>
      <c r="D89" s="500">
        <f t="shared" si="6"/>
        <v>0</v>
      </c>
      <c r="E89" s="17"/>
      <c r="F89" s="210"/>
      <c r="G89" s="1"/>
      <c r="H89" s="7"/>
      <c r="I89" s="8"/>
      <c r="J89" s="8"/>
      <c r="K89" s="8"/>
      <c r="L89" s="71"/>
      <c r="M89" s="506">
        <f>'[3]4-BASES PREVI'!D98</f>
        <v>0</v>
      </c>
      <c r="N89" s="899" t="s">
        <v>556</v>
      </c>
      <c r="O89" s="17"/>
      <c r="P89" s="17"/>
      <c r="Q89" s="17"/>
    </row>
    <row r="90" spans="1:17" s="24" customFormat="1" ht="8.25" customHeight="1" thickBot="1" x14ac:dyDescent="0.25">
      <c r="A90" s="110"/>
      <c r="B90" s="829"/>
      <c r="C90" s="830"/>
      <c r="D90" s="831"/>
      <c r="E90" s="71"/>
      <c r="F90" s="210"/>
      <c r="G90" s="71"/>
      <c r="H90" s="7"/>
      <c r="I90" s="71"/>
      <c r="J90" s="71"/>
      <c r="K90" s="71"/>
      <c r="L90" s="781"/>
      <c r="M90" s="507"/>
      <c r="N90" s="185"/>
      <c r="O90" s="17"/>
      <c r="P90" s="17"/>
      <c r="Q90" s="17"/>
    </row>
    <row r="91" spans="1:17" s="3" customFormat="1" ht="15" customHeight="1" thickBot="1" x14ac:dyDescent="0.25">
      <c r="A91" s="110"/>
      <c r="B91" s="1168" t="s">
        <v>228</v>
      </c>
      <c r="C91" s="1169"/>
      <c r="D91" s="155">
        <f>SUM(D87:D89)*D23</f>
        <v>0</v>
      </c>
      <c r="E91" s="197"/>
      <c r="F91" s="156">
        <f>SUM(D87:D89)</f>
        <v>0</v>
      </c>
      <c r="G91" s="71"/>
      <c r="H91" s="7"/>
      <c r="I91" s="71"/>
      <c r="J91" s="71"/>
      <c r="K91" s="781"/>
      <c r="L91" s="71"/>
      <c r="M91" s="503">
        <f>'[3]4-BASES PREVI'!D100</f>
        <v>0</v>
      </c>
      <c r="N91" s="83" t="s">
        <v>549</v>
      </c>
      <c r="O91" s="8"/>
      <c r="P91" s="8"/>
      <c r="Q91" s="8"/>
    </row>
    <row r="92" spans="1:17" s="3" customFormat="1" ht="9" customHeight="1" x14ac:dyDescent="0.2">
      <c r="A92" s="6"/>
      <c r="B92" s="825"/>
      <c r="C92" s="834"/>
      <c r="D92" s="835"/>
      <c r="E92" s="17"/>
      <c r="F92" s="210"/>
      <c r="G92" s="1"/>
      <c r="H92" s="7"/>
      <c r="I92" s="8"/>
      <c r="J92" s="8"/>
      <c r="K92" s="8"/>
      <c r="L92" s="71"/>
      <c r="M92" s="508"/>
      <c r="N92" s="833"/>
      <c r="O92" s="8"/>
      <c r="P92" s="8"/>
      <c r="Q92" s="8"/>
    </row>
    <row r="93" spans="1:17" s="3" customFormat="1" ht="15" customHeight="1" x14ac:dyDescent="0.2">
      <c r="A93" s="6"/>
      <c r="B93" s="825"/>
      <c r="C93" s="826" t="s">
        <v>229</v>
      </c>
      <c r="D93" s="509">
        <f t="shared" ref="D93:D94" si="7">M93</f>
        <v>0</v>
      </c>
      <c r="E93" s="8"/>
      <c r="F93" s="623"/>
      <c r="G93" s="1"/>
      <c r="H93" s="7"/>
      <c r="I93" s="8"/>
      <c r="J93" s="8"/>
      <c r="K93" s="8"/>
      <c r="L93" s="8"/>
      <c r="M93" s="506">
        <f>'[3]4-BASES PREVI'!D102</f>
        <v>0</v>
      </c>
      <c r="N93" s="833"/>
      <c r="O93" s="1"/>
      <c r="P93" s="8"/>
      <c r="Q93" s="8"/>
    </row>
    <row r="94" spans="1:17" s="24" customFormat="1" ht="15" customHeight="1" x14ac:dyDescent="0.2">
      <c r="A94" s="6"/>
      <c r="B94" s="825"/>
      <c r="C94" s="826" t="s">
        <v>230</v>
      </c>
      <c r="D94" s="509">
        <f t="shared" si="7"/>
        <v>0</v>
      </c>
      <c r="E94" s="8"/>
      <c r="F94" s="212"/>
      <c r="G94" s="1"/>
      <c r="H94" s="7"/>
      <c r="I94" s="1"/>
      <c r="J94" s="1"/>
      <c r="K94" s="820"/>
      <c r="L94" s="781"/>
      <c r="M94" s="506">
        <f>'[3]4-BASES PREVI'!D103</f>
        <v>0</v>
      </c>
      <c r="N94" s="185"/>
      <c r="O94" s="17"/>
      <c r="P94" s="17"/>
      <c r="Q94" s="17"/>
    </row>
    <row r="95" spans="1:17" s="24" customFormat="1" ht="7.5" customHeight="1" thickBot="1" x14ac:dyDescent="0.25">
      <c r="A95" s="110"/>
      <c r="B95" s="825"/>
      <c r="C95" s="782"/>
      <c r="D95" s="837"/>
      <c r="E95" s="213"/>
      <c r="F95" s="209"/>
      <c r="G95" s="71"/>
      <c r="H95" s="7"/>
      <c r="I95" s="71"/>
      <c r="J95" s="71"/>
      <c r="K95" s="781"/>
      <c r="L95" s="781"/>
      <c r="M95" s="204"/>
      <c r="N95" s="185"/>
      <c r="O95" s="17"/>
      <c r="P95" s="17"/>
      <c r="Q95" s="17"/>
    </row>
    <row r="96" spans="1:17" s="24" customFormat="1" ht="15" customHeight="1" thickBot="1" x14ac:dyDescent="0.25">
      <c r="A96" s="110"/>
      <c r="B96" s="1168" t="s">
        <v>231</v>
      </c>
      <c r="C96" s="1169"/>
      <c r="D96" s="155">
        <f ca="1">SUM(D93:D94)*D30</f>
        <v>0</v>
      </c>
      <c r="E96" s="197"/>
      <c r="F96" s="156">
        <f>SUM(D93:D94)</f>
        <v>0</v>
      </c>
      <c r="G96" s="71"/>
      <c r="H96" s="7"/>
      <c r="I96" s="71"/>
      <c r="J96" s="71"/>
      <c r="K96" s="781"/>
      <c r="L96" s="781"/>
      <c r="M96" s="503">
        <f>'[3]4-BASES PREVI'!D105</f>
        <v>0</v>
      </c>
      <c r="N96" s="83" t="s">
        <v>549</v>
      </c>
      <c r="O96" s="17"/>
      <c r="P96" s="17"/>
      <c r="Q96" s="17"/>
    </row>
    <row r="97" spans="1:17" s="3" customFormat="1" ht="15" customHeight="1" thickBot="1" x14ac:dyDescent="0.25">
      <c r="A97" s="110"/>
      <c r="B97" s="782"/>
      <c r="C97" s="782"/>
      <c r="D97" s="837"/>
      <c r="E97" s="213"/>
      <c r="F97" s="209"/>
      <c r="G97" s="71"/>
      <c r="H97" s="7"/>
      <c r="I97" s="71"/>
      <c r="J97" s="71"/>
      <c r="K97" s="781"/>
      <c r="L97" s="17"/>
      <c r="M97" s="17"/>
      <c r="N97" s="8"/>
      <c r="O97" s="8"/>
      <c r="P97" s="8"/>
      <c r="Q97" s="8"/>
    </row>
    <row r="98" spans="1:17" s="3" customFormat="1" ht="15" customHeight="1" x14ac:dyDescent="0.25">
      <c r="A98" s="6"/>
      <c r="B98" s="1165" t="s">
        <v>232</v>
      </c>
      <c r="C98" s="1166"/>
      <c r="D98" s="1166"/>
      <c r="E98" s="1166"/>
      <c r="F98" s="1167"/>
      <c r="G98" s="6"/>
      <c r="H98" s="1"/>
      <c r="I98" s="8"/>
      <c r="J98" s="8"/>
      <c r="K98" s="8"/>
      <c r="L98" s="17"/>
      <c r="M98" s="60"/>
      <c r="N98" s="60"/>
      <c r="O98" s="60"/>
      <c r="P98" s="8"/>
      <c r="Q98" s="8"/>
    </row>
    <row r="99" spans="1:17" s="3" customFormat="1" ht="9" customHeight="1" x14ac:dyDescent="0.2">
      <c r="A99" s="109"/>
      <c r="B99" s="838"/>
      <c r="C99" s="109"/>
      <c r="D99" s="60"/>
      <c r="E99" s="60"/>
      <c r="F99" s="60"/>
      <c r="G99" s="60"/>
      <c r="H99" s="1177"/>
      <c r="I99" s="1177"/>
      <c r="J99" s="8"/>
      <c r="K99" s="8"/>
      <c r="L99" s="17"/>
      <c r="M99" s="8"/>
      <c r="N99" s="8"/>
      <c r="O99" s="621"/>
      <c r="P99" s="8"/>
      <c r="Q99" s="8"/>
    </row>
    <row r="100" spans="1:17" s="3" customFormat="1" ht="15" customHeight="1" x14ac:dyDescent="0.2">
      <c r="A100" s="6"/>
      <c r="B100" s="838"/>
      <c r="C100" s="214" t="s">
        <v>400</v>
      </c>
      <c r="D100" s="224">
        <v>20</v>
      </c>
      <c r="E100" s="1"/>
      <c r="F100" s="621"/>
      <c r="G100" s="71"/>
      <c r="H100" s="71"/>
      <c r="I100" s="621"/>
      <c r="J100" s="71"/>
      <c r="K100" s="71"/>
      <c r="L100" s="71"/>
      <c r="M100" s="511"/>
      <c r="N100" s="104"/>
      <c r="O100" s="71"/>
      <c r="P100" s="8"/>
      <c r="Q100" s="8"/>
    </row>
    <row r="101" spans="1:17" s="3" customFormat="1" ht="15" customHeight="1" x14ac:dyDescent="0.25">
      <c r="A101" s="6"/>
      <c r="B101" s="217"/>
      <c r="C101" s="214" t="s">
        <v>401</v>
      </c>
      <c r="D101" s="346">
        <v>14</v>
      </c>
      <c r="E101" s="1"/>
      <c r="F101" s="71"/>
      <c r="G101" s="71"/>
      <c r="H101" s="71"/>
      <c r="I101" s="71"/>
      <c r="J101" s="71"/>
      <c r="K101" s="71"/>
      <c r="L101" s="71"/>
      <c r="M101" s="511"/>
      <c r="N101" s="104"/>
      <c r="O101" s="202"/>
      <c r="P101" s="8"/>
      <c r="Q101" s="8"/>
    </row>
    <row r="102" spans="1:17" s="3" customFormat="1" ht="15" customHeight="1" x14ac:dyDescent="0.25">
      <c r="A102" s="6"/>
      <c r="B102" s="217"/>
      <c r="C102" s="214"/>
      <c r="D102" s="516"/>
      <c r="E102" s="840"/>
      <c r="F102" s="840"/>
      <c r="G102" s="218"/>
      <c r="H102" s="71"/>
      <c r="I102" s="71"/>
      <c r="J102" s="71"/>
      <c r="K102" s="71"/>
      <c r="L102" s="71"/>
      <c r="M102" s="511"/>
      <c r="N102" s="104"/>
      <c r="O102" s="71"/>
      <c r="P102" s="8"/>
      <c r="Q102" s="8"/>
    </row>
    <row r="103" spans="1:17" s="3" customFormat="1" ht="15" customHeight="1" thickBot="1" x14ac:dyDescent="0.3">
      <c r="A103" s="6"/>
      <c r="B103" s="217"/>
      <c r="C103" s="591"/>
      <c r="D103" s="841"/>
      <c r="E103" s="219"/>
      <c r="F103" s="621"/>
      <c r="G103" s="158"/>
      <c r="H103" s="1"/>
      <c r="I103" s="1"/>
      <c r="J103" s="218"/>
      <c r="K103" s="8"/>
      <c r="L103" s="17"/>
      <c r="M103" s="204"/>
      <c r="N103" s="185"/>
      <c r="O103" s="8"/>
      <c r="P103" s="8"/>
      <c r="Q103" s="8"/>
    </row>
    <row r="104" spans="1:17" s="24" customFormat="1" ht="15" customHeight="1" thickBot="1" x14ac:dyDescent="0.25">
      <c r="A104" s="6"/>
      <c r="B104" s="1168" t="s">
        <v>235</v>
      </c>
      <c r="C104" s="1169"/>
      <c r="D104" s="155">
        <f>D100*D101</f>
        <v>280</v>
      </c>
      <c r="E104" s="197"/>
      <c r="F104" s="156">
        <f>D104/D$23</f>
        <v>46.666666666666664</v>
      </c>
      <c r="G104" s="158"/>
      <c r="H104" s="1"/>
      <c r="I104" s="1"/>
      <c r="J104" s="218"/>
      <c r="K104" s="8"/>
      <c r="L104" s="17"/>
      <c r="M104" s="503">
        <f>'[3]4-BASES PREVI'!D113</f>
        <v>140</v>
      </c>
      <c r="N104" s="83" t="s">
        <v>549</v>
      </c>
      <c r="O104" s="17"/>
      <c r="P104" s="17"/>
      <c r="Q104" s="17"/>
    </row>
    <row r="105" spans="1:17" s="3" customFormat="1" ht="7.5" customHeight="1" x14ac:dyDescent="0.2">
      <c r="A105" s="110"/>
      <c r="B105" s="818"/>
      <c r="C105" s="824"/>
      <c r="D105" s="176"/>
      <c r="E105" s="204"/>
      <c r="F105" s="185"/>
      <c r="G105" s="109"/>
      <c r="H105" s="71"/>
      <c r="I105" s="71"/>
      <c r="J105" s="218"/>
      <c r="K105" s="17"/>
      <c r="L105" s="17"/>
      <c r="M105" s="8"/>
      <c r="N105" s="8"/>
      <c r="O105" s="17"/>
      <c r="P105" s="8"/>
      <c r="Q105" s="8"/>
    </row>
    <row r="106" spans="1:17" s="3" customFormat="1" ht="15" customHeight="1" x14ac:dyDescent="0.25">
      <c r="A106" s="6"/>
      <c r="B106" s="818"/>
      <c r="C106" s="214" t="s">
        <v>557</v>
      </c>
      <c r="D106" s="1004">
        <f>M106</f>
        <v>0.15</v>
      </c>
      <c r="E106" s="843"/>
      <c r="F106" s="621"/>
      <c r="G106" s="8"/>
      <c r="H106" s="1"/>
      <c r="I106" s="1"/>
      <c r="J106" s="8"/>
      <c r="K106" s="8"/>
      <c r="L106" s="17"/>
      <c r="M106" s="844">
        <f>'[3]4-BASES PREVI'!D115</f>
        <v>0.15</v>
      </c>
      <c r="N106" s="216" t="s">
        <v>558</v>
      </c>
      <c r="O106" s="17"/>
      <c r="P106" s="8"/>
      <c r="Q106" s="8"/>
    </row>
    <row r="107" spans="1:17" s="3" customFormat="1" ht="7.5" customHeight="1" thickBot="1" x14ac:dyDescent="0.3">
      <c r="A107" s="6"/>
      <c r="B107" s="818"/>
      <c r="C107" s="220"/>
      <c r="D107" s="845"/>
      <c r="E107" s="841"/>
      <c r="F107" s="621"/>
      <c r="G107" s="8"/>
      <c r="H107" s="1"/>
      <c r="I107" s="1"/>
      <c r="J107" s="8"/>
      <c r="K107" s="8"/>
      <c r="L107" s="17"/>
      <c r="M107" s="204"/>
      <c r="N107" s="185"/>
      <c r="O107" s="8"/>
      <c r="P107" s="8"/>
      <c r="Q107" s="8"/>
    </row>
    <row r="108" spans="1:17" s="3" customFormat="1" ht="15" customHeight="1" thickBot="1" x14ac:dyDescent="0.25">
      <c r="A108" s="6"/>
      <c r="B108" s="1168" t="s">
        <v>238</v>
      </c>
      <c r="C108" s="1169"/>
      <c r="D108" s="155">
        <f ca="1">D106*(D192+D195+D76)</f>
        <v>254.685</v>
      </c>
      <c r="E108" s="197"/>
      <c r="F108" s="156">
        <f ca="1">D108/D$23</f>
        <v>42.447499999999998</v>
      </c>
      <c r="G108" s="158"/>
      <c r="H108" s="1"/>
      <c r="I108" s="1"/>
      <c r="J108" s="218"/>
      <c r="K108" s="8"/>
      <c r="L108" s="17"/>
      <c r="M108" s="503">
        <f>'[3]4-BASES PREVI'!D117</f>
        <v>69.03</v>
      </c>
      <c r="N108" s="83" t="s">
        <v>549</v>
      </c>
      <c r="O108" s="8"/>
      <c r="P108" s="8"/>
      <c r="Q108" s="8"/>
    </row>
    <row r="109" spans="1:17" s="3" customFormat="1" ht="15" customHeight="1" thickBot="1" x14ac:dyDescent="0.3">
      <c r="A109" s="6"/>
      <c r="B109" s="591"/>
      <c r="C109" s="591"/>
      <c r="D109" s="841"/>
      <c r="E109" s="219"/>
      <c r="F109" s="621"/>
      <c r="G109" s="158"/>
      <c r="H109" s="1"/>
      <c r="I109" s="1"/>
      <c r="J109" s="218"/>
      <c r="K109" s="8"/>
      <c r="L109" s="17"/>
      <c r="M109" s="17"/>
      <c r="N109" s="8"/>
      <c r="O109" s="8"/>
      <c r="P109" s="8"/>
      <c r="Q109" s="8"/>
    </row>
    <row r="110" spans="1:17" s="3" customFormat="1" ht="15" customHeight="1" x14ac:dyDescent="0.25">
      <c r="A110" s="6"/>
      <c r="B110" s="1165" t="s">
        <v>240</v>
      </c>
      <c r="C110" s="1166"/>
      <c r="D110" s="1166"/>
      <c r="E110" s="1166"/>
      <c r="F110" s="1167"/>
      <c r="G110" s="6"/>
      <c r="H110" s="1"/>
      <c r="I110" s="8"/>
      <c r="J110" s="8"/>
      <c r="K110" s="8"/>
      <c r="L110" s="17"/>
      <c r="M110" s="8"/>
      <c r="N110" s="8"/>
      <c r="O110" s="60"/>
      <c r="P110" s="8"/>
      <c r="Q110" s="8"/>
    </row>
    <row r="111" spans="1:17" s="3" customFormat="1" ht="9.75" customHeight="1" x14ac:dyDescent="0.2">
      <c r="A111" s="109"/>
      <c r="B111" s="838"/>
      <c r="C111" s="109"/>
      <c r="D111" s="1177"/>
      <c r="E111" s="1177"/>
      <c r="F111" s="60"/>
      <c r="G111" s="60"/>
      <c r="H111" s="1177"/>
      <c r="I111" s="1177"/>
      <c r="J111" s="8"/>
      <c r="K111" s="8"/>
      <c r="L111" s="17"/>
      <c r="M111" s="1177"/>
      <c r="N111" s="1177"/>
      <c r="O111" s="621"/>
      <c r="P111" s="8"/>
      <c r="Q111" s="8"/>
    </row>
    <row r="112" spans="1:17" s="3" customFormat="1" ht="15" customHeight="1" x14ac:dyDescent="0.2">
      <c r="A112" s="6"/>
      <c r="B112" s="838"/>
      <c r="C112" s="221" t="s">
        <v>211</v>
      </c>
      <c r="D112" s="509"/>
      <c r="E112" s="621"/>
      <c r="F112" s="621"/>
      <c r="G112" s="1"/>
      <c r="H112" s="1"/>
      <c r="I112" s="621"/>
      <c r="J112" s="8"/>
      <c r="K112" s="8"/>
      <c r="L112" s="17"/>
      <c r="M112" s="223">
        <f>'[3]4-BASES PREVI'!D121</f>
        <v>0</v>
      </c>
      <c r="N112" s="104" t="s">
        <v>211</v>
      </c>
      <c r="O112" s="1"/>
      <c r="P112" s="8"/>
      <c r="Q112" s="8"/>
    </row>
    <row r="113" spans="1:17" s="24" customFormat="1" ht="15" customHeight="1" x14ac:dyDescent="0.25">
      <c r="A113" s="6"/>
      <c r="B113" s="818"/>
      <c r="C113" s="221" t="s">
        <v>233</v>
      </c>
      <c r="D113" s="509">
        <f>'Base Previ'!D114</f>
        <v>0</v>
      </c>
      <c r="E113" s="8"/>
      <c r="F113" s="8"/>
      <c r="G113" s="8"/>
      <c r="H113" s="1"/>
      <c r="I113" s="1"/>
      <c r="J113" s="8"/>
      <c r="K113" s="8"/>
      <c r="L113" s="17"/>
      <c r="M113" s="223">
        <f>'[3]4-BASES PREVI'!D122</f>
        <v>0</v>
      </c>
      <c r="N113" s="104" t="s">
        <v>233</v>
      </c>
      <c r="O113" s="71"/>
      <c r="P113" s="17"/>
      <c r="Q113" s="17"/>
    </row>
    <row r="114" spans="1:17" s="3" customFormat="1" ht="9" customHeight="1" thickBot="1" x14ac:dyDescent="0.3">
      <c r="A114" s="110"/>
      <c r="B114" s="818"/>
      <c r="C114" s="220"/>
      <c r="D114" s="846"/>
      <c r="E114" s="840"/>
      <c r="F114" s="17"/>
      <c r="G114" s="218"/>
      <c r="H114" s="71"/>
      <c r="I114" s="71"/>
      <c r="J114" s="17"/>
      <c r="K114" s="17"/>
      <c r="L114" s="17"/>
      <c r="M114" s="204"/>
      <c r="N114" s="185"/>
      <c r="O114" s="8"/>
      <c r="P114" s="8"/>
      <c r="Q114" s="8"/>
    </row>
    <row r="115" spans="1:17" s="24" customFormat="1" ht="15" customHeight="1" thickBot="1" x14ac:dyDescent="0.25">
      <c r="A115" s="6"/>
      <c r="B115" s="1168" t="s">
        <v>242</v>
      </c>
      <c r="C115" s="1169"/>
      <c r="D115" s="155">
        <f>D112+(D113*D17)</f>
        <v>0</v>
      </c>
      <c r="E115" s="197"/>
      <c r="F115" s="156">
        <f>D115/D$23</f>
        <v>0</v>
      </c>
      <c r="G115" s="158"/>
      <c r="H115" s="1"/>
      <c r="I115" s="1"/>
      <c r="J115" s="218"/>
      <c r="K115" s="8"/>
      <c r="L115" s="17"/>
      <c r="M115" s="503">
        <f>'[3]4-BASES PREVI'!D124</f>
        <v>0</v>
      </c>
      <c r="N115" s="83" t="s">
        <v>549</v>
      </c>
      <c r="O115" s="17"/>
      <c r="P115" s="17"/>
      <c r="Q115" s="17"/>
    </row>
    <row r="116" spans="1:17" s="3" customFormat="1" ht="15" customHeight="1" thickBot="1" x14ac:dyDescent="0.3">
      <c r="A116" s="6"/>
      <c r="B116" s="220"/>
      <c r="C116" s="220"/>
      <c r="D116" s="852"/>
      <c r="E116" s="219"/>
      <c r="F116" s="621"/>
      <c r="G116" s="109"/>
      <c r="H116" s="71"/>
      <c r="I116" s="71"/>
      <c r="J116" s="225"/>
      <c r="K116" s="17"/>
      <c r="L116" s="17"/>
      <c r="M116" s="17"/>
      <c r="N116" s="8"/>
      <c r="O116" s="8"/>
      <c r="P116" s="8"/>
      <c r="Q116" s="8"/>
    </row>
    <row r="117" spans="1:17" s="24" customFormat="1" ht="15" customHeight="1" x14ac:dyDescent="0.25">
      <c r="A117" s="6"/>
      <c r="B117" s="1165" t="s">
        <v>243</v>
      </c>
      <c r="C117" s="1166"/>
      <c r="D117" s="1166"/>
      <c r="E117" s="1166"/>
      <c r="F117" s="1167"/>
      <c r="G117" s="158"/>
      <c r="H117" s="1"/>
      <c r="I117" s="8"/>
      <c r="J117" s="8"/>
      <c r="K117" s="8"/>
      <c r="L117" s="17"/>
      <c r="M117" s="1178"/>
      <c r="N117" s="1179"/>
      <c r="O117" s="17"/>
      <c r="P117" s="17"/>
      <c r="Q117" s="17"/>
    </row>
    <row r="118" spans="1:17" s="3" customFormat="1" ht="7.5" customHeight="1" x14ac:dyDescent="0.25">
      <c r="A118" s="110"/>
      <c r="B118" s="759"/>
      <c r="C118" s="109"/>
      <c r="D118" s="1180"/>
      <c r="E118" s="1180"/>
      <c r="F118" s="7"/>
      <c r="G118" s="109"/>
      <c r="H118" s="71"/>
      <c r="I118" s="17"/>
      <c r="J118" s="17"/>
      <c r="K118" s="17"/>
      <c r="L118" s="17"/>
      <c r="M118" s="8"/>
      <c r="N118" s="8"/>
      <c r="O118" s="8"/>
      <c r="P118" s="8"/>
      <c r="Q118" s="8"/>
    </row>
    <row r="119" spans="1:17" s="3" customFormat="1" ht="18.75" customHeight="1" x14ac:dyDescent="0.25">
      <c r="A119" s="110"/>
      <c r="B119" s="759"/>
      <c r="C119" s="221" t="s">
        <v>559</v>
      </c>
      <c r="D119" s="1004">
        <f>M119</f>
        <v>0</v>
      </c>
      <c r="E119" s="850"/>
      <c r="F119" s="7"/>
      <c r="G119" s="109"/>
      <c r="H119" s="71"/>
      <c r="I119" s="17"/>
      <c r="J119" s="17"/>
      <c r="K119" s="17"/>
      <c r="L119" s="17"/>
      <c r="M119" s="510">
        <f>'[3]4-BASES PREVI'!D128</f>
        <v>0</v>
      </c>
      <c r="N119" s="216" t="s">
        <v>560</v>
      </c>
      <c r="O119" s="8"/>
      <c r="P119" s="8"/>
      <c r="Q119" s="8"/>
    </row>
    <row r="120" spans="1:17" s="3" customFormat="1" ht="17.25" customHeight="1" x14ac:dyDescent="0.25">
      <c r="A120" s="110"/>
      <c r="B120" s="759"/>
      <c r="C120" s="221" t="s">
        <v>561</v>
      </c>
      <c r="D120" s="996">
        <f ca="1">D119*(D192+D195+D76)</f>
        <v>0</v>
      </c>
      <c r="E120" s="850"/>
      <c r="F120" s="7"/>
      <c r="G120" s="109"/>
      <c r="H120" s="71"/>
      <c r="I120" s="17"/>
      <c r="J120" s="17"/>
      <c r="K120" s="17"/>
      <c r="L120" s="17"/>
      <c r="M120" s="8"/>
      <c r="N120" s="8"/>
      <c r="O120" s="8"/>
      <c r="P120" s="8"/>
      <c r="Q120" s="8"/>
    </row>
    <row r="121" spans="1:17" s="3" customFormat="1" ht="17.25" customHeight="1" x14ac:dyDescent="0.25">
      <c r="A121" s="109"/>
      <c r="B121" s="759"/>
      <c r="C121" s="221" t="s">
        <v>211</v>
      </c>
      <c r="D121" s="1005">
        <f t="shared" ref="D121:D122" si="8">M121</f>
        <v>0</v>
      </c>
      <c r="E121" s="850"/>
      <c r="F121" s="7"/>
      <c r="G121" s="158"/>
      <c r="H121" s="1"/>
      <c r="I121" s="8"/>
      <c r="J121" s="8"/>
      <c r="K121" s="8"/>
      <c r="L121" s="17"/>
      <c r="M121" s="223">
        <f>'[3]4-BASES PREVI'!D130</f>
        <v>0</v>
      </c>
      <c r="N121" s="216" t="s">
        <v>211</v>
      </c>
      <c r="O121" s="8"/>
      <c r="P121" s="8"/>
      <c r="Q121" s="8"/>
    </row>
    <row r="122" spans="1:17" ht="17.25" customHeight="1" x14ac:dyDescent="0.25">
      <c r="A122" s="6"/>
      <c r="B122" s="759"/>
      <c r="C122" s="221" t="s">
        <v>234</v>
      </c>
      <c r="D122" s="1005">
        <f t="shared" si="8"/>
        <v>0</v>
      </c>
      <c r="E122" s="8"/>
      <c r="F122" s="7"/>
      <c r="G122" s="158"/>
      <c r="H122" s="1"/>
      <c r="I122" s="8"/>
      <c r="J122" s="8"/>
      <c r="K122" s="8"/>
      <c r="L122" s="566"/>
      <c r="M122" s="223">
        <f>'[3]4-BASES PREVI'!D131</f>
        <v>0</v>
      </c>
      <c r="N122" s="216" t="s">
        <v>234</v>
      </c>
      <c r="O122" s="286"/>
      <c r="P122" s="286"/>
      <c r="Q122" s="286"/>
    </row>
    <row r="123" spans="1:17" ht="9" customHeight="1" thickBot="1" x14ac:dyDescent="0.3">
      <c r="A123" s="6"/>
      <c r="B123" s="759"/>
      <c r="C123" s="286"/>
      <c r="D123" s="728"/>
      <c r="E123" s="8"/>
      <c r="F123" s="286"/>
      <c r="G123" s="723"/>
      <c r="H123" s="723"/>
      <c r="I123" s="286"/>
      <c r="J123" s="286"/>
      <c r="K123" s="286"/>
      <c r="L123" s="566"/>
      <c r="M123" s="566"/>
      <c r="N123" s="286"/>
      <c r="O123" s="286"/>
      <c r="P123" s="286"/>
      <c r="Q123" s="286"/>
    </row>
    <row r="124" spans="1:17" ht="18.75" customHeight="1" thickBot="1" x14ac:dyDescent="0.3">
      <c r="A124" s="6"/>
      <c r="B124" s="1168" t="s">
        <v>247</v>
      </c>
      <c r="C124" s="1169"/>
      <c r="D124" s="155">
        <f ca="1">D120+D121+(D122*D23)</f>
        <v>0</v>
      </c>
      <c r="E124" s="8"/>
      <c r="F124" s="156">
        <f ca="1">D124/D23</f>
        <v>0</v>
      </c>
      <c r="G124" s="723"/>
      <c r="H124" s="723"/>
      <c r="I124" s="286"/>
      <c r="J124" s="286"/>
      <c r="K124" s="286"/>
      <c r="L124" s="566"/>
      <c r="M124" s="503">
        <f>'[3]4-BASES PREVI'!D133</f>
        <v>0</v>
      </c>
      <c r="N124" s="83" t="s">
        <v>549</v>
      </c>
      <c r="O124" s="286"/>
      <c r="P124" s="286"/>
      <c r="Q124" s="286"/>
    </row>
    <row r="125" spans="1:17" s="140" customFormat="1" ht="18.75" customHeight="1" thickBot="1" x14ac:dyDescent="0.3">
      <c r="A125" s="110"/>
      <c r="B125" s="1002"/>
      <c r="C125" s="824"/>
      <c r="D125" s="505"/>
      <c r="E125" s="17"/>
      <c r="F125" s="185"/>
      <c r="G125" s="1006"/>
      <c r="H125" s="1006"/>
      <c r="I125" s="566"/>
      <c r="J125" s="566"/>
      <c r="K125" s="566"/>
      <c r="L125" s="566"/>
      <c r="M125" s="511"/>
      <c r="N125" s="83"/>
      <c r="O125" s="566"/>
      <c r="P125" s="566"/>
      <c r="Q125" s="566"/>
    </row>
    <row r="126" spans="1:17" s="3" customFormat="1" ht="15" customHeight="1" x14ac:dyDescent="0.25">
      <c r="A126" s="6"/>
      <c r="B126" s="1165" t="s">
        <v>248</v>
      </c>
      <c r="C126" s="1166"/>
      <c r="D126" s="1166"/>
      <c r="E126" s="1166"/>
      <c r="F126" s="1167"/>
      <c r="G126" s="6"/>
      <c r="H126" s="1"/>
      <c r="I126" s="8"/>
      <c r="J126" s="8"/>
      <c r="K126" s="8"/>
      <c r="L126" s="17"/>
      <c r="M126" s="621"/>
      <c r="N126" s="8"/>
      <c r="O126" s="8"/>
      <c r="P126" s="8"/>
      <c r="Q126" s="8"/>
    </row>
    <row r="127" spans="1:17" s="3" customFormat="1" ht="8.25" customHeight="1" x14ac:dyDescent="0.25">
      <c r="A127" s="110"/>
      <c r="B127" s="759"/>
      <c r="C127" s="109"/>
      <c r="D127" s="48"/>
      <c r="E127" s="8"/>
      <c r="F127" s="7"/>
      <c r="G127" s="6"/>
      <c r="H127" s="1"/>
      <c r="I127" s="8"/>
      <c r="J127" s="8"/>
      <c r="K127" s="8"/>
      <c r="L127" s="849"/>
      <c r="M127" s="552"/>
      <c r="N127" s="8"/>
      <c r="O127" s="8"/>
      <c r="P127" s="8"/>
      <c r="Q127" s="8"/>
    </row>
    <row r="128" spans="1:17" s="3" customFormat="1" ht="15" customHeight="1" x14ac:dyDescent="0.2">
      <c r="A128" s="6"/>
      <c r="B128" s="838"/>
      <c r="C128" s="214" t="s">
        <v>211</v>
      </c>
      <c r="D128" s="1005">
        <f t="shared" ref="D128:D129" si="9">M128</f>
        <v>0</v>
      </c>
      <c r="E128" s="1"/>
      <c r="F128" s="621"/>
      <c r="G128" s="621"/>
      <c r="H128" s="71"/>
      <c r="I128" s="621"/>
      <c r="J128" s="11"/>
      <c r="K128" s="849"/>
      <c r="L128" s="17"/>
      <c r="M128" s="223">
        <f>'[3]4-BASES PREVI'!D137</f>
        <v>0</v>
      </c>
      <c r="N128" s="216" t="s">
        <v>211</v>
      </c>
      <c r="O128" s="8"/>
      <c r="P128" s="8"/>
      <c r="Q128" s="8"/>
    </row>
    <row r="129" spans="1:17" s="3" customFormat="1" ht="15" customHeight="1" x14ac:dyDescent="0.2">
      <c r="A129" s="6"/>
      <c r="B129" s="838"/>
      <c r="C129" s="214" t="s">
        <v>234</v>
      </c>
      <c r="D129" s="1005">
        <f t="shared" si="9"/>
        <v>0</v>
      </c>
      <c r="E129" s="1"/>
      <c r="F129" s="621"/>
      <c r="G129" s="621"/>
      <c r="H129" s="71"/>
      <c r="I129" s="621"/>
      <c r="J129" s="11"/>
      <c r="K129" s="849"/>
      <c r="L129" s="17"/>
      <c r="M129" s="223">
        <f>'[3]4-BASES PREVI'!D138</f>
        <v>0</v>
      </c>
      <c r="N129" s="216" t="s">
        <v>234</v>
      </c>
      <c r="O129" s="8"/>
      <c r="P129" s="8"/>
      <c r="Q129" s="8"/>
    </row>
    <row r="130" spans="1:17" s="3" customFormat="1" ht="8.25" customHeight="1" thickBot="1" x14ac:dyDescent="0.25">
      <c r="A130" s="6"/>
      <c r="B130" s="838"/>
      <c r="C130" s="591"/>
      <c r="D130" s="840"/>
      <c r="E130" s="621"/>
      <c r="F130" s="621"/>
      <c r="G130" s="621"/>
      <c r="H130" s="848"/>
      <c r="I130" s="848"/>
      <c r="J130" s="848"/>
      <c r="K130" s="849"/>
      <c r="L130" s="17"/>
      <c r="M130" s="204"/>
      <c r="N130" s="185"/>
      <c r="O130" s="8"/>
      <c r="P130" s="8"/>
      <c r="Q130" s="8"/>
    </row>
    <row r="131" spans="1:17" s="3" customFormat="1" ht="15" customHeight="1" thickBot="1" x14ac:dyDescent="0.25">
      <c r="A131" s="6"/>
      <c r="B131" s="1168" t="s">
        <v>251</v>
      </c>
      <c r="C131" s="1169"/>
      <c r="D131" s="155">
        <f>D128+(D129*D21)</f>
        <v>0</v>
      </c>
      <c r="E131" s="197"/>
      <c r="F131" s="156">
        <f>D128/D$23</f>
        <v>0</v>
      </c>
      <c r="G131" s="158"/>
      <c r="H131" s="1"/>
      <c r="I131" s="1"/>
      <c r="J131" s="218"/>
      <c r="K131" s="8"/>
      <c r="L131" s="17"/>
      <c r="M131" s="503">
        <f>'[3]4-BASES PREVI'!D140</f>
        <v>0</v>
      </c>
      <c r="N131" s="83" t="s">
        <v>549</v>
      </c>
      <c r="O131" s="8"/>
      <c r="P131" s="8"/>
      <c r="Q131" s="8"/>
    </row>
    <row r="132" spans="1:17" ht="15.75" thickBot="1" x14ac:dyDescent="0.3">
      <c r="A132" s="286"/>
      <c r="B132" s="286"/>
      <c r="C132" s="286"/>
      <c r="D132" s="728"/>
      <c r="E132" s="8"/>
      <c r="F132" s="286"/>
      <c r="G132" s="723"/>
      <c r="H132" s="723"/>
      <c r="I132" s="286"/>
      <c r="J132" s="286"/>
      <c r="K132" s="286"/>
      <c r="L132" s="566"/>
      <c r="M132" s="566"/>
      <c r="N132" s="286"/>
      <c r="O132" s="286"/>
      <c r="P132" s="286"/>
      <c r="Q132" s="286"/>
    </row>
    <row r="133" spans="1:17" s="3" customFormat="1" ht="18.75" customHeight="1" x14ac:dyDescent="0.25">
      <c r="A133" s="6"/>
      <c r="B133" s="1174" t="s">
        <v>252</v>
      </c>
      <c r="C133" s="1175"/>
      <c r="D133" s="1175"/>
      <c r="E133" s="1175"/>
      <c r="F133" s="1176"/>
      <c r="G133" s="6"/>
      <c r="H133" s="7"/>
      <c r="I133" s="8"/>
      <c r="J133" s="8"/>
      <c r="K133" s="8"/>
      <c r="L133" s="17"/>
      <c r="M133" s="17"/>
      <c r="N133" s="8"/>
      <c r="O133" s="8"/>
      <c r="P133" s="8"/>
      <c r="Q133" s="8"/>
    </row>
    <row r="134" spans="1:17" s="3" customFormat="1" ht="8.25" customHeight="1" x14ac:dyDescent="0.25">
      <c r="A134" s="110"/>
      <c r="B134" s="759"/>
      <c r="C134" s="109"/>
      <c r="D134" s="1177"/>
      <c r="E134" s="1177"/>
      <c r="F134" s="1177"/>
      <c r="G134" s="1177"/>
      <c r="H134" s="1177"/>
      <c r="I134" s="1177"/>
      <c r="J134" s="854"/>
      <c r="K134" s="8"/>
      <c r="L134" s="17"/>
      <c r="M134" s="17"/>
      <c r="N134" s="8"/>
      <c r="O134" s="8"/>
      <c r="P134" s="8"/>
      <c r="Q134" s="8"/>
    </row>
    <row r="135" spans="1:17" s="3" customFormat="1" ht="15" customHeight="1" x14ac:dyDescent="0.25">
      <c r="A135" s="6"/>
      <c r="B135" s="1007" t="str">
        <f>IF('[3]2-Infos'!B38="Aquitaine","","Participation CD")</f>
        <v>Participation CD</v>
      </c>
      <c r="C135" s="856" t="str">
        <f>IF(B135="","",'[3]2-Infos'!B38)</f>
        <v>Pyrénées Atlantiques</v>
      </c>
      <c r="D135" s="621"/>
      <c r="E135" s="621"/>
      <c r="F135" s="621"/>
      <c r="G135" s="621"/>
      <c r="H135" s="71"/>
      <c r="I135" s="621"/>
      <c r="J135" s="71"/>
      <c r="K135" s="71"/>
      <c r="L135" s="17"/>
      <c r="M135" s="17"/>
      <c r="N135" s="8"/>
      <c r="O135" s="8"/>
      <c r="P135" s="8"/>
      <c r="Q135" s="8"/>
    </row>
    <row r="136" spans="1:17" s="3" customFormat="1" ht="15" customHeight="1" x14ac:dyDescent="0.2">
      <c r="A136" s="6"/>
      <c r="B136" s="751"/>
      <c r="C136" s="826" t="s">
        <v>211</v>
      </c>
      <c r="D136" s="500">
        <f>M136</f>
        <v>0</v>
      </c>
      <c r="E136" s="226"/>
      <c r="F136" s="227"/>
      <c r="G136" s="226"/>
      <c r="H136" s="227"/>
      <c r="I136" s="857"/>
      <c r="J136" s="228"/>
      <c r="K136" s="218"/>
      <c r="L136" s="17"/>
      <c r="M136" s="223">
        <f>'[3]4-BASES PREVI'!D145</f>
        <v>0</v>
      </c>
      <c r="N136" s="216" t="s">
        <v>211</v>
      </c>
      <c r="O136" s="8"/>
      <c r="P136" s="8"/>
      <c r="Q136" s="8"/>
    </row>
    <row r="137" spans="1:17" s="3" customFormat="1" ht="15" customHeight="1" x14ac:dyDescent="0.2">
      <c r="A137" s="6"/>
      <c r="B137" s="751"/>
      <c r="C137" s="826" t="s">
        <v>253</v>
      </c>
      <c r="D137" s="500">
        <f>M137</f>
        <v>0</v>
      </c>
      <c r="E137" s="226"/>
      <c r="F137" s="227"/>
      <c r="G137" s="226"/>
      <c r="H137" s="227"/>
      <c r="I137" s="857"/>
      <c r="J137" s="228"/>
      <c r="K137" s="218"/>
      <c r="L137" s="17"/>
      <c r="M137" s="223">
        <f>'[3]4-BASES PREVI'!D146</f>
        <v>0</v>
      </c>
      <c r="N137" s="216" t="s">
        <v>253</v>
      </c>
      <c r="O137" s="8"/>
      <c r="P137" s="8"/>
      <c r="Q137" s="8"/>
    </row>
    <row r="138" spans="1:17" s="3" customFormat="1" ht="15" customHeight="1" x14ac:dyDescent="0.2">
      <c r="A138" s="6"/>
      <c r="B138" s="1287" t="s">
        <v>254</v>
      </c>
      <c r="C138" s="1288"/>
      <c r="D138" s="512">
        <f>M138</f>
        <v>0</v>
      </c>
      <c r="E138" s="230"/>
      <c r="F138" s="860"/>
      <c r="G138" s="226"/>
      <c r="H138" s="860"/>
      <c r="I138" s="226"/>
      <c r="J138" s="228"/>
      <c r="K138" s="218"/>
      <c r="L138" s="17"/>
      <c r="M138" s="510">
        <f>'[3]4-BASES PREVI'!D147</f>
        <v>0</v>
      </c>
      <c r="N138" s="8" t="s">
        <v>254</v>
      </c>
      <c r="O138" s="8"/>
      <c r="P138" s="8"/>
      <c r="Q138" s="8"/>
    </row>
    <row r="139" spans="1:17" s="3" customFormat="1" ht="15" customHeight="1" x14ac:dyDescent="0.2">
      <c r="A139" s="6"/>
      <c r="B139" s="862"/>
      <c r="C139" s="834" t="s">
        <v>562</v>
      </c>
      <c r="D139" s="513">
        <f>'[3]4-BASES PREVI'!D148</f>
        <v>0</v>
      </c>
      <c r="E139" s="230"/>
      <c r="F139" s="860"/>
      <c r="G139" s="226"/>
      <c r="H139" s="860"/>
      <c r="I139" s="226"/>
      <c r="J139" s="228"/>
      <c r="K139" s="218"/>
      <c r="L139" s="17"/>
      <c r="M139" s="223">
        <f>'[3]4-BASES PREVI'!D148</f>
        <v>0</v>
      </c>
      <c r="N139" s="8"/>
      <c r="O139" s="8"/>
      <c r="P139" s="8"/>
      <c r="Q139" s="8"/>
    </row>
    <row r="140" spans="1:17" s="3" customFormat="1" ht="15" customHeight="1" thickBot="1" x14ac:dyDescent="0.25">
      <c r="A140" s="6"/>
      <c r="B140" s="1008"/>
      <c r="C140" s="1009" t="s">
        <v>174</v>
      </c>
      <c r="D140" s="514">
        <f>D136+(D137*D21)+D139</f>
        <v>0</v>
      </c>
      <c r="E140" s="230"/>
      <c r="F140" s="860"/>
      <c r="G140" s="226"/>
      <c r="H140" s="860"/>
      <c r="I140" s="226"/>
      <c r="J140" s="228"/>
      <c r="K140" s="218"/>
      <c r="L140" s="17"/>
      <c r="M140" s="503">
        <f>'[3]4-BASES PREVI'!D149</f>
        <v>0</v>
      </c>
      <c r="N140" s="83" t="s">
        <v>549</v>
      </c>
      <c r="O140" s="8"/>
      <c r="P140" s="8"/>
      <c r="Q140" s="8"/>
    </row>
    <row r="141" spans="1:17" s="24" customFormat="1" ht="15" customHeight="1" x14ac:dyDescent="0.25">
      <c r="A141" s="6"/>
      <c r="B141" s="867" t="s">
        <v>257</v>
      </c>
      <c r="C141" s="868" t="str">
        <f>'[3]2-Infos'!B36</f>
        <v>AQUITAINE</v>
      </c>
      <c r="D141" s="8"/>
      <c r="E141" s="869"/>
      <c r="F141" s="227"/>
      <c r="G141" s="870"/>
      <c r="H141" s="227"/>
      <c r="I141" s="870"/>
      <c r="J141" s="228"/>
      <c r="K141" s="218"/>
      <c r="L141" s="17"/>
      <c r="M141" s="863"/>
      <c r="N141" s="185"/>
      <c r="O141" s="17"/>
      <c r="P141" s="17"/>
      <c r="Q141" s="17"/>
    </row>
    <row r="142" spans="1:17" s="3" customFormat="1" ht="15" customHeight="1" x14ac:dyDescent="0.2">
      <c r="A142" s="6"/>
      <c r="B142" s="751"/>
      <c r="C142" s="826" t="s">
        <v>211</v>
      </c>
      <c r="D142" s="500">
        <f>M142</f>
        <v>0</v>
      </c>
      <c r="E142" s="226"/>
      <c r="F142" s="860"/>
      <c r="G142" s="226"/>
      <c r="H142" s="860"/>
      <c r="I142" s="226"/>
      <c r="J142" s="228"/>
      <c r="K142" s="218"/>
      <c r="L142" s="17"/>
      <c r="M142" s="223">
        <f>'[3]4-BASES PREVI'!D151</f>
        <v>0</v>
      </c>
      <c r="N142" s="216" t="s">
        <v>211</v>
      </c>
      <c r="O142" s="8"/>
      <c r="P142" s="8"/>
      <c r="Q142" s="8"/>
    </row>
    <row r="143" spans="1:17" s="24" customFormat="1" ht="15" customHeight="1" x14ac:dyDescent="0.2">
      <c r="A143" s="6"/>
      <c r="B143" s="871"/>
      <c r="C143" s="826" t="s">
        <v>253</v>
      </c>
      <c r="D143" s="500">
        <f>M143</f>
        <v>0</v>
      </c>
      <c r="E143" s="870"/>
      <c r="F143" s="227"/>
      <c r="G143" s="226"/>
      <c r="H143" s="227"/>
      <c r="I143" s="857"/>
      <c r="J143" s="232"/>
      <c r="K143" s="218"/>
      <c r="L143" s="17"/>
      <c r="M143" s="223">
        <f>'[3]4-BASES PREVI'!D152</f>
        <v>0</v>
      </c>
      <c r="N143" s="216" t="s">
        <v>253</v>
      </c>
      <c r="O143" s="17"/>
      <c r="P143" s="17"/>
      <c r="Q143" s="17"/>
    </row>
    <row r="144" spans="1:17" s="24" customFormat="1" ht="15" customHeight="1" thickBot="1" x14ac:dyDescent="0.25">
      <c r="A144" s="6"/>
      <c r="B144" s="1010"/>
      <c r="C144" s="1011" t="s">
        <v>174</v>
      </c>
      <c r="D144" s="514">
        <f>D142+(D143*D$21)</f>
        <v>0</v>
      </c>
      <c r="E144" s="870"/>
      <c r="F144" s="227"/>
      <c r="G144" s="226"/>
      <c r="H144" s="227"/>
      <c r="I144" s="857"/>
      <c r="J144" s="232"/>
      <c r="K144" s="218"/>
      <c r="L144" s="17"/>
      <c r="M144" s="503">
        <f>'[3]4-BASES PREVI'!D153</f>
        <v>0</v>
      </c>
      <c r="N144" s="83" t="s">
        <v>549</v>
      </c>
      <c r="O144" s="17"/>
      <c r="P144" s="17"/>
      <c r="Q144" s="17"/>
    </row>
    <row r="145" spans="1:17" s="24" customFormat="1" ht="15" customHeight="1" x14ac:dyDescent="0.2">
      <c r="A145" s="110"/>
      <c r="B145" s="867" t="s">
        <v>258</v>
      </c>
      <c r="C145" s="782"/>
      <c r="D145" s="846"/>
      <c r="E145" s="870"/>
      <c r="F145" s="227"/>
      <c r="G145" s="226"/>
      <c r="H145" s="227"/>
      <c r="I145" s="857"/>
      <c r="J145" s="232"/>
      <c r="K145" s="218"/>
      <c r="L145" s="17"/>
      <c r="M145" s="863"/>
      <c r="N145" s="185"/>
      <c r="O145" s="17"/>
      <c r="P145" s="17"/>
      <c r="Q145" s="17"/>
    </row>
    <row r="146" spans="1:17" s="24" customFormat="1" ht="15" customHeight="1" x14ac:dyDescent="0.2">
      <c r="A146" s="110"/>
      <c r="B146" s="751"/>
      <c r="C146" s="826" t="s">
        <v>211</v>
      </c>
      <c r="D146" s="500">
        <f>M146</f>
        <v>0</v>
      </c>
      <c r="E146" s="870"/>
      <c r="F146" s="227"/>
      <c r="G146" s="226"/>
      <c r="H146" s="227"/>
      <c r="I146" s="857"/>
      <c r="J146" s="232"/>
      <c r="K146" s="218"/>
      <c r="L146" s="17"/>
      <c r="M146" s="223">
        <f>'[3]4-BASES PREVI'!D155</f>
        <v>0</v>
      </c>
      <c r="N146" s="216" t="s">
        <v>211</v>
      </c>
      <c r="O146" s="17"/>
      <c r="P146" s="17"/>
      <c r="Q146" s="17"/>
    </row>
    <row r="147" spans="1:17" s="24" customFormat="1" ht="15" customHeight="1" x14ac:dyDescent="0.2">
      <c r="A147" s="110"/>
      <c r="B147" s="751"/>
      <c r="C147" s="826" t="s">
        <v>253</v>
      </c>
      <c r="D147" s="500">
        <f>M147</f>
        <v>0</v>
      </c>
      <c r="E147" s="870"/>
      <c r="F147" s="227"/>
      <c r="G147" s="226"/>
      <c r="H147" s="227"/>
      <c r="I147" s="857"/>
      <c r="J147" s="232"/>
      <c r="K147" s="218"/>
      <c r="L147" s="17"/>
      <c r="M147" s="223">
        <f>'[3]4-BASES PREVI'!D156</f>
        <v>0</v>
      </c>
      <c r="N147" s="216" t="s">
        <v>253</v>
      </c>
      <c r="O147" s="17"/>
      <c r="P147" s="17"/>
      <c r="Q147" s="17"/>
    </row>
    <row r="148" spans="1:17" s="24" customFormat="1" ht="15" customHeight="1" x14ac:dyDescent="0.2">
      <c r="A148" s="110"/>
      <c r="B148" s="751"/>
      <c r="C148" s="834" t="s">
        <v>174</v>
      </c>
      <c r="D148" s="513">
        <f>D146+(D147*D$21)</f>
        <v>0</v>
      </c>
      <c r="E148" s="870"/>
      <c r="F148" s="227"/>
      <c r="G148" s="226"/>
      <c r="H148" s="227"/>
      <c r="I148" s="857"/>
      <c r="J148" s="232"/>
      <c r="K148" s="218"/>
      <c r="L148" s="17"/>
      <c r="M148" s="223"/>
      <c r="N148" s="216"/>
      <c r="O148" s="17"/>
      <c r="P148" s="17"/>
      <c r="Q148" s="17"/>
    </row>
    <row r="149" spans="1:17" s="24" customFormat="1" ht="15" customHeight="1" x14ac:dyDescent="0.2">
      <c r="A149" s="110"/>
      <c r="B149" s="871"/>
      <c r="C149" s="875" t="s">
        <v>259</v>
      </c>
      <c r="D149" s="515">
        <f>M149</f>
        <v>0</v>
      </c>
      <c r="E149" s="870"/>
      <c r="F149" s="227"/>
      <c r="G149" s="226"/>
      <c r="H149" s="227"/>
      <c r="I149" s="857"/>
      <c r="J149" s="232"/>
      <c r="K149" s="218"/>
      <c r="L149" s="17"/>
      <c r="M149" s="223">
        <f>'[3]4-BASES PREVI'!D158</f>
        <v>0</v>
      </c>
      <c r="N149" s="216" t="s">
        <v>259</v>
      </c>
      <c r="O149" s="17"/>
      <c r="P149" s="17"/>
      <c r="Q149" s="17"/>
    </row>
    <row r="150" spans="1:17" s="3" customFormat="1" ht="15" customHeight="1" thickBot="1" x14ac:dyDescent="0.25">
      <c r="A150" s="6"/>
      <c r="B150" s="1008"/>
      <c r="C150" s="1009" t="s">
        <v>174</v>
      </c>
      <c r="D150" s="514">
        <f>D148+(D149*D22)</f>
        <v>0</v>
      </c>
      <c r="E150" s="230"/>
      <c r="F150" s="860"/>
      <c r="G150" s="226"/>
      <c r="H150" s="860"/>
      <c r="I150" s="226"/>
      <c r="J150" s="228"/>
      <c r="K150" s="218"/>
      <c r="L150" s="17"/>
      <c r="M150" s="503">
        <f>'[3]4-BASES PREVI'!D159</f>
        <v>0</v>
      </c>
      <c r="N150" s="83" t="s">
        <v>549</v>
      </c>
      <c r="O150" s="8"/>
      <c r="P150" s="8"/>
      <c r="Q150" s="8"/>
    </row>
    <row r="151" spans="1:17" s="24" customFormat="1" ht="7.5" customHeight="1" thickBot="1" x14ac:dyDescent="0.25">
      <c r="A151" s="110"/>
      <c r="B151" s="782"/>
      <c r="C151" s="782"/>
      <c r="D151" s="846"/>
      <c r="E151" s="870"/>
      <c r="F151" s="227"/>
      <c r="G151" s="226"/>
      <c r="H151" s="227"/>
      <c r="I151" s="857"/>
      <c r="J151" s="232"/>
      <c r="K151" s="218"/>
      <c r="L151" s="17"/>
      <c r="M151" s="863"/>
      <c r="N151" s="185"/>
      <c r="O151" s="17"/>
      <c r="P151" s="17"/>
      <c r="Q151" s="17"/>
    </row>
    <row r="152" spans="1:17" s="38" customFormat="1" ht="15" customHeight="1" thickBot="1" x14ac:dyDescent="0.25">
      <c r="A152" s="110"/>
      <c r="B152" s="1168" t="s">
        <v>260</v>
      </c>
      <c r="C152" s="1169"/>
      <c r="D152" s="155">
        <f>D136+D139+D142+D146</f>
        <v>0</v>
      </c>
      <c r="E152" s="8"/>
      <c r="F152" s="156">
        <f>D152/D$23</f>
        <v>0</v>
      </c>
      <c r="G152" s="226"/>
      <c r="H152" s="227"/>
      <c r="I152" s="857"/>
      <c r="J152" s="232"/>
      <c r="K152" s="218"/>
      <c r="L152" s="71"/>
      <c r="M152" s="503">
        <f>'[3]4-BASES PREVI'!D161</f>
        <v>0</v>
      </c>
      <c r="N152" s="83" t="s">
        <v>549</v>
      </c>
      <c r="O152" s="71"/>
      <c r="P152" s="71"/>
      <c r="Q152" s="71"/>
    </row>
    <row r="153" spans="1:17" s="38" customFormat="1" ht="9.75" customHeight="1" thickBot="1" x14ac:dyDescent="0.25">
      <c r="A153" s="110"/>
      <c r="B153" s="782"/>
      <c r="C153" s="782"/>
      <c r="D153" s="876"/>
      <c r="E153" s="180"/>
      <c r="F153" s="203"/>
      <c r="G153" s="234"/>
      <c r="H153" s="104"/>
      <c r="I153" s="71"/>
      <c r="J153" s="71"/>
      <c r="K153" s="71"/>
      <c r="L153" s="71"/>
      <c r="M153" s="71"/>
      <c r="N153" s="71"/>
      <c r="O153" s="71"/>
      <c r="P153" s="71"/>
      <c r="Q153" s="71"/>
    </row>
    <row r="154" spans="1:17" s="38" customFormat="1" ht="15" customHeight="1" thickBot="1" x14ac:dyDescent="0.25">
      <c r="A154" s="110"/>
      <c r="B154" s="1168" t="s">
        <v>563</v>
      </c>
      <c r="C154" s="1169"/>
      <c r="D154" s="155">
        <f>F154*D21</f>
        <v>0</v>
      </c>
      <c r="E154" s="8"/>
      <c r="F154" s="156">
        <f>D137+D143+D147</f>
        <v>0</v>
      </c>
      <c r="G154" s="234" t="s">
        <v>262</v>
      </c>
      <c r="H154" s="104"/>
      <c r="I154" s="71"/>
      <c r="J154" s="71"/>
      <c r="K154" s="71"/>
      <c r="L154" s="71"/>
      <c r="M154" s="503">
        <f>'[3]4-BASES PREVI'!D163</f>
        <v>0</v>
      </c>
      <c r="N154" s="83" t="s">
        <v>549</v>
      </c>
      <c r="O154" s="71"/>
      <c r="P154" s="71"/>
      <c r="Q154" s="71"/>
    </row>
    <row r="155" spans="1:17" s="38" customFormat="1" ht="9" customHeight="1" thickBot="1" x14ac:dyDescent="0.25">
      <c r="A155" s="110"/>
      <c r="B155" s="824"/>
      <c r="C155" s="824"/>
      <c r="D155" s="176"/>
      <c r="E155" s="17"/>
      <c r="F155" s="185"/>
      <c r="G155" s="234"/>
      <c r="H155" s="104"/>
      <c r="I155" s="71"/>
      <c r="J155" s="71"/>
      <c r="K155" s="71"/>
      <c r="L155" s="71"/>
      <c r="M155" s="511"/>
      <c r="N155" s="83"/>
      <c r="O155" s="71"/>
      <c r="P155" s="71"/>
      <c r="Q155" s="71"/>
    </row>
    <row r="156" spans="1:17" s="38" customFormat="1" ht="15" customHeight="1" thickBot="1" x14ac:dyDescent="0.25">
      <c r="A156" s="110"/>
      <c r="B156" s="1168" t="s">
        <v>263</v>
      </c>
      <c r="C156" s="1169"/>
      <c r="D156" s="155">
        <f>F156*D22</f>
        <v>0</v>
      </c>
      <c r="E156" s="8"/>
      <c r="F156" s="156">
        <f>D149</f>
        <v>0</v>
      </c>
      <c r="G156" s="234" t="s">
        <v>264</v>
      </c>
      <c r="H156" s="104"/>
      <c r="I156" s="71"/>
      <c r="J156" s="71"/>
      <c r="K156" s="71"/>
      <c r="L156" s="71"/>
      <c r="M156" s="503">
        <f>'[3]4-BASES PREVI'!D165</f>
        <v>0</v>
      </c>
      <c r="N156" s="83" t="s">
        <v>549</v>
      </c>
      <c r="O156" s="71"/>
      <c r="P156" s="71"/>
      <c r="Q156" s="71"/>
    </row>
    <row r="157" spans="1:17" s="3" customFormat="1" ht="15" customHeight="1" thickBot="1" x14ac:dyDescent="0.25">
      <c r="A157" s="110"/>
      <c r="B157" s="782"/>
      <c r="C157" s="782"/>
      <c r="D157" s="876"/>
      <c r="E157" s="180"/>
      <c r="F157" s="203"/>
      <c r="G157" s="234"/>
      <c r="H157" s="104"/>
      <c r="I157" s="71"/>
      <c r="J157" s="71"/>
      <c r="K157" s="71"/>
      <c r="L157" s="17"/>
      <c r="M157" s="17"/>
      <c r="N157" s="8"/>
      <c r="O157" s="8"/>
      <c r="P157" s="8"/>
      <c r="Q157" s="8"/>
    </row>
    <row r="158" spans="1:17" s="3" customFormat="1" ht="22.5" customHeight="1" x14ac:dyDescent="0.25">
      <c r="A158" s="6"/>
      <c r="B158" s="1174" t="s">
        <v>265</v>
      </c>
      <c r="C158" s="1175"/>
      <c r="D158" s="1175"/>
      <c r="E158" s="1175"/>
      <c r="F158" s="1176"/>
      <c r="G158" s="6"/>
      <c r="H158" s="7"/>
      <c r="I158" s="8"/>
      <c r="J158" s="8"/>
      <c r="K158" s="8"/>
      <c r="L158" s="17"/>
      <c r="M158" s="17"/>
      <c r="N158" s="8"/>
      <c r="O158" s="8"/>
      <c r="P158" s="8"/>
      <c r="Q158" s="8"/>
    </row>
    <row r="159" spans="1:17" s="3" customFormat="1" ht="8.25" customHeight="1" x14ac:dyDescent="0.25">
      <c r="A159" s="6"/>
      <c r="B159" s="759"/>
      <c r="C159" s="109"/>
      <c r="D159" s="621"/>
      <c r="E159" s="621"/>
      <c r="F159" s="621"/>
      <c r="G159" s="621"/>
      <c r="H159" s="71"/>
      <c r="I159" s="621"/>
      <c r="J159" s="71"/>
      <c r="K159" s="71"/>
      <c r="L159" s="17"/>
      <c r="M159" s="17"/>
      <c r="N159" s="8"/>
      <c r="O159" s="8"/>
      <c r="P159" s="8"/>
      <c r="Q159" s="8"/>
    </row>
    <row r="160" spans="1:17" s="24" customFormat="1" ht="15" customHeight="1" x14ac:dyDescent="0.2">
      <c r="A160" s="6"/>
      <c r="B160" s="877" t="s">
        <v>266</v>
      </c>
      <c r="C160" s="827" t="str">
        <f>'[3]2-Infos'!B38</f>
        <v>Pyrénées Atlantiques</v>
      </c>
      <c r="D160" s="231"/>
      <c r="E160" s="226"/>
      <c r="F160" s="860"/>
      <c r="G160" s="226"/>
      <c r="H160" s="860"/>
      <c r="I160" s="226"/>
      <c r="J160" s="228"/>
      <c r="K160" s="218"/>
      <c r="L160" s="17"/>
      <c r="M160" s="17"/>
      <c r="N160" s="17"/>
      <c r="O160" s="17"/>
      <c r="P160" s="17"/>
      <c r="Q160" s="17"/>
    </row>
    <row r="161" spans="1:17" s="24" customFormat="1" ht="15" customHeight="1" x14ac:dyDescent="0.2">
      <c r="A161" s="110"/>
      <c r="B161" s="825"/>
      <c r="C161" s="878" t="s">
        <v>267</v>
      </c>
      <c r="D161" s="500">
        <f>M161</f>
        <v>0</v>
      </c>
      <c r="E161" s="226"/>
      <c r="F161" s="860"/>
      <c r="G161" s="226"/>
      <c r="H161" s="860"/>
      <c r="I161" s="226"/>
      <c r="J161" s="228"/>
      <c r="K161" s="218"/>
      <c r="L161" s="17"/>
      <c r="M161" s="223">
        <f>'[3]4-BASES PREVI'!D170</f>
        <v>0</v>
      </c>
      <c r="N161" s="17"/>
      <c r="O161" s="17"/>
      <c r="P161" s="17"/>
      <c r="Q161" s="17"/>
    </row>
    <row r="162" spans="1:17" s="24" customFormat="1" ht="15" customHeight="1" x14ac:dyDescent="0.2">
      <c r="A162" s="110"/>
      <c r="B162" s="825"/>
      <c r="C162" s="878" t="s">
        <v>268</v>
      </c>
      <c r="D162" s="500">
        <f t="shared" ref="D162:D163" si="10">M162</f>
        <v>0</v>
      </c>
      <c r="E162" s="226"/>
      <c r="F162" s="860"/>
      <c r="G162" s="226"/>
      <c r="H162" s="860"/>
      <c r="I162" s="226"/>
      <c r="J162" s="228"/>
      <c r="K162" s="218"/>
      <c r="L162" s="17"/>
      <c r="M162" s="223">
        <f>'[3]4-BASES PREVI'!D171</f>
        <v>0</v>
      </c>
      <c r="N162" s="17"/>
      <c r="O162" s="17"/>
      <c r="P162" s="17"/>
      <c r="Q162" s="17"/>
    </row>
    <row r="163" spans="1:17" s="24" customFormat="1" ht="15" customHeight="1" x14ac:dyDescent="0.2">
      <c r="A163" s="110"/>
      <c r="B163" s="879"/>
      <c r="C163" s="878" t="s">
        <v>564</v>
      </c>
      <c r="D163" s="500">
        <f t="shared" si="10"/>
        <v>0</v>
      </c>
      <c r="E163" s="226"/>
      <c r="F163" s="860"/>
      <c r="G163" s="226"/>
      <c r="H163" s="860"/>
      <c r="I163" s="226"/>
      <c r="J163" s="228"/>
      <c r="K163" s="218"/>
      <c r="L163" s="17"/>
      <c r="M163" s="223">
        <f>'[3]4-BASES PREVI'!D172</f>
        <v>0</v>
      </c>
      <c r="N163" s="17"/>
      <c r="O163" s="17"/>
      <c r="P163" s="17"/>
      <c r="Q163" s="17"/>
    </row>
    <row r="164" spans="1:17" s="3" customFormat="1" ht="15" customHeight="1" thickBot="1" x14ac:dyDescent="0.25">
      <c r="A164" s="6"/>
      <c r="B164" s="1008"/>
      <c r="C164" s="1009" t="s">
        <v>174</v>
      </c>
      <c r="D164" s="514">
        <f>SUM(D161:D163)</f>
        <v>0</v>
      </c>
      <c r="E164" s="230"/>
      <c r="F164" s="860"/>
      <c r="G164" s="226"/>
      <c r="H164" s="860"/>
      <c r="I164" s="226"/>
      <c r="J164" s="228"/>
      <c r="K164" s="218"/>
      <c r="L164" s="17"/>
      <c r="M164" s="503">
        <f>'[3]4-BASES PREVI'!D173</f>
        <v>0</v>
      </c>
      <c r="N164" s="83" t="s">
        <v>549</v>
      </c>
      <c r="O164" s="8"/>
      <c r="P164" s="8"/>
      <c r="Q164" s="8"/>
    </row>
    <row r="165" spans="1:17" s="3" customFormat="1" ht="15" customHeight="1" x14ac:dyDescent="0.2">
      <c r="A165" s="110"/>
      <c r="B165" s="749" t="s">
        <v>270</v>
      </c>
      <c r="C165" s="880" t="str">
        <f>'[3]2-Infos'!B36</f>
        <v>AQUITAINE</v>
      </c>
      <c r="D165" s="860"/>
      <c r="E165" s="226"/>
      <c r="F165" s="860"/>
      <c r="G165" s="226"/>
      <c r="H165" s="860"/>
      <c r="I165" s="226"/>
      <c r="J165" s="228"/>
      <c r="K165" s="218"/>
      <c r="L165" s="17"/>
      <c r="M165" s="863"/>
      <c r="N165" s="8"/>
      <c r="O165" s="8"/>
      <c r="P165" s="8"/>
      <c r="Q165" s="8"/>
    </row>
    <row r="166" spans="1:17" s="24" customFormat="1" ht="15" customHeight="1" x14ac:dyDescent="0.2">
      <c r="A166" s="6"/>
      <c r="B166" s="825"/>
      <c r="C166" s="878" t="s">
        <v>267</v>
      </c>
      <c r="D166" s="500">
        <f>M166</f>
        <v>0</v>
      </c>
      <c r="E166" s="226"/>
      <c r="F166" s="860"/>
      <c r="G166" s="226"/>
      <c r="H166" s="860"/>
      <c r="I166" s="226"/>
      <c r="J166" s="228"/>
      <c r="K166" s="218"/>
      <c r="L166" s="17"/>
      <c r="M166" s="223">
        <f>'[3]4-BASES PREVI'!D175</f>
        <v>0</v>
      </c>
      <c r="N166" s="185"/>
      <c r="O166" s="17"/>
      <c r="P166" s="17"/>
      <c r="Q166" s="17"/>
    </row>
    <row r="167" spans="1:17" s="24" customFormat="1" ht="15" customHeight="1" x14ac:dyDescent="0.2">
      <c r="A167" s="110"/>
      <c r="B167" s="825"/>
      <c r="C167" s="878" t="s">
        <v>268</v>
      </c>
      <c r="D167" s="500">
        <f t="shared" ref="D167:D168" si="11">M167</f>
        <v>0</v>
      </c>
      <c r="E167" s="226"/>
      <c r="F167" s="860"/>
      <c r="G167" s="226"/>
      <c r="H167" s="860"/>
      <c r="I167" s="226"/>
      <c r="J167" s="228"/>
      <c r="K167" s="218"/>
      <c r="L167" s="17"/>
      <c r="M167" s="223">
        <f>'[3]4-BASES PREVI'!D176</f>
        <v>0</v>
      </c>
      <c r="N167" s="185"/>
      <c r="O167" s="17"/>
      <c r="P167" s="17"/>
      <c r="Q167" s="17"/>
    </row>
    <row r="168" spans="1:17" s="24" customFormat="1" ht="15" customHeight="1" x14ac:dyDescent="0.2">
      <c r="A168" s="110"/>
      <c r="B168" s="879"/>
      <c r="C168" s="878" t="s">
        <v>564</v>
      </c>
      <c r="D168" s="500">
        <f t="shared" si="11"/>
        <v>0</v>
      </c>
      <c r="E168" s="226"/>
      <c r="F168" s="860"/>
      <c r="G168" s="226"/>
      <c r="H168" s="860"/>
      <c r="I168" s="226"/>
      <c r="J168" s="228"/>
      <c r="K168" s="218"/>
      <c r="L168" s="17"/>
      <c r="M168" s="223">
        <f>'[3]4-BASES PREVI'!D177</f>
        <v>0</v>
      </c>
      <c r="N168" s="185"/>
      <c r="O168" s="17"/>
      <c r="P168" s="17"/>
      <c r="Q168" s="17"/>
    </row>
    <row r="169" spans="1:17" s="3" customFormat="1" ht="15" customHeight="1" thickBot="1" x14ac:dyDescent="0.25">
      <c r="A169" s="6"/>
      <c r="B169" s="1008"/>
      <c r="C169" s="1009" t="s">
        <v>174</v>
      </c>
      <c r="D169" s="514">
        <f>SUM(D166:D168)</f>
        <v>0</v>
      </c>
      <c r="E169" s="230"/>
      <c r="F169" s="860"/>
      <c r="G169" s="226"/>
      <c r="H169" s="860"/>
      <c r="I169" s="226"/>
      <c r="J169" s="228"/>
      <c r="K169" s="218"/>
      <c r="L169" s="17"/>
      <c r="M169" s="503">
        <f>'[3]4-BASES PREVI'!D178</f>
        <v>0</v>
      </c>
      <c r="N169" s="83" t="s">
        <v>549</v>
      </c>
      <c r="O169" s="8"/>
      <c r="P169" s="8"/>
      <c r="Q169" s="8"/>
    </row>
    <row r="170" spans="1:17" s="24" customFormat="1" ht="15" customHeight="1" x14ac:dyDescent="0.2">
      <c r="A170" s="110"/>
      <c r="B170" s="749" t="s">
        <v>271</v>
      </c>
      <c r="C170" s="782"/>
      <c r="D170" s="860"/>
      <c r="E170" s="226"/>
      <c r="F170" s="860"/>
      <c r="G170" s="226"/>
      <c r="H170" s="860"/>
      <c r="I170" s="226"/>
      <c r="J170" s="228"/>
      <c r="K170" s="218"/>
      <c r="L170" s="17"/>
      <c r="M170" s="863"/>
      <c r="N170" s="185"/>
      <c r="O170" s="17"/>
      <c r="P170" s="17"/>
      <c r="Q170" s="17"/>
    </row>
    <row r="171" spans="1:17" s="24" customFormat="1" ht="16.5" customHeight="1" x14ac:dyDescent="0.2">
      <c r="A171" s="110"/>
      <c r="B171" s="825"/>
      <c r="C171" s="878" t="s">
        <v>267</v>
      </c>
      <c r="D171" s="500">
        <f>M171</f>
        <v>0</v>
      </c>
      <c r="E171" s="226"/>
      <c r="F171" s="860"/>
      <c r="G171" s="226"/>
      <c r="H171" s="860"/>
      <c r="I171" s="226"/>
      <c r="J171" s="228"/>
      <c r="K171" s="218"/>
      <c r="L171" s="17"/>
      <c r="M171" s="223">
        <f>'[3]4-BASES PREVI'!D180</f>
        <v>0</v>
      </c>
      <c r="N171" s="185"/>
      <c r="O171" s="17"/>
      <c r="P171" s="17"/>
      <c r="Q171" s="17"/>
    </row>
    <row r="172" spans="1:17" s="3" customFormat="1" ht="15" customHeight="1" x14ac:dyDescent="0.2">
      <c r="A172" s="6"/>
      <c r="B172" s="825"/>
      <c r="C172" s="878" t="s">
        <v>268</v>
      </c>
      <c r="D172" s="500">
        <f t="shared" ref="D172:D173" si="12">M172</f>
        <v>0</v>
      </c>
      <c r="E172" s="226"/>
      <c r="F172" s="860"/>
      <c r="G172" s="226"/>
      <c r="H172" s="860"/>
      <c r="I172" s="226"/>
      <c r="J172" s="228"/>
      <c r="K172" s="863"/>
      <c r="L172" s="17"/>
      <c r="M172" s="223">
        <f>'[3]4-BASES PREVI'!D181</f>
        <v>0</v>
      </c>
      <c r="N172" s="8"/>
      <c r="O172" s="8"/>
      <c r="P172" s="8"/>
      <c r="Q172" s="8"/>
    </row>
    <row r="173" spans="1:17" s="24" customFormat="1" ht="15" customHeight="1" x14ac:dyDescent="0.2">
      <c r="A173" s="6"/>
      <c r="B173" s="879"/>
      <c r="C173" s="1012" t="s">
        <v>564</v>
      </c>
      <c r="D173" s="500">
        <f t="shared" si="12"/>
        <v>0</v>
      </c>
      <c r="E173" s="870"/>
      <c r="F173" s="227"/>
      <c r="G173" s="870"/>
      <c r="H173" s="227"/>
      <c r="I173" s="870"/>
      <c r="J173" s="228"/>
      <c r="K173" s="218"/>
      <c r="L173" s="17"/>
      <c r="M173" s="223">
        <f>'[3]4-BASES PREVI'!D182</f>
        <v>0</v>
      </c>
      <c r="N173" s="185"/>
      <c r="O173" s="17"/>
      <c r="P173" s="17"/>
      <c r="Q173" s="17"/>
    </row>
    <row r="174" spans="1:17" s="3" customFormat="1" ht="15" customHeight="1" thickBot="1" x14ac:dyDescent="0.25">
      <c r="A174" s="6"/>
      <c r="B174" s="1008"/>
      <c r="C174" s="1009" t="s">
        <v>174</v>
      </c>
      <c r="D174" s="514">
        <f>SUM(D171:D173)</f>
        <v>0</v>
      </c>
      <c r="E174" s="230"/>
      <c r="F174" s="860"/>
      <c r="G174" s="226"/>
      <c r="H174" s="860"/>
      <c r="I174" s="226"/>
      <c r="J174" s="228"/>
      <c r="K174" s="218"/>
      <c r="L174" s="17"/>
      <c r="M174" s="503">
        <f>'[3]4-BASES PREVI'!D183</f>
        <v>0</v>
      </c>
      <c r="N174" s="83" t="s">
        <v>549</v>
      </c>
      <c r="O174" s="8"/>
      <c r="P174" s="8"/>
      <c r="Q174" s="8"/>
    </row>
    <row r="175" spans="1:17" s="24" customFormat="1" ht="15" customHeight="1" x14ac:dyDescent="0.2">
      <c r="A175" s="110"/>
      <c r="B175" s="749" t="s">
        <v>272</v>
      </c>
      <c r="C175" s="782"/>
      <c r="D175" s="227"/>
      <c r="E175" s="870"/>
      <c r="F175" s="227"/>
      <c r="G175" s="870"/>
      <c r="H175" s="227"/>
      <c r="I175" s="870"/>
      <c r="J175" s="228"/>
      <c r="K175" s="218"/>
      <c r="L175" s="17"/>
      <c r="M175" s="863"/>
      <c r="N175" s="185"/>
      <c r="O175" s="17"/>
      <c r="P175" s="17"/>
      <c r="Q175" s="17"/>
    </row>
    <row r="176" spans="1:17" s="24" customFormat="1" ht="15" customHeight="1" x14ac:dyDescent="0.2">
      <c r="A176" s="110"/>
      <c r="B176" s="825"/>
      <c r="C176" s="1012" t="s">
        <v>267</v>
      </c>
      <c r="D176" s="500">
        <f>M176</f>
        <v>0</v>
      </c>
      <c r="E176" s="870"/>
      <c r="F176" s="227"/>
      <c r="G176" s="870"/>
      <c r="H176" s="227"/>
      <c r="I176" s="870"/>
      <c r="J176" s="228"/>
      <c r="K176" s="218"/>
      <c r="L176" s="17"/>
      <c r="M176" s="223">
        <f>'[3]4-BASES PREVI'!D185</f>
        <v>0</v>
      </c>
      <c r="N176" s="185"/>
      <c r="O176" s="17"/>
      <c r="P176" s="17"/>
      <c r="Q176" s="17"/>
    </row>
    <row r="177" spans="1:17" s="24" customFormat="1" ht="15" customHeight="1" x14ac:dyDescent="0.2">
      <c r="A177" s="110"/>
      <c r="B177" s="825"/>
      <c r="C177" s="1012" t="s">
        <v>268</v>
      </c>
      <c r="D177" s="500">
        <f t="shared" ref="D177:D178" si="13">M177</f>
        <v>0</v>
      </c>
      <c r="E177" s="870"/>
      <c r="F177" s="227"/>
      <c r="G177" s="870"/>
      <c r="H177" s="227"/>
      <c r="I177" s="870"/>
      <c r="J177" s="228"/>
      <c r="K177" s="218"/>
      <c r="L177" s="17"/>
      <c r="M177" s="223">
        <f>'[3]4-BASES PREVI'!D186</f>
        <v>0</v>
      </c>
      <c r="N177" s="185"/>
      <c r="O177" s="17"/>
      <c r="P177" s="17"/>
      <c r="Q177" s="17"/>
    </row>
    <row r="178" spans="1:17" s="24" customFormat="1" ht="17.25" customHeight="1" x14ac:dyDescent="0.2">
      <c r="A178" s="110"/>
      <c r="B178" s="879"/>
      <c r="C178" s="1012" t="s">
        <v>564</v>
      </c>
      <c r="D178" s="500">
        <f t="shared" si="13"/>
        <v>0</v>
      </c>
      <c r="E178" s="870"/>
      <c r="F178" s="227"/>
      <c r="G178" s="870"/>
      <c r="H178" s="227"/>
      <c r="I178" s="870"/>
      <c r="J178" s="228"/>
      <c r="K178" s="218"/>
      <c r="L178" s="17"/>
      <c r="M178" s="223">
        <f>'[3]4-BASES PREVI'!D187</f>
        <v>0</v>
      </c>
      <c r="N178" s="185"/>
      <c r="O178" s="17"/>
      <c r="P178" s="17"/>
      <c r="Q178" s="17"/>
    </row>
    <row r="179" spans="1:17" s="3" customFormat="1" ht="15" customHeight="1" thickBot="1" x14ac:dyDescent="0.25">
      <c r="A179" s="6"/>
      <c r="B179" s="1008"/>
      <c r="C179" s="1009" t="s">
        <v>174</v>
      </c>
      <c r="D179" s="514">
        <f>SUM(D176:D178)</f>
        <v>0</v>
      </c>
      <c r="E179" s="230"/>
      <c r="F179" s="860"/>
      <c r="G179" s="226"/>
      <c r="H179" s="860"/>
      <c r="I179" s="226"/>
      <c r="J179" s="228"/>
      <c r="K179" s="218"/>
      <c r="L179" s="17"/>
      <c r="M179" s="503">
        <f>'[3]4-BASES PREVI'!D188</f>
        <v>0</v>
      </c>
      <c r="N179" s="83" t="s">
        <v>549</v>
      </c>
      <c r="O179" s="8"/>
      <c r="P179" s="8"/>
      <c r="Q179" s="8"/>
    </row>
    <row r="180" spans="1:17" s="24" customFormat="1" ht="9" customHeight="1" thickBot="1" x14ac:dyDescent="0.25">
      <c r="A180" s="110"/>
      <c r="B180" s="827"/>
      <c r="C180" s="817"/>
      <c r="D180" s="846"/>
      <c r="E180" s="870"/>
      <c r="F180" s="227"/>
      <c r="G180" s="870"/>
      <c r="H180" s="227"/>
      <c r="I180" s="870"/>
      <c r="J180" s="228"/>
      <c r="K180" s="218"/>
      <c r="L180" s="17"/>
      <c r="M180" s="863"/>
      <c r="N180" s="185"/>
      <c r="O180" s="17"/>
      <c r="P180" s="17"/>
      <c r="Q180" s="17"/>
    </row>
    <row r="181" spans="1:17" s="24" customFormat="1" ht="15" customHeight="1" thickBot="1" x14ac:dyDescent="0.25">
      <c r="A181" s="110"/>
      <c r="B181" s="1168" t="s">
        <v>273</v>
      </c>
      <c r="C181" s="1169"/>
      <c r="D181" s="155">
        <f>D161+D166+D171+D176</f>
        <v>0</v>
      </c>
      <c r="E181" s="882"/>
      <c r="F181" s="156">
        <f>D181/D$23</f>
        <v>0</v>
      </c>
      <c r="G181" s="226"/>
      <c r="H181" s="227"/>
      <c r="I181" s="857"/>
      <c r="J181" s="232"/>
      <c r="K181" s="218"/>
      <c r="L181" s="17"/>
      <c r="M181" s="503">
        <f>'[3]4-BASES PREVI'!D190</f>
        <v>0</v>
      </c>
      <c r="N181" s="83" t="s">
        <v>549</v>
      </c>
      <c r="O181" s="17"/>
      <c r="P181" s="17"/>
      <c r="Q181" s="17"/>
    </row>
    <row r="182" spans="1:17" s="24" customFormat="1" ht="6.75" customHeight="1" thickBot="1" x14ac:dyDescent="0.25">
      <c r="A182" s="110"/>
      <c r="B182" s="827"/>
      <c r="C182" s="817"/>
      <c r="D182" s="846"/>
      <c r="E182" s="870"/>
      <c r="F182" s="227"/>
      <c r="G182" s="870"/>
      <c r="H182" s="227"/>
      <c r="I182" s="870"/>
      <c r="J182" s="228"/>
      <c r="K182" s="218"/>
      <c r="L182" s="17"/>
      <c r="M182" s="863"/>
      <c r="N182" s="185"/>
      <c r="O182" s="17"/>
      <c r="P182" s="17"/>
      <c r="Q182" s="17"/>
    </row>
    <row r="183" spans="1:17" s="38" customFormat="1" ht="14.25" customHeight="1" thickBot="1" x14ac:dyDescent="0.25">
      <c r="A183" s="110"/>
      <c r="B183" s="1168" t="s">
        <v>274</v>
      </c>
      <c r="C183" s="1169"/>
      <c r="D183" s="155">
        <f>D162+D167+D172+D177</f>
        <v>0</v>
      </c>
      <c r="E183" s="882"/>
      <c r="F183" s="156">
        <f>D183/D$23</f>
        <v>0</v>
      </c>
      <c r="G183" s="226"/>
      <c r="H183" s="227"/>
      <c r="I183" s="857"/>
      <c r="J183" s="232"/>
      <c r="K183" s="218"/>
      <c r="L183" s="71"/>
      <c r="M183" s="503">
        <f>'[3]4-BASES PREVI'!D192</f>
        <v>0</v>
      </c>
      <c r="N183" s="83" t="s">
        <v>549</v>
      </c>
      <c r="O183" s="71"/>
      <c r="P183" s="71"/>
      <c r="Q183" s="71"/>
    </row>
    <row r="184" spans="1:17" s="38" customFormat="1" ht="6.75" customHeight="1" thickBot="1" x14ac:dyDescent="0.25">
      <c r="A184" s="110"/>
      <c r="B184" s="782"/>
      <c r="C184" s="782"/>
      <c r="D184" s="883"/>
      <c r="E184" s="237"/>
      <c r="F184" s="238"/>
      <c r="G184" s="234"/>
      <c r="H184" s="104"/>
      <c r="I184" s="71"/>
      <c r="J184" s="71"/>
      <c r="K184" s="71"/>
      <c r="L184" s="71"/>
      <c r="M184" s="71"/>
      <c r="N184" s="71"/>
      <c r="O184" s="71"/>
      <c r="P184" s="71"/>
      <c r="Q184" s="71"/>
    </row>
    <row r="185" spans="1:17" s="24" customFormat="1" ht="15" customHeight="1" thickBot="1" x14ac:dyDescent="0.25">
      <c r="A185" s="110"/>
      <c r="B185" s="1168" t="s">
        <v>275</v>
      </c>
      <c r="C185" s="1169"/>
      <c r="D185" s="155">
        <f>(D163+D168+D173+D178)*D$23</f>
        <v>0</v>
      </c>
      <c r="E185" s="882"/>
      <c r="F185" s="156">
        <f>D185/D$23</f>
        <v>0</v>
      </c>
      <c r="G185" s="234"/>
      <c r="H185" s="104"/>
      <c r="I185" s="71"/>
      <c r="J185" s="71"/>
      <c r="K185" s="71"/>
      <c r="L185" s="17"/>
      <c r="M185" s="503">
        <f>'[3]4-BASES PREVI'!D194</f>
        <v>0</v>
      </c>
      <c r="N185" s="83" t="s">
        <v>549</v>
      </c>
      <c r="O185" s="17"/>
      <c r="P185" s="17"/>
      <c r="Q185" s="17"/>
    </row>
    <row r="186" spans="1:17" s="24" customFormat="1" ht="15" customHeight="1" thickBot="1" x14ac:dyDescent="0.25">
      <c r="A186" s="110"/>
      <c r="B186" s="782"/>
      <c r="C186" s="782"/>
      <c r="D186" s="227"/>
      <c r="E186" s="870"/>
      <c r="F186" s="227"/>
      <c r="G186" s="870"/>
      <c r="H186" s="227"/>
      <c r="I186" s="870"/>
      <c r="J186" s="228"/>
      <c r="K186" s="228"/>
      <c r="L186" s="17"/>
      <c r="M186" s="17"/>
      <c r="N186" s="239"/>
      <c r="O186" s="17"/>
      <c r="P186" s="17"/>
      <c r="Q186" s="17"/>
    </row>
    <row r="187" spans="1:17" s="38" customFormat="1" ht="15" customHeight="1" x14ac:dyDescent="0.25">
      <c r="A187" s="6"/>
      <c r="B187" s="1171" t="str">
        <f>IF(A188="","","Pour information (subvention non imputée) :")</f>
        <v>Pour information (subvention non imputée) :</v>
      </c>
      <c r="C187" s="1172"/>
      <c r="D187" s="1172"/>
      <c r="E187" s="1172"/>
      <c r="F187" s="1173"/>
      <c r="G187" s="876"/>
      <c r="H187" s="240"/>
      <c r="I187" s="876"/>
      <c r="J187" s="241"/>
      <c r="K187" s="241"/>
      <c r="L187" s="71"/>
      <c r="M187" s="71"/>
      <c r="N187" s="71"/>
      <c r="O187" s="71"/>
      <c r="P187" s="71"/>
      <c r="Q187" s="71"/>
    </row>
    <row r="188" spans="1:17" s="38" customFormat="1" ht="15" customHeight="1" x14ac:dyDescent="0.2">
      <c r="A188" s="884" t="str">
        <f>IF('[3]4-BASES PREVI'!A197="","",'[3]4-BASES PREVI'!A197)</f>
        <v>CT 64</v>
      </c>
      <c r="B188" s="885" t="str">
        <f>IF(A188="","","Subvention CG64 par stagiaire'club formateur'")</f>
        <v>Subvention CG64 par stagiaire'club formateur'</v>
      </c>
      <c r="C188" s="886"/>
      <c r="D188" s="242">
        <f ca="1">IF(A188="","",D204*E188)</f>
        <v>423.80158333333333</v>
      </c>
      <c r="E188" s="1013">
        <f>IF(A188="","",'[3]4-BASES PREVI'!E197)</f>
        <v>0.7</v>
      </c>
      <c r="F188" s="887" t="str">
        <f>IF(A188="","","inscrit dans un cursus de 'cadre' ou 'officiel de compétition' bénévole.")</f>
        <v>inscrit dans un cursus de 'cadre' ou 'officiel de compétition' bénévole.</v>
      </c>
      <c r="G188" s="244"/>
      <c r="H188" s="888"/>
      <c r="I188" s="889"/>
      <c r="J188" s="889"/>
      <c r="K188" s="889"/>
      <c r="L188" s="71"/>
      <c r="M188" s="503">
        <f>IF(A188="","",'[3]4-BASES PREVI'!D197)</f>
        <v>118.99999999999999</v>
      </c>
      <c r="N188" s="83" t="s">
        <v>549</v>
      </c>
      <c r="O188" s="71"/>
      <c r="P188" s="71"/>
      <c r="Q188" s="71"/>
    </row>
    <row r="189" spans="1:17" s="3" customFormat="1" ht="15" customHeight="1" thickBot="1" x14ac:dyDescent="0.25">
      <c r="A189" s="110"/>
      <c r="B189" s="782"/>
      <c r="C189" s="782"/>
      <c r="D189" s="876"/>
      <c r="E189" s="180"/>
      <c r="F189" s="203"/>
      <c r="G189" s="234"/>
      <c r="H189" s="104"/>
      <c r="I189" s="71"/>
      <c r="J189" s="71"/>
      <c r="K189" s="71"/>
      <c r="L189" s="71"/>
      <c r="M189" s="17"/>
      <c r="N189" s="8"/>
      <c r="O189" s="8"/>
      <c r="P189" s="8"/>
      <c r="Q189" s="8"/>
    </row>
    <row r="190" spans="1:17" s="38" customFormat="1" ht="15" customHeight="1" x14ac:dyDescent="0.25">
      <c r="A190" s="6"/>
      <c r="B190" s="1165" t="s">
        <v>276</v>
      </c>
      <c r="C190" s="1166"/>
      <c r="D190" s="1166"/>
      <c r="E190" s="1166"/>
      <c r="F190" s="1167"/>
      <c r="G190" s="6"/>
      <c r="H190" s="7"/>
      <c r="I190" s="8"/>
      <c r="J190" s="8"/>
      <c r="K190" s="8"/>
      <c r="L190" s="71"/>
      <c r="M190" s="71"/>
      <c r="N190" s="71"/>
      <c r="O190" s="71"/>
      <c r="P190" s="71"/>
      <c r="Q190" s="71"/>
    </row>
    <row r="191" spans="1:17" s="38" customFormat="1" ht="15" customHeight="1" x14ac:dyDescent="0.2">
      <c r="A191" s="110"/>
      <c r="B191" s="782"/>
      <c r="C191" s="782"/>
      <c r="D191" s="876"/>
      <c r="E191" s="180"/>
      <c r="F191" s="203"/>
      <c r="G191" s="234"/>
      <c r="H191" s="104"/>
      <c r="I191" s="71"/>
      <c r="J191" s="71"/>
      <c r="K191" s="71"/>
      <c r="L191" s="71"/>
      <c r="M191" s="71"/>
      <c r="N191" s="71"/>
      <c r="O191" s="71"/>
      <c r="P191" s="71"/>
      <c r="Q191" s="71"/>
    </row>
    <row r="192" spans="1:17" s="38" customFormat="1" ht="15" customHeight="1" x14ac:dyDescent="0.2">
      <c r="A192" s="110"/>
      <c r="B192" s="890" t="s">
        <v>277</v>
      </c>
      <c r="C192" s="782"/>
      <c r="D192" s="516">
        <f ca="1">D37+D52+D61+D69+D91+D96</f>
        <v>1417.9</v>
      </c>
      <c r="E192" s="180" t="str">
        <f ca="1">IF(AND('[3]2-Infos'!A38="CD 64",H29&gt;0),"y compris prestation CDST","")</f>
        <v/>
      </c>
      <c r="F192" s="203"/>
      <c r="G192" s="234"/>
      <c r="H192" s="104"/>
      <c r="I192" s="71"/>
      <c r="J192" s="71"/>
      <c r="K192" s="71"/>
      <c r="L192" s="71"/>
      <c r="M192" s="223">
        <f>'[3]4-BASES PREVI'!D201</f>
        <v>320.2</v>
      </c>
      <c r="N192" s="71"/>
      <c r="O192" s="71"/>
      <c r="P192" s="71"/>
      <c r="Q192" s="71"/>
    </row>
    <row r="193" spans="1:17" s="38" customFormat="1" ht="15" customHeight="1" x14ac:dyDescent="0.2">
      <c r="A193" s="110"/>
      <c r="B193" s="890" t="s">
        <v>278</v>
      </c>
      <c r="C193" s="782"/>
      <c r="D193" s="516">
        <f ca="1">D124</f>
        <v>0</v>
      </c>
      <c r="E193" s="180"/>
      <c r="F193" s="203"/>
      <c r="G193" s="234"/>
      <c r="H193" s="104"/>
      <c r="I193" s="71"/>
      <c r="J193" s="71"/>
      <c r="K193" s="71"/>
      <c r="L193" s="71"/>
      <c r="M193" s="223">
        <f>'[3]4-BASES PREVI'!D202</f>
        <v>0</v>
      </c>
      <c r="N193" s="71"/>
      <c r="O193" s="71"/>
      <c r="P193" s="71"/>
      <c r="Q193" s="71"/>
    </row>
    <row r="194" spans="1:17" s="38" customFormat="1" ht="15" customHeight="1" x14ac:dyDescent="0.2">
      <c r="A194" s="110"/>
      <c r="B194" s="890" t="s">
        <v>279</v>
      </c>
      <c r="C194" s="782"/>
      <c r="D194" s="516">
        <f>D131</f>
        <v>0</v>
      </c>
      <c r="E194" s="180"/>
      <c r="F194" s="203"/>
      <c r="G194" s="234"/>
      <c r="H194" s="104"/>
      <c r="I194" s="71"/>
      <c r="J194" s="71"/>
      <c r="K194" s="71"/>
      <c r="L194" s="71"/>
      <c r="M194" s="223">
        <f>'[3]4-BASES PREVI'!D203</f>
        <v>0</v>
      </c>
      <c r="N194" s="71"/>
      <c r="O194" s="71"/>
      <c r="P194" s="71"/>
      <c r="Q194" s="71"/>
    </row>
    <row r="195" spans="1:17" s="38" customFormat="1" ht="15" customHeight="1" x14ac:dyDescent="0.2">
      <c r="A195" s="110"/>
      <c r="B195" s="890" t="s">
        <v>280</v>
      </c>
      <c r="C195" s="782"/>
      <c r="D195" s="516">
        <f>D104+D115+D76</f>
        <v>280</v>
      </c>
      <c r="E195" s="180"/>
      <c r="F195" s="203"/>
      <c r="G195" s="234"/>
      <c r="H195" s="104"/>
      <c r="I195" s="71"/>
      <c r="J195" s="71"/>
      <c r="K195" s="71"/>
      <c r="L195" s="71"/>
      <c r="M195" s="223">
        <f>'[3]4-BASES PREVI'!D204</f>
        <v>140</v>
      </c>
      <c r="N195" s="71"/>
      <c r="O195" s="71"/>
      <c r="P195" s="71"/>
      <c r="Q195" s="71"/>
    </row>
    <row r="196" spans="1:17" s="38" customFormat="1" ht="15" customHeight="1" x14ac:dyDescent="0.2">
      <c r="A196" s="110"/>
      <c r="B196" s="890" t="s">
        <v>238</v>
      </c>
      <c r="C196" s="782"/>
      <c r="D196" s="516">
        <f ca="1">D108</f>
        <v>254.685</v>
      </c>
      <c r="E196" s="180"/>
      <c r="F196" s="203"/>
      <c r="G196" s="234"/>
      <c r="H196" s="104"/>
      <c r="I196" s="71"/>
      <c r="J196" s="71"/>
      <c r="K196" s="71"/>
      <c r="L196" s="71"/>
      <c r="M196" s="223">
        <f>'[3]4-BASES PREVI'!D205</f>
        <v>69.03</v>
      </c>
      <c r="N196" s="71"/>
      <c r="O196" s="71"/>
      <c r="P196" s="71"/>
      <c r="Q196" s="71"/>
    </row>
    <row r="197" spans="1:17" s="38" customFormat="1" ht="15" customHeight="1" x14ac:dyDescent="0.2">
      <c r="A197" s="110"/>
      <c r="B197" s="890" t="s">
        <v>281</v>
      </c>
      <c r="C197" s="782"/>
      <c r="D197" s="516">
        <f>-(D152+D154+D181+D183+D185)</f>
        <v>0</v>
      </c>
      <c r="E197" s="180"/>
      <c r="F197" s="203"/>
      <c r="G197" s="234"/>
      <c r="H197" s="104"/>
      <c r="I197" s="71"/>
      <c r="J197" s="71"/>
      <c r="K197" s="71"/>
      <c r="L197" s="71"/>
      <c r="M197" s="223">
        <f>'[3]4-BASES PREVI'!D206</f>
        <v>0</v>
      </c>
      <c r="N197" s="71"/>
      <c r="O197" s="71"/>
      <c r="P197" s="71"/>
      <c r="Q197" s="71"/>
    </row>
    <row r="198" spans="1:17" s="38" customFormat="1" ht="15" customHeight="1" thickBot="1" x14ac:dyDescent="0.25">
      <c r="A198" s="110"/>
      <c r="B198" s="782"/>
      <c r="C198" s="782"/>
      <c r="D198" s="876"/>
      <c r="E198" s="180"/>
      <c r="F198" s="203"/>
      <c r="G198" s="234"/>
      <c r="H198" s="104"/>
      <c r="I198" s="71"/>
      <c r="J198" s="71"/>
      <c r="K198" s="71"/>
      <c r="L198" s="71"/>
      <c r="M198" s="71"/>
      <c r="N198" s="71"/>
      <c r="O198" s="71"/>
      <c r="P198" s="71"/>
      <c r="Q198" s="71"/>
    </row>
    <row r="199" spans="1:17" s="38" customFormat="1" ht="15" customHeight="1" thickBot="1" x14ac:dyDescent="0.25">
      <c r="A199" s="110"/>
      <c r="B199" s="1168" t="s">
        <v>450</v>
      </c>
      <c r="C199" s="1169"/>
      <c r="D199" s="155">
        <f ca="1">SUM(D192:D197)</f>
        <v>1952.585</v>
      </c>
      <c r="E199" s="882"/>
      <c r="F199" s="156">
        <f ca="1">D199/D$23</f>
        <v>325.43083333333334</v>
      </c>
      <c r="G199" s="234"/>
      <c r="H199" s="104"/>
      <c r="I199" s="71"/>
      <c r="J199" s="71"/>
      <c r="K199" s="71"/>
      <c r="L199" s="71"/>
      <c r="M199" s="503">
        <f>'[3]4-BASES PREVI'!D208</f>
        <v>529.23</v>
      </c>
      <c r="N199" s="83" t="s">
        <v>549</v>
      </c>
      <c r="O199" s="71"/>
      <c r="P199" s="71"/>
      <c r="Q199" s="71"/>
    </row>
    <row r="200" spans="1:17" s="3" customFormat="1" ht="15" customHeight="1" thickBot="1" x14ac:dyDescent="0.25">
      <c r="A200" s="110"/>
      <c r="B200" s="782"/>
      <c r="C200" s="782"/>
      <c r="D200" s="876"/>
      <c r="E200" s="180"/>
      <c r="F200" s="203"/>
      <c r="G200" s="234"/>
      <c r="H200" s="104"/>
      <c r="I200" s="71"/>
      <c r="J200" s="71"/>
      <c r="K200" s="71"/>
      <c r="L200" s="795"/>
      <c r="M200" s="176"/>
      <c r="N200" s="8"/>
      <c r="O200" s="8"/>
      <c r="P200" s="8"/>
      <c r="Q200" s="8"/>
    </row>
    <row r="201" spans="1:17" s="38" customFormat="1" ht="15" customHeight="1" thickBot="1" x14ac:dyDescent="0.25">
      <c r="A201" s="6"/>
      <c r="B201" s="1168" t="s">
        <v>196</v>
      </c>
      <c r="C201" s="1169"/>
      <c r="D201" s="155">
        <f>D50</f>
        <v>1680</v>
      </c>
      <c r="E201" s="796"/>
      <c r="F201" s="156">
        <f>F50</f>
        <v>280</v>
      </c>
      <c r="G201" s="177"/>
      <c r="H201" s="777"/>
      <c r="I201" s="777"/>
      <c r="J201" s="777"/>
      <c r="K201" s="777"/>
      <c r="L201" s="71"/>
      <c r="M201" s="503">
        <f>'[3]4-BASES PREVI'!D210</f>
        <v>240</v>
      </c>
      <c r="N201" s="83" t="s">
        <v>549</v>
      </c>
      <c r="O201" s="71"/>
      <c r="P201" s="71"/>
      <c r="Q201" s="71"/>
    </row>
    <row r="202" spans="1:17" s="3" customFormat="1" ht="15" customHeight="1" thickBot="1" x14ac:dyDescent="0.25">
      <c r="A202" s="110"/>
      <c r="B202" s="782"/>
      <c r="C202" s="782"/>
      <c r="D202" s="876"/>
      <c r="E202" s="180"/>
      <c r="F202" s="203"/>
      <c r="G202" s="234"/>
      <c r="H202" s="104"/>
      <c r="I202" s="71"/>
      <c r="J202" s="71"/>
      <c r="K202" s="71"/>
      <c r="L202" s="17"/>
      <c r="M202" s="17"/>
      <c r="N202" s="8"/>
      <c r="O202" s="8"/>
      <c r="P202" s="8"/>
      <c r="Q202" s="8"/>
    </row>
    <row r="203" spans="1:17" ht="15" customHeight="1" x14ac:dyDescent="0.25">
      <c r="A203" s="8"/>
      <c r="B203" s="1165" t="s">
        <v>283</v>
      </c>
      <c r="C203" s="1166"/>
      <c r="D203" s="1166"/>
      <c r="E203" s="1166"/>
      <c r="F203" s="1167"/>
      <c r="G203" s="202"/>
      <c r="H203" s="7"/>
      <c r="I203" s="8"/>
      <c r="J203" s="8"/>
      <c r="K203" s="8"/>
      <c r="L203" s="566"/>
      <c r="M203" s="566"/>
      <c r="N203" s="286"/>
      <c r="O203" s="286"/>
      <c r="P203" s="286"/>
      <c r="Q203" s="286"/>
    </row>
    <row r="204" spans="1:17" ht="15" customHeight="1" x14ac:dyDescent="0.25">
      <c r="A204" s="109"/>
      <c r="B204" s="891"/>
      <c r="C204" s="892" t="s">
        <v>402</v>
      </c>
      <c r="D204" s="1003">
        <f ca="1">G207</f>
        <v>605.43083333333334</v>
      </c>
      <c r="E204" s="1170" t="s">
        <v>285</v>
      </c>
      <c r="F204" s="1164"/>
      <c r="G204" s="516">
        <f ca="1">F199+F201</f>
        <v>605.43083333333334</v>
      </c>
      <c r="H204" s="894" t="s">
        <v>565</v>
      </c>
      <c r="I204" s="286"/>
      <c r="J204" s="286"/>
      <c r="K204" s="286"/>
      <c r="L204" s="566"/>
      <c r="M204" s="566"/>
      <c r="N204" s="286"/>
      <c r="O204" s="286"/>
      <c r="P204" s="286"/>
      <c r="Q204" s="286"/>
    </row>
    <row r="205" spans="1:17" ht="15" customHeight="1" x14ac:dyDescent="0.25">
      <c r="A205" s="6"/>
      <c r="B205" s="891"/>
      <c r="C205" s="892" t="s">
        <v>287</v>
      </c>
      <c r="D205" s="1014"/>
      <c r="E205" s="517">
        <f ca="1">G205</f>
        <v>181.62924999999998</v>
      </c>
      <c r="F205" s="624"/>
      <c r="G205" s="516">
        <f ca="1">D204*0.3</f>
        <v>181.62924999999998</v>
      </c>
      <c r="H205" s="896"/>
      <c r="I205" s="286"/>
      <c r="J205" s="286"/>
      <c r="K205" s="286"/>
      <c r="L205" s="566"/>
      <c r="M205" s="566"/>
      <c r="N205" s="286"/>
      <c r="O205" s="286"/>
      <c r="P205" s="286"/>
      <c r="Q205" s="286"/>
    </row>
    <row r="206" spans="1:17" ht="15" customHeight="1" x14ac:dyDescent="0.25">
      <c r="A206" s="286"/>
      <c r="B206" s="897"/>
      <c r="C206" s="767"/>
      <c r="D206" s="1003">
        <f>'[3]4-BASES PREVI'!D215</f>
        <v>129</v>
      </c>
      <c r="E206" s="1170" t="s">
        <v>288</v>
      </c>
      <c r="F206" s="1164"/>
      <c r="G206" s="516">
        <f ca="1">G204-D194</f>
        <v>605.43083333333334</v>
      </c>
      <c r="H206" s="896"/>
      <c r="I206" s="286"/>
      <c r="J206" s="286"/>
      <c r="K206" s="286"/>
      <c r="L206" s="566"/>
      <c r="M206" s="566"/>
      <c r="N206" s="286"/>
      <c r="O206" s="286"/>
      <c r="P206" s="286"/>
      <c r="Q206" s="286"/>
    </row>
    <row r="207" spans="1:17" s="3" customFormat="1" ht="15" customHeight="1" x14ac:dyDescent="0.25">
      <c r="A207" s="286"/>
      <c r="B207" s="898"/>
      <c r="C207" s="892" t="s">
        <v>289</v>
      </c>
      <c r="D207" s="1003">
        <f>'[3]4-BASES PREVI'!D216</f>
        <v>212</v>
      </c>
      <c r="E207" s="1163" t="s">
        <v>566</v>
      </c>
      <c r="F207" s="1164"/>
      <c r="G207" s="516">
        <f ca="1">G204+F76+F152+F154+F181</f>
        <v>605.43083333333334</v>
      </c>
      <c r="H207" s="723" t="s">
        <v>290</v>
      </c>
      <c r="I207" s="900"/>
      <c r="J207" s="286"/>
      <c r="K207" s="286"/>
      <c r="L207" s="17"/>
      <c r="M207" s="17"/>
      <c r="N207" s="17"/>
      <c r="O207" s="17"/>
      <c r="P207" s="8"/>
      <c r="Q207" s="8"/>
    </row>
    <row r="208" spans="1:17" ht="15" customHeight="1" x14ac:dyDescent="0.25">
      <c r="A208" s="884" t="str">
        <f>IF(A188="","",A188)</f>
        <v>CT 64</v>
      </c>
      <c r="B208" s="901"/>
      <c r="C208" s="902" t="str">
        <f>IF(A188="","","Coût de revient effectif")</f>
        <v>Coût de revient effectif</v>
      </c>
      <c r="D208" s="1003">
        <f ca="1">IF(A188="","",D204-D188)</f>
        <v>181.62925000000001</v>
      </c>
      <c r="E208" s="1015"/>
      <c r="F208" s="518" t="str">
        <f>IF(A188="","","après subvention du CG64")</f>
        <v>après subvention du CG64</v>
      </c>
      <c r="G208" s="516">
        <f ca="1">IF(D188="","",D204-D188)</f>
        <v>181.62925000000001</v>
      </c>
      <c r="H208" s="903" t="str">
        <f>IF(A188="","","par stagiaire (licencié FFME)inscrit dans un cursus de 'cadre' ou 'officiel de compétition' bénévole.")</f>
        <v>par stagiaire (licencié FFME)inscrit dans un cursus de 'cadre' ou 'officiel de compétition' bénévole.</v>
      </c>
      <c r="I208" s="904"/>
      <c r="J208" s="904"/>
      <c r="K208" s="904"/>
      <c r="L208" s="904"/>
      <c r="M208" s="904"/>
      <c r="N208" s="904"/>
      <c r="O208" s="904"/>
      <c r="P208" s="286"/>
      <c r="Q208" s="286"/>
    </row>
    <row r="209" spans="1:17" x14ac:dyDescent="0.25">
      <c r="A209" s="286"/>
      <c r="B209" s="286"/>
      <c r="C209" s="286"/>
      <c r="D209" s="732">
        <f ca="1">Paiement!M22</f>
        <v>3530</v>
      </c>
      <c r="E209" s="286" t="s">
        <v>570</v>
      </c>
      <c r="F209" s="286"/>
      <c r="G209" s="1097">
        <f ca="1">D209/D23</f>
        <v>588.33333333333337</v>
      </c>
      <c r="H209" s="286" t="s">
        <v>571</v>
      </c>
      <c r="I209" s="286"/>
      <c r="J209" s="286"/>
      <c r="K209" s="286"/>
      <c r="L209" s="286"/>
      <c r="M209" s="286"/>
      <c r="N209" s="286"/>
      <c r="O209" s="286"/>
      <c r="P209" s="286"/>
      <c r="Q209" s="286"/>
    </row>
    <row r="210" spans="1:17" x14ac:dyDescent="0.25">
      <c r="A210" s="286"/>
      <c r="B210" s="286"/>
      <c r="C210" s="286"/>
      <c r="D210" s="286"/>
      <c r="E210" s="286"/>
      <c r="F210" s="286"/>
      <c r="G210" s="286"/>
      <c r="H210" s="286"/>
      <c r="I210" s="286"/>
      <c r="J210" s="286"/>
      <c r="K210" s="286"/>
      <c r="L210" s="286"/>
      <c r="M210" s="286"/>
      <c r="N210" s="286"/>
      <c r="O210" s="286"/>
      <c r="P210" s="286"/>
      <c r="Q210" s="286"/>
    </row>
  </sheetData>
  <mergeCells count="73">
    <mergeCell ref="B7:C7"/>
    <mergeCell ref="A1:K1"/>
    <mergeCell ref="A2:K2"/>
    <mergeCell ref="A3:K3"/>
    <mergeCell ref="B5:C5"/>
    <mergeCell ref="B6:C6"/>
    <mergeCell ref="M29:N29"/>
    <mergeCell ref="B9:F9"/>
    <mergeCell ref="B13:F13"/>
    <mergeCell ref="D15:E15"/>
    <mergeCell ref="D16:E16"/>
    <mergeCell ref="B17:C17"/>
    <mergeCell ref="B19:F19"/>
    <mergeCell ref="M23:N23"/>
    <mergeCell ref="B25:C25"/>
    <mergeCell ref="M25:N25"/>
    <mergeCell ref="B26:C26"/>
    <mergeCell ref="B27:F27"/>
    <mergeCell ref="M71:O71"/>
    <mergeCell ref="B37:C37"/>
    <mergeCell ref="B39:C39"/>
    <mergeCell ref="B41:F41"/>
    <mergeCell ref="G42:J42"/>
    <mergeCell ref="B50:C50"/>
    <mergeCell ref="B52:C52"/>
    <mergeCell ref="B54:F54"/>
    <mergeCell ref="B61:C61"/>
    <mergeCell ref="B63:F63"/>
    <mergeCell ref="B69:C69"/>
    <mergeCell ref="B71:F71"/>
    <mergeCell ref="H72:I72"/>
    <mergeCell ref="B76:C76"/>
    <mergeCell ref="B78:F78"/>
    <mergeCell ref="B83:C83"/>
    <mergeCell ref="B117:F117"/>
    <mergeCell ref="B85:F85"/>
    <mergeCell ref="D72:E72"/>
    <mergeCell ref="M117:N117"/>
    <mergeCell ref="B91:C91"/>
    <mergeCell ref="B96:C96"/>
    <mergeCell ref="B98:F98"/>
    <mergeCell ref="H99:I99"/>
    <mergeCell ref="B104:C104"/>
    <mergeCell ref="B108:C108"/>
    <mergeCell ref="B110:F110"/>
    <mergeCell ref="D111:E111"/>
    <mergeCell ref="H111:I111"/>
    <mergeCell ref="M111:N111"/>
    <mergeCell ref="B115:C115"/>
    <mergeCell ref="D118:E118"/>
    <mergeCell ref="B124:C124"/>
    <mergeCell ref="B126:F126"/>
    <mergeCell ref="B131:C131"/>
    <mergeCell ref="B133:F133"/>
    <mergeCell ref="B199:C199"/>
    <mergeCell ref="H134:I134"/>
    <mergeCell ref="B138:C138"/>
    <mergeCell ref="B152:C152"/>
    <mergeCell ref="B154:C154"/>
    <mergeCell ref="B156:C156"/>
    <mergeCell ref="B158:F158"/>
    <mergeCell ref="D134:E134"/>
    <mergeCell ref="F134:G134"/>
    <mergeCell ref="B181:C181"/>
    <mergeCell ref="B183:C183"/>
    <mergeCell ref="B185:C185"/>
    <mergeCell ref="B187:F187"/>
    <mergeCell ref="B190:F190"/>
    <mergeCell ref="B201:C201"/>
    <mergeCell ref="B203:F203"/>
    <mergeCell ref="E204:F204"/>
    <mergeCell ref="E206:F206"/>
    <mergeCell ref="E207:F207"/>
  </mergeCells>
  <dataValidations count="1">
    <dataValidation type="list" allowBlank="1" showInputMessage="1" showErrorMessage="1" sqref="B56">
      <formula1>$P$56:$P$58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O47"/>
  <sheetViews>
    <sheetView topLeftCell="A10" workbookViewId="0">
      <selection activeCell="M1" sqref="M1:M47"/>
    </sheetView>
  </sheetViews>
  <sheetFormatPr baseColWidth="10" defaultRowHeight="15" x14ac:dyDescent="0.25"/>
  <cols>
    <col min="1" max="1" width="2.7109375" customWidth="1"/>
    <col min="2" max="2" width="15.7109375" customWidth="1"/>
    <col min="3" max="3" width="3.7109375" customWidth="1"/>
    <col min="4" max="4" width="15.7109375" customWidth="1"/>
    <col min="5" max="5" width="11.7109375" customWidth="1"/>
    <col min="6" max="6" width="2.7109375" customWidth="1"/>
    <col min="7" max="7" width="13.28515625" customWidth="1"/>
    <col min="8" max="8" width="3.7109375" customWidth="1"/>
    <col min="9" max="9" width="11.140625" customWidth="1"/>
    <col min="10" max="10" width="4.42578125" customWidth="1"/>
    <col min="11" max="11" width="11.7109375" customWidth="1"/>
    <col min="13" max="13" width="5" customWidth="1"/>
  </cols>
  <sheetData>
    <row r="1" spans="1:13" ht="20.25" customHeight="1" x14ac:dyDescent="0.25">
      <c r="A1" s="252"/>
      <c r="B1" s="1295" t="s">
        <v>572</v>
      </c>
      <c r="C1" s="1295"/>
      <c r="D1" s="1295"/>
      <c r="E1" s="1295"/>
      <c r="F1" s="1295"/>
      <c r="G1" s="1295"/>
      <c r="H1" s="1295"/>
      <c r="I1" s="1295"/>
      <c r="J1" s="1295"/>
      <c r="K1" s="1296"/>
      <c r="M1" s="1297" t="s">
        <v>573</v>
      </c>
    </row>
    <row r="2" spans="1:13" x14ac:dyDescent="0.25">
      <c r="A2" s="252"/>
      <c r="B2" s="263"/>
      <c r="C2" s="263"/>
      <c r="D2" s="263"/>
      <c r="E2" s="286"/>
      <c r="F2" s="252"/>
      <c r="G2" s="263"/>
      <c r="H2" s="263"/>
      <c r="I2" s="263"/>
      <c r="J2" s="263"/>
      <c r="K2" s="286"/>
      <c r="M2" s="1297"/>
    </row>
    <row r="3" spans="1:13" ht="15.75" x14ac:dyDescent="0.25">
      <c r="A3" s="252"/>
      <c r="B3" s="263"/>
      <c r="C3" s="263"/>
      <c r="D3" s="1219" t="str">
        <f>Info!C9</f>
        <v>Perfectionnement</v>
      </c>
      <c r="E3" s="1220"/>
      <c r="F3" s="1220" t="str">
        <f>Info!C13</f>
        <v>Alpinisme</v>
      </c>
      <c r="G3" s="1220"/>
      <c r="H3" s="1220"/>
      <c r="I3" s="1220"/>
      <c r="J3" s="1220"/>
      <c r="K3" s="329"/>
      <c r="M3" s="1297"/>
    </row>
    <row r="4" spans="1:13" x14ac:dyDescent="0.25">
      <c r="A4" s="252"/>
      <c r="B4" s="263"/>
      <c r="C4" s="263"/>
      <c r="D4" s="1221" t="str">
        <f>'[3]2-Infos'!G17</f>
        <v>Niveau visé</v>
      </c>
      <c r="E4" s="1222"/>
      <c r="F4" s="1222" t="str">
        <f>Info!C17</f>
        <v>Niveau 2</v>
      </c>
      <c r="G4" s="1222"/>
      <c r="H4" s="1222"/>
      <c r="I4" s="1222"/>
      <c r="J4" s="1222"/>
      <c r="K4" s="330"/>
      <c r="M4" s="1297"/>
    </row>
    <row r="5" spans="1:13" ht="15.75" x14ac:dyDescent="0.25">
      <c r="A5" s="252"/>
      <c r="B5" s="263"/>
      <c r="C5" s="272"/>
      <c r="D5" s="373" t="s">
        <v>294</v>
      </c>
      <c r="E5" s="373">
        <f>'Base Previ'!D11</f>
        <v>1946</v>
      </c>
      <c r="F5" s="301"/>
      <c r="G5" s="315" t="s">
        <v>574</v>
      </c>
      <c r="H5" s="1223">
        <f>Info!B49</f>
        <v>44583</v>
      </c>
      <c r="I5" s="1223"/>
      <c r="J5" s="1224"/>
      <c r="K5" s="330"/>
      <c r="M5" s="1297"/>
    </row>
    <row r="6" spans="1:13" ht="12" customHeight="1" x14ac:dyDescent="0.25">
      <c r="A6" s="252"/>
      <c r="B6" s="263"/>
      <c r="C6" s="263"/>
      <c r="D6" s="263"/>
      <c r="E6" s="286"/>
      <c r="F6" s="252"/>
      <c r="G6" s="263"/>
      <c r="H6" s="263"/>
      <c r="I6" s="263"/>
      <c r="J6" s="263"/>
      <c r="K6" s="286"/>
      <c r="M6" s="1297"/>
    </row>
    <row r="7" spans="1:13" ht="15.75" x14ac:dyDescent="0.25">
      <c r="A7" s="1209" t="s">
        <v>296</v>
      </c>
      <c r="B7" s="1210"/>
      <c r="C7" s="1210"/>
      <c r="D7" s="1210"/>
      <c r="E7" s="1211"/>
      <c r="F7" s="1209" t="s">
        <v>297</v>
      </c>
      <c r="G7" s="1210"/>
      <c r="H7" s="1210"/>
      <c r="I7" s="1210"/>
      <c r="J7" s="1210"/>
      <c r="K7" s="1211"/>
      <c r="M7" s="1297"/>
    </row>
    <row r="8" spans="1:13" ht="12.75" customHeight="1" x14ac:dyDescent="0.25">
      <c r="A8" s="520" t="s">
        <v>298</v>
      </c>
      <c r="B8" s="1298" t="s">
        <v>238</v>
      </c>
      <c r="C8" s="1298"/>
      <c r="D8" s="1299"/>
      <c r="E8" s="521"/>
      <c r="F8" s="1304" t="s">
        <v>298</v>
      </c>
      <c r="G8" s="1298" t="s">
        <v>347</v>
      </c>
      <c r="H8" s="1305"/>
      <c r="I8" s="1305"/>
      <c r="J8" s="1306"/>
      <c r="K8" s="522"/>
      <c r="M8" s="1297"/>
    </row>
    <row r="9" spans="1:13" ht="12.75" customHeight="1" x14ac:dyDescent="0.25">
      <c r="A9" s="254" t="s">
        <v>299</v>
      </c>
      <c r="B9" s="1207" t="s">
        <v>345</v>
      </c>
      <c r="C9" s="1207"/>
      <c r="D9" s="1208"/>
      <c r="E9" s="288">
        <f ca="1">'Base Réalisé'!D108</f>
        <v>254.685</v>
      </c>
      <c r="F9" s="1213"/>
      <c r="G9" s="1216"/>
      <c r="H9" s="1217"/>
      <c r="I9" s="1217"/>
      <c r="J9" s="1218"/>
      <c r="K9" s="332"/>
      <c r="M9" s="1297"/>
    </row>
    <row r="10" spans="1:13" ht="12.75" customHeight="1" x14ac:dyDescent="0.25">
      <c r="A10" s="254" t="s">
        <v>299</v>
      </c>
      <c r="B10" s="1202" t="s">
        <v>300</v>
      </c>
      <c r="C10" s="1202"/>
      <c r="D10" s="1202"/>
      <c r="E10" s="288">
        <f>'Base Réalisé'!D104</f>
        <v>280</v>
      </c>
      <c r="F10" s="302"/>
      <c r="G10" s="265">
        <f ca="1">'Base Réalisé'!G209-'Base Réalisé'!F201</f>
        <v>308.33333333333337</v>
      </c>
      <c r="H10" s="273" t="s">
        <v>4</v>
      </c>
      <c r="I10" s="323">
        <f>'Base Réalisé'!D23</f>
        <v>6</v>
      </c>
      <c r="J10" s="325"/>
      <c r="K10" s="288">
        <f ca="1">G10*I10</f>
        <v>1850.0000000000002</v>
      </c>
      <c r="M10" s="1297"/>
    </row>
    <row r="11" spans="1:13" ht="12.75" customHeight="1" x14ac:dyDescent="0.25">
      <c r="A11" s="254" t="s">
        <v>299</v>
      </c>
      <c r="B11" s="374" t="s">
        <v>218</v>
      </c>
      <c r="C11" s="374"/>
      <c r="D11" s="375"/>
      <c r="E11" s="288" t="str">
        <f>IF('[3]18-REALISE'!D92=0,"",'[3]18-REALISE'!D92)</f>
        <v/>
      </c>
      <c r="F11" s="520" t="s">
        <v>301</v>
      </c>
      <c r="G11" s="1298" t="s">
        <v>302</v>
      </c>
      <c r="H11" s="1298"/>
      <c r="I11" s="1298"/>
      <c r="J11" s="1299"/>
      <c r="K11" s="523"/>
      <c r="M11" s="1297"/>
    </row>
    <row r="12" spans="1:13" ht="12.75" customHeight="1" x14ac:dyDescent="0.25">
      <c r="A12" s="254" t="s">
        <v>299</v>
      </c>
      <c r="B12" s="1205" t="s">
        <v>303</v>
      </c>
      <c r="C12" s="1205"/>
      <c r="D12" s="1206"/>
      <c r="E12" s="288" t="str">
        <f>IF('[3]18-REALISE'!D74=0,"",'[3]18-REALISE'!D74)</f>
        <v/>
      </c>
      <c r="F12" s="254" t="s">
        <v>299</v>
      </c>
      <c r="G12" s="1207" t="s">
        <v>304</v>
      </c>
      <c r="H12" s="1207"/>
      <c r="I12" s="1207"/>
      <c r="J12" s="1208"/>
      <c r="K12" s="288"/>
      <c r="M12" s="1297"/>
    </row>
    <row r="13" spans="1:13" x14ac:dyDescent="0.25">
      <c r="A13" s="254" t="s">
        <v>299</v>
      </c>
      <c r="B13" s="1205" t="s">
        <v>305</v>
      </c>
      <c r="C13" s="1205"/>
      <c r="D13" s="1206"/>
      <c r="E13" s="289">
        <f>'[3]18-REALISE'!D76</f>
        <v>0</v>
      </c>
      <c r="F13" s="524"/>
      <c r="G13" s="525" t="s">
        <v>575</v>
      </c>
      <c r="H13" s="462"/>
      <c r="I13" s="462"/>
      <c r="J13" s="462"/>
      <c r="K13" s="294"/>
      <c r="M13" s="1297"/>
    </row>
    <row r="14" spans="1:13" ht="12.75" customHeight="1" x14ac:dyDescent="0.25">
      <c r="A14" s="254" t="s">
        <v>299</v>
      </c>
      <c r="B14" s="374" t="s">
        <v>307</v>
      </c>
      <c r="C14" s="376"/>
      <c r="D14" s="377"/>
      <c r="E14" s="289">
        <f>'[3]18-REALISE'!D75</f>
        <v>0</v>
      </c>
      <c r="F14" s="524"/>
      <c r="G14" s="264" t="str">
        <f>IF(I14="","",B37)</f>
        <v/>
      </c>
      <c r="H14" s="273" t="s">
        <v>4</v>
      </c>
      <c r="I14" s="281" t="str">
        <f>IF('[3]18-REALISE'!D22=0,"",'[3]18-REALISE'!D22)</f>
        <v/>
      </c>
      <c r="J14" s="326"/>
      <c r="K14" s="288"/>
      <c r="M14" s="1297"/>
    </row>
    <row r="15" spans="1:13" ht="12.75" customHeight="1" x14ac:dyDescent="0.25">
      <c r="A15" s="254" t="s">
        <v>299</v>
      </c>
      <c r="B15" s="1225" t="s">
        <v>242</v>
      </c>
      <c r="C15" s="1225"/>
      <c r="D15" s="1226"/>
      <c r="E15" s="289">
        <f>'[3]18-REALISE'!D124</f>
        <v>0</v>
      </c>
      <c r="F15" s="254" t="s">
        <v>299</v>
      </c>
      <c r="G15" s="374" t="s">
        <v>308</v>
      </c>
      <c r="H15" s="374"/>
      <c r="I15" s="374"/>
      <c r="J15" s="375"/>
      <c r="K15" s="288" t="str">
        <f>IF('[3]18-REALISE'!D153=0,"",'[3]18-REALISE'!D153)</f>
        <v/>
      </c>
      <c r="M15" s="1297"/>
    </row>
    <row r="16" spans="1:13" ht="12.75" customHeight="1" x14ac:dyDescent="0.25">
      <c r="A16" s="254" t="s">
        <v>299</v>
      </c>
      <c r="B16" s="1205" t="s">
        <v>309</v>
      </c>
      <c r="C16" s="1205"/>
      <c r="D16" s="1206"/>
      <c r="E16" s="288">
        <f>'[3]18-REALISE'!D85</f>
        <v>0</v>
      </c>
      <c r="F16" s="254" t="s">
        <v>299</v>
      </c>
      <c r="G16" s="1205" t="s">
        <v>310</v>
      </c>
      <c r="H16" s="1205"/>
      <c r="I16" s="1205"/>
      <c r="J16" s="1206"/>
      <c r="K16" s="288" t="str">
        <f>IF('[3]18-REALISE'!D149=0,"",'[3]18-REALISE'!D149)</f>
        <v/>
      </c>
      <c r="M16" s="1297"/>
    </row>
    <row r="17" spans="1:15" ht="6" customHeight="1" x14ac:dyDescent="0.25">
      <c r="A17" s="255"/>
      <c r="B17" s="371"/>
      <c r="C17" s="371"/>
      <c r="D17" s="372"/>
      <c r="E17" s="333"/>
      <c r="F17" s="254"/>
      <c r="G17" s="319"/>
      <c r="H17" s="56"/>
      <c r="I17" s="56"/>
      <c r="J17" s="326"/>
      <c r="K17" s="290"/>
      <c r="M17" s="1297"/>
    </row>
    <row r="18" spans="1:15" ht="15" customHeight="1" x14ac:dyDescent="0.25">
      <c r="A18" s="520" t="s">
        <v>311</v>
      </c>
      <c r="B18" s="1298" t="s">
        <v>312</v>
      </c>
      <c r="C18" s="1298"/>
      <c r="D18" s="1299"/>
      <c r="E18" s="521"/>
      <c r="F18" s="526" t="s">
        <v>313</v>
      </c>
      <c r="G18" s="527" t="s">
        <v>265</v>
      </c>
      <c r="H18" s="527"/>
      <c r="I18" s="527"/>
      <c r="J18" s="528"/>
      <c r="K18" s="523"/>
      <c r="M18" s="1297"/>
    </row>
    <row r="19" spans="1:15" ht="15" customHeight="1" x14ac:dyDescent="0.25">
      <c r="A19" s="254" t="s">
        <v>299</v>
      </c>
      <c r="B19" s="374" t="s">
        <v>314</v>
      </c>
      <c r="C19" s="374"/>
      <c r="D19" s="277" t="s">
        <v>180</v>
      </c>
      <c r="E19" s="290"/>
      <c r="F19" s="254" t="s">
        <v>299</v>
      </c>
      <c r="G19" s="369" t="s">
        <v>315</v>
      </c>
      <c r="H19" s="369"/>
      <c r="I19" s="369"/>
      <c r="J19" s="370"/>
      <c r="K19" s="288"/>
      <c r="M19" s="1297"/>
    </row>
    <row r="20" spans="1:15" ht="15" customHeight="1" x14ac:dyDescent="0.25">
      <c r="A20" s="254"/>
      <c r="B20" s="264" t="str">
        <f ca="1">IF('Base Réalisé'!E30="","",'Base Previ'!E30/Info!B40)</f>
        <v/>
      </c>
      <c r="C20" s="273" t="s">
        <v>4</v>
      </c>
      <c r="D20" s="556" t="str">
        <f ca="1">IF(B20="","",'Base Previ'!D30)</f>
        <v/>
      </c>
      <c r="E20" s="288" t="str">
        <f ca="1">IF(B20="","",B20*D20)</f>
        <v/>
      </c>
      <c r="F20" s="254" t="s">
        <v>299</v>
      </c>
      <c r="G20" s="369" t="s">
        <v>316</v>
      </c>
      <c r="H20" s="369"/>
      <c r="I20" s="369"/>
      <c r="J20" s="370"/>
      <c r="K20" s="288"/>
      <c r="M20" s="1297"/>
      <c r="N20" s="1303"/>
      <c r="O20" s="1303"/>
    </row>
    <row r="21" spans="1:15" ht="15" customHeight="1" x14ac:dyDescent="0.25">
      <c r="A21" s="252"/>
      <c r="B21" s="264" t="str">
        <f>IF('Base Réalisé'!E31="","",'Base Previ'!E31/Info!B41)</f>
        <v/>
      </c>
      <c r="C21" s="273" t="s">
        <v>4</v>
      </c>
      <c r="D21" s="556" t="str">
        <f>IF(B21="","",'Base Previ'!D31)</f>
        <v/>
      </c>
      <c r="E21" s="288" t="str">
        <f>IF(B21="","",B21*D21)</f>
        <v/>
      </c>
      <c r="F21" s="254" t="s">
        <v>299</v>
      </c>
      <c r="G21" s="369" t="s">
        <v>317</v>
      </c>
      <c r="H21" s="369"/>
      <c r="I21" s="369"/>
      <c r="J21" s="370"/>
      <c r="K21" s="288"/>
      <c r="M21" s="1297"/>
    </row>
    <row r="22" spans="1:15" ht="15" customHeight="1" x14ac:dyDescent="0.25">
      <c r="A22" s="254"/>
      <c r="B22" s="264" t="str">
        <f ca="1">IF('Base Réalisé'!E32="","",'Base Previ'!E32/Info!B42)</f>
        <v/>
      </c>
      <c r="C22" s="273" t="s">
        <v>4</v>
      </c>
      <c r="D22" s="556" t="str">
        <f ca="1">IF(B22="","",'Base Previ'!D32)</f>
        <v/>
      </c>
      <c r="E22" s="288" t="str">
        <f ca="1">IF(B22="","",B22*D22)</f>
        <v/>
      </c>
      <c r="F22" s="254" t="s">
        <v>299</v>
      </c>
      <c r="G22" s="1225" t="s">
        <v>318</v>
      </c>
      <c r="H22" s="1225"/>
      <c r="I22" s="1225"/>
      <c r="J22" s="1226"/>
      <c r="K22" s="288"/>
      <c r="M22" s="1297"/>
    </row>
    <row r="23" spans="1:15" ht="15" customHeight="1" x14ac:dyDescent="0.25">
      <c r="A23" s="254"/>
      <c r="B23" s="264" t="str">
        <f>IF('Base Réalisé'!E33="","",'Base Previ'!E33/Info!B43)</f>
        <v/>
      </c>
      <c r="C23" s="273" t="s">
        <v>4</v>
      </c>
      <c r="D23" s="556" t="str">
        <f>IF(B23="","",'Base Previ'!D33)</f>
        <v/>
      </c>
      <c r="E23" s="288" t="str">
        <f>IF(B23="","",B23*D23)</f>
        <v/>
      </c>
      <c r="F23" s="254" t="s">
        <v>299</v>
      </c>
      <c r="G23" s="369" t="s">
        <v>320</v>
      </c>
      <c r="H23" s="369"/>
      <c r="I23" s="369"/>
      <c r="J23" s="370"/>
      <c r="K23" s="288"/>
      <c r="M23" s="1297"/>
    </row>
    <row r="24" spans="1:15" ht="15" customHeight="1" x14ac:dyDescent="0.25">
      <c r="A24" s="254" t="s">
        <v>299</v>
      </c>
      <c r="B24" s="1225" t="s">
        <v>319</v>
      </c>
      <c r="C24" s="1225"/>
      <c r="D24" s="1226"/>
      <c r="E24" s="288">
        <f ca="1">'Base Réalisé'!D52</f>
        <v>280</v>
      </c>
      <c r="F24" s="255"/>
      <c r="G24" s="369"/>
      <c r="H24" s="369"/>
      <c r="I24" s="369"/>
      <c r="J24" s="370"/>
      <c r="K24" s="290"/>
      <c r="M24" s="1297"/>
    </row>
    <row r="25" spans="1:15" ht="15" customHeight="1" x14ac:dyDescent="0.25">
      <c r="A25" s="254" t="s">
        <v>299</v>
      </c>
      <c r="B25" s="1225" t="s">
        <v>321</v>
      </c>
      <c r="C25" s="1225"/>
      <c r="D25" s="1226"/>
      <c r="E25" s="288">
        <f>'Base Réalisé'!D61</f>
        <v>1137.9000000000001</v>
      </c>
      <c r="F25" s="256" t="s">
        <v>322</v>
      </c>
      <c r="G25" s="529" t="s">
        <v>576</v>
      </c>
      <c r="H25" s="529"/>
      <c r="I25" s="529"/>
      <c r="J25" s="530"/>
      <c r="K25" s="523"/>
      <c r="M25" s="1297"/>
    </row>
    <row r="26" spans="1:15" ht="15" customHeight="1" x14ac:dyDescent="0.25">
      <c r="A26" s="254" t="s">
        <v>299</v>
      </c>
      <c r="B26" s="1225" t="s">
        <v>324</v>
      </c>
      <c r="C26" s="1225"/>
      <c r="D26" s="1226"/>
      <c r="E26" s="289"/>
      <c r="F26" s="254" t="s">
        <v>299</v>
      </c>
      <c r="G26" s="369" t="s">
        <v>325</v>
      </c>
      <c r="H26" s="369"/>
      <c r="I26" s="369"/>
      <c r="J26" s="370"/>
      <c r="K26" s="288">
        <f>E$27</f>
        <v>400</v>
      </c>
      <c r="M26" s="1297"/>
    </row>
    <row r="27" spans="1:15" ht="15" customHeight="1" x14ac:dyDescent="0.25">
      <c r="A27" s="255"/>
      <c r="B27" s="265">
        <f>IF('[3]18-REALISE'!D39=0,"",'[3]18-REALISE'!M34)</f>
        <v>100</v>
      </c>
      <c r="C27" s="274" t="s">
        <v>4</v>
      </c>
      <c r="D27" s="279">
        <f>E27/B27</f>
        <v>4</v>
      </c>
      <c r="E27" s="288">
        <f>'[3]18-REALISE'!D39</f>
        <v>400</v>
      </c>
      <c r="F27" s="531"/>
      <c r="G27" s="532"/>
      <c r="H27" s="532"/>
      <c r="I27" s="532"/>
      <c r="J27" s="532"/>
      <c r="K27" s="335"/>
      <c r="M27" s="1297"/>
    </row>
    <row r="28" spans="1:15" ht="15" customHeight="1" x14ac:dyDescent="0.25">
      <c r="A28" s="520" t="s">
        <v>326</v>
      </c>
      <c r="B28" s="1302" t="s">
        <v>327</v>
      </c>
      <c r="C28" s="1302"/>
      <c r="D28" s="1302"/>
      <c r="E28" s="521"/>
      <c r="F28" s="533" t="s">
        <v>326</v>
      </c>
      <c r="G28" s="1307" t="s">
        <v>328</v>
      </c>
      <c r="H28" s="1307"/>
      <c r="I28" s="1307"/>
      <c r="J28" s="1307"/>
      <c r="K28" s="534"/>
      <c r="M28" s="1297"/>
    </row>
    <row r="29" spans="1:15" ht="15" customHeight="1" x14ac:dyDescent="0.25">
      <c r="A29" s="254" t="s">
        <v>299</v>
      </c>
      <c r="B29" s="1225" t="s">
        <v>329</v>
      </c>
      <c r="C29" s="1225"/>
      <c r="D29" s="1226"/>
      <c r="E29" s="288">
        <f>'Base Réalisé'!D50</f>
        <v>1680</v>
      </c>
      <c r="F29" s="307"/>
      <c r="G29" s="1232"/>
      <c r="H29" s="1232"/>
      <c r="I29" s="1232"/>
      <c r="J29" s="1232"/>
      <c r="K29" s="294"/>
      <c r="M29" s="1297"/>
    </row>
    <row r="30" spans="1:15" ht="15" customHeight="1" x14ac:dyDescent="0.25">
      <c r="A30" s="254" t="s">
        <v>299</v>
      </c>
      <c r="B30" s="1205" t="s">
        <v>330</v>
      </c>
      <c r="C30" s="1205"/>
      <c r="D30" s="1206"/>
      <c r="E30" s="291"/>
      <c r="F30" s="303"/>
      <c r="G30" s="264">
        <f>'Base Réalisé'!F201</f>
        <v>280</v>
      </c>
      <c r="H30" s="322" t="s">
        <v>4</v>
      </c>
      <c r="I30" s="281">
        <f>'Base Réalisé'!D23</f>
        <v>6</v>
      </c>
      <c r="J30" s="56"/>
      <c r="K30" s="288">
        <f>G$30*I$30</f>
        <v>1680</v>
      </c>
      <c r="M30" s="1297"/>
    </row>
    <row r="31" spans="1:15" ht="15" customHeight="1" x14ac:dyDescent="0.25">
      <c r="A31" s="256"/>
      <c r="B31" s="266">
        <f>'[3]18-REALISE'!F100</f>
        <v>0</v>
      </c>
      <c r="C31" s="273" t="s">
        <v>4</v>
      </c>
      <c r="D31" s="278">
        <f>IF(B31="","",'Base Réalisé'!$D$23)</f>
        <v>6</v>
      </c>
      <c r="E31" s="288">
        <f>B31*D31</f>
        <v>0</v>
      </c>
      <c r="F31" s="308"/>
      <c r="G31" s="317"/>
      <c r="H31" s="317"/>
      <c r="I31" s="317"/>
      <c r="J31" s="317"/>
      <c r="K31" s="334"/>
      <c r="M31" s="1297"/>
    </row>
    <row r="32" spans="1:15" ht="15" customHeight="1" x14ac:dyDescent="0.25">
      <c r="A32" s="254" t="s">
        <v>299</v>
      </c>
      <c r="B32" s="1225" t="s">
        <v>331</v>
      </c>
      <c r="C32" s="1225"/>
      <c r="D32" s="1226"/>
      <c r="E32" s="288">
        <f>'[3]4-BASES PREVI'!D105</f>
        <v>0</v>
      </c>
      <c r="F32" s="308"/>
      <c r="G32" s="317"/>
      <c r="H32" s="317"/>
      <c r="I32" s="317"/>
      <c r="J32" s="317"/>
      <c r="K32" s="334"/>
      <c r="M32" s="1297"/>
    </row>
    <row r="33" spans="1:13" ht="15" customHeight="1" x14ac:dyDescent="0.25">
      <c r="A33" s="255" t="s">
        <v>299</v>
      </c>
      <c r="B33" s="267" t="s">
        <v>320</v>
      </c>
      <c r="C33" s="267"/>
      <c r="D33" s="280"/>
      <c r="E33" s="292"/>
      <c r="F33" s="308"/>
      <c r="G33" s="317"/>
      <c r="H33" s="317"/>
      <c r="I33" s="317"/>
      <c r="J33" s="317"/>
      <c r="K33" s="335"/>
      <c r="M33" s="1297"/>
    </row>
    <row r="34" spans="1:13" ht="15" customHeight="1" x14ac:dyDescent="0.25">
      <c r="A34" s="520" t="s">
        <v>332</v>
      </c>
      <c r="B34" s="1302" t="s">
        <v>333</v>
      </c>
      <c r="C34" s="1302"/>
      <c r="D34" s="1308"/>
      <c r="E34" s="535"/>
      <c r="F34" s="520" t="s">
        <v>332</v>
      </c>
      <c r="G34" s="1309" t="s">
        <v>334</v>
      </c>
      <c r="H34" s="1309"/>
      <c r="I34" s="1309"/>
      <c r="J34" s="1310"/>
      <c r="K34" s="523"/>
      <c r="M34" s="1297"/>
    </row>
    <row r="35" spans="1:13" ht="15" customHeight="1" x14ac:dyDescent="0.25">
      <c r="A35" s="254" t="s">
        <v>299</v>
      </c>
      <c r="B35" s="369" t="s">
        <v>335</v>
      </c>
      <c r="C35" s="536"/>
      <c r="D35" s="536"/>
      <c r="E35" s="288">
        <f>'[3]18-REALISE'!D137</f>
        <v>0</v>
      </c>
      <c r="F35" s="537"/>
      <c r="G35" s="266">
        <f>IF(B37="","",B37)</f>
        <v>0</v>
      </c>
      <c r="H35" s="273" t="s">
        <v>4</v>
      </c>
      <c r="I35" s="281">
        <f>IF(B37="","",D37)</f>
        <v>6</v>
      </c>
      <c r="J35" s="326"/>
      <c r="K35" s="288">
        <f>IF(B37="","",G35*I35)</f>
        <v>0</v>
      </c>
      <c r="M35" s="1297"/>
    </row>
    <row r="36" spans="1:13" ht="15" customHeight="1" x14ac:dyDescent="0.25">
      <c r="A36" s="254" t="s">
        <v>299</v>
      </c>
      <c r="B36" s="369" t="s">
        <v>337</v>
      </c>
      <c r="C36" s="369"/>
      <c r="D36" s="370"/>
      <c r="E36" s="538"/>
      <c r="F36" s="539"/>
      <c r="G36" s="540"/>
      <c r="H36" s="540"/>
      <c r="I36" s="540"/>
      <c r="J36" s="541"/>
      <c r="K36" s="542"/>
      <c r="M36" s="1297"/>
    </row>
    <row r="37" spans="1:13" ht="15" customHeight="1" x14ac:dyDescent="0.25">
      <c r="A37" s="254" t="s">
        <v>299</v>
      </c>
      <c r="B37" s="264">
        <f>'Base Réalisé'!F131</f>
        <v>0</v>
      </c>
      <c r="C37" s="273" t="s">
        <v>4</v>
      </c>
      <c r="D37" s="278">
        <f>IF(B37="","",'Base Réalisé'!$D$23)</f>
        <v>6</v>
      </c>
      <c r="E37" s="288">
        <f>IF(B37="","",B37*D37)</f>
        <v>0</v>
      </c>
      <c r="F37" s="309"/>
      <c r="G37" s="318"/>
      <c r="H37" s="318"/>
      <c r="I37" s="318"/>
      <c r="J37" s="328"/>
      <c r="K37" s="290"/>
      <c r="M37" s="1297"/>
    </row>
    <row r="38" spans="1:13" ht="12.75" customHeight="1" x14ac:dyDescent="0.25">
      <c r="A38" s="520" t="s">
        <v>338</v>
      </c>
      <c r="B38" s="543" t="s">
        <v>339</v>
      </c>
      <c r="C38" s="529"/>
      <c r="D38" s="530"/>
      <c r="E38" s="523"/>
      <c r="F38" s="544"/>
      <c r="G38" s="545"/>
      <c r="H38" s="546"/>
      <c r="I38" s="546"/>
      <c r="J38" s="547"/>
      <c r="K38" s="534"/>
      <c r="L38" s="548"/>
      <c r="M38" s="1297"/>
    </row>
    <row r="39" spans="1:13" ht="12.75" customHeight="1" x14ac:dyDescent="0.25">
      <c r="A39" s="254" t="s">
        <v>299</v>
      </c>
      <c r="B39" s="369" t="s">
        <v>335</v>
      </c>
      <c r="C39" s="369"/>
      <c r="D39" s="370"/>
      <c r="E39" s="288">
        <f>'[3]18-REALISE'!D129+'[3]18-REALISE'!D130</f>
        <v>0</v>
      </c>
      <c r="F39" s="309"/>
      <c r="G39" s="320"/>
      <c r="H39" s="56"/>
      <c r="I39" s="324"/>
      <c r="J39" s="326"/>
      <c r="K39" s="290"/>
      <c r="L39" s="548"/>
      <c r="M39" s="1297"/>
    </row>
    <row r="40" spans="1:13" x14ac:dyDescent="0.25">
      <c r="A40" s="254" t="s">
        <v>299</v>
      </c>
      <c r="B40" s="369" t="s">
        <v>337</v>
      </c>
      <c r="C40" s="369"/>
      <c r="D40" s="370"/>
      <c r="E40" s="294"/>
      <c r="F40" s="1311"/>
      <c r="G40" s="1312"/>
      <c r="H40" s="1312"/>
      <c r="I40" s="1312"/>
      <c r="J40" s="1312"/>
      <c r="K40" s="1300"/>
      <c r="L40" s="548"/>
      <c r="M40" s="1297"/>
    </row>
    <row r="41" spans="1:13" ht="12.75" customHeight="1" x14ac:dyDescent="0.25">
      <c r="A41" s="252"/>
      <c r="B41" s="264">
        <f ca="1">'Base Réalisé'!D124</f>
        <v>0</v>
      </c>
      <c r="C41" s="322" t="s">
        <v>4</v>
      </c>
      <c r="D41" s="278">
        <f ca="1">IF(B41="","",'Base Réalisé'!$D$23)</f>
        <v>6</v>
      </c>
      <c r="E41" s="288">
        <f ca="1">IF(B41="","",B41*D41)</f>
        <v>0</v>
      </c>
      <c r="F41" s="1311"/>
      <c r="G41" s="1312"/>
      <c r="H41" s="1312"/>
      <c r="I41" s="1312"/>
      <c r="J41" s="1312"/>
      <c r="K41" s="1301"/>
      <c r="M41" s="1297"/>
    </row>
    <row r="42" spans="1:13" s="549" customFormat="1" ht="24" x14ac:dyDescent="0.2">
      <c r="A42" s="257"/>
      <c r="B42" s="268" t="s">
        <v>340</v>
      </c>
      <c r="C42" s="268"/>
      <c r="D42" s="283"/>
      <c r="E42" s="296">
        <f ca="1">SUM(E8:E41)</f>
        <v>4032.585</v>
      </c>
      <c r="F42" s="257"/>
      <c r="G42" s="1244" t="s">
        <v>341</v>
      </c>
      <c r="H42" s="1244"/>
      <c r="I42" s="1244"/>
      <c r="J42" s="1245"/>
      <c r="K42" s="296">
        <f ca="1">SUM(K8:K39)</f>
        <v>3930</v>
      </c>
      <c r="M42" s="1297"/>
    </row>
    <row r="43" spans="1:13" ht="12.75" customHeight="1" x14ac:dyDescent="0.25">
      <c r="A43" s="258" t="s">
        <v>342</v>
      </c>
      <c r="B43" s="1246" t="str">
        <f ca="1">IF(E43&gt;0,"Excédent","")</f>
        <v/>
      </c>
      <c r="C43" s="1246"/>
      <c r="D43" s="1247"/>
      <c r="E43" s="550">
        <f ca="1">IF(K42&gt;E42,K42-E42,0)</f>
        <v>0</v>
      </c>
      <c r="F43" s="258" t="s">
        <v>342</v>
      </c>
      <c r="G43" s="1248" t="str">
        <f ca="1">IF(K43&gt;0,"Déficit","")</f>
        <v>Déficit</v>
      </c>
      <c r="H43" s="1248"/>
      <c r="I43" s="1248"/>
      <c r="J43" s="1249"/>
      <c r="K43" s="550">
        <f ca="1">IF(E42&gt;K42,E42-K42,0)</f>
        <v>155.09285158265493</v>
      </c>
      <c r="M43" s="1297"/>
    </row>
    <row r="44" spans="1:13" ht="16.5" customHeight="1" thickBot="1" x14ac:dyDescent="0.3">
      <c r="A44" s="259"/>
      <c r="B44" s="1250" t="s">
        <v>343</v>
      </c>
      <c r="C44" s="1250"/>
      <c r="D44" s="1250"/>
      <c r="E44" s="298">
        <f ca="1">SUM(E42:E43)</f>
        <v>4085.0928515826549</v>
      </c>
      <c r="F44" s="311"/>
      <c r="G44" s="311"/>
      <c r="H44" s="311"/>
      <c r="I44" s="311"/>
      <c r="J44" s="311"/>
      <c r="K44" s="298">
        <f ca="1">SUM(K42:K43)</f>
        <v>4085.0928515826549</v>
      </c>
      <c r="M44" s="1297"/>
    </row>
    <row r="45" spans="1:13" ht="15.75" thickTop="1" x14ac:dyDescent="0.25">
      <c r="A45" s="260"/>
      <c r="B45" s="269"/>
      <c r="C45" s="275" t="str">
        <f ca="1">IF(E43&gt;0,"L'excédent est de :",IF(K43&gt;0,"Le déficit est de :",IF(E43=0,"Le bilan est équilibré")))</f>
        <v>Le déficit est de :</v>
      </c>
      <c r="D45" s="284"/>
      <c r="E45" s="551">
        <f ca="1">IF(E43&gt;0,E43,IF(K43&gt;0,K43,IF(E43=0,"")))</f>
        <v>155.09285158265493</v>
      </c>
      <c r="F45" s="312"/>
      <c r="G45" s="312" t="str">
        <f ca="1">IF(E45="","","Il est géré par :")</f>
        <v>Il est géré par :</v>
      </c>
      <c r="H45" s="1234" t="str">
        <f ca="1">IF(E45=0,"",Info!A37)</f>
        <v>CT 64</v>
      </c>
      <c r="I45" s="1234"/>
      <c r="J45" s="1234"/>
      <c r="K45" s="336"/>
      <c r="M45" s="1297"/>
    </row>
    <row r="46" spans="1:13" s="3" customFormat="1" ht="27" customHeight="1" x14ac:dyDescent="0.25">
      <c r="A46" s="302"/>
      <c r="B46" s="312" t="s">
        <v>577</v>
      </c>
      <c r="C46" s="312"/>
      <c r="D46" s="312"/>
      <c r="E46" s="552"/>
      <c r="F46" s="553"/>
      <c r="G46" s="554"/>
      <c r="H46" s="555"/>
      <c r="I46" s="1315">
        <f ca="1">'Base Réalisé'!G209</f>
        <v>588.33333333333337</v>
      </c>
      <c r="J46" s="1315"/>
      <c r="K46" s="1316"/>
      <c r="M46" s="1297"/>
    </row>
    <row r="47" spans="1:13" ht="27" customHeight="1" x14ac:dyDescent="0.25">
      <c r="A47" s="1237" t="s">
        <v>344</v>
      </c>
      <c r="B47" s="1238"/>
      <c r="C47" s="1313"/>
      <c r="D47" s="1313"/>
      <c r="E47" s="1313"/>
      <c r="F47" s="1313"/>
      <c r="G47" s="1313"/>
      <c r="H47" s="1313"/>
      <c r="I47" s="1313"/>
      <c r="J47" s="1313"/>
      <c r="K47" s="1314"/>
      <c r="M47" s="1297"/>
    </row>
  </sheetData>
  <sheetProtection sheet="1" objects="1" scenarios="1"/>
  <mergeCells count="44">
    <mergeCell ref="F40:J41"/>
    <mergeCell ref="A47:B47"/>
    <mergeCell ref="C47:K47"/>
    <mergeCell ref="G42:J42"/>
    <mergeCell ref="B43:D43"/>
    <mergeCell ref="G43:J43"/>
    <mergeCell ref="B44:D44"/>
    <mergeCell ref="H45:J45"/>
    <mergeCell ref="I46:K46"/>
    <mergeCell ref="G28:J29"/>
    <mergeCell ref="B29:D29"/>
    <mergeCell ref="B30:D30"/>
    <mergeCell ref="B32:D32"/>
    <mergeCell ref="B34:D34"/>
    <mergeCell ref="G34:J34"/>
    <mergeCell ref="N20:O20"/>
    <mergeCell ref="F8:F9"/>
    <mergeCell ref="G8:J9"/>
    <mergeCell ref="B9:D9"/>
    <mergeCell ref="B10:D10"/>
    <mergeCell ref="G11:J11"/>
    <mergeCell ref="B12:D12"/>
    <mergeCell ref="G12:J12"/>
    <mergeCell ref="B13:D13"/>
    <mergeCell ref="B15:D15"/>
    <mergeCell ref="B16:D16"/>
    <mergeCell ref="G16:J16"/>
    <mergeCell ref="B18:D18"/>
    <mergeCell ref="B1:K1"/>
    <mergeCell ref="M1:M47"/>
    <mergeCell ref="D3:E3"/>
    <mergeCell ref="F3:J3"/>
    <mergeCell ref="D4:E4"/>
    <mergeCell ref="F4:J4"/>
    <mergeCell ref="H5:J5"/>
    <mergeCell ref="A7:E7"/>
    <mergeCell ref="F7:K7"/>
    <mergeCell ref="B8:D8"/>
    <mergeCell ref="K40:K41"/>
    <mergeCell ref="G22:J22"/>
    <mergeCell ref="B24:D24"/>
    <mergeCell ref="B25:D25"/>
    <mergeCell ref="B26:D26"/>
    <mergeCell ref="B28:D2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46"/>
  <sheetViews>
    <sheetView workbookViewId="0">
      <selection activeCell="H21" sqref="H21"/>
    </sheetView>
  </sheetViews>
  <sheetFormatPr baseColWidth="10" defaultRowHeight="15" x14ac:dyDescent="0.25"/>
  <cols>
    <col min="1" max="1" width="5.42578125" customWidth="1"/>
    <col min="2" max="2" width="19.5703125" customWidth="1"/>
    <col min="3" max="3" width="20.85546875" customWidth="1"/>
    <col min="4" max="4" width="11.28515625" customWidth="1"/>
    <col min="5" max="5" width="12.7109375" customWidth="1"/>
    <col min="6" max="6" width="5.28515625" customWidth="1"/>
    <col min="7" max="7" width="12.42578125" customWidth="1"/>
    <col min="8" max="8" width="11.85546875" customWidth="1"/>
    <col min="9" max="10" width="10.5703125" customWidth="1"/>
    <col min="11" max="11" width="10.7109375" customWidth="1"/>
    <col min="12" max="12" width="3.28515625" customWidth="1"/>
    <col min="13" max="13" width="10" customWidth="1"/>
    <col min="14" max="14" width="13.42578125" customWidth="1"/>
  </cols>
  <sheetData>
    <row r="1" spans="1:16" s="3" customFormat="1" ht="24.75" customHeight="1" x14ac:dyDescent="0.25">
      <c r="A1" s="1319" t="s">
        <v>578</v>
      </c>
      <c r="B1" s="1319"/>
      <c r="C1" s="1319"/>
      <c r="D1" s="1319"/>
      <c r="E1" s="1319"/>
      <c r="F1" s="1319"/>
      <c r="G1" s="1319"/>
      <c r="H1" s="1319"/>
      <c r="L1" s="24"/>
      <c r="M1" s="24"/>
    </row>
    <row r="2" spans="1:16" s="3" customFormat="1" ht="24.75" customHeight="1" x14ac:dyDescent="0.25">
      <c r="A2" s="557"/>
      <c r="B2" s="557"/>
      <c r="C2" s="558"/>
      <c r="D2" s="558" t="s">
        <v>579</v>
      </c>
      <c r="E2" s="559" t="str">
        <f>'[3]2-Infos'!A38</f>
        <v>CT 64</v>
      </c>
      <c r="F2" s="560"/>
      <c r="G2" s="560"/>
      <c r="H2" s="560"/>
      <c r="I2" s="561"/>
      <c r="J2" s="561"/>
      <c r="L2" s="24"/>
      <c r="M2" s="24"/>
    </row>
    <row r="3" spans="1:16" ht="21" customHeight="1" x14ac:dyDescent="0.25">
      <c r="A3" s="1320" t="s">
        <v>580</v>
      </c>
      <c r="B3" s="1320"/>
      <c r="C3" s="1320"/>
      <c r="D3" s="1320"/>
      <c r="E3" s="1320"/>
      <c r="F3" s="1320"/>
      <c r="G3" s="1320"/>
      <c r="H3" s="1320"/>
      <c r="I3" s="562"/>
      <c r="J3" s="562"/>
      <c r="K3" s="562"/>
      <c r="L3" s="562"/>
      <c r="M3" s="562"/>
      <c r="N3" s="562"/>
    </row>
    <row r="4" spans="1:16" s="140" customFormat="1" ht="9" customHeight="1" thickBot="1" x14ac:dyDescent="0.3">
      <c r="A4" s="563"/>
      <c r="B4" s="563"/>
      <c r="C4" s="563"/>
      <c r="D4" s="563"/>
      <c r="E4" s="563"/>
      <c r="F4" s="563"/>
      <c r="G4" s="563"/>
      <c r="H4" s="563"/>
      <c r="I4" s="562"/>
      <c r="J4" s="562"/>
      <c r="K4" s="562"/>
      <c r="L4" s="562"/>
      <c r="M4" s="562"/>
      <c r="N4" s="562"/>
    </row>
    <row r="5" spans="1:16" s="140" customFormat="1" ht="19.5" customHeight="1" x14ac:dyDescent="0.25">
      <c r="A5" s="564"/>
      <c r="B5" s="565"/>
      <c r="C5" s="566"/>
      <c r="D5" s="1321" t="s">
        <v>581</v>
      </c>
      <c r="E5" s="1322"/>
      <c r="F5" s="566"/>
      <c r="G5" s="1321" t="s">
        <v>582</v>
      </c>
      <c r="H5" s="1322"/>
      <c r="I5" s="567"/>
      <c r="J5" s="567"/>
      <c r="K5" s="567"/>
      <c r="L5" s="567"/>
      <c r="M5" s="567"/>
      <c r="N5" s="567"/>
    </row>
    <row r="6" spans="1:16" s="572" customFormat="1" ht="15.75" customHeight="1" x14ac:dyDescent="0.25">
      <c r="A6" s="568"/>
      <c r="B6" s="569" t="s">
        <v>583</v>
      </c>
      <c r="C6" s="569"/>
      <c r="D6" s="570"/>
      <c r="E6" s="571"/>
      <c r="F6" s="569"/>
      <c r="G6" s="570"/>
      <c r="H6" s="571"/>
      <c r="I6" s="569"/>
      <c r="J6" s="569"/>
      <c r="K6" s="569"/>
      <c r="L6" s="569"/>
      <c r="M6" s="569"/>
      <c r="N6" s="569"/>
      <c r="O6" s="569"/>
      <c r="P6" s="569"/>
    </row>
    <row r="7" spans="1:16" s="572" customFormat="1" ht="15.75" customHeight="1" x14ac:dyDescent="0.25">
      <c r="A7" s="568"/>
      <c r="B7" s="157"/>
      <c r="C7" s="573" t="s">
        <v>584</v>
      </c>
      <c r="D7" s="574"/>
      <c r="E7" s="575">
        <f ca="1">'Base Previ'!G210</f>
        <v>3900</v>
      </c>
      <c r="F7" s="569"/>
      <c r="G7" s="574"/>
      <c r="H7" s="575">
        <f ca="1">'Base Réalisé'!D209</f>
        <v>3530</v>
      </c>
      <c r="I7" s="569"/>
      <c r="J7" s="569"/>
      <c r="K7" s="569"/>
      <c r="L7" s="569"/>
      <c r="M7" s="569"/>
      <c r="N7" s="569"/>
      <c r="O7" s="569"/>
      <c r="P7" s="569"/>
    </row>
    <row r="8" spans="1:16" s="572" customFormat="1" ht="15.75" customHeight="1" x14ac:dyDescent="0.25">
      <c r="A8" s="568"/>
      <c r="B8" s="77"/>
      <c r="C8" s="573" t="s">
        <v>265</v>
      </c>
      <c r="D8" s="574"/>
      <c r="E8" s="575">
        <f>'Base Previ'!D198</f>
        <v>0</v>
      </c>
      <c r="F8" s="569"/>
      <c r="G8" s="574"/>
      <c r="H8" s="575">
        <f>'Base Réalisé'!D181+'Base Réalisé'!D183+'Base Réalisé'!D185</f>
        <v>0</v>
      </c>
      <c r="I8" s="569"/>
      <c r="J8" s="569"/>
      <c r="K8" s="569"/>
      <c r="L8" s="569"/>
      <c r="M8" s="569"/>
      <c r="N8" s="569"/>
      <c r="O8" s="569"/>
      <c r="P8" s="569"/>
    </row>
    <row r="9" spans="1:16" s="572" customFormat="1" ht="15.75" customHeight="1" thickBot="1" x14ac:dyDescent="0.3">
      <c r="A9" s="568"/>
      <c r="B9" s="77"/>
      <c r="C9" s="573" t="s">
        <v>585</v>
      </c>
      <c r="D9" s="574"/>
      <c r="E9" s="576">
        <f>'Base Previ'!D153+'Base Previ'!D155+'Base Previ'!D157</f>
        <v>0</v>
      </c>
      <c r="F9" s="569"/>
      <c r="G9" s="574"/>
      <c r="H9" s="576">
        <f>'Base Réalisé'!D152+'Base Réalisé'!D154+'Base Réalisé'!D156</f>
        <v>0</v>
      </c>
      <c r="I9" s="569"/>
      <c r="J9" s="569"/>
      <c r="K9" s="569"/>
      <c r="L9" s="569"/>
      <c r="M9" s="569"/>
      <c r="N9" s="569"/>
      <c r="O9" s="569"/>
      <c r="P9" s="569"/>
    </row>
    <row r="10" spans="1:16" s="572" customFormat="1" ht="15.75" customHeight="1" thickBot="1" x14ac:dyDescent="0.3">
      <c r="A10" s="577"/>
      <c r="B10" s="1323" t="s">
        <v>586</v>
      </c>
      <c r="C10" s="1324"/>
      <c r="D10" s="578"/>
      <c r="E10" s="579">
        <f ca="1">SUM(E7:E9)</f>
        <v>3900</v>
      </c>
      <c r="F10" s="580"/>
      <c r="G10" s="578"/>
      <c r="H10" s="581">
        <f ca="1">SUM(H7:H9)</f>
        <v>3530</v>
      </c>
      <c r="I10" s="569"/>
      <c r="J10" s="569"/>
      <c r="K10" s="569"/>
      <c r="L10" s="569"/>
      <c r="M10" s="569"/>
      <c r="N10" s="569"/>
      <c r="O10" s="569"/>
      <c r="P10" s="569"/>
    </row>
    <row r="11" spans="1:16" s="572" customFormat="1" ht="15.75" customHeight="1" x14ac:dyDescent="0.25">
      <c r="A11" s="568"/>
      <c r="B11" s="77"/>
      <c r="C11" s="573" t="s">
        <v>323</v>
      </c>
      <c r="D11" s="574"/>
      <c r="E11" s="582">
        <f ca="1">'Base Previ'!D39</f>
        <v>900</v>
      </c>
      <c r="F11" s="569"/>
      <c r="G11" s="574"/>
      <c r="H11" s="582">
        <f ca="1">'Base Réalisé'!D39</f>
        <v>900</v>
      </c>
      <c r="I11" s="569"/>
      <c r="J11" s="569"/>
      <c r="K11" s="569"/>
      <c r="L11" s="569"/>
      <c r="M11" s="569"/>
      <c r="N11" s="569"/>
      <c r="O11" s="569"/>
      <c r="P11" s="569"/>
    </row>
    <row r="12" spans="1:16" s="572" customFormat="1" ht="15.75" customHeight="1" x14ac:dyDescent="0.25">
      <c r="A12" s="570"/>
      <c r="B12" s="1317" t="s">
        <v>587</v>
      </c>
      <c r="C12" s="1318"/>
      <c r="D12" s="574"/>
      <c r="E12" s="583">
        <f ca="1">SUM(E10:E11)</f>
        <v>4700</v>
      </c>
      <c r="F12" s="584"/>
      <c r="G12" s="574"/>
      <c r="H12" s="583">
        <f ca="1">SUM(H10:H11)</f>
        <v>4330</v>
      </c>
      <c r="I12" s="569"/>
      <c r="J12" s="569"/>
      <c r="K12" s="569"/>
      <c r="L12" s="569"/>
      <c r="M12" s="569"/>
      <c r="N12" s="569"/>
      <c r="O12" s="569"/>
      <c r="P12" s="569"/>
    </row>
    <row r="13" spans="1:16" s="572" customFormat="1" ht="6" customHeight="1" thickBot="1" x14ac:dyDescent="0.3">
      <c r="A13" s="585"/>
      <c r="B13" s="586"/>
      <c r="C13" s="586"/>
      <c r="D13" s="585"/>
      <c r="E13" s="587"/>
      <c r="F13" s="588"/>
      <c r="G13" s="585"/>
      <c r="H13" s="587"/>
      <c r="I13" s="569"/>
      <c r="J13" s="569"/>
      <c r="K13" s="569"/>
      <c r="L13" s="569"/>
      <c r="M13" s="569"/>
      <c r="N13" s="569"/>
      <c r="O13" s="569"/>
      <c r="P13" s="569"/>
    </row>
    <row r="14" spans="1:16" s="572" customFormat="1" ht="15.75" customHeight="1" x14ac:dyDescent="0.25">
      <c r="A14" s="568"/>
      <c r="B14" s="569" t="s">
        <v>588</v>
      </c>
      <c r="C14" s="569"/>
      <c r="D14" s="570"/>
      <c r="E14" s="571"/>
      <c r="F14" s="569"/>
      <c r="G14" s="570"/>
      <c r="H14" s="571"/>
      <c r="I14" s="569"/>
      <c r="J14" s="569"/>
      <c r="K14" s="569"/>
      <c r="L14" s="569"/>
      <c r="M14" s="569"/>
      <c r="N14" s="569"/>
      <c r="O14" s="569"/>
      <c r="P14" s="569"/>
    </row>
    <row r="15" spans="1:16" s="572" customFormat="1" ht="15.75" customHeight="1" x14ac:dyDescent="0.25">
      <c r="A15" s="568"/>
      <c r="B15" s="77"/>
      <c r="C15" s="573" t="s">
        <v>589</v>
      </c>
      <c r="D15" s="589"/>
      <c r="E15" s="590">
        <f>SUM(D16:D20)</f>
        <v>0</v>
      </c>
      <c r="F15" s="569"/>
      <c r="G15" s="589"/>
      <c r="H15" s="590">
        <f ca="1">SUM(G16:G20)</f>
        <v>0</v>
      </c>
      <c r="I15" s="569"/>
      <c r="J15" s="569"/>
      <c r="K15" s="569"/>
      <c r="L15" s="569"/>
      <c r="M15" s="569"/>
      <c r="N15" s="569"/>
      <c r="O15" s="569"/>
      <c r="P15" s="569"/>
    </row>
    <row r="16" spans="1:16" s="572" customFormat="1" ht="15.75" customHeight="1" x14ac:dyDescent="0.25">
      <c r="A16" s="591" t="s">
        <v>590</v>
      </c>
      <c r="B16" s="592" t="s">
        <v>208</v>
      </c>
      <c r="C16" s="569"/>
      <c r="D16" s="593">
        <f>'Base Previ'!D66</f>
        <v>0</v>
      </c>
      <c r="E16" s="571"/>
      <c r="F16" s="569"/>
      <c r="G16" s="593">
        <f>'Base Réalisé'!D65</f>
        <v>0</v>
      </c>
      <c r="H16" s="571"/>
      <c r="I16" s="569"/>
      <c r="J16" s="569"/>
      <c r="K16" s="569"/>
      <c r="L16" s="569"/>
      <c r="M16" s="569"/>
      <c r="N16" s="569"/>
      <c r="O16" s="569"/>
      <c r="P16" s="569"/>
    </row>
    <row r="17" spans="1:16" s="572" customFormat="1" ht="15.75" customHeight="1" x14ac:dyDescent="0.25">
      <c r="A17" s="594"/>
      <c r="B17" s="592" t="s">
        <v>209</v>
      </c>
      <c r="C17" s="569"/>
      <c r="D17" s="593">
        <f>'Base Previ'!D67</f>
        <v>0</v>
      </c>
      <c r="E17" s="571"/>
      <c r="F17" s="569"/>
      <c r="G17" s="593">
        <f>'Base Réalisé'!D66</f>
        <v>0</v>
      </c>
      <c r="H17" s="571"/>
      <c r="I17" s="569"/>
      <c r="J17" s="569"/>
      <c r="K17" s="569"/>
      <c r="L17" s="569"/>
      <c r="M17" s="569"/>
      <c r="N17" s="569"/>
      <c r="O17" s="569"/>
      <c r="P17" s="569"/>
    </row>
    <row r="18" spans="1:16" s="572" customFormat="1" ht="15.75" customHeight="1" x14ac:dyDescent="0.25">
      <c r="A18" s="594"/>
      <c r="B18" s="592" t="s">
        <v>210</v>
      </c>
      <c r="C18" s="569"/>
      <c r="D18" s="593">
        <f>'Base Previ'!D68</f>
        <v>0</v>
      </c>
      <c r="E18" s="571"/>
      <c r="F18" s="569"/>
      <c r="G18" s="593">
        <f>'Base Réalisé'!D67</f>
        <v>0</v>
      </c>
      <c r="H18" s="571"/>
      <c r="I18" s="569"/>
      <c r="J18" s="569"/>
      <c r="K18" s="569"/>
      <c r="L18" s="569"/>
      <c r="M18" s="569"/>
      <c r="N18" s="569"/>
      <c r="O18" s="569"/>
      <c r="P18" s="569"/>
    </row>
    <row r="19" spans="1:16" s="572" customFormat="1" ht="15.75" customHeight="1" x14ac:dyDescent="0.25">
      <c r="A19" s="594"/>
      <c r="B19" s="594" t="s">
        <v>591</v>
      </c>
      <c r="C19" s="569"/>
      <c r="D19" s="593">
        <f>'Base Previ'!D92</f>
        <v>0</v>
      </c>
      <c r="E19" s="571"/>
      <c r="F19" s="569"/>
      <c r="G19" s="593">
        <f>'Base Réalisé'!D91</f>
        <v>0</v>
      </c>
      <c r="H19" s="571"/>
      <c r="I19" s="569"/>
      <c r="J19" s="569"/>
      <c r="K19" s="569"/>
      <c r="L19" s="569"/>
      <c r="M19" s="569"/>
      <c r="N19" s="569"/>
      <c r="O19" s="569"/>
      <c r="P19" s="569"/>
    </row>
    <row r="20" spans="1:16" s="572" customFormat="1" ht="15.75" customHeight="1" x14ac:dyDescent="0.25">
      <c r="A20" s="594"/>
      <c r="B20" s="594" t="s">
        <v>592</v>
      </c>
      <c r="C20" s="569"/>
      <c r="D20" s="593">
        <f>'[3]4-BASES PREVI'!D105</f>
        <v>0</v>
      </c>
      <c r="E20" s="571"/>
      <c r="F20" s="569"/>
      <c r="G20" s="593">
        <f ca="1">'Base Réalisé'!D96</f>
        <v>0</v>
      </c>
      <c r="H20" s="571"/>
      <c r="I20" s="569"/>
      <c r="J20" s="569"/>
      <c r="K20" s="569"/>
      <c r="L20" s="569"/>
      <c r="M20" s="569"/>
      <c r="N20" s="569"/>
      <c r="O20" s="569"/>
      <c r="P20" s="569"/>
    </row>
    <row r="21" spans="1:16" s="572" customFormat="1" ht="15.75" customHeight="1" x14ac:dyDescent="0.25">
      <c r="A21" s="594"/>
      <c r="B21" s="594"/>
      <c r="C21" s="573" t="s">
        <v>319</v>
      </c>
      <c r="D21" s="595"/>
      <c r="E21" s="590">
        <f ca="1">SUM(D22:D23)</f>
        <v>1510</v>
      </c>
      <c r="F21" s="569"/>
      <c r="G21" s="595"/>
      <c r="H21" s="590">
        <f ca="1">SUM(G22:G23)</f>
        <v>1960</v>
      </c>
      <c r="I21" s="569"/>
      <c r="J21" s="569"/>
      <c r="K21" s="569"/>
      <c r="L21" s="569"/>
      <c r="M21" s="569"/>
      <c r="N21" s="569"/>
      <c r="O21" s="569"/>
      <c r="P21" s="569"/>
    </row>
    <row r="22" spans="1:16" s="572" customFormat="1" ht="15.75" customHeight="1" x14ac:dyDescent="0.25">
      <c r="A22" s="591" t="s">
        <v>590</v>
      </c>
      <c r="B22" s="592" t="s">
        <v>593</v>
      </c>
      <c r="C22" s="569"/>
      <c r="D22" s="593">
        <f>'Base Previ'!D50</f>
        <v>1400</v>
      </c>
      <c r="E22" s="571"/>
      <c r="F22" s="569"/>
      <c r="G22" s="593">
        <f>'Base Réalisé'!D50</f>
        <v>1680</v>
      </c>
      <c r="H22" s="571"/>
      <c r="I22" s="569"/>
      <c r="J22" s="569"/>
      <c r="K22" s="569"/>
      <c r="L22" s="569"/>
      <c r="M22" s="569"/>
      <c r="N22" s="569"/>
      <c r="O22" s="569"/>
      <c r="P22" s="569"/>
    </row>
    <row r="23" spans="1:16" s="572" customFormat="1" ht="15.75" customHeight="1" x14ac:dyDescent="0.25">
      <c r="A23" s="594"/>
      <c r="B23" s="592" t="s">
        <v>594</v>
      </c>
      <c r="C23" s="569"/>
      <c r="D23" s="593">
        <f ca="1">'Base Previ'!D52</f>
        <v>280</v>
      </c>
      <c r="E23" s="571"/>
      <c r="F23" s="569"/>
      <c r="G23" s="593">
        <f ca="1">'Base Réalisé'!D52</f>
        <v>280</v>
      </c>
      <c r="H23" s="571"/>
      <c r="I23" s="569"/>
      <c r="J23" s="569"/>
      <c r="K23" s="569"/>
      <c r="L23" s="569"/>
      <c r="M23" s="569"/>
      <c r="N23" s="569"/>
      <c r="O23" s="569"/>
      <c r="P23" s="569"/>
    </row>
    <row r="24" spans="1:16" s="572" customFormat="1" ht="15.75" customHeight="1" x14ac:dyDescent="0.25">
      <c r="A24" s="568"/>
      <c r="B24" s="77"/>
      <c r="C24" s="573" t="s">
        <v>218</v>
      </c>
      <c r="D24" s="595"/>
      <c r="E24" s="590">
        <f>SUM(D25:D26)</f>
        <v>0</v>
      </c>
      <c r="F24" s="569"/>
      <c r="G24" s="595"/>
      <c r="H24" s="590">
        <f>SUM(G25:G26)</f>
        <v>0</v>
      </c>
      <c r="I24" s="569"/>
      <c r="J24" s="569"/>
      <c r="K24" s="569"/>
      <c r="L24" s="569"/>
      <c r="M24" s="569"/>
      <c r="N24" s="569"/>
      <c r="O24" s="569"/>
      <c r="P24" s="569"/>
    </row>
    <row r="25" spans="1:16" s="572" customFormat="1" ht="15.75" customHeight="1" x14ac:dyDescent="0.2">
      <c r="A25" s="591" t="s">
        <v>590</v>
      </c>
      <c r="B25" s="596" t="s">
        <v>553</v>
      </c>
      <c r="C25" s="569"/>
      <c r="D25" s="593">
        <f>'Base Previ'!D81</f>
        <v>0</v>
      </c>
      <c r="E25" s="571"/>
      <c r="F25" s="569"/>
      <c r="G25" s="593">
        <f>'Base Réalisé'!D80</f>
        <v>0</v>
      </c>
      <c r="H25" s="571"/>
      <c r="I25" s="569"/>
      <c r="J25" s="569"/>
      <c r="K25" s="569"/>
      <c r="L25" s="569"/>
      <c r="M25" s="569"/>
      <c r="N25" s="569"/>
      <c r="O25" s="569"/>
      <c r="P25" s="569"/>
    </row>
    <row r="26" spans="1:16" s="572" customFormat="1" ht="15.75" customHeight="1" x14ac:dyDescent="0.2">
      <c r="A26" s="568"/>
      <c r="B26" s="596" t="s">
        <v>554</v>
      </c>
      <c r="C26" s="569"/>
      <c r="D26" s="593">
        <f>'Base Previ'!D82</f>
        <v>0</v>
      </c>
      <c r="E26" s="571"/>
      <c r="F26" s="569"/>
      <c r="G26" s="593">
        <f>'Base Réalisé'!D81</f>
        <v>0</v>
      </c>
      <c r="H26" s="571"/>
      <c r="I26" s="569"/>
      <c r="J26" s="569"/>
      <c r="K26" s="569"/>
      <c r="L26" s="569"/>
      <c r="M26" s="569"/>
      <c r="N26" s="569"/>
      <c r="O26" s="569"/>
      <c r="P26" s="569"/>
    </row>
    <row r="27" spans="1:16" s="572" customFormat="1" ht="15.75" customHeight="1" x14ac:dyDescent="0.25">
      <c r="A27" s="568"/>
      <c r="B27" s="77"/>
      <c r="C27" s="573" t="s">
        <v>595</v>
      </c>
      <c r="D27" s="574"/>
      <c r="E27" s="590">
        <f ca="1">IF('Base Previ'!D37="","",'Base Previ'!D37)</f>
        <v>0</v>
      </c>
      <c r="F27" s="569"/>
      <c r="G27" s="574"/>
      <c r="H27" s="590">
        <f ca="1">IF('Base Réalisé'!D37="","",'Base Réalisé'!D37)</f>
        <v>0</v>
      </c>
      <c r="I27" s="569"/>
      <c r="J27" s="569"/>
      <c r="K27" s="569"/>
      <c r="L27" s="569"/>
      <c r="M27" s="569"/>
      <c r="N27" s="569"/>
      <c r="O27" s="569"/>
      <c r="P27" s="569"/>
    </row>
    <row r="28" spans="1:16" s="569" customFormat="1" ht="15.75" customHeight="1" x14ac:dyDescent="0.25">
      <c r="A28" s="591" t="str">
        <f ca="1">IF(B28="","","dont :")</f>
        <v/>
      </c>
      <c r="B28" s="592" t="str">
        <f ca="1">IF(OR(E2="CD 64",D28=0),"","Formateurs CD 64")</f>
        <v/>
      </c>
      <c r="C28" s="573"/>
      <c r="D28" s="593">
        <f ca="1">'Base Previ'!D37</f>
        <v>0</v>
      </c>
      <c r="E28" s="597"/>
      <c r="G28" s="593">
        <f ca="1">'Base Réalisé'!D37</f>
        <v>0</v>
      </c>
      <c r="H28" s="597"/>
    </row>
    <row r="29" spans="1:16" s="569" customFormat="1" ht="15.75" customHeight="1" x14ac:dyDescent="0.25">
      <c r="A29" s="568"/>
      <c r="B29" s="77"/>
      <c r="C29" s="573" t="s">
        <v>321</v>
      </c>
      <c r="D29" s="570"/>
      <c r="E29" s="590">
        <f>'Base Previ'!D62</f>
        <v>1137.9000000000001</v>
      </c>
      <c r="G29" s="570"/>
      <c r="H29" s="590">
        <f>'Base Réalisé'!D61</f>
        <v>1137.9000000000001</v>
      </c>
    </row>
    <row r="30" spans="1:16" s="569" customFormat="1" ht="15.75" customHeight="1" x14ac:dyDescent="0.25">
      <c r="A30" s="568"/>
      <c r="B30" s="77"/>
      <c r="C30" s="573" t="s">
        <v>596</v>
      </c>
      <c r="D30" s="570"/>
      <c r="E30" s="590">
        <f ca="1">SUM(D31:D32)</f>
        <v>0</v>
      </c>
      <c r="G30" s="570"/>
      <c r="H30" s="590">
        <f ca="1">SUM(G31:G32)</f>
        <v>0</v>
      </c>
    </row>
    <row r="31" spans="1:16" s="569" customFormat="1" ht="15.75" customHeight="1" x14ac:dyDescent="0.25">
      <c r="A31" s="591" t="s">
        <v>597</v>
      </c>
      <c r="B31" s="594" t="s">
        <v>598</v>
      </c>
      <c r="D31" s="593">
        <f ca="1">'Base Previ'!D125</f>
        <v>0</v>
      </c>
      <c r="E31" s="571"/>
      <c r="G31" s="593">
        <f ca="1">'Base Réalisé'!D124</f>
        <v>0</v>
      </c>
      <c r="H31" s="571"/>
    </row>
    <row r="32" spans="1:16" s="569" customFormat="1" ht="15.75" customHeight="1" x14ac:dyDescent="0.25">
      <c r="A32" s="594"/>
      <c r="B32" s="594" t="s">
        <v>304</v>
      </c>
      <c r="D32" s="593">
        <f>'Base Previ'!D132</f>
        <v>0</v>
      </c>
      <c r="E32" s="571"/>
      <c r="G32" s="593">
        <f>'Base Réalisé'!D131</f>
        <v>0</v>
      </c>
      <c r="H32" s="571"/>
    </row>
    <row r="33" spans="1:8" s="569" customFormat="1" ht="15.75" customHeight="1" x14ac:dyDescent="0.25">
      <c r="A33" s="570"/>
      <c r="B33" s="1325" t="s">
        <v>599</v>
      </c>
      <c r="C33" s="1326"/>
      <c r="D33" s="570"/>
      <c r="E33" s="598">
        <f ca="1">SUM(E15:E32)</f>
        <v>2997.9</v>
      </c>
      <c r="G33" s="570"/>
      <c r="H33" s="598">
        <f ca="1">SUM(H15:H32)</f>
        <v>3097.9</v>
      </c>
    </row>
    <row r="34" spans="1:8" s="569" customFormat="1" ht="6.75" customHeight="1" thickBot="1" x14ac:dyDescent="0.3">
      <c r="A34" s="585"/>
      <c r="B34" s="599"/>
      <c r="C34" s="599"/>
      <c r="D34" s="585"/>
      <c r="E34" s="600"/>
      <c r="F34" s="588"/>
      <c r="G34" s="585"/>
      <c r="H34" s="600"/>
    </row>
    <row r="35" spans="1:8" s="569" customFormat="1" ht="7.5" customHeight="1" x14ac:dyDescent="0.25">
      <c r="A35" s="568"/>
      <c r="B35" s="601"/>
      <c r="C35" s="601"/>
      <c r="D35" s="570"/>
      <c r="E35" s="602"/>
      <c r="G35" s="570"/>
      <c r="H35" s="602"/>
    </row>
    <row r="36" spans="1:8" s="569" customFormat="1" ht="15.75" customHeight="1" x14ac:dyDescent="0.25">
      <c r="A36" s="568"/>
      <c r="B36" s="1327" t="s">
        <v>600</v>
      </c>
      <c r="C36" s="1328"/>
      <c r="D36" s="570"/>
      <c r="E36" s="603">
        <f ca="1">E12-E33</f>
        <v>1702.1</v>
      </c>
      <c r="G36" s="570"/>
      <c r="H36" s="603">
        <f ca="1">H12-H33</f>
        <v>882.09999999999991</v>
      </c>
    </row>
    <row r="37" spans="1:8" s="569" customFormat="1" ht="15.75" customHeight="1" thickBot="1" x14ac:dyDescent="0.3">
      <c r="A37" s="568"/>
      <c r="B37" s="77"/>
      <c r="C37" s="573" t="s">
        <v>601</v>
      </c>
      <c r="D37" s="570"/>
      <c r="E37" s="604">
        <f ca="1">'Base Previ'!D39</f>
        <v>900</v>
      </c>
      <c r="G37" s="570"/>
      <c r="H37" s="604">
        <f ca="1">'Base Réalisé'!D39</f>
        <v>900</v>
      </c>
    </row>
    <row r="38" spans="1:8" s="569" customFormat="1" ht="18.75" customHeight="1" thickBot="1" x14ac:dyDescent="0.3">
      <c r="A38" s="568"/>
      <c r="B38" s="1329" t="s">
        <v>602</v>
      </c>
      <c r="C38" s="1330"/>
      <c r="D38" s="605"/>
      <c r="E38" s="606">
        <f ca="1">E36-E37</f>
        <v>902.09999999999991</v>
      </c>
      <c r="F38" s="607"/>
      <c r="G38" s="605"/>
      <c r="H38" s="608">
        <f ca="1">H36-H37</f>
        <v>82.099999999999909</v>
      </c>
    </row>
    <row r="39" spans="1:8" s="569" customFormat="1" ht="15.75" customHeight="1" x14ac:dyDescent="0.25">
      <c r="A39" s="568"/>
      <c r="B39" s="77"/>
      <c r="C39" s="573" t="str">
        <f>IF(E2="CD 64","Encadrement technique interne CD 64","")</f>
        <v/>
      </c>
      <c r="D39" s="570"/>
      <c r="E39" s="609" t="str">
        <f>IF(E2="CD 64",'[3]4-BASES PREVI'!H29,"")</f>
        <v/>
      </c>
      <c r="G39" s="570"/>
      <c r="H39" s="609" t="str">
        <f>IF(E2="CD 64",'[3]18-REALISE'!H29,"")</f>
        <v/>
      </c>
    </row>
    <row r="40" spans="1:8" s="569" customFormat="1" ht="15.75" customHeight="1" x14ac:dyDescent="0.25">
      <c r="A40" s="568"/>
      <c r="B40" s="1331" t="s">
        <v>603</v>
      </c>
      <c r="C40" s="1332"/>
      <c r="D40" s="570"/>
      <c r="E40" s="610">
        <f ca="1">IF(E39="",E38,E38-E39)</f>
        <v>902.09999999999991</v>
      </c>
      <c r="G40" s="570"/>
      <c r="H40" s="610">
        <f ca="1">IF(H39="",H38,H38-H39)</f>
        <v>82.099999999999909</v>
      </c>
    </row>
    <row r="41" spans="1:8" s="569" customFormat="1" ht="15.75" customHeight="1" x14ac:dyDescent="0.25">
      <c r="A41" s="568"/>
      <c r="C41" s="573" t="s">
        <v>242</v>
      </c>
      <c r="D41" s="570"/>
      <c r="E41" s="611">
        <f>'Base Previ'!D105</f>
        <v>200</v>
      </c>
      <c r="G41" s="570"/>
      <c r="H41" s="611">
        <f>'Base Réalisé'!D115</f>
        <v>0</v>
      </c>
    </row>
    <row r="42" spans="1:8" s="569" customFormat="1" ht="15.75" customHeight="1" x14ac:dyDescent="0.25">
      <c r="A42" s="568"/>
      <c r="C42" s="573" t="s">
        <v>604</v>
      </c>
      <c r="D42" s="570"/>
      <c r="E42" s="611">
        <f>'Base Previ'!D77</f>
        <v>0</v>
      </c>
      <c r="G42" s="570"/>
      <c r="H42" s="611">
        <f>'Base Réalisé'!D76</f>
        <v>0</v>
      </c>
    </row>
    <row r="43" spans="1:8" s="569" customFormat="1" ht="15.75" customHeight="1" x14ac:dyDescent="0.25">
      <c r="A43" s="568"/>
      <c r="B43" s="1333" t="s">
        <v>605</v>
      </c>
      <c r="C43" s="1334"/>
      <c r="D43" s="570"/>
      <c r="E43" s="603">
        <f ca="1">E40-E41-E42</f>
        <v>702.09999999999991</v>
      </c>
      <c r="G43" s="570"/>
      <c r="H43" s="603">
        <f ca="1">H40-H41-H42</f>
        <v>82.099999999999909</v>
      </c>
    </row>
    <row r="44" spans="1:8" s="569" customFormat="1" ht="15.75" customHeight="1" x14ac:dyDescent="0.25">
      <c r="A44" s="568"/>
      <c r="B44" s="77"/>
      <c r="C44" s="573" t="s">
        <v>235</v>
      </c>
      <c r="D44" s="570"/>
      <c r="E44" s="611">
        <f ca="1">'Base Previ'!D109</f>
        <v>98.39500000000001</v>
      </c>
      <c r="G44" s="570"/>
      <c r="H44" s="611">
        <f>'Base Réalisé'!D104</f>
        <v>280</v>
      </c>
    </row>
    <row r="45" spans="1:8" s="569" customFormat="1" ht="15.75" customHeight="1" x14ac:dyDescent="0.25">
      <c r="A45" s="591"/>
      <c r="B45" s="77"/>
      <c r="C45" s="573" t="s">
        <v>606</v>
      </c>
      <c r="D45" s="570"/>
      <c r="E45" s="611">
        <f>'Base Previ'!D116</f>
        <v>0</v>
      </c>
      <c r="G45" s="570"/>
      <c r="H45" s="611">
        <f ca="1">'Base Réalisé'!D108</f>
        <v>254.685</v>
      </c>
    </row>
    <row r="46" spans="1:8" s="569" customFormat="1" ht="15.75" customHeight="1" thickBot="1" x14ac:dyDescent="0.3">
      <c r="A46" s="568"/>
      <c r="B46" s="612"/>
      <c r="C46" s="613" t="s">
        <v>607</v>
      </c>
      <c r="D46" s="614" t="str">
        <f ca="1">IF(E46&lt;0,"Négatif","Positif")</f>
        <v>Positif</v>
      </c>
      <c r="E46" s="615">
        <f ca="1">E43-(E44+E45)</f>
        <v>603.70499999999993</v>
      </c>
      <c r="G46" s="614" t="str">
        <f ca="1">IF(H46&lt;0,"Négatif","Positif")</f>
        <v>Négatif</v>
      </c>
      <c r="H46" s="615">
        <f ca="1">H43-(H44+H45)</f>
        <v>-505.08500000000004</v>
      </c>
    </row>
  </sheetData>
  <sheetProtection sheet="1" objects="1" scenarios="1"/>
  <mergeCells count="11">
    <mergeCell ref="B33:C33"/>
    <mergeCell ref="B36:C36"/>
    <mergeCell ref="B38:C38"/>
    <mergeCell ref="B40:C40"/>
    <mergeCell ref="B43:C43"/>
    <mergeCell ref="B12:C12"/>
    <mergeCell ref="A1:H1"/>
    <mergeCell ref="A3:H3"/>
    <mergeCell ref="D5:E5"/>
    <mergeCell ref="G5:H5"/>
    <mergeCell ref="B10:C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K47"/>
  <sheetViews>
    <sheetView topLeftCell="A16" workbookViewId="0">
      <selection activeCell="E27" sqref="E27"/>
    </sheetView>
  </sheetViews>
  <sheetFormatPr baseColWidth="10" defaultRowHeight="15" x14ac:dyDescent="0.25"/>
  <sheetData>
    <row r="1" spans="1:11" ht="20.25" x14ac:dyDescent="0.25">
      <c r="A1" s="344" t="s">
        <v>362</v>
      </c>
      <c r="B1" s="344"/>
      <c r="C1" s="344"/>
      <c r="D1" s="344"/>
      <c r="E1" s="344" t="str">
        <f>'Base Previ'!C10</f>
        <v>Montagne et Escalade</v>
      </c>
      <c r="F1" s="344"/>
      <c r="G1" s="344"/>
      <c r="H1" s="344"/>
      <c r="I1" s="344"/>
      <c r="J1" s="344"/>
      <c r="K1" s="345"/>
    </row>
    <row r="2" spans="1:11" x14ac:dyDescent="0.25">
      <c r="A2" s="252"/>
      <c r="B2" s="263"/>
      <c r="C2" s="263"/>
      <c r="D2" s="263"/>
      <c r="E2" s="286"/>
      <c r="F2" s="252"/>
      <c r="G2" s="263"/>
      <c r="H2" s="263"/>
      <c r="I2" s="263"/>
      <c r="J2" s="263"/>
      <c r="K2" s="286"/>
    </row>
    <row r="3" spans="1:11" ht="15.75" x14ac:dyDescent="0.25">
      <c r="A3" s="252"/>
      <c r="B3" s="263"/>
      <c r="C3" s="263"/>
      <c r="D3" s="1219" t="str">
        <f>Info!C9</f>
        <v>Perfectionnement</v>
      </c>
      <c r="E3" s="1220"/>
      <c r="F3" s="1220" t="str">
        <f>Info!C13</f>
        <v>Alpinisme</v>
      </c>
      <c r="G3" s="1220"/>
      <c r="H3" s="1220"/>
      <c r="I3" s="1220"/>
      <c r="J3" s="1220"/>
      <c r="K3" s="329" t="str">
        <f>IF('[2]2-Infos'!B35="","",'[2]2-Infos'!B35)</f>
        <v/>
      </c>
    </row>
    <row r="4" spans="1:11" x14ac:dyDescent="0.25">
      <c r="A4" s="252"/>
      <c r="B4" s="263"/>
      <c r="C4" s="263"/>
      <c r="D4" s="1221" t="str">
        <f>'[2]2-Infos'!G17</f>
        <v>Niveau visé</v>
      </c>
      <c r="E4" s="1222"/>
      <c r="F4" s="1222" t="str">
        <f>Info!C17</f>
        <v>Niveau 2</v>
      </c>
      <c r="G4" s="1222"/>
      <c r="H4" s="1222"/>
      <c r="I4" s="1222"/>
      <c r="J4" s="1222"/>
      <c r="K4" s="330" t="str">
        <f>Info!B36</f>
        <v>Comité Territorial</v>
      </c>
    </row>
    <row r="5" spans="1:11" ht="15.75" x14ac:dyDescent="0.25">
      <c r="A5" s="252"/>
      <c r="B5" s="263"/>
      <c r="C5" s="272"/>
      <c r="D5" s="1111" t="s">
        <v>294</v>
      </c>
      <c r="E5" s="1111">
        <f>Info!B34</f>
        <v>1946</v>
      </c>
      <c r="F5" s="301"/>
      <c r="G5" s="315" t="s">
        <v>295</v>
      </c>
      <c r="H5" s="1223">
        <f>Info!B41</f>
        <v>44576</v>
      </c>
      <c r="I5" s="1223"/>
      <c r="J5" s="1224"/>
      <c r="K5" s="330"/>
    </row>
    <row r="6" spans="1:11" x14ac:dyDescent="0.25">
      <c r="A6" s="252"/>
      <c r="B6" s="263"/>
      <c r="C6" s="263"/>
      <c r="D6" s="263"/>
      <c r="E6" s="286"/>
      <c r="F6" s="252"/>
      <c r="G6" s="263"/>
      <c r="H6" s="263"/>
      <c r="I6" s="263"/>
      <c r="J6" s="263"/>
      <c r="K6" s="286"/>
    </row>
    <row r="7" spans="1:11" ht="15.75" x14ac:dyDescent="0.25">
      <c r="A7" s="1209" t="s">
        <v>296</v>
      </c>
      <c r="B7" s="1210"/>
      <c r="C7" s="1210"/>
      <c r="D7" s="1210"/>
      <c r="E7" s="1211"/>
      <c r="F7" s="1209" t="s">
        <v>297</v>
      </c>
      <c r="G7" s="1210"/>
      <c r="H7" s="1210"/>
      <c r="I7" s="1210"/>
      <c r="J7" s="1210"/>
      <c r="K7" s="1211"/>
    </row>
    <row r="8" spans="1:11" x14ac:dyDescent="0.25">
      <c r="A8" s="253" t="s">
        <v>298</v>
      </c>
      <c r="B8" s="1203" t="s">
        <v>238</v>
      </c>
      <c r="C8" s="1203"/>
      <c r="D8" s="1204"/>
      <c r="E8" s="287"/>
      <c r="F8" s="1212" t="s">
        <v>298</v>
      </c>
      <c r="G8" s="1203" t="s">
        <v>347</v>
      </c>
      <c r="H8" s="1214"/>
      <c r="I8" s="1214"/>
      <c r="J8" s="1215"/>
      <c r="K8" s="331"/>
    </row>
    <row r="9" spans="1:11" x14ac:dyDescent="0.25">
      <c r="A9" s="254" t="s">
        <v>299</v>
      </c>
      <c r="B9" s="1207" t="s">
        <v>345</v>
      </c>
      <c r="C9" s="1207"/>
      <c r="D9" s="1208"/>
      <c r="E9" s="288">
        <f ca="1">'Base Previ'!D109</f>
        <v>98.39500000000001</v>
      </c>
      <c r="F9" s="1213"/>
      <c r="G9" s="1216"/>
      <c r="H9" s="1217"/>
      <c r="I9" s="1217"/>
      <c r="J9" s="1218"/>
      <c r="K9" s="332"/>
    </row>
    <row r="10" spans="1:11" x14ac:dyDescent="0.25">
      <c r="A10" s="254" t="s">
        <v>299</v>
      </c>
      <c r="B10" s="1202" t="s">
        <v>300</v>
      </c>
      <c r="C10" s="1202"/>
      <c r="D10" s="1202"/>
      <c r="E10" s="288">
        <f>'Base Previ'!D105</f>
        <v>200</v>
      </c>
      <c r="F10" s="302"/>
      <c r="G10" s="265">
        <v>650</v>
      </c>
      <c r="H10" s="273" t="s">
        <v>4</v>
      </c>
      <c r="I10" s="323">
        <v>5</v>
      </c>
      <c r="J10" s="325"/>
      <c r="K10" s="288">
        <f>G10*I10</f>
        <v>3250</v>
      </c>
    </row>
    <row r="11" spans="1:11" x14ac:dyDescent="0.25">
      <c r="A11" s="254" t="s">
        <v>299</v>
      </c>
      <c r="B11" s="1112" t="s">
        <v>218</v>
      </c>
      <c r="C11" s="1112"/>
      <c r="D11" s="1113"/>
      <c r="E11" s="288">
        <f>'Base Previ'!D84</f>
        <v>0</v>
      </c>
      <c r="F11" s="253" t="s">
        <v>301</v>
      </c>
      <c r="G11" s="1203" t="s">
        <v>302</v>
      </c>
      <c r="H11" s="1203"/>
      <c r="I11" s="1203"/>
      <c r="J11" s="1204"/>
      <c r="K11" s="295"/>
    </row>
    <row r="12" spans="1:11" x14ac:dyDescent="0.25">
      <c r="A12" s="254" t="s">
        <v>299</v>
      </c>
      <c r="B12" s="1205" t="s">
        <v>303</v>
      </c>
      <c r="C12" s="1205"/>
      <c r="D12" s="1206"/>
      <c r="E12" s="289">
        <v>200</v>
      </c>
      <c r="F12" s="254" t="s">
        <v>299</v>
      </c>
      <c r="G12" s="1207" t="s">
        <v>304</v>
      </c>
      <c r="H12" s="1207"/>
      <c r="I12" s="1207"/>
      <c r="J12" s="1208"/>
      <c r="K12" s="288" t="str">
        <f>IF('Base Previ'!D151=0,"",'Base Previ'!D151)</f>
        <v/>
      </c>
    </row>
    <row r="13" spans="1:11" x14ac:dyDescent="0.25">
      <c r="A13" s="254" t="s">
        <v>299</v>
      </c>
      <c r="B13" s="1205" t="s">
        <v>305</v>
      </c>
      <c r="C13" s="1205"/>
      <c r="D13" s="1206"/>
      <c r="E13" s="289">
        <f>'Base Previ'!D70</f>
        <v>0</v>
      </c>
      <c r="F13" s="254"/>
      <c r="G13" s="1108" t="s">
        <v>306</v>
      </c>
      <c r="H13" s="1108"/>
      <c r="I13" s="1108"/>
      <c r="J13" s="1109"/>
      <c r="K13" s="290"/>
    </row>
    <row r="14" spans="1:11" x14ac:dyDescent="0.25">
      <c r="A14" s="254" t="s">
        <v>299</v>
      </c>
      <c r="B14" s="1112" t="s">
        <v>307</v>
      </c>
      <c r="C14" s="1114"/>
      <c r="D14" s="1115"/>
      <c r="E14" s="289">
        <f>'Base Previ'!D92</f>
        <v>0</v>
      </c>
      <c r="F14" s="303"/>
      <c r="G14" s="264" t="str">
        <f>IF('Base Previ'!D157=0,"",'Base Previ'!D148)</f>
        <v/>
      </c>
      <c r="H14" s="1114"/>
      <c r="I14" s="281">
        <f>IF(G14="",'Base Previ'!D22)</f>
        <v>0</v>
      </c>
      <c r="J14" s="326"/>
      <c r="K14" s="288" t="str">
        <f>IF(G14="","",G$14*I$14)</f>
        <v/>
      </c>
    </row>
    <row r="15" spans="1:11" x14ac:dyDescent="0.25">
      <c r="A15" s="254" t="s">
        <v>299</v>
      </c>
      <c r="B15" s="1225" t="s">
        <v>242</v>
      </c>
      <c r="C15" s="1225"/>
      <c r="D15" s="1226"/>
      <c r="E15" s="289">
        <f>'Base Previ'!D116</f>
        <v>0</v>
      </c>
      <c r="F15" s="254" t="s">
        <v>299</v>
      </c>
      <c r="G15" s="1112" t="s">
        <v>308</v>
      </c>
      <c r="H15" s="1112"/>
      <c r="I15" s="1112"/>
      <c r="J15" s="1113"/>
      <c r="K15" s="288" t="str">
        <f>IF('Base Previ'!D145=0,"",'Base Previ'!D145)</f>
        <v/>
      </c>
    </row>
    <row r="16" spans="1:11" x14ac:dyDescent="0.25">
      <c r="A16" s="254" t="s">
        <v>299</v>
      </c>
      <c r="B16" s="1228" t="s">
        <v>309</v>
      </c>
      <c r="C16" s="1228"/>
      <c r="D16" s="1229"/>
      <c r="E16" s="289">
        <f>'Base Previ'!D77</f>
        <v>0</v>
      </c>
      <c r="F16" s="254" t="s">
        <v>299</v>
      </c>
      <c r="G16" s="1108" t="s">
        <v>310</v>
      </c>
      <c r="H16" s="1106"/>
      <c r="I16" s="1106"/>
      <c r="J16" s="1107"/>
      <c r="K16" s="288" t="str">
        <f>IF('Base Previ'!D141=0,"",'Base Previ'!D141)</f>
        <v/>
      </c>
    </row>
    <row r="17" spans="1:11" x14ac:dyDescent="0.25">
      <c r="A17" s="253" t="s">
        <v>311</v>
      </c>
      <c r="B17" s="1203" t="s">
        <v>312</v>
      </c>
      <c r="C17" s="1203"/>
      <c r="D17" s="1204"/>
      <c r="E17" s="287"/>
      <c r="F17" s="304" t="s">
        <v>313</v>
      </c>
      <c r="G17" s="1227" t="s">
        <v>265</v>
      </c>
      <c r="H17" s="1227"/>
      <c r="I17" s="1227"/>
      <c r="J17" s="1110"/>
      <c r="K17" s="295"/>
    </row>
    <row r="18" spans="1:11" x14ac:dyDescent="0.25">
      <c r="A18" s="254" t="s">
        <v>299</v>
      </c>
      <c r="B18" s="1112" t="s">
        <v>314</v>
      </c>
      <c r="C18" s="1112"/>
      <c r="D18" s="277" t="s">
        <v>180</v>
      </c>
      <c r="E18" s="290"/>
      <c r="F18" s="254" t="s">
        <v>299</v>
      </c>
      <c r="G18" s="1108" t="s">
        <v>315</v>
      </c>
      <c r="H18" s="1108"/>
      <c r="I18" s="1108"/>
      <c r="J18" s="1109"/>
      <c r="K18" s="288" t="str">
        <f>IF('Base Previ'!D170=0,"",'Base Previ'!D170)</f>
        <v/>
      </c>
    </row>
    <row r="19" spans="1:11" x14ac:dyDescent="0.25">
      <c r="A19" s="254"/>
      <c r="B19" s="264" t="str">
        <f ca="1">IF('Base Previ'!E30="","",'Base Previ'!E30/'Base Previ'!D30)</f>
        <v/>
      </c>
      <c r="C19" s="273" t="s">
        <v>4</v>
      </c>
      <c r="D19" s="278" t="str">
        <f ca="1">IF(B19="","",'Base Previ'!D30)</f>
        <v/>
      </c>
      <c r="E19" s="288" t="str">
        <f ca="1">IF(B19="","",B19*D19)</f>
        <v/>
      </c>
      <c r="F19" s="254" t="s">
        <v>299</v>
      </c>
      <c r="G19" s="1108" t="s">
        <v>316</v>
      </c>
      <c r="H19" s="1108"/>
      <c r="I19" s="1108"/>
      <c r="J19" s="1109"/>
      <c r="K19" s="288" t="str">
        <f>IF('Base Previ'!D165=0,"",'Base Previ'!D165)</f>
        <v/>
      </c>
    </row>
    <row r="20" spans="1:11" x14ac:dyDescent="0.25">
      <c r="A20" s="252"/>
      <c r="B20" s="264" t="str">
        <f>IF('Base Previ'!E31="","",'Base Previ'!E31/'Base Previ'!D31)</f>
        <v/>
      </c>
      <c r="C20" s="273" t="s">
        <v>4</v>
      </c>
      <c r="D20" s="278" t="str">
        <f>IF(B20="","",'Base Previ'!D31)</f>
        <v/>
      </c>
      <c r="E20" s="288" t="str">
        <f>IF(B20="","",B20*D20)</f>
        <v/>
      </c>
      <c r="F20" s="254" t="s">
        <v>299</v>
      </c>
      <c r="G20" s="1108" t="s">
        <v>317</v>
      </c>
      <c r="H20" s="1108"/>
      <c r="I20" s="1108"/>
      <c r="J20" s="1109"/>
      <c r="K20" s="288" t="str">
        <f>IF('Base Previ'!D180=0,"",'Base Previ'!D180)</f>
        <v/>
      </c>
    </row>
    <row r="21" spans="1:11" x14ac:dyDescent="0.25">
      <c r="A21" s="254"/>
      <c r="B21" s="264" t="str">
        <f ca="1">IF('Base Previ'!E32="","",'Base Previ'!E32/'Base Previ'!D32)</f>
        <v/>
      </c>
      <c r="C21" s="273" t="s">
        <v>4</v>
      </c>
      <c r="D21" s="278" t="str">
        <f ca="1">IF(B21="","",'Base Previ'!D32)</f>
        <v/>
      </c>
      <c r="E21" s="288" t="str">
        <f ca="1">IF(B21="","",B21*D21)</f>
        <v/>
      </c>
      <c r="F21" s="254" t="s">
        <v>299</v>
      </c>
      <c r="G21" s="1225" t="s">
        <v>318</v>
      </c>
      <c r="H21" s="1225"/>
      <c r="I21" s="1225"/>
      <c r="J21" s="1226"/>
      <c r="K21" s="288" t="str">
        <f>IF('Base Previ'!D175=0,"",'Base Previ'!D175)</f>
        <v/>
      </c>
    </row>
    <row r="22" spans="1:11" x14ac:dyDescent="0.25">
      <c r="A22" s="254"/>
      <c r="B22" s="264" t="str">
        <f>IF('Base Previ'!E33="","",'Base Previ'!E33/'Base Previ'!D33)</f>
        <v/>
      </c>
      <c r="C22" s="273" t="s">
        <v>4</v>
      </c>
      <c r="D22" s="278" t="str">
        <f>IF(B22="","",'Base Previ'!D33)</f>
        <v/>
      </c>
      <c r="E22" s="288" t="str">
        <f>IF(B22="","",B22*D22)</f>
        <v/>
      </c>
      <c r="F22" s="254"/>
      <c r="G22" s="1108"/>
      <c r="H22" s="1108"/>
      <c r="I22" s="1108"/>
      <c r="J22" s="1109"/>
      <c r="K22" s="290"/>
    </row>
    <row r="23" spans="1:11" x14ac:dyDescent="0.25">
      <c r="A23" s="254" t="s">
        <v>299</v>
      </c>
      <c r="B23" s="1225" t="s">
        <v>319</v>
      </c>
      <c r="C23" s="1225"/>
      <c r="D23" s="1226"/>
      <c r="E23" s="288">
        <v>0</v>
      </c>
      <c r="F23" s="255" t="s">
        <v>299</v>
      </c>
      <c r="G23" s="316" t="s">
        <v>320</v>
      </c>
      <c r="H23" s="316"/>
      <c r="I23" s="316"/>
      <c r="J23" s="327"/>
      <c r="K23" s="292"/>
    </row>
    <row r="24" spans="1:11" x14ac:dyDescent="0.25">
      <c r="A24" s="254" t="s">
        <v>299</v>
      </c>
      <c r="B24" s="1225" t="s">
        <v>321</v>
      </c>
      <c r="C24" s="1225"/>
      <c r="D24" s="1226"/>
      <c r="E24" s="288">
        <f>'Base Previ'!D62</f>
        <v>1137.9000000000001</v>
      </c>
      <c r="F24" s="256" t="s">
        <v>322</v>
      </c>
      <c r="G24" s="1103" t="s">
        <v>323</v>
      </c>
      <c r="H24" s="1103"/>
      <c r="I24" s="1103"/>
      <c r="J24" s="1104"/>
      <c r="K24" s="295"/>
    </row>
    <row r="25" spans="1:11" x14ac:dyDescent="0.25">
      <c r="A25" s="254" t="s">
        <v>299</v>
      </c>
      <c r="B25" s="1225" t="s">
        <v>324</v>
      </c>
      <c r="C25" s="1225"/>
      <c r="D25" s="1226"/>
      <c r="E25" s="289"/>
      <c r="F25" s="305" t="s">
        <v>299</v>
      </c>
      <c r="G25" s="1225" t="s">
        <v>325</v>
      </c>
      <c r="H25" s="1225"/>
      <c r="I25" s="1225"/>
      <c r="J25" s="1225"/>
      <c r="K25" s="288">
        <f>E$26</f>
        <v>800</v>
      </c>
    </row>
    <row r="26" spans="1:11" x14ac:dyDescent="0.25">
      <c r="A26" s="255"/>
      <c r="B26" s="265">
        <f ca="1">IF('Base Previ'!D39=0,"",'Base Previ'!M34)</f>
        <v>100</v>
      </c>
      <c r="C26" s="274" t="s">
        <v>4</v>
      </c>
      <c r="D26" s="279">
        <f ca="1">IF('Base Previ'!D39=0,"",E26/B26)</f>
        <v>8</v>
      </c>
      <c r="E26" s="288">
        <v>800</v>
      </c>
      <c r="F26" s="305"/>
      <c r="G26" s="1228"/>
      <c r="H26" s="1228"/>
      <c r="I26" s="1228"/>
      <c r="J26" s="1229"/>
      <c r="K26" s="333"/>
    </row>
    <row r="27" spans="1:11" x14ac:dyDescent="0.25">
      <c r="A27" s="253" t="s">
        <v>326</v>
      </c>
      <c r="B27" s="1227" t="s">
        <v>327</v>
      </c>
      <c r="C27" s="1227"/>
      <c r="D27" s="1227"/>
      <c r="E27" s="287"/>
      <c r="F27" s="306" t="s">
        <v>326</v>
      </c>
      <c r="G27" s="1230" t="s">
        <v>328</v>
      </c>
      <c r="H27" s="1230"/>
      <c r="I27" s="1230"/>
      <c r="J27" s="1231"/>
      <c r="K27" s="295"/>
    </row>
    <row r="28" spans="1:11" x14ac:dyDescent="0.25">
      <c r="A28" s="254" t="s">
        <v>299</v>
      </c>
      <c r="B28" s="1225" t="s">
        <v>329</v>
      </c>
      <c r="C28" s="1225"/>
      <c r="D28" s="1226"/>
      <c r="E28" s="288">
        <f>'Base Previ'!D50</f>
        <v>1400</v>
      </c>
      <c r="F28" s="307"/>
      <c r="G28" s="1232"/>
      <c r="H28" s="1232"/>
      <c r="I28" s="1232"/>
      <c r="J28" s="1233"/>
      <c r="K28" s="294"/>
    </row>
    <row r="29" spans="1:11" x14ac:dyDescent="0.25">
      <c r="A29" s="254" t="s">
        <v>299</v>
      </c>
      <c r="B29" s="1205" t="s">
        <v>330</v>
      </c>
      <c r="C29" s="1205"/>
      <c r="D29" s="1206"/>
      <c r="E29" s="291"/>
      <c r="F29" s="303"/>
      <c r="G29" s="264">
        <v>280</v>
      </c>
      <c r="H29" s="322" t="s">
        <v>4</v>
      </c>
      <c r="I29" s="281">
        <v>1</v>
      </c>
      <c r="J29" s="326"/>
      <c r="K29" s="288">
        <f>G$29*I$29</f>
        <v>280</v>
      </c>
    </row>
    <row r="30" spans="1:11" x14ac:dyDescent="0.25">
      <c r="A30" s="256"/>
      <c r="B30" s="266">
        <f>'Base Previ'!F92</f>
        <v>0</v>
      </c>
      <c r="C30" s="273" t="s">
        <v>4</v>
      </c>
      <c r="D30" s="278">
        <f>'Base Previ'!D23</f>
        <v>6</v>
      </c>
      <c r="E30" s="288">
        <f>B30*D30</f>
        <v>0</v>
      </c>
      <c r="F30" s="252"/>
      <c r="G30" s="263"/>
      <c r="H30" s="263"/>
      <c r="I30" s="263"/>
      <c r="J30" s="263"/>
      <c r="K30" s="294"/>
    </row>
    <row r="31" spans="1:11" x14ac:dyDescent="0.25">
      <c r="A31" s="254" t="s">
        <v>299</v>
      </c>
      <c r="B31" s="1225" t="s">
        <v>331</v>
      </c>
      <c r="C31" s="1225"/>
      <c r="D31" s="1226"/>
      <c r="E31" s="288">
        <f>'Base Previ'!D97</f>
        <v>0</v>
      </c>
      <c r="F31" s="252"/>
      <c r="G31" s="263"/>
      <c r="H31" s="263"/>
      <c r="I31" s="263"/>
      <c r="J31" s="263"/>
      <c r="K31" s="905"/>
    </row>
    <row r="32" spans="1:11" x14ac:dyDescent="0.25">
      <c r="A32" s="255" t="s">
        <v>299</v>
      </c>
      <c r="B32" s="267" t="s">
        <v>320</v>
      </c>
      <c r="C32" s="267"/>
      <c r="D32" s="280"/>
      <c r="E32" s="292"/>
      <c r="F32" s="252"/>
      <c r="G32" s="263"/>
      <c r="H32" s="263"/>
      <c r="I32" s="263"/>
      <c r="J32" s="263"/>
      <c r="K32" s="906"/>
    </row>
    <row r="33" spans="1:11" x14ac:dyDescent="0.25">
      <c r="A33" s="253" t="s">
        <v>332</v>
      </c>
      <c r="B33" s="1227" t="s">
        <v>333</v>
      </c>
      <c r="C33" s="1227"/>
      <c r="D33" s="1241"/>
      <c r="E33" s="293"/>
      <c r="F33" s="253" t="s">
        <v>332</v>
      </c>
      <c r="G33" s="1242" t="s">
        <v>334</v>
      </c>
      <c r="H33" s="1242"/>
      <c r="I33" s="1242"/>
      <c r="J33" s="1243"/>
      <c r="K33" s="295"/>
    </row>
    <row r="34" spans="1:11" x14ac:dyDescent="0.25">
      <c r="A34" s="254" t="s">
        <v>299</v>
      </c>
      <c r="B34" s="1108" t="s">
        <v>335</v>
      </c>
      <c r="C34" s="1108"/>
      <c r="D34" s="1109"/>
      <c r="E34" s="288">
        <f>'Base Previ'!D129</f>
        <v>0</v>
      </c>
      <c r="F34" s="254" t="s">
        <v>299</v>
      </c>
      <c r="G34" s="1108" t="s">
        <v>336</v>
      </c>
      <c r="H34" s="1108"/>
      <c r="I34" s="1108"/>
      <c r="J34" s="1109"/>
      <c r="K34" s="294"/>
    </row>
    <row r="35" spans="1:11" x14ac:dyDescent="0.25">
      <c r="A35" s="254" t="s">
        <v>299</v>
      </c>
      <c r="B35" s="1108" t="s">
        <v>337</v>
      </c>
      <c r="C35" s="1108"/>
      <c r="D35" s="1109"/>
      <c r="E35" s="294"/>
      <c r="F35" s="309"/>
      <c r="G35" s="264" t="str">
        <f>IF(B36="","",B36)</f>
        <v/>
      </c>
      <c r="H35" s="319" t="s">
        <v>4</v>
      </c>
      <c r="I35" s="281" t="str">
        <f>IF(B36="","",D36)</f>
        <v/>
      </c>
      <c r="J35" s="56"/>
      <c r="K35" s="288">
        <f>IF(B36="",0,G35*I35)</f>
        <v>0</v>
      </c>
    </row>
    <row r="36" spans="1:11" x14ac:dyDescent="0.25">
      <c r="A36" s="254" t="s">
        <v>299</v>
      </c>
      <c r="B36" s="264" t="str">
        <f>IF('Base Previ'!D132=0,"",'Base Previ'!D130)</f>
        <v/>
      </c>
      <c r="C36" s="273" t="s">
        <v>4</v>
      </c>
      <c r="D36" s="281" t="str">
        <f>IF(B36="","",'Base Previ'!D21)</f>
        <v/>
      </c>
      <c r="E36" s="288" t="str">
        <f>IF(B36="","",B36*D36)</f>
        <v/>
      </c>
      <c r="F36" s="309"/>
      <c r="G36" s="318"/>
      <c r="H36" s="318"/>
      <c r="I36" s="318"/>
      <c r="J36" s="328"/>
      <c r="K36" s="290"/>
    </row>
    <row r="37" spans="1:11" x14ac:dyDescent="0.25">
      <c r="A37" s="253" t="s">
        <v>338</v>
      </c>
      <c r="B37" s="1105" t="s">
        <v>339</v>
      </c>
      <c r="C37" s="1103"/>
      <c r="D37" s="1104"/>
      <c r="E37" s="295"/>
      <c r="F37" s="310"/>
      <c r="G37" s="319"/>
      <c r="H37" s="56"/>
      <c r="I37" s="56"/>
      <c r="J37" s="326"/>
      <c r="K37" s="290"/>
    </row>
    <row r="38" spans="1:11" x14ac:dyDescent="0.25">
      <c r="A38" s="254" t="s">
        <v>299</v>
      </c>
      <c r="B38" s="1108" t="s">
        <v>335</v>
      </c>
      <c r="C38" s="1108"/>
      <c r="D38" s="1109"/>
      <c r="E38" s="288">
        <f ca="1">'Base Previ'!D125</f>
        <v>0</v>
      </c>
      <c r="F38" s="309"/>
      <c r="G38" s="320"/>
      <c r="H38" s="56"/>
      <c r="I38" s="324"/>
      <c r="J38" s="326"/>
      <c r="K38" s="290"/>
    </row>
    <row r="39" spans="1:11" x14ac:dyDescent="0.25">
      <c r="A39" s="254" t="s">
        <v>299</v>
      </c>
      <c r="B39" s="1108" t="s">
        <v>337</v>
      </c>
      <c r="C39" s="1108"/>
      <c r="D39" s="1109"/>
      <c r="E39" s="294"/>
      <c r="F39" s="907"/>
      <c r="G39" s="908"/>
      <c r="H39" s="908"/>
      <c r="I39" s="908"/>
      <c r="J39" s="909"/>
      <c r="K39" s="910"/>
    </row>
    <row r="40" spans="1:11" x14ac:dyDescent="0.25">
      <c r="A40" s="252"/>
      <c r="B40" s="264" t="str">
        <f ca="1">IF('Base Previ'!D125=0,"",'Base Previ'!D123)</f>
        <v/>
      </c>
      <c r="C40" s="263"/>
      <c r="D40" s="282" t="str">
        <f ca="1">IF(B40="","",D30)</f>
        <v/>
      </c>
      <c r="E40" s="288" t="str">
        <f ca="1">IF(B40="","",B40*D40)</f>
        <v/>
      </c>
      <c r="F40" s="911"/>
      <c r="G40" s="912"/>
      <c r="H40" s="912"/>
      <c r="I40" s="912"/>
      <c r="J40" s="913"/>
      <c r="K40" s="914"/>
    </row>
    <row r="41" spans="1:11" ht="24" x14ac:dyDescent="0.25">
      <c r="A41" s="257"/>
      <c r="B41" s="268" t="s">
        <v>340</v>
      </c>
      <c r="C41" s="268"/>
      <c r="D41" s="283"/>
      <c r="E41" s="296">
        <f ca="1">SUM(E8:E40)</f>
        <v>4016.2950000000001</v>
      </c>
      <c r="F41" s="257"/>
      <c r="G41" s="1244" t="s">
        <v>341</v>
      </c>
      <c r="H41" s="1244"/>
      <c r="I41" s="1244"/>
      <c r="J41" s="1245"/>
      <c r="K41" s="296">
        <f>SUM(K8:K38)</f>
        <v>4330</v>
      </c>
    </row>
    <row r="42" spans="1:11" x14ac:dyDescent="0.25">
      <c r="A42" s="258" t="s">
        <v>342</v>
      </c>
      <c r="B42" s="1246" t="str">
        <f ca="1">IF(E42&gt;0,"Excédent","")</f>
        <v>Excédent</v>
      </c>
      <c r="C42" s="1246"/>
      <c r="D42" s="1247"/>
      <c r="E42" s="297">
        <f ca="1">IF(K41&gt;E41,K41-E41,0)</f>
        <v>313.70499999999993</v>
      </c>
      <c r="F42" s="258" t="s">
        <v>342</v>
      </c>
      <c r="G42" s="1248" t="str">
        <f ca="1">IF(K42&gt;0,"Déficit","")</f>
        <v/>
      </c>
      <c r="H42" s="1248"/>
      <c r="I42" s="1248"/>
      <c r="J42" s="1249"/>
      <c r="K42" s="297">
        <f ca="1">IF(E41&gt;K41,E41-K41,0)</f>
        <v>0</v>
      </c>
    </row>
    <row r="43" spans="1:11" ht="16.5" thickBot="1" x14ac:dyDescent="0.3">
      <c r="A43" s="259"/>
      <c r="B43" s="1250" t="s">
        <v>343</v>
      </c>
      <c r="C43" s="1250"/>
      <c r="D43" s="1250"/>
      <c r="E43" s="298">
        <f ca="1">SUM(E41:E42)</f>
        <v>4330</v>
      </c>
      <c r="F43" s="311"/>
      <c r="G43" s="311"/>
      <c r="H43" s="311"/>
      <c r="I43" s="311"/>
      <c r="J43" s="311"/>
      <c r="K43" s="298">
        <f ca="1">SUM(K41:K42)</f>
        <v>4330</v>
      </c>
    </row>
    <row r="44" spans="1:11" ht="15.75" thickTop="1" x14ac:dyDescent="0.25">
      <c r="A44" s="260"/>
      <c r="B44" s="269"/>
      <c r="C44" s="275" t="str">
        <f ca="1">IF(E42&gt;0,"L'excédent est de :",IF(K42&gt;0,"Le déficit est de :",IF(E42=0,"Le budget est équilibré")))</f>
        <v>L'excédent est de :</v>
      </c>
      <c r="D44" s="284"/>
      <c r="E44" s="299">
        <f ca="1">IF(E42&gt;0,E42,K42)</f>
        <v>313.70499999999993</v>
      </c>
      <c r="F44" s="312"/>
      <c r="G44" s="312" t="str">
        <f ca="1">IF(E44=0,"","Il est géré par :")</f>
        <v>Il est géré par :</v>
      </c>
      <c r="H44" s="1234">
        <f ca="1">IF(E44=0,"",K5)</f>
        <v>0</v>
      </c>
      <c r="I44" s="1234"/>
      <c r="J44" s="1234"/>
      <c r="K44" s="336"/>
    </row>
    <row r="45" spans="1:11" x14ac:dyDescent="0.25">
      <c r="A45" s="261"/>
      <c r="B45" s="270"/>
      <c r="C45" s="276"/>
      <c r="D45" s="285"/>
      <c r="E45" s="276"/>
      <c r="F45" s="313"/>
      <c r="G45" s="270"/>
      <c r="H45" s="276"/>
      <c r="I45" s="270"/>
      <c r="J45" s="276"/>
      <c r="K45" s="337"/>
    </row>
    <row r="46" spans="1:11" ht="15.75" x14ac:dyDescent="0.25">
      <c r="A46" s="262"/>
      <c r="B46" s="271" t="s">
        <v>346</v>
      </c>
      <c r="C46" s="271"/>
      <c r="D46" s="271"/>
      <c r="E46" s="300"/>
      <c r="F46" s="314"/>
      <c r="G46" s="321"/>
      <c r="H46" s="1102"/>
      <c r="I46" s="1235">
        <f ca="1">IF('Base Previ'!D210="",'Base Previ'!D205,'Base Previ'!D210)</f>
        <v>650</v>
      </c>
      <c r="J46" s="1235"/>
      <c r="K46" s="1236"/>
    </row>
    <row r="47" spans="1:11" x14ac:dyDescent="0.25">
      <c r="A47" s="1237" t="s">
        <v>344</v>
      </c>
      <c r="B47" s="1238"/>
      <c r="C47" s="1239"/>
      <c r="D47" s="1239"/>
      <c r="E47" s="1239"/>
      <c r="F47" s="1239"/>
      <c r="G47" s="1239"/>
      <c r="H47" s="1239"/>
      <c r="I47" s="1239"/>
      <c r="J47" s="1239"/>
      <c r="K47" s="1240"/>
    </row>
  </sheetData>
  <mergeCells count="41">
    <mergeCell ref="A47:B47"/>
    <mergeCell ref="C47:K47"/>
    <mergeCell ref="G41:J41"/>
    <mergeCell ref="B42:D42"/>
    <mergeCell ref="G42:J42"/>
    <mergeCell ref="B43:D43"/>
    <mergeCell ref="H44:J44"/>
    <mergeCell ref="I46:K46"/>
    <mergeCell ref="B33:D33"/>
    <mergeCell ref="G33:J33"/>
    <mergeCell ref="G21:J21"/>
    <mergeCell ref="B23:D23"/>
    <mergeCell ref="B24:D24"/>
    <mergeCell ref="B25:D25"/>
    <mergeCell ref="G25:J25"/>
    <mergeCell ref="G26:J26"/>
    <mergeCell ref="B27:D27"/>
    <mergeCell ref="G27:J28"/>
    <mergeCell ref="B28:D28"/>
    <mergeCell ref="B29:D29"/>
    <mergeCell ref="B31:D31"/>
    <mergeCell ref="B17:D17"/>
    <mergeCell ref="G17:I17"/>
    <mergeCell ref="B8:D8"/>
    <mergeCell ref="F8:F9"/>
    <mergeCell ref="G8:J9"/>
    <mergeCell ref="B9:D9"/>
    <mergeCell ref="B10:D10"/>
    <mergeCell ref="G11:J11"/>
    <mergeCell ref="B12:D12"/>
    <mergeCell ref="G12:J12"/>
    <mergeCell ref="B13:D13"/>
    <mergeCell ref="B15:D15"/>
    <mergeCell ref="B16:D16"/>
    <mergeCell ref="A7:E7"/>
    <mergeCell ref="F7:K7"/>
    <mergeCell ref="D3:E3"/>
    <mergeCell ref="F3:J3"/>
    <mergeCell ref="D4:E4"/>
    <mergeCell ref="F4:J4"/>
    <mergeCell ref="H5:J5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P55"/>
  <sheetViews>
    <sheetView tabSelected="1" topLeftCell="A44" workbookViewId="0">
      <selection activeCell="B55" sqref="B55:H55"/>
    </sheetView>
  </sheetViews>
  <sheetFormatPr baseColWidth="10" defaultRowHeight="15" x14ac:dyDescent="0.25"/>
  <cols>
    <col min="1" max="1" width="10.5703125" customWidth="1"/>
    <col min="2" max="2" width="10.42578125" customWidth="1"/>
    <col min="3" max="3" width="10.5703125" customWidth="1"/>
    <col min="4" max="4" width="13.28515625" customWidth="1"/>
    <col min="5" max="5" width="13.140625" customWidth="1"/>
    <col min="6" max="6" width="6.7109375" customWidth="1"/>
    <col min="7" max="7" width="14.7109375" customWidth="1"/>
    <col min="8" max="8" width="13.7109375" customWidth="1"/>
    <col min="9" max="9" width="10.5703125" customWidth="1"/>
    <col min="10" max="10" width="8.5703125" customWidth="1"/>
    <col min="11" max="11" width="10.5703125" customWidth="1"/>
    <col min="12" max="12" width="13.28515625" customWidth="1"/>
    <col min="13" max="13" width="10.85546875" customWidth="1"/>
    <col min="14" max="14" width="14.7109375" customWidth="1"/>
    <col min="15" max="15" width="13.7109375" customWidth="1"/>
    <col min="16" max="16" width="10.5703125" customWidth="1"/>
    <col min="17" max="17" width="8.5703125" customWidth="1"/>
    <col min="18" max="18" width="10.5703125" customWidth="1"/>
    <col min="19" max="19" width="13.28515625" customWidth="1"/>
    <col min="20" max="20" width="10.85546875" customWidth="1"/>
    <col min="21" max="21" width="14.7109375" customWidth="1"/>
    <col min="22" max="22" width="13.7109375" customWidth="1"/>
    <col min="23" max="23" width="10.5703125" customWidth="1"/>
    <col min="24" max="24" width="8.5703125" customWidth="1"/>
    <col min="25" max="25" width="10.5703125" customWidth="1"/>
    <col min="26" max="26" width="13.28515625" customWidth="1"/>
    <col min="27" max="27" width="10.85546875" customWidth="1"/>
    <col min="28" max="28" width="14.7109375" customWidth="1"/>
    <col min="29" max="29" width="13.7109375" customWidth="1"/>
    <col min="258" max="258" width="10.5703125" customWidth="1"/>
    <col min="259" max="259" width="6.7109375" customWidth="1"/>
    <col min="260" max="260" width="11.7109375" customWidth="1"/>
    <col min="261" max="261" width="33.140625" customWidth="1"/>
    <col min="514" max="514" width="10.5703125" customWidth="1"/>
    <col min="515" max="515" width="6.7109375" customWidth="1"/>
    <col min="516" max="516" width="11.7109375" customWidth="1"/>
    <col min="517" max="517" width="33.140625" customWidth="1"/>
    <col min="770" max="770" width="10.5703125" customWidth="1"/>
    <col min="771" max="771" width="6.7109375" customWidth="1"/>
    <col min="772" max="772" width="11.7109375" customWidth="1"/>
    <col min="773" max="773" width="33.140625" customWidth="1"/>
    <col min="1026" max="1026" width="10.5703125" customWidth="1"/>
    <col min="1027" max="1027" width="6.7109375" customWidth="1"/>
    <col min="1028" max="1028" width="11.7109375" customWidth="1"/>
    <col min="1029" max="1029" width="33.140625" customWidth="1"/>
    <col min="1282" max="1282" width="10.5703125" customWidth="1"/>
    <col min="1283" max="1283" width="6.7109375" customWidth="1"/>
    <col min="1284" max="1284" width="11.7109375" customWidth="1"/>
    <col min="1285" max="1285" width="33.140625" customWidth="1"/>
    <col min="1538" max="1538" width="10.5703125" customWidth="1"/>
    <col min="1539" max="1539" width="6.7109375" customWidth="1"/>
    <col min="1540" max="1540" width="11.7109375" customWidth="1"/>
    <col min="1541" max="1541" width="33.140625" customWidth="1"/>
    <col min="1794" max="1794" width="10.5703125" customWidth="1"/>
    <col min="1795" max="1795" width="6.7109375" customWidth="1"/>
    <col min="1796" max="1796" width="11.7109375" customWidth="1"/>
    <col min="1797" max="1797" width="33.140625" customWidth="1"/>
    <col min="2050" max="2050" width="10.5703125" customWidth="1"/>
    <col min="2051" max="2051" width="6.7109375" customWidth="1"/>
    <col min="2052" max="2052" width="11.7109375" customWidth="1"/>
    <col min="2053" max="2053" width="33.140625" customWidth="1"/>
    <col min="2306" max="2306" width="10.5703125" customWidth="1"/>
    <col min="2307" max="2307" width="6.7109375" customWidth="1"/>
    <col min="2308" max="2308" width="11.7109375" customWidth="1"/>
    <col min="2309" max="2309" width="33.140625" customWidth="1"/>
    <col min="2562" max="2562" width="10.5703125" customWidth="1"/>
    <col min="2563" max="2563" width="6.7109375" customWidth="1"/>
    <col min="2564" max="2564" width="11.7109375" customWidth="1"/>
    <col min="2565" max="2565" width="33.140625" customWidth="1"/>
    <col min="2818" max="2818" width="10.5703125" customWidth="1"/>
    <col min="2819" max="2819" width="6.7109375" customWidth="1"/>
    <col min="2820" max="2820" width="11.7109375" customWidth="1"/>
    <col min="2821" max="2821" width="33.140625" customWidth="1"/>
    <col min="3074" max="3074" width="10.5703125" customWidth="1"/>
    <col min="3075" max="3075" width="6.7109375" customWidth="1"/>
    <col min="3076" max="3076" width="11.7109375" customWidth="1"/>
    <col min="3077" max="3077" width="33.140625" customWidth="1"/>
    <col min="3330" max="3330" width="10.5703125" customWidth="1"/>
    <col min="3331" max="3331" width="6.7109375" customWidth="1"/>
    <col min="3332" max="3332" width="11.7109375" customWidth="1"/>
    <col min="3333" max="3333" width="33.140625" customWidth="1"/>
    <col min="3586" max="3586" width="10.5703125" customWidth="1"/>
    <col min="3587" max="3587" width="6.7109375" customWidth="1"/>
    <col min="3588" max="3588" width="11.7109375" customWidth="1"/>
    <col min="3589" max="3589" width="33.140625" customWidth="1"/>
    <col min="3842" max="3842" width="10.5703125" customWidth="1"/>
    <col min="3843" max="3843" width="6.7109375" customWidth="1"/>
    <col min="3844" max="3844" width="11.7109375" customWidth="1"/>
    <col min="3845" max="3845" width="33.140625" customWidth="1"/>
    <col min="4098" max="4098" width="10.5703125" customWidth="1"/>
    <col min="4099" max="4099" width="6.7109375" customWidth="1"/>
    <col min="4100" max="4100" width="11.7109375" customWidth="1"/>
    <col min="4101" max="4101" width="33.140625" customWidth="1"/>
    <col min="4354" max="4354" width="10.5703125" customWidth="1"/>
    <col min="4355" max="4355" width="6.7109375" customWidth="1"/>
    <col min="4356" max="4356" width="11.7109375" customWidth="1"/>
    <col min="4357" max="4357" width="33.140625" customWidth="1"/>
    <col min="4610" max="4610" width="10.5703125" customWidth="1"/>
    <col min="4611" max="4611" width="6.7109375" customWidth="1"/>
    <col min="4612" max="4612" width="11.7109375" customWidth="1"/>
    <col min="4613" max="4613" width="33.140625" customWidth="1"/>
    <col min="4866" max="4866" width="10.5703125" customWidth="1"/>
    <col min="4867" max="4867" width="6.7109375" customWidth="1"/>
    <col min="4868" max="4868" width="11.7109375" customWidth="1"/>
    <col min="4869" max="4869" width="33.140625" customWidth="1"/>
    <col min="5122" max="5122" width="10.5703125" customWidth="1"/>
    <col min="5123" max="5123" width="6.7109375" customWidth="1"/>
    <col min="5124" max="5124" width="11.7109375" customWidth="1"/>
    <col min="5125" max="5125" width="33.140625" customWidth="1"/>
    <col min="5378" max="5378" width="10.5703125" customWidth="1"/>
    <col min="5379" max="5379" width="6.7109375" customWidth="1"/>
    <col min="5380" max="5380" width="11.7109375" customWidth="1"/>
    <col min="5381" max="5381" width="33.140625" customWidth="1"/>
    <col min="5634" max="5634" width="10.5703125" customWidth="1"/>
    <col min="5635" max="5635" width="6.7109375" customWidth="1"/>
    <col min="5636" max="5636" width="11.7109375" customWidth="1"/>
    <col min="5637" max="5637" width="33.140625" customWidth="1"/>
    <col min="5890" max="5890" width="10.5703125" customWidth="1"/>
    <col min="5891" max="5891" width="6.7109375" customWidth="1"/>
    <col min="5892" max="5892" width="11.7109375" customWidth="1"/>
    <col min="5893" max="5893" width="33.140625" customWidth="1"/>
    <col min="6146" max="6146" width="10.5703125" customWidth="1"/>
    <col min="6147" max="6147" width="6.7109375" customWidth="1"/>
    <col min="6148" max="6148" width="11.7109375" customWidth="1"/>
    <col min="6149" max="6149" width="33.140625" customWidth="1"/>
    <col min="6402" max="6402" width="10.5703125" customWidth="1"/>
    <col min="6403" max="6403" width="6.7109375" customWidth="1"/>
    <col min="6404" max="6404" width="11.7109375" customWidth="1"/>
    <col min="6405" max="6405" width="33.140625" customWidth="1"/>
    <col min="6658" max="6658" width="10.5703125" customWidth="1"/>
    <col min="6659" max="6659" width="6.7109375" customWidth="1"/>
    <col min="6660" max="6660" width="11.7109375" customWidth="1"/>
    <col min="6661" max="6661" width="33.140625" customWidth="1"/>
    <col min="6914" max="6914" width="10.5703125" customWidth="1"/>
    <col min="6915" max="6915" width="6.7109375" customWidth="1"/>
    <col min="6916" max="6916" width="11.7109375" customWidth="1"/>
    <col min="6917" max="6917" width="33.140625" customWidth="1"/>
    <col min="7170" max="7170" width="10.5703125" customWidth="1"/>
    <col min="7171" max="7171" width="6.7109375" customWidth="1"/>
    <col min="7172" max="7172" width="11.7109375" customWidth="1"/>
    <col min="7173" max="7173" width="33.140625" customWidth="1"/>
    <col min="7426" max="7426" width="10.5703125" customWidth="1"/>
    <col min="7427" max="7427" width="6.7109375" customWidth="1"/>
    <col min="7428" max="7428" width="11.7109375" customWidth="1"/>
    <col min="7429" max="7429" width="33.140625" customWidth="1"/>
    <col min="7682" max="7682" width="10.5703125" customWidth="1"/>
    <col min="7683" max="7683" width="6.7109375" customWidth="1"/>
    <col min="7684" max="7684" width="11.7109375" customWidth="1"/>
    <col min="7685" max="7685" width="33.140625" customWidth="1"/>
    <col min="7938" max="7938" width="10.5703125" customWidth="1"/>
    <col min="7939" max="7939" width="6.7109375" customWidth="1"/>
    <col min="7940" max="7940" width="11.7109375" customWidth="1"/>
    <col min="7941" max="7941" width="33.140625" customWidth="1"/>
    <col min="8194" max="8194" width="10.5703125" customWidth="1"/>
    <col min="8195" max="8195" width="6.7109375" customWidth="1"/>
    <col min="8196" max="8196" width="11.7109375" customWidth="1"/>
    <col min="8197" max="8197" width="33.140625" customWidth="1"/>
    <col min="8450" max="8450" width="10.5703125" customWidth="1"/>
    <col min="8451" max="8451" width="6.7109375" customWidth="1"/>
    <col min="8452" max="8452" width="11.7109375" customWidth="1"/>
    <col min="8453" max="8453" width="33.140625" customWidth="1"/>
    <col min="8706" max="8706" width="10.5703125" customWidth="1"/>
    <col min="8707" max="8707" width="6.7109375" customWidth="1"/>
    <col min="8708" max="8708" width="11.7109375" customWidth="1"/>
    <col min="8709" max="8709" width="33.140625" customWidth="1"/>
    <col min="8962" max="8962" width="10.5703125" customWidth="1"/>
    <col min="8963" max="8963" width="6.7109375" customWidth="1"/>
    <col min="8964" max="8964" width="11.7109375" customWidth="1"/>
    <col min="8965" max="8965" width="33.140625" customWidth="1"/>
    <col min="9218" max="9218" width="10.5703125" customWidth="1"/>
    <col min="9219" max="9219" width="6.7109375" customWidth="1"/>
    <col min="9220" max="9220" width="11.7109375" customWidth="1"/>
    <col min="9221" max="9221" width="33.140625" customWidth="1"/>
    <col min="9474" max="9474" width="10.5703125" customWidth="1"/>
    <col min="9475" max="9475" width="6.7109375" customWidth="1"/>
    <col min="9476" max="9476" width="11.7109375" customWidth="1"/>
    <col min="9477" max="9477" width="33.140625" customWidth="1"/>
    <col min="9730" max="9730" width="10.5703125" customWidth="1"/>
    <col min="9731" max="9731" width="6.7109375" customWidth="1"/>
    <col min="9732" max="9732" width="11.7109375" customWidth="1"/>
    <col min="9733" max="9733" width="33.140625" customWidth="1"/>
    <col min="9986" max="9986" width="10.5703125" customWidth="1"/>
    <col min="9987" max="9987" width="6.7109375" customWidth="1"/>
    <col min="9988" max="9988" width="11.7109375" customWidth="1"/>
    <col min="9989" max="9989" width="33.140625" customWidth="1"/>
    <col min="10242" max="10242" width="10.5703125" customWidth="1"/>
    <col min="10243" max="10243" width="6.7109375" customWidth="1"/>
    <col min="10244" max="10244" width="11.7109375" customWidth="1"/>
    <col min="10245" max="10245" width="33.140625" customWidth="1"/>
    <col min="10498" max="10498" width="10.5703125" customWidth="1"/>
    <col min="10499" max="10499" width="6.7109375" customWidth="1"/>
    <col min="10500" max="10500" width="11.7109375" customWidth="1"/>
    <col min="10501" max="10501" width="33.140625" customWidth="1"/>
    <col min="10754" max="10754" width="10.5703125" customWidth="1"/>
    <col min="10755" max="10755" width="6.7109375" customWidth="1"/>
    <col min="10756" max="10756" width="11.7109375" customWidth="1"/>
    <col min="10757" max="10757" width="33.140625" customWidth="1"/>
    <col min="11010" max="11010" width="10.5703125" customWidth="1"/>
    <col min="11011" max="11011" width="6.7109375" customWidth="1"/>
    <col min="11012" max="11012" width="11.7109375" customWidth="1"/>
    <col min="11013" max="11013" width="33.140625" customWidth="1"/>
    <col min="11266" max="11266" width="10.5703125" customWidth="1"/>
    <col min="11267" max="11267" width="6.7109375" customWidth="1"/>
    <col min="11268" max="11268" width="11.7109375" customWidth="1"/>
    <col min="11269" max="11269" width="33.140625" customWidth="1"/>
    <col min="11522" max="11522" width="10.5703125" customWidth="1"/>
    <col min="11523" max="11523" width="6.7109375" customWidth="1"/>
    <col min="11524" max="11524" width="11.7109375" customWidth="1"/>
    <col min="11525" max="11525" width="33.140625" customWidth="1"/>
    <col min="11778" max="11778" width="10.5703125" customWidth="1"/>
    <col min="11779" max="11779" width="6.7109375" customWidth="1"/>
    <col min="11780" max="11780" width="11.7109375" customWidth="1"/>
    <col min="11781" max="11781" width="33.140625" customWidth="1"/>
    <col min="12034" max="12034" width="10.5703125" customWidth="1"/>
    <col min="12035" max="12035" width="6.7109375" customWidth="1"/>
    <col min="12036" max="12036" width="11.7109375" customWidth="1"/>
    <col min="12037" max="12037" width="33.140625" customWidth="1"/>
    <col min="12290" max="12290" width="10.5703125" customWidth="1"/>
    <col min="12291" max="12291" width="6.7109375" customWidth="1"/>
    <col min="12292" max="12292" width="11.7109375" customWidth="1"/>
    <col min="12293" max="12293" width="33.140625" customWidth="1"/>
    <col min="12546" max="12546" width="10.5703125" customWidth="1"/>
    <col min="12547" max="12547" width="6.7109375" customWidth="1"/>
    <col min="12548" max="12548" width="11.7109375" customWidth="1"/>
    <col min="12549" max="12549" width="33.140625" customWidth="1"/>
    <col min="12802" max="12802" width="10.5703125" customWidth="1"/>
    <col min="12803" max="12803" width="6.7109375" customWidth="1"/>
    <col min="12804" max="12804" width="11.7109375" customWidth="1"/>
    <col min="12805" max="12805" width="33.140625" customWidth="1"/>
    <col min="13058" max="13058" width="10.5703125" customWidth="1"/>
    <col min="13059" max="13059" width="6.7109375" customWidth="1"/>
    <col min="13060" max="13060" width="11.7109375" customWidth="1"/>
    <col min="13061" max="13061" width="33.140625" customWidth="1"/>
    <col min="13314" max="13314" width="10.5703125" customWidth="1"/>
    <col min="13315" max="13315" width="6.7109375" customWidth="1"/>
    <col min="13316" max="13316" width="11.7109375" customWidth="1"/>
    <col min="13317" max="13317" width="33.140625" customWidth="1"/>
    <col min="13570" max="13570" width="10.5703125" customWidth="1"/>
    <col min="13571" max="13571" width="6.7109375" customWidth="1"/>
    <col min="13572" max="13572" width="11.7109375" customWidth="1"/>
    <col min="13573" max="13573" width="33.140625" customWidth="1"/>
    <col min="13826" max="13826" width="10.5703125" customWidth="1"/>
    <col min="13827" max="13827" width="6.7109375" customWidth="1"/>
    <col min="13828" max="13828" width="11.7109375" customWidth="1"/>
    <col min="13829" max="13829" width="33.140625" customWidth="1"/>
    <col min="14082" max="14082" width="10.5703125" customWidth="1"/>
    <col min="14083" max="14083" width="6.7109375" customWidth="1"/>
    <col min="14084" max="14084" width="11.7109375" customWidth="1"/>
    <col min="14085" max="14085" width="33.140625" customWidth="1"/>
    <col min="14338" max="14338" width="10.5703125" customWidth="1"/>
    <col min="14339" max="14339" width="6.7109375" customWidth="1"/>
    <col min="14340" max="14340" width="11.7109375" customWidth="1"/>
    <col min="14341" max="14341" width="33.140625" customWidth="1"/>
    <col min="14594" max="14594" width="10.5703125" customWidth="1"/>
    <col min="14595" max="14595" width="6.7109375" customWidth="1"/>
    <col min="14596" max="14596" width="11.7109375" customWidth="1"/>
    <col min="14597" max="14597" width="33.140625" customWidth="1"/>
    <col min="14850" max="14850" width="10.5703125" customWidth="1"/>
    <col min="14851" max="14851" width="6.7109375" customWidth="1"/>
    <col min="14852" max="14852" width="11.7109375" customWidth="1"/>
    <col min="14853" max="14853" width="33.140625" customWidth="1"/>
    <col min="15106" max="15106" width="10.5703125" customWidth="1"/>
    <col min="15107" max="15107" width="6.7109375" customWidth="1"/>
    <col min="15108" max="15108" width="11.7109375" customWidth="1"/>
    <col min="15109" max="15109" width="33.140625" customWidth="1"/>
    <col min="15362" max="15362" width="10.5703125" customWidth="1"/>
    <col min="15363" max="15363" width="6.7109375" customWidth="1"/>
    <col min="15364" max="15364" width="11.7109375" customWidth="1"/>
    <col min="15365" max="15365" width="33.140625" customWidth="1"/>
    <col min="15618" max="15618" width="10.5703125" customWidth="1"/>
    <col min="15619" max="15619" width="6.7109375" customWidth="1"/>
    <col min="15620" max="15620" width="11.7109375" customWidth="1"/>
    <col min="15621" max="15621" width="33.140625" customWidth="1"/>
    <col min="15874" max="15874" width="10.5703125" customWidth="1"/>
    <col min="15875" max="15875" width="6.7109375" customWidth="1"/>
    <col min="15876" max="15876" width="11.7109375" customWidth="1"/>
    <col min="15877" max="15877" width="33.140625" customWidth="1"/>
    <col min="16130" max="16130" width="10.5703125" customWidth="1"/>
    <col min="16131" max="16131" width="6.7109375" customWidth="1"/>
    <col min="16132" max="16132" width="11.7109375" customWidth="1"/>
    <col min="16133" max="16133" width="33.140625" customWidth="1"/>
  </cols>
  <sheetData>
    <row r="1" spans="1:16" ht="84" customHeight="1" x14ac:dyDescent="0.25">
      <c r="A1" s="286"/>
      <c r="B1" s="286"/>
      <c r="C1" s="286"/>
      <c r="D1" s="1358" t="s">
        <v>428</v>
      </c>
      <c r="E1" s="1358"/>
      <c r="F1" s="1358"/>
      <c r="G1" s="1358"/>
      <c r="H1" s="1358"/>
      <c r="I1" s="940"/>
      <c r="K1" s="1350" t="s">
        <v>438</v>
      </c>
      <c r="L1" s="1350"/>
      <c r="M1" s="1350"/>
      <c r="N1" s="1350"/>
      <c r="O1" s="1350"/>
    </row>
    <row r="2" spans="1:16" ht="28.5" customHeight="1" x14ac:dyDescent="0.25">
      <c r="A2" s="1346"/>
      <c r="B2" s="1346"/>
      <c r="C2" s="1346"/>
      <c r="D2" s="286"/>
      <c r="E2" s="1018"/>
      <c r="F2" s="1018"/>
      <c r="G2" s="1018"/>
      <c r="H2" s="1018"/>
      <c r="I2" s="358">
        <f>Intranet!A2</f>
        <v>1</v>
      </c>
      <c r="J2" s="361"/>
      <c r="L2" s="362"/>
      <c r="M2" s="362"/>
      <c r="N2" s="362"/>
      <c r="O2" s="362"/>
      <c r="P2" s="362"/>
    </row>
    <row r="3" spans="1:16" ht="15.75" customHeight="1" x14ac:dyDescent="0.25">
      <c r="A3" s="1346"/>
      <c r="B3" s="1346"/>
      <c r="C3" s="1346"/>
      <c r="D3" s="286"/>
      <c r="E3" s="1018"/>
      <c r="F3" s="1018"/>
      <c r="G3" s="1018"/>
      <c r="H3" s="1018"/>
      <c r="I3" s="358"/>
      <c r="J3" s="361"/>
      <c r="L3" s="362"/>
      <c r="M3" s="362"/>
      <c r="N3" s="362"/>
      <c r="O3" s="362"/>
      <c r="P3" s="362"/>
    </row>
    <row r="4" spans="1:16" s="3" customFormat="1" ht="51" customHeight="1" x14ac:dyDescent="0.25">
      <c r="A4" s="8"/>
      <c r="B4" s="357" t="str">
        <f ca="1">Info!C64</f>
        <v xml:space="preserve">Initiateur </v>
      </c>
      <c r="C4" s="357"/>
      <c r="D4" s="357"/>
      <c r="E4" s="357" t="str">
        <f ca="1">Info!E64</f>
        <v>Supplémentaire</v>
      </c>
      <c r="F4" s="358"/>
      <c r="G4" s="358"/>
      <c r="H4" s="357" t="str">
        <f ca="1">Info!H64</f>
        <v>Initiateur</v>
      </c>
      <c r="I4" s="357" t="str">
        <f>'[3]2-Infos'!$K$68</f>
        <v/>
      </c>
      <c r="J4" s="363"/>
      <c r="K4" s="364"/>
      <c r="L4" s="364"/>
      <c r="M4" s="364"/>
      <c r="N4" s="364"/>
      <c r="O4" s="364"/>
    </row>
    <row r="5" spans="1:16" ht="35.25" customHeight="1" x14ac:dyDescent="0.25">
      <c r="A5" s="286"/>
      <c r="B5" s="942" t="s">
        <v>429</v>
      </c>
      <c r="C5" s="942"/>
      <c r="D5" s="1019"/>
      <c r="E5" s="358"/>
      <c r="F5" s="358"/>
      <c r="G5" s="1020"/>
      <c r="H5" s="1020"/>
      <c r="I5" s="1021"/>
      <c r="J5" s="365"/>
      <c r="K5" s="343"/>
      <c r="L5" s="343"/>
    </row>
    <row r="6" spans="1:16" ht="24.75" customHeight="1" x14ac:dyDescent="0.25">
      <c r="A6" s="286"/>
      <c r="B6" s="1022" t="str">
        <f>IF('[3]14-Résultats'!F6="M","né le","née le")</f>
        <v>née le</v>
      </c>
      <c r="C6" s="1022"/>
      <c r="D6" s="1019"/>
      <c r="E6" s="1023">
        <f>'[3]10-Inscrits'!H7</f>
        <v>34212</v>
      </c>
      <c r="F6" s="1024"/>
      <c r="G6" s="1020"/>
      <c r="H6" s="1020"/>
      <c r="I6" s="1022"/>
      <c r="K6" s="343"/>
      <c r="L6" s="343"/>
    </row>
    <row r="7" spans="1:16" ht="20.25" customHeight="1" x14ac:dyDescent="0.25">
      <c r="A7" s="286"/>
      <c r="B7" s="1025" t="s">
        <v>430</v>
      </c>
      <c r="C7" s="1025"/>
      <c r="D7" s="1025"/>
      <c r="E7" s="1026">
        <f>'[3]10-Inscrits'!W7</f>
        <v>0</v>
      </c>
      <c r="F7" s="1026"/>
      <c r="G7" s="1027"/>
      <c r="H7" s="1027"/>
      <c r="I7" s="1022"/>
    </row>
    <row r="8" spans="1:16" x14ac:dyDescent="0.25">
      <c r="A8" s="286"/>
      <c r="B8" s="1025"/>
      <c r="C8" s="1025"/>
      <c r="D8" s="1025"/>
      <c r="E8" s="1026" t="str">
        <f>IF('[3]10-Inscrits'!X7=0,"",'[3]10-Inscrits'!X7)</f>
        <v/>
      </c>
      <c r="F8" s="1026"/>
      <c r="G8" s="1028"/>
      <c r="H8" s="1028"/>
      <c r="I8" s="1022"/>
    </row>
    <row r="9" spans="1:16" x14ac:dyDescent="0.25">
      <c r="A9" s="286"/>
      <c r="B9" s="1025"/>
      <c r="C9" s="1025"/>
      <c r="D9" s="1025"/>
      <c r="E9" s="1029">
        <f>'[3]10-Inscrits'!Y7</f>
        <v>0</v>
      </c>
      <c r="F9" s="1029">
        <f>'[3]10-Inscrits'!Z7</f>
        <v>0</v>
      </c>
      <c r="G9" s="1030"/>
      <c r="H9" s="1030"/>
      <c r="I9" s="1022"/>
    </row>
    <row r="10" spans="1:16" s="3" customFormat="1" ht="24" customHeight="1" x14ac:dyDescent="0.25">
      <c r="A10" s="8"/>
      <c r="B10" s="1031" t="s">
        <v>431</v>
      </c>
      <c r="C10" s="1031"/>
      <c r="D10" s="1032"/>
      <c r="E10" s="1031">
        <f>'[3]10-Inscrits'!B7</f>
        <v>0</v>
      </c>
      <c r="F10" s="1030"/>
      <c r="G10" s="1030"/>
      <c r="H10" s="1030"/>
      <c r="I10" s="1033"/>
    </row>
    <row r="11" spans="1:16" s="360" customFormat="1" ht="21" customHeight="1" x14ac:dyDescent="0.25">
      <c r="A11" s="1034"/>
      <c r="B11" s="1035" t="str">
        <f>IF(I11="0","","Club :")</f>
        <v>Club :</v>
      </c>
      <c r="C11" s="1035"/>
      <c r="D11" s="358"/>
      <c r="E11" s="1036">
        <f>'[3]10-Inscrits'!E7</f>
        <v>0</v>
      </c>
      <c r="F11" s="357"/>
      <c r="G11" s="357"/>
      <c r="H11" s="357"/>
      <c r="I11" s="1036">
        <f>'[3]10-Inscrits'!F7</f>
        <v>0</v>
      </c>
    </row>
    <row r="12" spans="1:16" s="3" customFormat="1" ht="34.5" customHeight="1" x14ac:dyDescent="0.25">
      <c r="A12" s="8"/>
      <c r="B12" s="1033" t="s">
        <v>432</v>
      </c>
      <c r="C12" s="1033"/>
      <c r="D12" s="1033"/>
      <c r="E12" s="1033"/>
      <c r="F12" s="1033"/>
      <c r="G12" s="1033"/>
      <c r="H12" s="1037"/>
      <c r="I12" s="1033">
        <f>Info!B34</f>
        <v>1946</v>
      </c>
    </row>
    <row r="13" spans="1:16" ht="17.25" customHeight="1" x14ac:dyDescent="0.25">
      <c r="A13" s="286"/>
      <c r="B13" s="1038"/>
      <c r="C13" s="1038"/>
      <c r="D13" s="1038"/>
      <c r="E13" s="1359" t="str">
        <f>'[3]2-Infos'!$C$9</f>
        <v>Perfectionnement</v>
      </c>
      <c r="F13" s="1359"/>
      <c r="G13" s="1359" t="str">
        <f>Info!C9</f>
        <v>Perfectionnement</v>
      </c>
      <c r="H13" s="1359"/>
      <c r="I13" s="1359"/>
    </row>
    <row r="14" spans="1:16" ht="18" customHeight="1" x14ac:dyDescent="0.25">
      <c r="A14" s="286"/>
      <c r="B14" s="1038"/>
      <c r="C14" s="1038"/>
      <c r="D14" s="1038"/>
      <c r="E14" s="1360" t="str">
        <f>'[3]2-Infos'!$G$17</f>
        <v>Niveau visé</v>
      </c>
      <c r="F14" s="1360"/>
      <c r="G14" s="1360" t="str">
        <f>Info!C17</f>
        <v>Niveau 2</v>
      </c>
      <c r="H14" s="1360"/>
      <c r="I14" s="1360"/>
    </row>
    <row r="15" spans="1:16" ht="21.75" customHeight="1" x14ac:dyDescent="0.25">
      <c r="A15" s="286"/>
      <c r="B15" s="1022"/>
      <c r="C15" s="1022"/>
      <c r="D15" s="1039" t="s">
        <v>433</v>
      </c>
      <c r="E15" s="1040">
        <f>Info!B41</f>
        <v>44576</v>
      </c>
      <c r="F15" s="1039" t="str">
        <f>IF('[3]2-Infos'!$B$42='[3]2-Infos'!$B$50,"","au")</f>
        <v>au</v>
      </c>
      <c r="G15" s="1351">
        <f>Info!B49</f>
        <v>44583</v>
      </c>
      <c r="H15" s="1351"/>
      <c r="I15" s="1023"/>
      <c r="K15" s="366"/>
      <c r="L15" s="366"/>
      <c r="M15" s="367"/>
    </row>
    <row r="16" spans="1:16" ht="21" customHeight="1" x14ac:dyDescent="0.25">
      <c r="A16" s="286"/>
      <c r="B16" s="1022"/>
      <c r="C16" s="1022"/>
      <c r="D16" s="1030" t="s">
        <v>434</v>
      </c>
      <c r="E16" s="1352" t="str">
        <f>Info!F41</f>
        <v>Ailefroide</v>
      </c>
      <c r="F16" s="1352"/>
      <c r="G16" s="1041"/>
      <c r="H16" s="1041"/>
      <c r="I16" s="1041"/>
      <c r="N16" s="140"/>
    </row>
    <row r="17" spans="1:15" ht="23.25" customHeight="1" x14ac:dyDescent="0.25">
      <c r="A17" s="286"/>
      <c r="B17" s="1022" t="str">
        <f>IF($E$13="Avec validation","Suite à l'évaluation effectuée, le niveau visé par","A l'issue du stage, le niveau visé par")</f>
        <v>A l'issue du stage, le niveau visé par</v>
      </c>
      <c r="C17" s="1022"/>
      <c r="D17" s="1022"/>
      <c r="E17" s="1042"/>
      <c r="F17" s="1043"/>
      <c r="G17" s="1043"/>
      <c r="H17" s="1043"/>
      <c r="I17" s="1044"/>
    </row>
    <row r="18" spans="1:15" s="3" customFormat="1" ht="25.5" customHeight="1" x14ac:dyDescent="0.25">
      <c r="A18" s="8"/>
      <c r="B18" s="1045"/>
      <c r="C18" s="1045"/>
      <c r="D18" s="1033"/>
      <c r="E18" s="1046">
        <f>E5</f>
        <v>0</v>
      </c>
      <c r="F18" s="1046">
        <f>F5</f>
        <v>0</v>
      </c>
      <c r="G18" s="1046"/>
      <c r="H18" s="1046"/>
      <c r="I18" s="1047"/>
    </row>
    <row r="19" spans="1:15" s="3" customFormat="1" ht="15" customHeight="1" x14ac:dyDescent="0.25">
      <c r="A19" s="8"/>
      <c r="B19" s="1033" t="str">
        <f>IF($E$14="Avec validation","a été","")</f>
        <v/>
      </c>
      <c r="C19" s="1033"/>
      <c r="D19" s="1033" t="str">
        <f>IF($E$14="Avec validation",'[3]14-Résultats'!H6,"")</f>
        <v/>
      </c>
      <c r="E19" s="1045"/>
      <c r="F19" s="1042"/>
      <c r="G19" s="1048"/>
      <c r="H19" s="1033"/>
      <c r="I19" s="1049"/>
      <c r="J19" s="363"/>
    </row>
    <row r="20" spans="1:15" ht="45" customHeight="1" x14ac:dyDescent="0.25">
      <c r="A20" s="286"/>
      <c r="B20" s="1050" t="str">
        <f>IF($E$14="Niveau visé","peut être estimé","")</f>
        <v>peut être estimé</v>
      </c>
      <c r="C20" s="1022"/>
      <c r="D20" s="1022"/>
      <c r="E20" s="1050" t="str">
        <f>IF($E$14="Niveau visé",'[3]14-Résultats'!H7,"")</f>
        <v>globalement atteint</v>
      </c>
      <c r="F20" s="1043"/>
      <c r="G20" s="1051" t="str">
        <f>IF($E$14="Niveau visé","(sans évaluation formalisée)","")</f>
        <v>(sans évaluation formalisée)</v>
      </c>
      <c r="H20" s="1051"/>
      <c r="I20" s="1051"/>
    </row>
    <row r="21" spans="1:15" s="161" customFormat="1" x14ac:dyDescent="0.25">
      <c r="A21" s="767"/>
      <c r="B21" s="1026" t="s">
        <v>435</v>
      </c>
      <c r="C21" s="1026"/>
      <c r="D21" s="1353">
        <f>Info!B49</f>
        <v>44583</v>
      </c>
      <c r="E21" s="1353"/>
      <c r="F21" s="1353"/>
      <c r="G21" s="1354"/>
      <c r="H21" s="1354"/>
      <c r="I21" s="1354"/>
    </row>
    <row r="22" spans="1:15" s="3" customFormat="1" ht="30" customHeight="1" x14ac:dyDescent="0.25">
      <c r="A22" s="1052"/>
      <c r="B22" s="1053" t="s">
        <v>436</v>
      </c>
      <c r="C22" s="1053" t="str">
        <f ca="1">H4</f>
        <v>Initiateur</v>
      </c>
      <c r="D22" s="1053"/>
      <c r="E22" s="1033"/>
      <c r="F22" s="1033"/>
      <c r="G22" s="1033"/>
      <c r="H22" s="1033"/>
      <c r="I22" s="1033"/>
    </row>
    <row r="23" spans="1:15" ht="37.5" customHeight="1" x14ac:dyDescent="0.3">
      <c r="A23" s="1054"/>
      <c r="B23" s="1355" t="s">
        <v>439</v>
      </c>
      <c r="C23" s="1356"/>
      <c r="D23" s="1356"/>
      <c r="E23" s="1356"/>
      <c r="F23" s="1356"/>
      <c r="G23" s="1356"/>
      <c r="H23" s="1356"/>
      <c r="I23" s="1356"/>
      <c r="J23" s="368"/>
      <c r="K23" s="368"/>
      <c r="L23" s="368"/>
      <c r="M23" s="368"/>
      <c r="N23" s="368"/>
      <c r="O23" s="368"/>
    </row>
    <row r="24" spans="1:15" ht="23.25" customHeight="1" x14ac:dyDescent="0.25">
      <c r="A24" s="1055"/>
      <c r="B24" s="1336" t="s">
        <v>437</v>
      </c>
      <c r="C24" s="1357"/>
      <c r="D24" s="1357"/>
      <c r="E24" s="1357"/>
      <c r="F24" s="1357"/>
      <c r="G24" s="1357"/>
      <c r="H24" s="1357"/>
      <c r="I24" s="1357"/>
      <c r="J24" s="368"/>
      <c r="K24" s="368"/>
      <c r="L24" s="368"/>
      <c r="M24" s="368"/>
      <c r="N24" s="368"/>
      <c r="O24" s="368"/>
    </row>
    <row r="25" spans="1:15" ht="36" customHeight="1" x14ac:dyDescent="0.25">
      <c r="A25" s="1056"/>
      <c r="B25" s="1349" t="s">
        <v>440</v>
      </c>
      <c r="C25" s="1349"/>
      <c r="D25" s="1349"/>
      <c r="E25" s="1349"/>
      <c r="F25" s="1349"/>
      <c r="G25" s="1349"/>
      <c r="H25" s="1349"/>
      <c r="I25" s="1349"/>
      <c r="J25" s="368"/>
      <c r="K25" s="368"/>
      <c r="L25" s="368"/>
      <c r="M25" s="368"/>
      <c r="N25" s="368"/>
      <c r="O25" s="368"/>
    </row>
    <row r="26" spans="1:15" x14ac:dyDescent="0.25">
      <c r="A26" s="286"/>
      <c r="B26" s="286"/>
      <c r="C26" s="286"/>
      <c r="D26" s="286"/>
      <c r="E26" s="286"/>
      <c r="F26" s="286"/>
      <c r="G26" s="286"/>
      <c r="H26" s="286"/>
      <c r="I26" s="286"/>
    </row>
    <row r="27" spans="1:15" ht="69" customHeight="1" x14ac:dyDescent="0.25">
      <c r="A27" s="382"/>
      <c r="B27" s="382"/>
      <c r="C27" s="1345" t="s">
        <v>442</v>
      </c>
      <c r="D27" s="1345"/>
      <c r="E27" s="1345"/>
      <c r="F27" s="1345"/>
      <c r="G27" s="1345"/>
      <c r="H27" s="1057"/>
      <c r="I27" s="382"/>
      <c r="J27" s="1338" t="s">
        <v>458</v>
      </c>
      <c r="K27" s="1338"/>
      <c r="L27" s="1338"/>
      <c r="M27" s="1338"/>
      <c r="N27" s="1338"/>
    </row>
    <row r="28" spans="1:15" ht="25.5" customHeight="1" x14ac:dyDescent="0.25">
      <c r="A28" s="382"/>
      <c r="B28" s="382"/>
      <c r="C28" s="378"/>
      <c r="D28" s="1058" t="s">
        <v>443</v>
      </c>
      <c r="E28" s="1059">
        <f>'Base Previ'!D15</f>
        <v>44576</v>
      </c>
      <c r="F28" s="1060">
        <f>'Base Previ'!D11</f>
        <v>1946</v>
      </c>
      <c r="G28" s="1061"/>
      <c r="H28" s="380"/>
      <c r="I28" s="382"/>
      <c r="J28" s="1338"/>
      <c r="K28" s="1338"/>
      <c r="L28" s="1338"/>
      <c r="M28" s="1338"/>
      <c r="N28" s="1338"/>
    </row>
    <row r="29" spans="1:15" ht="39" customHeight="1" x14ac:dyDescent="0.25">
      <c r="A29" s="1346"/>
      <c r="B29" s="1346"/>
      <c r="C29" s="1347" t="s">
        <v>444</v>
      </c>
      <c r="D29" s="1347"/>
      <c r="E29" s="1347"/>
      <c r="F29" s="1347"/>
      <c r="G29" s="1347"/>
      <c r="H29" s="382"/>
      <c r="I29" s="382"/>
      <c r="J29" s="368"/>
      <c r="K29" s="368"/>
      <c r="L29" s="368"/>
      <c r="M29" s="368"/>
      <c r="N29" s="368"/>
    </row>
    <row r="30" spans="1:15" ht="15" customHeight="1" x14ac:dyDescent="0.25">
      <c r="A30" s="1346"/>
      <c r="B30" s="1346"/>
      <c r="C30" s="1348" t="s">
        <v>445</v>
      </c>
      <c r="D30" s="1348"/>
      <c r="E30" s="1348"/>
      <c r="F30" s="1348"/>
      <c r="G30" s="1348"/>
      <c r="H30" s="382"/>
      <c r="I30" s="382"/>
      <c r="J30" s="368"/>
      <c r="K30" s="368"/>
      <c r="L30" s="368"/>
      <c r="M30" s="368"/>
      <c r="N30" s="368"/>
    </row>
    <row r="31" spans="1:15" ht="22.5" customHeight="1" x14ac:dyDescent="0.25">
      <c r="A31" s="382"/>
      <c r="B31" s="382"/>
      <c r="C31" s="378"/>
      <c r="D31" s="379" t="s">
        <v>446</v>
      </c>
      <c r="E31" s="643">
        <f>F28</f>
        <v>1946</v>
      </c>
      <c r="F31" s="380"/>
      <c r="G31" s="381"/>
      <c r="H31" s="1062"/>
      <c r="I31" s="382"/>
      <c r="J31" s="368"/>
      <c r="K31" s="368"/>
      <c r="L31" s="368"/>
      <c r="M31" s="368"/>
      <c r="N31" s="368"/>
    </row>
    <row r="32" spans="1:15" ht="26.25" customHeight="1" x14ac:dyDescent="0.25">
      <c r="A32" s="382"/>
      <c r="B32" s="382"/>
      <c r="C32" s="382"/>
      <c r="D32" s="383" t="str">
        <f>'[3]2-Infos'!$C$9</f>
        <v>Perfectionnement</v>
      </c>
      <c r="E32" s="384" t="str">
        <f>'[3]2-Infos'!$C$13</f>
        <v>Alpinisme</v>
      </c>
      <c r="F32" s="382"/>
      <c r="G32" s="382"/>
      <c r="H32" s="1062"/>
      <c r="I32" s="382"/>
      <c r="J32" s="368"/>
      <c r="K32" s="368"/>
      <c r="L32" s="368"/>
      <c r="M32" s="368"/>
      <c r="N32" s="368"/>
    </row>
    <row r="33" spans="1:14" ht="20.25" customHeight="1" x14ac:dyDescent="0.25">
      <c r="A33" s="382"/>
      <c r="B33" s="382"/>
      <c r="C33" s="382"/>
      <c r="D33" s="385" t="str">
        <f>'[3]2-Infos'!$G$17</f>
        <v>Niveau visé</v>
      </c>
      <c r="E33" s="386" t="str">
        <f>Info!C17</f>
        <v>Niveau 2</v>
      </c>
      <c r="F33" s="382"/>
      <c r="G33" s="382"/>
      <c r="H33" s="1062"/>
      <c r="I33" s="382"/>
      <c r="J33" s="390"/>
      <c r="K33" s="390"/>
      <c r="L33" s="391"/>
      <c r="M33" s="368"/>
      <c r="N33" s="368"/>
    </row>
    <row r="34" spans="1:14" ht="21" customHeight="1" x14ac:dyDescent="0.25">
      <c r="A34" s="382"/>
      <c r="B34" s="382"/>
      <c r="C34" s="1063" t="s">
        <v>433</v>
      </c>
      <c r="D34" s="1064">
        <f>'Base Previ'!D15:E15</f>
        <v>44576</v>
      </c>
      <c r="E34" s="1063" t="str">
        <f>IF('[3]4-BASES PREVI'!D$17=1,"","au")</f>
        <v>au</v>
      </c>
      <c r="F34" s="1339">
        <f>'Base Previ'!D16</f>
        <v>44583</v>
      </c>
      <c r="G34" s="1339"/>
      <c r="H34" s="1065"/>
      <c r="I34" s="382"/>
      <c r="J34" s="392"/>
      <c r="K34" s="392"/>
      <c r="L34" s="367"/>
      <c r="M34" s="368"/>
      <c r="N34" s="368"/>
    </row>
    <row r="35" spans="1:14" s="360" customFormat="1" ht="22.5" customHeight="1" x14ac:dyDescent="0.2">
      <c r="A35" s="382"/>
      <c r="B35" s="382"/>
      <c r="C35" s="1066" t="s">
        <v>434</v>
      </c>
      <c r="D35" s="1340" t="str">
        <f>Info!F49</f>
        <v>Ailefroide</v>
      </c>
      <c r="E35" s="1340"/>
      <c r="F35" s="1067"/>
      <c r="G35" s="1067"/>
      <c r="H35" s="1067"/>
      <c r="I35" s="382"/>
      <c r="J35" s="368"/>
      <c r="K35" s="368"/>
      <c r="L35" s="368"/>
      <c r="M35" s="393"/>
      <c r="N35" s="368"/>
    </row>
    <row r="36" spans="1:14" ht="24.75" customHeight="1" x14ac:dyDescent="0.25">
      <c r="A36" s="1068"/>
      <c r="B36" s="1069" t="s">
        <v>447</v>
      </c>
      <c r="C36" s="1070"/>
      <c r="D36" s="1062">
        <f>'[3]9-Intranet'!D$4</f>
        <v>0</v>
      </c>
      <c r="E36" s="1062"/>
      <c r="F36" s="1062"/>
      <c r="G36" s="1062"/>
      <c r="H36" s="1071"/>
      <c r="I36" s="1068"/>
      <c r="J36" s="387"/>
      <c r="K36" s="387"/>
      <c r="L36" s="387"/>
      <c r="M36" s="387"/>
      <c r="N36" s="387"/>
    </row>
    <row r="37" spans="1:14" ht="27.75" customHeight="1" x14ac:dyDescent="0.25">
      <c r="A37" s="382"/>
      <c r="B37" s="1069" t="s">
        <v>448</v>
      </c>
      <c r="C37" s="1072"/>
      <c r="D37" s="1062" t="str">
        <f>'[3]9-Intranet'!C$4</f>
        <v>Philippe</v>
      </c>
      <c r="E37" s="1062" t="str">
        <f>'[3]9-Intranet'!B$4</f>
        <v>Gassan</v>
      </c>
      <c r="F37" s="1073"/>
      <c r="G37" s="1073"/>
      <c r="H37" s="1074"/>
      <c r="I37" s="382"/>
      <c r="J37" s="368"/>
      <c r="K37" s="368"/>
      <c r="L37" s="368"/>
      <c r="M37" s="368"/>
      <c r="N37" s="368"/>
    </row>
    <row r="38" spans="1:14" ht="18.75" customHeight="1" x14ac:dyDescent="0.25">
      <c r="A38" s="382"/>
      <c r="B38" s="1072"/>
      <c r="C38" s="1072"/>
      <c r="D38" s="1075">
        <f>'[3]9-Intranet'!H$4</f>
        <v>0</v>
      </c>
      <c r="E38" s="1076"/>
      <c r="F38" s="1073"/>
      <c r="G38" s="1073"/>
      <c r="H38" s="1074"/>
      <c r="I38" s="382"/>
      <c r="J38" s="368"/>
      <c r="K38" s="368"/>
      <c r="L38" s="368"/>
      <c r="M38" s="368"/>
      <c r="N38" s="368"/>
    </row>
    <row r="39" spans="1:14" x14ac:dyDescent="0.25">
      <c r="A39" s="382"/>
      <c r="B39" s="1072"/>
      <c r="C39" s="1072"/>
      <c r="D39" s="1075" t="str">
        <f>IF('[3]9-Intranet'!I$4="","",'[3]9-Intranet'!I$4)</f>
        <v/>
      </c>
      <c r="E39" s="1076"/>
      <c r="F39" s="1077"/>
      <c r="G39" s="1077"/>
      <c r="H39" s="382"/>
      <c r="I39" s="382"/>
      <c r="J39" s="368"/>
      <c r="K39" s="368"/>
      <c r="L39" s="368"/>
      <c r="M39" s="368"/>
      <c r="N39" s="368"/>
    </row>
    <row r="40" spans="1:14" ht="20.25" customHeight="1" x14ac:dyDescent="0.25">
      <c r="A40" s="382"/>
      <c r="B40" s="1072"/>
      <c r="C40" s="1072"/>
      <c r="D40" s="1078">
        <f>'[3]9-Intranet'!J$4</f>
        <v>0</v>
      </c>
      <c r="E40" s="1078">
        <f>'[3]9-Intranet'!K$4</f>
        <v>0</v>
      </c>
      <c r="F40" s="1067"/>
      <c r="G40" s="1067"/>
      <c r="H40" s="1057"/>
      <c r="I40" s="382"/>
      <c r="J40" s="368"/>
      <c r="K40" s="368"/>
      <c r="L40" s="368"/>
      <c r="M40" s="368"/>
      <c r="N40" s="368"/>
    </row>
    <row r="41" spans="1:14" s="3" customFormat="1" ht="27" customHeight="1" x14ac:dyDescent="0.25">
      <c r="A41" s="382"/>
      <c r="B41" s="1069" t="s">
        <v>431</v>
      </c>
      <c r="C41" s="1079"/>
      <c r="D41" s="1080">
        <f>'[3]9-Intranet'!A$4</f>
        <v>0</v>
      </c>
      <c r="E41" s="1067"/>
      <c r="F41" s="1067"/>
      <c r="G41" s="1067"/>
      <c r="H41" s="1057"/>
      <c r="I41" s="382"/>
      <c r="J41" s="368"/>
      <c r="K41" s="368"/>
      <c r="L41" s="368"/>
      <c r="M41" s="368"/>
      <c r="N41" s="368"/>
    </row>
    <row r="42" spans="1:14" ht="21" customHeight="1" x14ac:dyDescent="0.25">
      <c r="A42" s="1081"/>
      <c r="B42" s="1081"/>
      <c r="C42" s="1082" t="s">
        <v>449</v>
      </c>
      <c r="D42" s="1081"/>
      <c r="E42" s="1081"/>
      <c r="F42" s="1081"/>
      <c r="G42" s="1081"/>
      <c r="H42" s="1081"/>
      <c r="I42" s="1081"/>
      <c r="J42" s="388"/>
      <c r="K42" s="388"/>
      <c r="L42" s="388"/>
      <c r="M42" s="388"/>
      <c r="N42" s="388"/>
    </row>
    <row r="43" spans="1:14" ht="20.25" customHeight="1" x14ac:dyDescent="0.25">
      <c r="A43" s="382"/>
      <c r="B43" s="382"/>
      <c r="C43" s="382"/>
      <c r="D43" s="1083" t="s">
        <v>450</v>
      </c>
      <c r="E43" s="1083"/>
      <c r="F43" s="1083"/>
      <c r="G43" s="1083"/>
      <c r="H43" s="1097">
        <f ca="1">IF('Base Previ'!D210="",'Base Previ'!F200,'Base Previ'!G200)</f>
        <v>416.66666666666663</v>
      </c>
      <c r="I43" s="382"/>
      <c r="J43" s="368"/>
      <c r="K43" s="368"/>
      <c r="L43" s="368"/>
      <c r="M43" s="368"/>
    </row>
    <row r="44" spans="1:14" ht="18" customHeight="1" thickBot="1" x14ac:dyDescent="0.3">
      <c r="A44" s="382"/>
      <c r="B44" s="382"/>
      <c r="C44" s="382"/>
      <c r="D44" s="1083" t="s">
        <v>451</v>
      </c>
      <c r="E44" s="1083"/>
      <c r="F44" s="1083"/>
      <c r="G44" s="1083"/>
      <c r="H44" s="1084">
        <f>'Base Previ'!F202</f>
        <v>233.33333333333334</v>
      </c>
      <c r="I44" s="382"/>
      <c r="J44" s="368"/>
      <c r="K44" s="368"/>
      <c r="L44" s="368"/>
      <c r="M44" s="368"/>
    </row>
    <row r="45" spans="1:14" ht="18.75" customHeight="1" thickTop="1" thickBot="1" x14ac:dyDescent="0.3">
      <c r="A45" s="382"/>
      <c r="B45" s="382"/>
      <c r="C45" s="382"/>
      <c r="D45" s="1083" t="s">
        <v>452</v>
      </c>
      <c r="E45" s="382"/>
      <c r="F45" s="382"/>
      <c r="G45" s="382"/>
      <c r="H45" s="1085"/>
      <c r="I45" s="382"/>
      <c r="J45" s="368"/>
      <c r="K45" s="368"/>
      <c r="L45" s="368"/>
      <c r="M45" s="368"/>
    </row>
    <row r="46" spans="1:14" ht="21" customHeight="1" x14ac:dyDescent="0.25">
      <c r="A46" s="382"/>
      <c r="B46" s="382"/>
      <c r="C46" s="382"/>
      <c r="D46" s="1086" t="s">
        <v>453</v>
      </c>
      <c r="E46" s="382"/>
      <c r="F46" s="382"/>
      <c r="G46" s="1087"/>
      <c r="H46" s="1088"/>
      <c r="I46" s="382"/>
      <c r="J46" s="368"/>
      <c r="K46" s="368"/>
      <c r="L46" s="368"/>
      <c r="M46" s="368"/>
    </row>
    <row r="47" spans="1:14" s="3" customFormat="1" ht="21" customHeight="1" x14ac:dyDescent="0.2">
      <c r="A47" s="382"/>
      <c r="B47" s="382"/>
      <c r="C47" s="382"/>
      <c r="D47" s="1086" t="s">
        <v>454</v>
      </c>
      <c r="E47" s="382"/>
      <c r="F47" s="382"/>
      <c r="G47" s="1089"/>
      <c r="H47" s="1088">
        <f>'[3]12-Paiement'!M$7</f>
        <v>0</v>
      </c>
      <c r="I47" s="382"/>
      <c r="J47" s="368"/>
      <c r="K47" s="368"/>
      <c r="L47" s="368"/>
      <c r="M47" s="368"/>
    </row>
    <row r="48" spans="1:14" ht="20.25" customHeight="1" x14ac:dyDescent="0.25">
      <c r="A48" s="1081"/>
      <c r="B48" s="1081"/>
      <c r="C48" s="1081"/>
      <c r="D48" s="1083" t="s">
        <v>455</v>
      </c>
      <c r="E48" s="1081"/>
      <c r="F48" s="1081"/>
      <c r="G48" s="1090"/>
      <c r="H48" s="1091">
        <f>H45-H46</f>
        <v>0</v>
      </c>
      <c r="I48" s="1081"/>
      <c r="J48" s="388"/>
      <c r="K48" s="388"/>
      <c r="L48" s="388"/>
      <c r="M48" s="388"/>
    </row>
    <row r="49" spans="1:13" ht="72.75" customHeight="1" x14ac:dyDescent="0.25">
      <c r="A49" s="382"/>
      <c r="B49" s="1341" t="s">
        <v>456</v>
      </c>
      <c r="C49" s="1342"/>
      <c r="D49" s="1342"/>
      <c r="E49" s="1342"/>
      <c r="F49" s="1342"/>
      <c r="G49" s="1342"/>
      <c r="H49" s="1342"/>
      <c r="I49" s="382"/>
      <c r="J49" s="368"/>
      <c r="K49" s="368"/>
      <c r="L49" s="368"/>
      <c r="M49" s="368"/>
    </row>
    <row r="50" spans="1:13" x14ac:dyDescent="0.25">
      <c r="A50" s="382"/>
      <c r="B50" s="1092" t="s">
        <v>482</v>
      </c>
      <c r="C50" s="1093"/>
      <c r="D50" s="1092"/>
      <c r="E50" s="1092"/>
      <c r="F50" s="1343"/>
      <c r="G50" s="1343"/>
      <c r="H50" s="1343"/>
      <c r="I50" s="382"/>
      <c r="J50" s="368"/>
      <c r="K50" s="368"/>
      <c r="L50" s="368"/>
      <c r="M50" s="368"/>
    </row>
    <row r="51" spans="1:13" ht="12.75" customHeight="1" x14ac:dyDescent="0.25">
      <c r="A51" s="382"/>
      <c r="B51" s="642" t="s">
        <v>483</v>
      </c>
      <c r="C51" s="642"/>
      <c r="D51" s="642"/>
      <c r="E51" s="642"/>
      <c r="F51" s="1344"/>
      <c r="G51" s="1344"/>
      <c r="H51" s="1344"/>
      <c r="I51" s="382"/>
      <c r="J51" s="368"/>
      <c r="K51" s="368"/>
      <c r="L51" s="368"/>
      <c r="M51" s="368"/>
    </row>
    <row r="52" spans="1:13" ht="19.5" customHeight="1" x14ac:dyDescent="0.25">
      <c r="A52" s="382"/>
      <c r="B52" s="1335" t="s">
        <v>457</v>
      </c>
      <c r="C52" s="1335"/>
      <c r="D52" s="1335"/>
      <c r="E52" s="1335"/>
      <c r="F52" s="1335"/>
      <c r="G52" s="1335"/>
      <c r="H52" s="1335"/>
      <c r="I52" s="382"/>
      <c r="J52" s="368"/>
      <c r="K52" s="368"/>
      <c r="L52" s="368"/>
      <c r="M52" s="368"/>
    </row>
    <row r="53" spans="1:13" ht="15" customHeight="1" x14ac:dyDescent="0.3">
      <c r="A53" s="1054"/>
      <c r="B53" s="1094"/>
      <c r="C53" s="1094"/>
      <c r="D53" s="1094"/>
      <c r="E53" s="1095" t="str">
        <f>'[3]2-Infos'!$B$37</f>
        <v>Comité Territorial</v>
      </c>
      <c r="F53" s="1096"/>
      <c r="G53" s="1094"/>
      <c r="H53" s="1094"/>
      <c r="I53" s="382"/>
      <c r="J53" s="368"/>
      <c r="K53" s="368"/>
      <c r="L53" s="368"/>
      <c r="M53" s="368"/>
    </row>
    <row r="54" spans="1:13" ht="31.5" customHeight="1" x14ac:dyDescent="0.25">
      <c r="A54" s="389"/>
      <c r="B54" s="1336"/>
      <c r="C54" s="1336"/>
      <c r="D54" s="1336"/>
      <c r="E54" s="1336"/>
      <c r="F54" s="1336"/>
      <c r="G54" s="1336"/>
      <c r="H54" s="1336"/>
      <c r="I54" s="382"/>
      <c r="J54" s="368"/>
      <c r="K54" s="368"/>
      <c r="L54" s="368"/>
      <c r="M54" s="368"/>
    </row>
    <row r="55" spans="1:13" ht="30.75" customHeight="1" x14ac:dyDescent="0.25">
      <c r="A55" s="1056"/>
      <c r="B55" s="1337"/>
      <c r="C55" s="1337"/>
      <c r="D55" s="1337"/>
      <c r="E55" s="1337"/>
      <c r="F55" s="1337"/>
      <c r="G55" s="1337"/>
      <c r="H55" s="1337"/>
      <c r="I55" s="382"/>
      <c r="J55" s="368"/>
      <c r="K55" s="368"/>
      <c r="L55" s="368"/>
      <c r="M55" s="368"/>
    </row>
  </sheetData>
  <mergeCells count="29">
    <mergeCell ref="B25:I25"/>
    <mergeCell ref="K1:O1"/>
    <mergeCell ref="G15:H15"/>
    <mergeCell ref="E16:F16"/>
    <mergeCell ref="D21:F21"/>
    <mergeCell ref="G21:I21"/>
    <mergeCell ref="B23:I23"/>
    <mergeCell ref="B24:I24"/>
    <mergeCell ref="D1:H1"/>
    <mergeCell ref="A2:C2"/>
    <mergeCell ref="A3:C3"/>
    <mergeCell ref="E13:F13"/>
    <mergeCell ref="G13:I13"/>
    <mergeCell ref="E14:F14"/>
    <mergeCell ref="G14:I14"/>
    <mergeCell ref="B52:H52"/>
    <mergeCell ref="B54:H54"/>
    <mergeCell ref="B55:H55"/>
    <mergeCell ref="J27:N28"/>
    <mergeCell ref="F34:G34"/>
    <mergeCell ref="D35:E35"/>
    <mergeCell ref="B49:H49"/>
    <mergeCell ref="F50:H50"/>
    <mergeCell ref="F51:H51"/>
    <mergeCell ref="C27:G27"/>
    <mergeCell ref="A29:B29"/>
    <mergeCell ref="C29:G29"/>
    <mergeCell ref="A30:B30"/>
    <mergeCell ref="C30:G30"/>
  </mergeCells>
  <pageMargins left="0.7" right="0.7" top="0.75" bottom="0.75" header="0.3" footer="0.3"/>
  <pageSetup paperSize="9" scale="84" fitToHeight="0" orientation="portrait" verticalDpi="0" r:id="rId1"/>
  <rowBreaks count="1" manualBreakCount="1">
    <brk id="25" max="8" man="1"/>
  </rowBreaks>
  <colBreaks count="1" manualBreakCount="1">
    <brk id="6" max="5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Info</vt:lpstr>
      <vt:lpstr>Base Previ</vt:lpstr>
      <vt:lpstr>Budget Prévi</vt:lpstr>
      <vt:lpstr>Intranet</vt:lpstr>
      <vt:lpstr>Emargement</vt:lpstr>
      <vt:lpstr>Paiement</vt:lpstr>
      <vt:lpstr>Eval Stagiaires</vt:lpstr>
      <vt:lpstr>Bilan de stage</vt:lpstr>
      <vt:lpstr>Evaluation</vt:lpstr>
      <vt:lpstr>Base Réalisé</vt:lpstr>
      <vt:lpstr>CR FI</vt:lpstr>
      <vt:lpstr>Compta</vt:lpstr>
      <vt:lpstr>Feuil1</vt:lpstr>
      <vt:lpstr>Modele</vt:lpstr>
      <vt:lpstr>Emargement!Zone_d_impression</vt:lpstr>
      <vt:lpstr>'Eval Stagiaires'!Zone_d_impression</vt:lpstr>
      <vt:lpstr>Modele!Zone_d_impression</vt:lpstr>
      <vt:lpstr>Paiement!Zone_d_impression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UT18</dc:creator>
  <cp:lastModifiedBy>UT18</cp:lastModifiedBy>
  <cp:lastPrinted>2022-01-13T11:01:43Z</cp:lastPrinted>
  <dcterms:created xsi:type="dcterms:W3CDTF">2021-10-08T06:59:22Z</dcterms:created>
  <dcterms:modified xsi:type="dcterms:W3CDTF">2022-01-13T11:24:58Z</dcterms:modified>
</cp:coreProperties>
</file>