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codeName="ThisWorkbook"/>
  <mc:AlternateContent xmlns:mc="http://schemas.openxmlformats.org/markup-compatibility/2006">
    <mc:Choice Requires="x15">
      <x15ac:absPath xmlns:x15ac="http://schemas.microsoft.com/office/spreadsheetml/2010/11/ac" url="C:\Users\F380834\Documents\"/>
    </mc:Choice>
  </mc:AlternateContent>
  <xr:revisionPtr revIDLastSave="0" documentId="13_ncr:11_{8D322390-295C-44F5-851E-FB18C6D6A914}" xr6:coauthVersionLast="45" xr6:coauthVersionMax="45" xr10:uidLastSave="{00000000-0000-0000-0000-000000000000}"/>
  <bookViews>
    <workbookView xWindow="-110" yWindow="-110" windowWidth="19420" windowHeight="10420" tabRatio="686"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8" i="4" l="1" a="1"/>
  <c r="E8" i="4" s="1"/>
  <c r="E9" i="4" a="1"/>
  <c r="E9" i="4"/>
  <c r="E10" i="4" a="1"/>
  <c r="E10" i="4" s="1"/>
  <c r="E11" i="4" a="1"/>
  <c r="E11" i="4"/>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AH9" i="4" l="1"/>
  <c r="AH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5" l="1"/>
  <c r="AH4" i="15" l="1"/>
  <c r="C12" i="4" l="1"/>
  <c r="D12" i="4"/>
  <c r="E12" i="4"/>
  <c r="F12" i="4"/>
  <c r="G12" i="4"/>
  <c r="H12" i="4"/>
  <c r="I12" i="4"/>
  <c r="J12" i="4"/>
  <c r="K12" i="4"/>
  <c r="L12" i="4"/>
  <c r="M12" i="4"/>
  <c r="N12" i="4"/>
  <c r="O12" i="4"/>
  <c r="P12" i="4"/>
  <c r="Q12" i="4"/>
  <c r="R12" i="4"/>
  <c r="S12" i="4"/>
  <c r="T12" i="4"/>
  <c r="U12" i="4"/>
  <c r="V12" i="4"/>
  <c r="W12" i="4"/>
  <c r="X12" i="4"/>
  <c r="Y12" i="4"/>
  <c r="Z12" i="4"/>
  <c r="AA12" i="4"/>
  <c r="AB12" i="4"/>
  <c r="AC12" i="4"/>
  <c r="AD12" i="4"/>
  <c r="AE12" i="4"/>
  <c r="AF12" i="4"/>
  <c r="AG12" i="4"/>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12" i="4"/>
  <c r="AH11" i="5" l="1"/>
  <c r="AH10" i="5"/>
  <c r="AH9" i="5"/>
  <c r="AH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7" i="4"/>
  <c r="AH8" i="4"/>
  <c r="AH12" i="4"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<sst xmlns="http://schemas.openxmlformats.org/spreadsheetml/2006/main" count="651" uniqueCount="83">
  <si>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</si>
  <si>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</si>
  <si>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</si>
  <si>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</si>
  <si>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</si>
  <si>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</si>
  <si>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</si>
  <si>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</si>
  <si>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</si>
  <si>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</si>
  <si>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</si>
  <si>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</si>
  <si>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</si>
  <si>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</si>
  <si>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</si>
  <si>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</si>
  <si>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</si>
  <si>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</si>
  <si>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</si>
  <si>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</si>
  <si>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</si>
  <si>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</si>
  <si>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</si>
  <si>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</si>
  <si>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</si>
  <si>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</si>
  <si>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</si>
  <si>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</si>
  <si>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</si>
  <si>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</si>
  <si>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</si>
  <si>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</si>
  <si>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</si>
  <si>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</si>
  <si>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</si>
  <si>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</si>
  <si>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</si>
  <si>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</si>
  <si>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</si>
  <si>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</si>
  <si>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</si>
  <si>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</si>
  <si>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</si>
  <si>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</si>
  <si>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</si>
  <si>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</si>
  <si>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</si>
  <si>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</si>
  <si>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</si>
  <si>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</si>
  <si>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</si>
  <si>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</si>
  <si>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</si>
  <si>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</si>
  <si>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</si>
  <si>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</si>
  <si>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</si>
  <si>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</si>
  <si>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</si>
  <si>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</si>
  <si>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</si>
  <si>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</si>
  <si>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</si>
  <si>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</si>
  <si>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CALENDRIER PLV</t>
  </si>
  <si>
    <t xml:space="preserve">NOMS </t>
  </si>
  <si>
    <t>SA</t>
  </si>
  <si>
    <t>SAMUEL</t>
  </si>
  <si>
    <t>J</t>
  </si>
  <si>
    <t>JULIE</t>
  </si>
  <si>
    <t>T</t>
  </si>
  <si>
    <t>THIBAULt</t>
  </si>
  <si>
    <t>L</t>
  </si>
  <si>
    <t xml:space="preserve"> LUCAS</t>
  </si>
  <si>
    <t>A</t>
  </si>
  <si>
    <t>Aurore</t>
  </si>
  <si>
    <t>S</t>
  </si>
  <si>
    <t>Siriane</t>
  </si>
  <si>
    <t>Produit 1 2M</t>
  </si>
  <si>
    <t>Produit 2 2M</t>
  </si>
  <si>
    <t>Produit 3 2M</t>
  </si>
  <si>
    <t>Produit 1 3M</t>
  </si>
  <si>
    <t>ARCHE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</si>
</sst>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E462E1"/>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27">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xf numFmtId="166" fontId="2" fillId="33" borderId="0" xfId="24" applyNumberFormat="1" applyFont="1" applyFill="1" applyAlignment="1" applyProtection="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4">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protection locked="1" hidden="0"/>
    </dxf>
    <dxf>
      <numFmt numFmtId="0" formatCode="General"/>
      <protection locked="1" hidden="0"/>
    </dxf>
    <dxf>
      <protection locked="1" hidden="0"/>
    </dxf>
    <dxf>
      <fill>
        <patternFill patternType="none">
          <fgColor indexed="64"/>
          <bgColor indexed="65"/>
        </patternFill>
      </fill>
    </dxf>
    <dxf>
      <font>
        <color theme="1"/>
      </font>
      <fill>
        <patternFill>
          <bgColor theme="8" tint="0.59996337778862885"/>
        </patternFill>
      </fill>
    </dxf>
    <dxf>
      <font>
        <color theme="1"/>
      </font>
      <fill>
        <patternFill>
          <bgColor theme="7" tint="0.59996337778862885"/>
        </patternFill>
      </fill>
    </dxf>
    <dxf>
      <font>
        <color theme="1"/>
      </font>
      <fill>
        <patternFill>
          <bgColor theme="6" tint="0.39994506668294322"/>
        </patternFill>
      </fill>
    </dxf>
    <dxf>
      <font>
        <color theme="1"/>
      </font>
      <fill>
        <patternFill>
          <bgColor theme="5" tint="0.59996337778862885"/>
        </patternFill>
      </fill>
    </dxf>
    <dxf>
      <font>
        <color theme="1"/>
      </font>
      <fill>
        <patternFill>
          <bgColor theme="4" tint="0.39994506668294322"/>
        </patternFill>
      </fill>
    </dxf>
    <dxf>
      <fill>
        <patternFill>
          <bgColor rgb="FFFF00FF"/>
        </patternFill>
      </fill>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3"/>
      <tableStyleElement type="headerRow" dxfId="902"/>
      <tableStyleElement type="totalRow" dxfId="901"/>
      <tableStyleElement type="firstColumn" dxfId="900"/>
      <tableStyleElement type="lastColumn" dxfId="899"/>
      <tableStyleElement type="firstRowStripe" dxfId="898"/>
      <tableStyleElement type="secondRowStripe" dxfId="897"/>
      <tableStyleElement type="firstColumnStripe" dxfId="896"/>
      <tableStyleElement type="secondColumnStripe" dxfId="895"/>
      <tableStyleElement type="firstHeaderCell" dxfId="894"/>
      <tableStyleElement type="lastHeaderCell" dxfId="893"/>
      <tableStyleElement type="firstTotalCell" dxfId="892"/>
      <tableStyleElement type="lastTotalCell" dxfId="891"/>
    </tableStyle>
  </tableStyles>
  <colors>
    <mruColors>
      <color rgb="FFFF00FF"/>
      <color rgb="FFE462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2" totalsRowCount="1" headerRowDxfId="890" dataDxfId="889" totalsRowDxfId="888">
  <autoFilter ref="B6:AH1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64" totalsRowDxfId="32" dataCellStyle="Employé">
      <totalsRowFormula>NomMois&amp;" Total"</totalsRowFormula>
    </tableColumn>
    <tableColumn id="2" xr3:uid="{00000000-0010-0000-0000-000002000000}" name="1" totalsRowFunction="custom" dataDxfId="63" totalsRowDxfId="31">
      <totalsRowFormula>SUBTOTAL(103,Janvier!$C$7:$C$11)</totalsRowFormula>
    </tableColumn>
    <tableColumn id="3" xr3:uid="{00000000-0010-0000-0000-000003000000}" name="2" totalsRowFunction="custom" dataDxfId="62" totalsRowDxfId="30">
      <totalsRowFormula>SUBTOTAL(103,Janvier!$D$7:$D$11)</totalsRowFormula>
    </tableColumn>
    <tableColumn id="4" xr3:uid="{00000000-0010-0000-0000-000004000000}" name="3" totalsRowFunction="custom" dataDxfId="61" totalsRowDxfId="29">
      <calculatedColumnFormula array="1">IF(ISBLANK(Janvier[[#This Row],[2]]),"",X)</calculatedColumnFormula>
      <totalsRowFormula>SUBTOTAL(103,Janvier!$E$7:$E$11)</totalsRowFormula>
    </tableColumn>
    <tableColumn id="5" xr3:uid="{00000000-0010-0000-0000-000005000000}" name="4" totalsRowFunction="custom" dataDxfId="60" totalsRowDxfId="28">
      <totalsRowFormula>SUBTOTAL(103,Janvier!$F$7:$F$11)</totalsRowFormula>
    </tableColumn>
    <tableColumn id="6" xr3:uid="{00000000-0010-0000-0000-000006000000}" name="5" totalsRowFunction="custom" totalsRowDxfId="27">
      <totalsRowFormula>SUBTOTAL(103,Janvier!$G$7:$G$11)</totalsRowFormula>
    </tableColumn>
    <tableColumn id="7" xr3:uid="{00000000-0010-0000-0000-000007000000}" name="6" totalsRowFunction="custom" dataDxfId="59" totalsRowDxfId="26">
      <totalsRowFormula>SUBTOTAL(103,Janvier!$H$7:$H$11)</totalsRowFormula>
    </tableColumn>
    <tableColumn id="8" xr3:uid="{00000000-0010-0000-0000-000008000000}" name="7" totalsRowFunction="custom" dataDxfId="58" totalsRowDxfId="25">
      <totalsRowFormula>SUBTOTAL(103,Janvier!$I$7:$I$11)</totalsRowFormula>
    </tableColumn>
    <tableColumn id="9" xr3:uid="{00000000-0010-0000-0000-000009000000}" name="8" totalsRowFunction="custom" dataDxfId="57" totalsRowDxfId="24">
      <totalsRowFormula>SUBTOTAL(103,Janvier!$J$7:$J$11)</totalsRowFormula>
    </tableColumn>
    <tableColumn id="10" xr3:uid="{00000000-0010-0000-0000-00000A000000}" name="9" totalsRowFunction="custom" dataDxfId="56" totalsRowDxfId="23">
      <totalsRowFormula>SUBTOTAL(103,Janvier!$K$7:$K$11)</totalsRowFormula>
    </tableColumn>
    <tableColumn id="11" xr3:uid="{00000000-0010-0000-0000-00000B000000}" name="10" totalsRowFunction="custom" dataDxfId="55" totalsRowDxfId="22">
      <totalsRowFormula>SUBTOTAL(103,Janvier!$L$7:$L$11)</totalsRowFormula>
    </tableColumn>
    <tableColumn id="12" xr3:uid="{00000000-0010-0000-0000-00000C000000}" name="11" totalsRowFunction="custom" dataDxfId="54" totalsRowDxfId="21">
      <totalsRowFormula>SUBTOTAL(103,Janvier!$M$7:$M$11)</totalsRowFormula>
    </tableColumn>
    <tableColumn id="13" xr3:uid="{00000000-0010-0000-0000-00000D000000}" name="12" totalsRowFunction="custom" dataDxfId="53" totalsRowDxfId="20">
      <totalsRowFormula>SUBTOTAL(103,Janvier!$N$7:$N$11)</totalsRowFormula>
    </tableColumn>
    <tableColumn id="14" xr3:uid="{00000000-0010-0000-0000-00000E000000}" name="13" totalsRowFunction="custom" dataDxfId="52" totalsRowDxfId="19">
      <totalsRowFormula>SUBTOTAL(103,Janvier!$O$7:$O$11)</totalsRowFormula>
    </tableColumn>
    <tableColumn id="15" xr3:uid="{00000000-0010-0000-0000-00000F000000}" name="14" totalsRowFunction="custom" dataDxfId="51" totalsRowDxfId="18">
      <totalsRowFormula>SUBTOTAL(103,Janvier!$P$7:$P$11)</totalsRowFormula>
    </tableColumn>
    <tableColumn id="16" xr3:uid="{00000000-0010-0000-0000-000010000000}" name="15" totalsRowFunction="custom" dataDxfId="50" totalsRowDxfId="17">
      <totalsRowFormula>SUBTOTAL(103,Janvier!$Q$7:$Q$11)</totalsRowFormula>
    </tableColumn>
    <tableColumn id="17" xr3:uid="{00000000-0010-0000-0000-000011000000}" name="16" totalsRowFunction="custom" dataDxfId="49" totalsRowDxfId="16">
      <totalsRowFormula>SUBTOTAL(103,Janvier!$R$7:$R$11)</totalsRowFormula>
    </tableColumn>
    <tableColumn id="18" xr3:uid="{00000000-0010-0000-0000-000012000000}" name="17" totalsRowFunction="custom" dataDxfId="48" totalsRowDxfId="15">
      <totalsRowFormula>SUBTOTAL(103,Janvier!$S$7:$S$11)</totalsRowFormula>
    </tableColumn>
    <tableColumn id="19" xr3:uid="{00000000-0010-0000-0000-000013000000}" name="18" totalsRowFunction="custom" dataDxfId="47" totalsRowDxfId="14">
      <totalsRowFormula>SUBTOTAL(103,Janvier!$T$7:$T$11)</totalsRowFormula>
    </tableColumn>
    <tableColumn id="20" xr3:uid="{00000000-0010-0000-0000-000014000000}" name="19" totalsRowFunction="custom" dataDxfId="46" totalsRowDxfId="13">
      <totalsRowFormula>SUBTOTAL(103,Janvier!$U$7:$U$11)</totalsRowFormula>
    </tableColumn>
    <tableColumn id="21" xr3:uid="{00000000-0010-0000-0000-000015000000}" name="20" totalsRowFunction="custom" dataDxfId="45" totalsRowDxfId="12">
      <totalsRowFormula>SUBTOTAL(103,Janvier!$V$7:$V$11)</totalsRowFormula>
    </tableColumn>
    <tableColumn id="22" xr3:uid="{00000000-0010-0000-0000-000016000000}" name="21" totalsRowFunction="custom" dataDxfId="44" totalsRowDxfId="11">
      <totalsRowFormula>SUBTOTAL(103,Janvier!$W$7:$W$11)</totalsRowFormula>
    </tableColumn>
    <tableColumn id="23" xr3:uid="{00000000-0010-0000-0000-000017000000}" name="22" totalsRowFunction="custom" dataDxfId="43" totalsRowDxfId="10">
      <totalsRowFormula>SUBTOTAL(103,Janvier!$X$7:$X$11)</totalsRowFormula>
    </tableColumn>
    <tableColumn id="24" xr3:uid="{00000000-0010-0000-0000-000018000000}" name="23" totalsRowFunction="custom" dataDxfId="42" totalsRowDxfId="9">
      <totalsRowFormula>SUBTOTAL(103,Janvier!$Y$7:$Y$11)</totalsRowFormula>
    </tableColumn>
    <tableColumn id="25" xr3:uid="{00000000-0010-0000-0000-000019000000}" name="24" totalsRowFunction="custom" dataDxfId="41" totalsRowDxfId="8">
      <totalsRowFormula>SUBTOTAL(103,Janvier!$Z$7:$Z$11)</totalsRowFormula>
    </tableColumn>
    <tableColumn id="26" xr3:uid="{00000000-0010-0000-0000-00001A000000}" name="25" totalsRowFunction="custom" dataDxfId="40" totalsRowDxfId="7">
      <totalsRowFormula>SUBTOTAL(103,Janvier!$AA$7:$AA$11)</totalsRowFormula>
    </tableColumn>
    <tableColumn id="27" xr3:uid="{00000000-0010-0000-0000-00001B000000}" name="26" totalsRowFunction="custom" dataDxfId="39" totalsRowDxfId="6">
      <totalsRowFormula>SUBTOTAL(103,Janvier!$AB$7:$AB$11)</totalsRowFormula>
    </tableColumn>
    <tableColumn id="28" xr3:uid="{00000000-0010-0000-0000-00001C000000}" name="27" totalsRowFunction="custom" dataDxfId="38" totalsRowDxfId="5">
      <totalsRowFormula>SUBTOTAL(103,Janvier!$AC$7:$AC$11)</totalsRowFormula>
    </tableColumn>
    <tableColumn id="29" xr3:uid="{00000000-0010-0000-0000-00001D000000}" name="28" totalsRowFunction="custom" dataDxfId="37" totalsRowDxfId="4">
      <totalsRowFormula>SUBTOTAL(103,Janvier!$AD$7:$AD$11)</totalsRowFormula>
    </tableColumn>
    <tableColumn id="30" xr3:uid="{00000000-0010-0000-0000-00001E000000}" name="29" totalsRowFunction="custom" dataDxfId="36" totalsRowDxfId="3">
      <totalsRowFormula>SUBTOTAL(103,Janvier!$AE$7:$AE$11)</totalsRowFormula>
    </tableColumn>
    <tableColumn id="31" xr3:uid="{00000000-0010-0000-0000-00001F000000}" name="30" totalsRowFunction="custom" dataDxfId="35" totalsRowDxfId="2">
      <totalsRowFormula>SUBTOTAL(103,Janvier!$AF$7:$AF$11)</totalsRowFormula>
    </tableColumn>
    <tableColumn id="32" xr3:uid="{00000000-0010-0000-0000-000020000000}" name="31" totalsRowFunction="custom" dataDxfId="34" totalsRowDxfId="1">
      <totalsRowFormula>SUBTOTAL(103,Janvier!$AG$7:$AG$11)</totalsRowFormula>
    </tableColumn>
    <tableColumn id="33" xr3:uid="{00000000-0010-0000-0000-000021000000}" name="Total des jours" totalsRowFunction="sum" dataDxfId="33" totalsRowDxfId="0">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80" dataDxfId="879" totalsRowDxfId="878">
  <tableColumns count="33">
    <tableColumn id="1" xr3:uid="{00000000-0010-0000-0100-000001000000}" name="Nom de l’employé" totalsRowFunction="custom" dataDxfId="877" totalsRowDxfId="876" dataCellStyle="Employé">
      <totalsRowFormula>NomMois&amp;" Total"</totalsRowFormula>
    </tableColumn>
    <tableColumn id="2" xr3:uid="{00000000-0010-0000-0100-000002000000}" name="1" totalsRowFunction="count" dataDxfId="875" totalsRowDxfId="874"/>
    <tableColumn id="3" xr3:uid="{00000000-0010-0000-0100-000003000000}" name="2" totalsRowFunction="count" dataDxfId="873" totalsRowDxfId="872"/>
    <tableColumn id="4" xr3:uid="{00000000-0010-0000-0100-000004000000}" name="3" totalsRowFunction="count" dataDxfId="871" totalsRowDxfId="870"/>
    <tableColumn id="5" xr3:uid="{00000000-0010-0000-0100-000005000000}" name="4" totalsRowFunction="count" dataDxfId="869" totalsRowDxfId="868"/>
    <tableColumn id="6" xr3:uid="{00000000-0010-0000-0100-000006000000}" name="5" totalsRowFunction="count" dataDxfId="867" totalsRowDxfId="866"/>
    <tableColumn id="7" xr3:uid="{00000000-0010-0000-0100-000007000000}" name="6" totalsRowFunction="count" dataDxfId="865" totalsRowDxfId="864"/>
    <tableColumn id="8" xr3:uid="{00000000-0010-0000-0100-000008000000}" name="7" totalsRowFunction="count" dataDxfId="863" totalsRowDxfId="862"/>
    <tableColumn id="9" xr3:uid="{00000000-0010-0000-0100-000009000000}" name="8" totalsRowFunction="count" dataDxfId="861" totalsRowDxfId="860"/>
    <tableColumn id="10" xr3:uid="{00000000-0010-0000-0100-00000A000000}" name="9" totalsRowFunction="count" dataDxfId="859" totalsRowDxfId="858"/>
    <tableColumn id="11" xr3:uid="{00000000-0010-0000-0100-00000B000000}" name="10" totalsRowFunction="count" dataDxfId="857" totalsRowDxfId="856"/>
    <tableColumn id="12" xr3:uid="{00000000-0010-0000-0100-00000C000000}" name="11" totalsRowFunction="count" dataDxfId="855" totalsRowDxfId="854"/>
    <tableColumn id="13" xr3:uid="{00000000-0010-0000-0100-00000D000000}" name="12" totalsRowFunction="count" dataDxfId="853" totalsRowDxfId="852"/>
    <tableColumn id="14" xr3:uid="{00000000-0010-0000-0100-00000E000000}" name="13" totalsRowFunction="count" dataDxfId="851" totalsRowDxfId="850"/>
    <tableColumn id="15" xr3:uid="{00000000-0010-0000-0100-00000F000000}" name="14" totalsRowFunction="count" dataDxfId="849" totalsRowDxfId="848"/>
    <tableColumn id="16" xr3:uid="{00000000-0010-0000-0100-000010000000}" name="15" totalsRowFunction="count" dataDxfId="847" totalsRowDxfId="846"/>
    <tableColumn id="17" xr3:uid="{00000000-0010-0000-0100-000011000000}" name="16" totalsRowFunction="count" dataDxfId="845" totalsRowDxfId="844"/>
    <tableColumn id="18" xr3:uid="{00000000-0010-0000-0100-000012000000}" name="17" totalsRowFunction="count" dataDxfId="843" totalsRowDxfId="842"/>
    <tableColumn id="19" xr3:uid="{00000000-0010-0000-0100-000013000000}" name="18" totalsRowFunction="count" dataDxfId="841" totalsRowDxfId="840"/>
    <tableColumn id="20" xr3:uid="{00000000-0010-0000-0100-000014000000}" name="19" totalsRowFunction="count" dataDxfId="839" totalsRowDxfId="838"/>
    <tableColumn id="21" xr3:uid="{00000000-0010-0000-0100-000015000000}" name="20" totalsRowFunction="count" dataDxfId="837" totalsRowDxfId="836"/>
    <tableColumn id="22" xr3:uid="{00000000-0010-0000-0100-000016000000}" name="21" totalsRowFunction="count" dataDxfId="835" totalsRowDxfId="834"/>
    <tableColumn id="23" xr3:uid="{00000000-0010-0000-0100-000017000000}" name="22" totalsRowFunction="count" dataDxfId="833" totalsRowDxfId="832"/>
    <tableColumn id="24" xr3:uid="{00000000-0010-0000-0100-000018000000}" name="23" totalsRowFunction="count" dataDxfId="831" totalsRowDxfId="830"/>
    <tableColumn id="25" xr3:uid="{00000000-0010-0000-0100-000019000000}" name="24" totalsRowFunction="count" dataDxfId="829" totalsRowDxfId="828"/>
    <tableColumn id="26" xr3:uid="{00000000-0010-0000-0100-00001A000000}" name="25" totalsRowFunction="count" dataDxfId="827" totalsRowDxfId="826"/>
    <tableColumn id="27" xr3:uid="{00000000-0010-0000-0100-00001B000000}" name="26" totalsRowFunction="count" dataDxfId="825" totalsRowDxfId="824"/>
    <tableColumn id="28" xr3:uid="{00000000-0010-0000-0100-00001C000000}" name="27" totalsRowFunction="count" dataDxfId="823" totalsRowDxfId="822"/>
    <tableColumn id="29" xr3:uid="{00000000-0010-0000-0100-00001D000000}" name="28" totalsRowFunction="count" dataDxfId="821" totalsRowDxfId="820"/>
    <tableColumn id="30" xr3:uid="{00000000-0010-0000-0100-00001E000000}" name="29" totalsRowFunction="count" dataDxfId="819" totalsRowDxfId="818"/>
    <tableColumn id="31" xr3:uid="{00000000-0010-0000-0100-00001F000000}" name=" " dataDxfId="817" totalsRowDxfId="816"/>
    <tableColumn id="32" xr3:uid="{00000000-0010-0000-0100-000020000000}" name="  " dataDxfId="815" totalsRowDxfId="814"/>
    <tableColumn id="33" xr3:uid="{00000000-0010-0000-0100-000021000000}" name="Total des jours" totalsRowFunction="sum" dataDxfId="813" totalsRowDxfId="812">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806" dataDxfId="805" totalsRowDxfId="804">
  <tableColumns count="33">
    <tableColumn id="1" xr3:uid="{00000000-0010-0000-0200-000001000000}" name="Nom de l’employé" totalsRowFunction="custom" dataDxfId="803" totalsRowDxfId="802" dataCellStyle="Employé">
      <totalsRowFormula>NomMois&amp;" Total"</totalsRowFormula>
    </tableColumn>
    <tableColumn id="2" xr3:uid="{00000000-0010-0000-0200-000002000000}" name="1" totalsRowFunction="count" dataDxfId="801" totalsRowDxfId="800"/>
    <tableColumn id="3" xr3:uid="{00000000-0010-0000-0200-000003000000}" name="2" totalsRowFunction="count" dataDxfId="799" totalsRowDxfId="798"/>
    <tableColumn id="4" xr3:uid="{00000000-0010-0000-0200-000004000000}" name="3" totalsRowFunction="count" dataDxfId="797" totalsRowDxfId="796"/>
    <tableColumn id="5" xr3:uid="{00000000-0010-0000-0200-000005000000}" name="4" totalsRowFunction="count" dataDxfId="795" totalsRowDxfId="794"/>
    <tableColumn id="6" xr3:uid="{00000000-0010-0000-0200-000006000000}" name="5" totalsRowFunction="count" dataDxfId="793" totalsRowDxfId="792"/>
    <tableColumn id="7" xr3:uid="{00000000-0010-0000-0200-000007000000}" name="6" totalsRowFunction="count" dataDxfId="791" totalsRowDxfId="790"/>
    <tableColumn id="8" xr3:uid="{00000000-0010-0000-0200-000008000000}" name="7" totalsRowFunction="count" dataDxfId="789" totalsRowDxfId="788"/>
    <tableColumn id="9" xr3:uid="{00000000-0010-0000-0200-000009000000}" name="8" totalsRowFunction="count" dataDxfId="787" totalsRowDxfId="786"/>
    <tableColumn id="10" xr3:uid="{00000000-0010-0000-0200-00000A000000}" name="9" totalsRowFunction="count" dataDxfId="785" totalsRowDxfId="784"/>
    <tableColumn id="11" xr3:uid="{00000000-0010-0000-0200-00000B000000}" name="10" totalsRowFunction="count" dataDxfId="783" totalsRowDxfId="782"/>
    <tableColumn id="12" xr3:uid="{00000000-0010-0000-0200-00000C000000}" name="11" totalsRowFunction="count" dataDxfId="781" totalsRowDxfId="780"/>
    <tableColumn id="13" xr3:uid="{00000000-0010-0000-0200-00000D000000}" name="12" totalsRowFunction="count" dataDxfId="779" totalsRowDxfId="778"/>
    <tableColumn id="14" xr3:uid="{00000000-0010-0000-0200-00000E000000}" name="13" totalsRowFunction="count" dataDxfId="777" totalsRowDxfId="776"/>
    <tableColumn id="15" xr3:uid="{00000000-0010-0000-0200-00000F000000}" name="14" totalsRowFunction="count" dataDxfId="775" totalsRowDxfId="774"/>
    <tableColumn id="16" xr3:uid="{00000000-0010-0000-0200-000010000000}" name="15" totalsRowFunction="count" dataDxfId="773" totalsRowDxfId="772"/>
    <tableColumn id="17" xr3:uid="{00000000-0010-0000-0200-000011000000}" name="16" totalsRowFunction="count" dataDxfId="771" totalsRowDxfId="770"/>
    <tableColumn id="18" xr3:uid="{00000000-0010-0000-0200-000012000000}" name="17" totalsRowFunction="count" dataDxfId="769" totalsRowDxfId="768"/>
    <tableColumn id="19" xr3:uid="{00000000-0010-0000-0200-000013000000}" name="18" totalsRowFunction="count" dataDxfId="767" totalsRowDxfId="766"/>
    <tableColumn id="20" xr3:uid="{00000000-0010-0000-0200-000014000000}" name="19" totalsRowFunction="count" dataDxfId="765" totalsRowDxfId="764"/>
    <tableColumn id="21" xr3:uid="{00000000-0010-0000-0200-000015000000}" name="20" totalsRowFunction="count" dataDxfId="763" totalsRowDxfId="762"/>
    <tableColumn id="22" xr3:uid="{00000000-0010-0000-0200-000016000000}" name="21" totalsRowFunction="count" dataDxfId="761" totalsRowDxfId="760"/>
    <tableColumn id="23" xr3:uid="{00000000-0010-0000-0200-000017000000}" name="22" totalsRowFunction="count" dataDxfId="759" totalsRowDxfId="758"/>
    <tableColumn id="24" xr3:uid="{00000000-0010-0000-0200-000018000000}" name="23" totalsRowFunction="count" dataDxfId="757" totalsRowDxfId="756"/>
    <tableColumn id="25" xr3:uid="{00000000-0010-0000-0200-000019000000}" name="24" totalsRowFunction="count" dataDxfId="755" totalsRowDxfId="754"/>
    <tableColumn id="26" xr3:uid="{00000000-0010-0000-0200-00001A000000}" name="25" totalsRowFunction="count" dataDxfId="753" totalsRowDxfId="752"/>
    <tableColumn id="27" xr3:uid="{00000000-0010-0000-0200-00001B000000}" name="26" totalsRowFunction="count" dataDxfId="751" totalsRowDxfId="750"/>
    <tableColumn id="28" xr3:uid="{00000000-0010-0000-0200-00001C000000}" name="27" totalsRowFunction="count" dataDxfId="749" totalsRowDxfId="748"/>
    <tableColumn id="29" xr3:uid="{00000000-0010-0000-0200-00001D000000}" name="28" totalsRowFunction="count" dataDxfId="747" totalsRowDxfId="746"/>
    <tableColumn id="30" xr3:uid="{00000000-0010-0000-0200-00001E000000}" name="29" totalsRowFunction="count" dataDxfId="745" totalsRowDxfId="744"/>
    <tableColumn id="31" xr3:uid="{00000000-0010-0000-0200-00001F000000}" name="30" totalsRowFunction="count" dataDxfId="743" totalsRowDxfId="742"/>
    <tableColumn id="32" xr3:uid="{00000000-0010-0000-0200-000020000000}" name="31" totalsRowFunction="count" dataDxfId="741" totalsRowDxfId="740"/>
    <tableColumn id="33" xr3:uid="{00000000-0010-0000-0200-000021000000}" name="Total des jours" totalsRowFunction="sum" dataDxfId="739" totalsRowDxfId="738">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732" dataDxfId="731" totalsRowDxfId="730">
  <tableColumns count="33">
    <tableColumn id="1" xr3:uid="{00000000-0010-0000-0300-000001000000}" name="Nom de l’employé" totalsRowFunction="custom" dataDxfId="729" totalsRowDxfId="728" dataCellStyle="Employé">
      <totalsRowFormula>NomMois&amp;" Total"</totalsRowFormula>
    </tableColumn>
    <tableColumn id="2" xr3:uid="{00000000-0010-0000-0300-000002000000}" name="1" totalsRowFunction="count" dataDxfId="727" totalsRowDxfId="726"/>
    <tableColumn id="3" xr3:uid="{00000000-0010-0000-0300-000003000000}" name="2" totalsRowFunction="count" dataDxfId="725" totalsRowDxfId="724"/>
    <tableColumn id="4" xr3:uid="{00000000-0010-0000-0300-000004000000}" name="3" totalsRowFunction="count" dataDxfId="723" totalsRowDxfId="722"/>
    <tableColumn id="5" xr3:uid="{00000000-0010-0000-0300-000005000000}" name="4" totalsRowFunction="count" dataDxfId="721" totalsRowDxfId="720"/>
    <tableColumn id="6" xr3:uid="{00000000-0010-0000-0300-000006000000}" name="5" totalsRowFunction="count" dataDxfId="719" totalsRowDxfId="718"/>
    <tableColumn id="7" xr3:uid="{00000000-0010-0000-0300-000007000000}" name="6" totalsRowFunction="count" dataDxfId="717" totalsRowDxfId="716"/>
    <tableColumn id="8" xr3:uid="{00000000-0010-0000-0300-000008000000}" name="7" totalsRowFunction="count" dataDxfId="715" totalsRowDxfId="714"/>
    <tableColumn id="9" xr3:uid="{00000000-0010-0000-0300-000009000000}" name="8" totalsRowFunction="count" dataDxfId="713" totalsRowDxfId="712"/>
    <tableColumn id="10" xr3:uid="{00000000-0010-0000-0300-00000A000000}" name="9" totalsRowFunction="count" dataDxfId="711" totalsRowDxfId="710"/>
    <tableColumn id="11" xr3:uid="{00000000-0010-0000-0300-00000B000000}" name="10" totalsRowFunction="count" dataDxfId="709" totalsRowDxfId="708"/>
    <tableColumn id="12" xr3:uid="{00000000-0010-0000-0300-00000C000000}" name="11" totalsRowFunction="count" dataDxfId="707" totalsRowDxfId="706"/>
    <tableColumn id="13" xr3:uid="{00000000-0010-0000-0300-00000D000000}" name="12" totalsRowFunction="count" dataDxfId="705" totalsRowDxfId="704"/>
    <tableColumn id="14" xr3:uid="{00000000-0010-0000-0300-00000E000000}" name="13" totalsRowFunction="count" dataDxfId="703" totalsRowDxfId="702"/>
    <tableColumn id="15" xr3:uid="{00000000-0010-0000-0300-00000F000000}" name="14" totalsRowFunction="count" dataDxfId="701" totalsRowDxfId="700"/>
    <tableColumn id="16" xr3:uid="{00000000-0010-0000-0300-000010000000}" name="15" totalsRowFunction="count" dataDxfId="699" totalsRowDxfId="698"/>
    <tableColumn id="17" xr3:uid="{00000000-0010-0000-0300-000011000000}" name="16" totalsRowFunction="count" dataDxfId="697" totalsRowDxfId="696"/>
    <tableColumn id="18" xr3:uid="{00000000-0010-0000-0300-000012000000}" name="17" totalsRowFunction="count" dataDxfId="695" totalsRowDxfId="694"/>
    <tableColumn id="19" xr3:uid="{00000000-0010-0000-0300-000013000000}" name="18" totalsRowFunction="count" dataDxfId="693" totalsRowDxfId="692"/>
    <tableColumn id="20" xr3:uid="{00000000-0010-0000-0300-000014000000}" name="19" totalsRowFunction="count" dataDxfId="691" totalsRowDxfId="690"/>
    <tableColumn id="21" xr3:uid="{00000000-0010-0000-0300-000015000000}" name="20" totalsRowFunction="count" dataDxfId="689" totalsRowDxfId="688"/>
    <tableColumn id="22" xr3:uid="{00000000-0010-0000-0300-000016000000}" name="21" totalsRowFunction="count" dataDxfId="687" totalsRowDxfId="686"/>
    <tableColumn id="23" xr3:uid="{00000000-0010-0000-0300-000017000000}" name="22" totalsRowFunction="count" dataDxfId="685" totalsRowDxfId="684"/>
    <tableColumn id="24" xr3:uid="{00000000-0010-0000-0300-000018000000}" name="23" totalsRowFunction="count" dataDxfId="683" totalsRowDxfId="682"/>
    <tableColumn id="25" xr3:uid="{00000000-0010-0000-0300-000019000000}" name="24" totalsRowFunction="count" dataDxfId="681" totalsRowDxfId="680"/>
    <tableColumn id="26" xr3:uid="{00000000-0010-0000-0300-00001A000000}" name="25" totalsRowFunction="count" dataDxfId="679" totalsRowDxfId="678"/>
    <tableColumn id="27" xr3:uid="{00000000-0010-0000-0300-00001B000000}" name="26" totalsRowFunction="count" dataDxfId="677" totalsRowDxfId="676"/>
    <tableColumn id="28" xr3:uid="{00000000-0010-0000-0300-00001C000000}" name="27" totalsRowFunction="count" dataDxfId="675" totalsRowDxfId="674"/>
    <tableColumn id="29" xr3:uid="{00000000-0010-0000-0300-00001D000000}" name="28" totalsRowFunction="count" dataDxfId="673" totalsRowDxfId="672"/>
    <tableColumn id="30" xr3:uid="{00000000-0010-0000-0300-00001E000000}" name="29" totalsRowFunction="count" dataDxfId="671" totalsRowDxfId="670"/>
    <tableColumn id="31" xr3:uid="{00000000-0010-0000-0300-00001F000000}" name="30" totalsRowFunction="count" dataDxfId="669" totalsRowDxfId="668"/>
    <tableColumn id="32" xr3:uid="{00000000-0010-0000-0300-000020000000}" name=" " totalsRowFunction="custom" dataDxfId="667" totalsRowDxfId="666">
      <totalsRowFormula>SUBTOTAL(103,Avril[30])</totalsRowFormula>
    </tableColumn>
    <tableColumn id="33" xr3:uid="{00000000-0010-0000-0300-000021000000}" name="Total des jours" totalsRowFunction="sum" dataDxfId="665" totalsRowDxfId="664">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658" dataDxfId="657" totalsRowDxfId="656">
  <tableColumns count="33">
    <tableColumn id="1" xr3:uid="{00000000-0010-0000-0400-000001000000}" name="Nom de l’employé" totalsRowFunction="custom" dataDxfId="655" totalsRowDxfId="654" dataCellStyle="Employé">
      <totalsRowFormula>NomMois&amp;" Total"</totalsRowFormula>
    </tableColumn>
    <tableColumn id="2" xr3:uid="{00000000-0010-0000-0400-000002000000}" name="1" totalsRowFunction="count" dataDxfId="653" totalsRowDxfId="652"/>
    <tableColumn id="3" xr3:uid="{00000000-0010-0000-0400-000003000000}" name="2" totalsRowFunction="count" dataDxfId="651" totalsRowDxfId="650"/>
    <tableColumn id="4" xr3:uid="{00000000-0010-0000-0400-000004000000}" name="3" totalsRowFunction="count" dataDxfId="649" totalsRowDxfId="648"/>
    <tableColumn id="5" xr3:uid="{00000000-0010-0000-0400-000005000000}" name="4" totalsRowFunction="count" dataDxfId="647" totalsRowDxfId="646"/>
    <tableColumn id="6" xr3:uid="{00000000-0010-0000-0400-000006000000}" name="5" totalsRowFunction="count" dataDxfId="645" totalsRowDxfId="644"/>
    <tableColumn id="7" xr3:uid="{00000000-0010-0000-0400-000007000000}" name="6" totalsRowFunction="count" dataDxfId="643" totalsRowDxfId="642"/>
    <tableColumn id="8" xr3:uid="{00000000-0010-0000-0400-000008000000}" name="7" totalsRowFunction="count" dataDxfId="641" totalsRowDxfId="640"/>
    <tableColumn id="9" xr3:uid="{00000000-0010-0000-0400-000009000000}" name="8" totalsRowFunction="count" dataDxfId="639" totalsRowDxfId="638"/>
    <tableColumn id="10" xr3:uid="{00000000-0010-0000-0400-00000A000000}" name="9" totalsRowFunction="count" dataDxfId="637" totalsRowDxfId="636"/>
    <tableColumn id="11" xr3:uid="{00000000-0010-0000-0400-00000B000000}" name="10" totalsRowFunction="count" dataDxfId="635" totalsRowDxfId="634"/>
    <tableColumn id="12" xr3:uid="{00000000-0010-0000-0400-00000C000000}" name="11" totalsRowFunction="count" dataDxfId="633" totalsRowDxfId="632"/>
    <tableColumn id="13" xr3:uid="{00000000-0010-0000-0400-00000D000000}" name="12" totalsRowFunction="count" dataDxfId="631" totalsRowDxfId="630"/>
    <tableColumn id="14" xr3:uid="{00000000-0010-0000-0400-00000E000000}" name="13" totalsRowFunction="count" dataDxfId="629" totalsRowDxfId="628"/>
    <tableColumn id="15" xr3:uid="{00000000-0010-0000-0400-00000F000000}" name="14" totalsRowFunction="count" dataDxfId="627" totalsRowDxfId="626"/>
    <tableColumn id="16" xr3:uid="{00000000-0010-0000-0400-000010000000}" name="15" totalsRowFunction="count" dataDxfId="625" totalsRowDxfId="624"/>
    <tableColumn id="17" xr3:uid="{00000000-0010-0000-0400-000011000000}" name="16" totalsRowFunction="count" dataDxfId="623" totalsRowDxfId="622"/>
    <tableColumn id="18" xr3:uid="{00000000-0010-0000-0400-000012000000}" name="17" totalsRowFunction="count" dataDxfId="621" totalsRowDxfId="620"/>
    <tableColumn id="19" xr3:uid="{00000000-0010-0000-0400-000013000000}" name="18" totalsRowFunction="count" dataDxfId="619" totalsRowDxfId="618"/>
    <tableColumn id="20" xr3:uid="{00000000-0010-0000-0400-000014000000}" name="19" totalsRowFunction="count" dataDxfId="617" totalsRowDxfId="616"/>
    <tableColumn id="21" xr3:uid="{00000000-0010-0000-0400-000015000000}" name="20" totalsRowFunction="count" dataDxfId="615" totalsRowDxfId="614"/>
    <tableColumn id="22" xr3:uid="{00000000-0010-0000-0400-000016000000}" name="21" totalsRowFunction="count" dataDxfId="613" totalsRowDxfId="612"/>
    <tableColumn id="23" xr3:uid="{00000000-0010-0000-0400-000017000000}" name="22" totalsRowFunction="count" dataDxfId="611" totalsRowDxfId="610"/>
    <tableColumn id="24" xr3:uid="{00000000-0010-0000-0400-000018000000}" name="23" totalsRowFunction="count" dataDxfId="609" totalsRowDxfId="608"/>
    <tableColumn id="25" xr3:uid="{00000000-0010-0000-0400-000019000000}" name="24" totalsRowFunction="count" dataDxfId="607" totalsRowDxfId="606"/>
    <tableColumn id="26" xr3:uid="{00000000-0010-0000-0400-00001A000000}" name="25" totalsRowFunction="count" dataDxfId="605" totalsRowDxfId="604"/>
    <tableColumn id="27" xr3:uid="{00000000-0010-0000-0400-00001B000000}" name="26" totalsRowFunction="count" dataDxfId="603" totalsRowDxfId="602"/>
    <tableColumn id="28" xr3:uid="{00000000-0010-0000-0400-00001C000000}" name="27" totalsRowFunction="count" dataDxfId="601" totalsRowDxfId="600"/>
    <tableColumn id="29" xr3:uid="{00000000-0010-0000-0400-00001D000000}" name="28" totalsRowFunction="count" dataDxfId="599" totalsRowDxfId="598"/>
    <tableColumn id="30" xr3:uid="{00000000-0010-0000-0400-00001E000000}" name="29" totalsRowFunction="count" dataDxfId="597" totalsRowDxfId="596"/>
    <tableColumn id="31" xr3:uid="{00000000-0010-0000-0400-00001F000000}" name="30" totalsRowFunction="count" dataDxfId="595" totalsRowDxfId="594"/>
    <tableColumn id="32" xr3:uid="{00000000-0010-0000-0400-000020000000}" name="31" totalsRowFunction="count" dataDxfId="593" totalsRowDxfId="592"/>
    <tableColumn id="33" xr3:uid="{00000000-0010-0000-0400-000021000000}" name="Total des jours" totalsRowFunction="sum" dataDxfId="591" totalsRowDxfId="590">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584" dataDxfId="583" totalsRowDxfId="582">
  <tableColumns count="33">
    <tableColumn id="1" xr3:uid="{00000000-0010-0000-0500-000001000000}" name="Nom de l’employé" totalsRowFunction="custom" dataDxfId="581" totalsRowDxfId="580" dataCellStyle="Employé">
      <totalsRowFormula>NomMois&amp;" Total"</totalsRowFormula>
    </tableColumn>
    <tableColumn id="2" xr3:uid="{00000000-0010-0000-0500-000002000000}" name="1" totalsRowFunction="count" dataDxfId="579" totalsRowDxfId="578"/>
    <tableColumn id="3" xr3:uid="{00000000-0010-0000-0500-000003000000}" name="2" totalsRowFunction="count" dataDxfId="577" totalsRowDxfId="576"/>
    <tableColumn id="4" xr3:uid="{00000000-0010-0000-0500-000004000000}" name="3" totalsRowFunction="count" dataDxfId="575" totalsRowDxfId="574"/>
    <tableColumn id="5" xr3:uid="{00000000-0010-0000-0500-000005000000}" name="4" totalsRowFunction="count" dataDxfId="573" totalsRowDxfId="572"/>
    <tableColumn id="6" xr3:uid="{00000000-0010-0000-0500-000006000000}" name="5" totalsRowFunction="count" dataDxfId="571" totalsRowDxfId="570"/>
    <tableColumn id="7" xr3:uid="{00000000-0010-0000-0500-000007000000}" name="6" totalsRowFunction="count" dataDxfId="569" totalsRowDxfId="568"/>
    <tableColumn id="8" xr3:uid="{00000000-0010-0000-0500-000008000000}" name="7" totalsRowFunction="count" dataDxfId="567" totalsRowDxfId="566"/>
    <tableColumn id="9" xr3:uid="{00000000-0010-0000-0500-000009000000}" name="8" totalsRowFunction="count" dataDxfId="565" totalsRowDxfId="564"/>
    <tableColumn id="10" xr3:uid="{00000000-0010-0000-0500-00000A000000}" name="9" totalsRowFunction="count" dataDxfId="563" totalsRowDxfId="562"/>
    <tableColumn id="11" xr3:uid="{00000000-0010-0000-0500-00000B000000}" name="10" totalsRowFunction="count" dataDxfId="561" totalsRowDxfId="560"/>
    <tableColumn id="12" xr3:uid="{00000000-0010-0000-0500-00000C000000}" name="11" totalsRowFunction="count" dataDxfId="559" totalsRowDxfId="558"/>
    <tableColumn id="13" xr3:uid="{00000000-0010-0000-0500-00000D000000}" name="12" totalsRowFunction="count" dataDxfId="557" totalsRowDxfId="556"/>
    <tableColumn id="14" xr3:uid="{00000000-0010-0000-0500-00000E000000}" name="13" totalsRowFunction="count" dataDxfId="555" totalsRowDxfId="554"/>
    <tableColumn id="15" xr3:uid="{00000000-0010-0000-0500-00000F000000}" name="14" totalsRowFunction="count" dataDxfId="553" totalsRowDxfId="552"/>
    <tableColumn id="16" xr3:uid="{00000000-0010-0000-0500-000010000000}" name="15" totalsRowFunction="count" dataDxfId="551" totalsRowDxfId="550"/>
    <tableColumn id="17" xr3:uid="{00000000-0010-0000-0500-000011000000}" name="16" totalsRowFunction="count" dataDxfId="549" totalsRowDxfId="548"/>
    <tableColumn id="18" xr3:uid="{00000000-0010-0000-0500-000012000000}" name="17" totalsRowFunction="count" dataDxfId="547" totalsRowDxfId="546"/>
    <tableColumn id="19" xr3:uid="{00000000-0010-0000-0500-000013000000}" name="18" totalsRowFunction="count" dataDxfId="545" totalsRowDxfId="544"/>
    <tableColumn id="20" xr3:uid="{00000000-0010-0000-0500-000014000000}" name="19" totalsRowFunction="count" dataDxfId="543" totalsRowDxfId="542"/>
    <tableColumn id="21" xr3:uid="{00000000-0010-0000-0500-000015000000}" name="20" totalsRowFunction="count" dataDxfId="541" totalsRowDxfId="540"/>
    <tableColumn id="22" xr3:uid="{00000000-0010-0000-0500-000016000000}" name="21" totalsRowFunction="count" dataDxfId="539" totalsRowDxfId="538"/>
    <tableColumn id="23" xr3:uid="{00000000-0010-0000-0500-000017000000}" name="22" totalsRowFunction="count" dataDxfId="537" totalsRowDxfId="536"/>
    <tableColumn id="24" xr3:uid="{00000000-0010-0000-0500-000018000000}" name="23" totalsRowFunction="count" dataDxfId="535" totalsRowDxfId="534"/>
    <tableColumn id="25" xr3:uid="{00000000-0010-0000-0500-000019000000}" name="24" totalsRowFunction="count" dataDxfId="533" totalsRowDxfId="532"/>
    <tableColumn id="26" xr3:uid="{00000000-0010-0000-0500-00001A000000}" name="25" totalsRowFunction="count" dataDxfId="531" totalsRowDxfId="530"/>
    <tableColumn id="27" xr3:uid="{00000000-0010-0000-0500-00001B000000}" name="26" totalsRowFunction="count" dataDxfId="529" totalsRowDxfId="528"/>
    <tableColumn id="28" xr3:uid="{00000000-0010-0000-0500-00001C000000}" name="27" totalsRowFunction="count" dataDxfId="527" totalsRowDxfId="526"/>
    <tableColumn id="29" xr3:uid="{00000000-0010-0000-0500-00001D000000}" name="28" totalsRowFunction="count" dataDxfId="525" totalsRowDxfId="524"/>
    <tableColumn id="30" xr3:uid="{00000000-0010-0000-0500-00001E000000}" name="29" totalsRowFunction="count" dataDxfId="523" totalsRowDxfId="522"/>
    <tableColumn id="31" xr3:uid="{00000000-0010-0000-0500-00001F000000}" name="30" totalsRowFunction="count" dataDxfId="521" totalsRowDxfId="520"/>
    <tableColumn id="32" xr3:uid="{00000000-0010-0000-0500-000020000000}" name=" " totalsRowFunction="count" dataDxfId="519" totalsRowDxfId="518"/>
    <tableColumn id="33" xr3:uid="{00000000-0010-0000-0500-000021000000}" name="Total des jours" totalsRowFunction="sum" dataDxfId="517" totalsRowDxfId="516">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510" dataDxfId="509" totalsRowDxfId="508">
  <tableColumns count="33">
    <tableColumn id="1" xr3:uid="{00000000-0010-0000-0600-000001000000}" name="Nom de l’employé" totalsRowFunction="custom" dataDxfId="507" totalsRowDxfId="506" dataCellStyle="Employé">
      <totalsRowFormula>NomMois&amp;" Total"</totalsRowFormula>
    </tableColumn>
    <tableColumn id="2" xr3:uid="{00000000-0010-0000-0600-000002000000}" name="1" totalsRowFunction="count" dataDxfId="505" totalsRowDxfId="504"/>
    <tableColumn id="3" xr3:uid="{00000000-0010-0000-0600-000003000000}" name="2" totalsRowFunction="count" dataDxfId="503" totalsRowDxfId="502"/>
    <tableColumn id="4" xr3:uid="{00000000-0010-0000-0600-000004000000}" name="3" totalsRowFunction="count" dataDxfId="501" totalsRowDxfId="500"/>
    <tableColumn id="5" xr3:uid="{00000000-0010-0000-0600-000005000000}" name="4" totalsRowFunction="count" dataDxfId="499" totalsRowDxfId="498"/>
    <tableColumn id="6" xr3:uid="{00000000-0010-0000-0600-000006000000}" name="5" totalsRowFunction="count" dataDxfId="497" totalsRowDxfId="496"/>
    <tableColumn id="7" xr3:uid="{00000000-0010-0000-0600-000007000000}" name="6" totalsRowFunction="count" dataDxfId="495" totalsRowDxfId="494"/>
    <tableColumn id="8" xr3:uid="{00000000-0010-0000-0600-000008000000}" name="7" totalsRowFunction="count" dataDxfId="493" totalsRowDxfId="492"/>
    <tableColumn id="9" xr3:uid="{00000000-0010-0000-0600-000009000000}" name="8" totalsRowFunction="count" dataDxfId="491" totalsRowDxfId="490"/>
    <tableColumn id="10" xr3:uid="{00000000-0010-0000-0600-00000A000000}" name="9" totalsRowFunction="count" dataDxfId="489" totalsRowDxfId="488"/>
    <tableColumn id="11" xr3:uid="{00000000-0010-0000-0600-00000B000000}" name="10" totalsRowFunction="count" dataDxfId="487" totalsRowDxfId="486"/>
    <tableColumn id="12" xr3:uid="{00000000-0010-0000-0600-00000C000000}" name="11" totalsRowFunction="count" dataDxfId="485" totalsRowDxfId="484"/>
    <tableColumn id="13" xr3:uid="{00000000-0010-0000-0600-00000D000000}" name="12" totalsRowFunction="count" dataDxfId="483" totalsRowDxfId="482"/>
    <tableColumn id="14" xr3:uid="{00000000-0010-0000-0600-00000E000000}" name="13" totalsRowFunction="count" dataDxfId="481" totalsRowDxfId="480"/>
    <tableColumn id="15" xr3:uid="{00000000-0010-0000-0600-00000F000000}" name="14" totalsRowFunction="count" dataDxfId="479" totalsRowDxfId="478"/>
    <tableColumn id="16" xr3:uid="{00000000-0010-0000-0600-000010000000}" name="15" totalsRowFunction="count" dataDxfId="477" totalsRowDxfId="476"/>
    <tableColumn id="17" xr3:uid="{00000000-0010-0000-0600-000011000000}" name="16" totalsRowFunction="count" dataDxfId="475" totalsRowDxfId="474"/>
    <tableColumn id="18" xr3:uid="{00000000-0010-0000-0600-000012000000}" name="17" totalsRowFunction="count" dataDxfId="473" totalsRowDxfId="472"/>
    <tableColumn id="19" xr3:uid="{00000000-0010-0000-0600-000013000000}" name="18" totalsRowFunction="count" dataDxfId="471" totalsRowDxfId="470"/>
    <tableColumn id="20" xr3:uid="{00000000-0010-0000-0600-000014000000}" name="19" totalsRowFunction="count" dataDxfId="469" totalsRowDxfId="468"/>
    <tableColumn id="21" xr3:uid="{00000000-0010-0000-0600-000015000000}" name="20" totalsRowFunction="count" dataDxfId="467" totalsRowDxfId="466"/>
    <tableColumn id="22" xr3:uid="{00000000-0010-0000-0600-000016000000}" name="21" totalsRowFunction="count" dataDxfId="465" totalsRowDxfId="464"/>
    <tableColumn id="23" xr3:uid="{00000000-0010-0000-0600-000017000000}" name="22" totalsRowFunction="count" dataDxfId="463" totalsRowDxfId="462"/>
    <tableColumn id="24" xr3:uid="{00000000-0010-0000-0600-000018000000}" name="23" totalsRowFunction="count" dataDxfId="461" totalsRowDxfId="460"/>
    <tableColumn id="25" xr3:uid="{00000000-0010-0000-0600-000019000000}" name="24" totalsRowFunction="count" dataDxfId="459" totalsRowDxfId="458"/>
    <tableColumn id="26" xr3:uid="{00000000-0010-0000-0600-00001A000000}" name="25" totalsRowFunction="count" dataDxfId="457" totalsRowDxfId="456"/>
    <tableColumn id="27" xr3:uid="{00000000-0010-0000-0600-00001B000000}" name="26" totalsRowFunction="count" dataDxfId="455" totalsRowDxfId="454"/>
    <tableColumn id="28" xr3:uid="{00000000-0010-0000-0600-00001C000000}" name="27" totalsRowFunction="count" dataDxfId="453" totalsRowDxfId="452"/>
    <tableColumn id="29" xr3:uid="{00000000-0010-0000-0600-00001D000000}" name="28" totalsRowFunction="count" dataDxfId="451" totalsRowDxfId="450"/>
    <tableColumn id="30" xr3:uid="{00000000-0010-0000-0600-00001E000000}" name="29" totalsRowFunction="count" dataDxfId="449" totalsRowDxfId="448"/>
    <tableColumn id="31" xr3:uid="{00000000-0010-0000-0600-00001F000000}" name="30" totalsRowFunction="count" dataDxfId="447" totalsRowDxfId="446"/>
    <tableColumn id="32" xr3:uid="{00000000-0010-0000-0600-000020000000}" name="31" totalsRowFunction="count" dataDxfId="445" totalsRowDxfId="444"/>
    <tableColumn id="33" xr3:uid="{00000000-0010-0000-0600-000021000000}" name="Total des jours" totalsRowFunction="sum" dataDxfId="443" totalsRowDxfId="442">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436" dataDxfId="435" totalsRowDxfId="434">
  <tableColumns count="33">
    <tableColumn id="1" xr3:uid="{00000000-0010-0000-0700-000001000000}" name="Nom de l’employé" totalsRowFunction="custom" dataDxfId="433" totalsRowDxfId="432" dataCellStyle="Employé">
      <totalsRowFormula>NomMois&amp;" Total"</totalsRowFormula>
    </tableColumn>
    <tableColumn id="2" xr3:uid="{00000000-0010-0000-0700-000002000000}" name="1" totalsRowFunction="count" dataDxfId="431" totalsRowDxfId="430"/>
    <tableColumn id="3" xr3:uid="{00000000-0010-0000-0700-000003000000}" name="2" totalsRowFunction="count" dataDxfId="429" totalsRowDxfId="428"/>
    <tableColumn id="4" xr3:uid="{00000000-0010-0000-0700-000004000000}" name="3" totalsRowFunction="count" dataDxfId="427" totalsRowDxfId="426"/>
    <tableColumn id="5" xr3:uid="{00000000-0010-0000-0700-000005000000}" name="4" totalsRowFunction="count" dataDxfId="425" totalsRowDxfId="424"/>
    <tableColumn id="6" xr3:uid="{00000000-0010-0000-0700-000006000000}" name="5" totalsRowFunction="count" dataDxfId="423" totalsRowDxfId="422"/>
    <tableColumn id="7" xr3:uid="{00000000-0010-0000-0700-000007000000}" name="6" totalsRowFunction="count" dataDxfId="421" totalsRowDxfId="420"/>
    <tableColumn id="8" xr3:uid="{00000000-0010-0000-0700-000008000000}" name="7" totalsRowFunction="count" dataDxfId="419" totalsRowDxfId="418"/>
    <tableColumn id="9" xr3:uid="{00000000-0010-0000-0700-000009000000}" name="8" totalsRowFunction="count" dataDxfId="417" totalsRowDxfId="416"/>
    <tableColumn id="10" xr3:uid="{00000000-0010-0000-0700-00000A000000}" name="9" totalsRowFunction="count" dataDxfId="415" totalsRowDxfId="414"/>
    <tableColumn id="11" xr3:uid="{00000000-0010-0000-0700-00000B000000}" name="10" totalsRowFunction="count" dataDxfId="413" totalsRowDxfId="412"/>
    <tableColumn id="12" xr3:uid="{00000000-0010-0000-0700-00000C000000}" name="11" totalsRowFunction="count" dataDxfId="411" totalsRowDxfId="410"/>
    <tableColumn id="13" xr3:uid="{00000000-0010-0000-0700-00000D000000}" name="12" totalsRowFunction="count" dataDxfId="409" totalsRowDxfId="408"/>
    <tableColumn id="14" xr3:uid="{00000000-0010-0000-0700-00000E000000}" name="13" totalsRowFunction="count" dataDxfId="407" totalsRowDxfId="406"/>
    <tableColumn id="15" xr3:uid="{00000000-0010-0000-0700-00000F000000}" name="14" totalsRowFunction="count" dataDxfId="405" totalsRowDxfId="404"/>
    <tableColumn id="16" xr3:uid="{00000000-0010-0000-0700-000010000000}" name="15" totalsRowFunction="count" dataDxfId="403" totalsRowDxfId="402"/>
    <tableColumn id="17" xr3:uid="{00000000-0010-0000-0700-000011000000}" name="16" totalsRowFunction="count" dataDxfId="401" totalsRowDxfId="400"/>
    <tableColumn id="18" xr3:uid="{00000000-0010-0000-0700-000012000000}" name="17" totalsRowFunction="count" dataDxfId="399" totalsRowDxfId="398"/>
    <tableColumn id="19" xr3:uid="{00000000-0010-0000-0700-000013000000}" name="18" totalsRowFunction="count" dataDxfId="397" totalsRowDxfId="396"/>
    <tableColumn id="20" xr3:uid="{00000000-0010-0000-0700-000014000000}" name="19" totalsRowFunction="count" dataDxfId="395" totalsRowDxfId="394"/>
    <tableColumn id="21" xr3:uid="{00000000-0010-0000-0700-000015000000}" name="20" totalsRowFunction="count" dataDxfId="393" totalsRowDxfId="392"/>
    <tableColumn id="22" xr3:uid="{00000000-0010-0000-0700-000016000000}" name="21" totalsRowFunction="count" dataDxfId="391" totalsRowDxfId="390"/>
    <tableColumn id="23" xr3:uid="{00000000-0010-0000-0700-000017000000}" name="22" totalsRowFunction="count" dataDxfId="389" totalsRowDxfId="388"/>
    <tableColumn id="24" xr3:uid="{00000000-0010-0000-0700-000018000000}" name="23" totalsRowFunction="count" dataDxfId="387" totalsRowDxfId="386"/>
    <tableColumn id="25" xr3:uid="{00000000-0010-0000-0700-000019000000}" name="24" totalsRowFunction="count" dataDxfId="385" totalsRowDxfId="384"/>
    <tableColumn id="26" xr3:uid="{00000000-0010-0000-0700-00001A000000}" name="25" totalsRowFunction="count" dataDxfId="383" totalsRowDxfId="382"/>
    <tableColumn id="27" xr3:uid="{00000000-0010-0000-0700-00001B000000}" name="26" totalsRowFunction="count" dataDxfId="381" totalsRowDxfId="380"/>
    <tableColumn id="28" xr3:uid="{00000000-0010-0000-0700-00001C000000}" name="27" totalsRowFunction="count" dataDxfId="379" totalsRowDxfId="378"/>
    <tableColumn id="29" xr3:uid="{00000000-0010-0000-0700-00001D000000}" name="28" totalsRowFunction="count" dataDxfId="377" totalsRowDxfId="376"/>
    <tableColumn id="30" xr3:uid="{00000000-0010-0000-0700-00001E000000}" name="29" totalsRowFunction="count" dataDxfId="375" totalsRowDxfId="374"/>
    <tableColumn id="31" xr3:uid="{00000000-0010-0000-0700-00001F000000}" name="30" totalsRowFunction="count" dataDxfId="373" totalsRowDxfId="372"/>
    <tableColumn id="32" xr3:uid="{00000000-0010-0000-0700-000020000000}" name="31" totalsRowFunction="count" dataDxfId="371" totalsRowDxfId="370"/>
    <tableColumn id="33" xr3:uid="{00000000-0010-0000-0700-000021000000}" name="Total des jours" totalsRowFunction="sum" dataDxfId="369" totalsRowDxfId="368">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362" dataDxfId="361" totalsRowDxfId="360">
  <tableColumns count="33">
    <tableColumn id="1" xr3:uid="{00000000-0010-0000-0800-000001000000}" name="Nom de l’employé" totalsRowFunction="custom" dataDxfId="359" totalsRowDxfId="358" dataCellStyle="Employé">
      <totalsRowFormula>NomMois&amp;" Total"</totalsRowFormula>
    </tableColumn>
    <tableColumn id="2" xr3:uid="{00000000-0010-0000-0800-000002000000}" name="1" totalsRowFunction="count" dataDxfId="357" totalsRowDxfId="356"/>
    <tableColumn id="3" xr3:uid="{00000000-0010-0000-0800-000003000000}" name="2" totalsRowFunction="count" dataDxfId="355" totalsRowDxfId="354"/>
    <tableColumn id="4" xr3:uid="{00000000-0010-0000-0800-000004000000}" name="3" totalsRowFunction="count" dataDxfId="353" totalsRowDxfId="352"/>
    <tableColumn id="5" xr3:uid="{00000000-0010-0000-0800-000005000000}" name="4" totalsRowFunction="count" dataDxfId="351" totalsRowDxfId="350"/>
    <tableColumn id="6" xr3:uid="{00000000-0010-0000-0800-000006000000}" name="5" totalsRowFunction="count" dataDxfId="349" totalsRowDxfId="348"/>
    <tableColumn id="7" xr3:uid="{00000000-0010-0000-0800-000007000000}" name="6" totalsRowFunction="count" dataDxfId="347" totalsRowDxfId="346"/>
    <tableColumn id="8" xr3:uid="{00000000-0010-0000-0800-000008000000}" name="7" totalsRowFunction="count" dataDxfId="345" totalsRowDxfId="344"/>
    <tableColumn id="9" xr3:uid="{00000000-0010-0000-0800-000009000000}" name="8" totalsRowFunction="count" dataDxfId="343" totalsRowDxfId="342"/>
    <tableColumn id="10" xr3:uid="{00000000-0010-0000-0800-00000A000000}" name="9" totalsRowFunction="count" dataDxfId="341" totalsRowDxfId="340"/>
    <tableColumn id="11" xr3:uid="{00000000-0010-0000-0800-00000B000000}" name="10" totalsRowFunction="count" dataDxfId="339" totalsRowDxfId="338"/>
    <tableColumn id="12" xr3:uid="{00000000-0010-0000-0800-00000C000000}" name="11" totalsRowFunction="count" dataDxfId="337" totalsRowDxfId="336"/>
    <tableColumn id="13" xr3:uid="{00000000-0010-0000-0800-00000D000000}" name="12" totalsRowFunction="count" dataDxfId="335" totalsRowDxfId="334"/>
    <tableColumn id="14" xr3:uid="{00000000-0010-0000-0800-00000E000000}" name="13" totalsRowFunction="count" dataDxfId="333" totalsRowDxfId="332"/>
    <tableColumn id="15" xr3:uid="{00000000-0010-0000-0800-00000F000000}" name="14" totalsRowFunction="count" dataDxfId="331" totalsRowDxfId="330"/>
    <tableColumn id="16" xr3:uid="{00000000-0010-0000-0800-000010000000}" name="15" totalsRowFunction="count" dataDxfId="329" totalsRowDxfId="328"/>
    <tableColumn id="17" xr3:uid="{00000000-0010-0000-0800-000011000000}" name="16" totalsRowFunction="count" dataDxfId="327" totalsRowDxfId="326"/>
    <tableColumn id="18" xr3:uid="{00000000-0010-0000-0800-000012000000}" name="17" totalsRowFunction="count" dataDxfId="325" totalsRowDxfId="324"/>
    <tableColumn id="19" xr3:uid="{00000000-0010-0000-0800-000013000000}" name="18" totalsRowFunction="count" dataDxfId="323" totalsRowDxfId="322"/>
    <tableColumn id="20" xr3:uid="{00000000-0010-0000-0800-000014000000}" name="19" totalsRowFunction="count" dataDxfId="321" totalsRowDxfId="320"/>
    <tableColumn id="21" xr3:uid="{00000000-0010-0000-0800-000015000000}" name="20" totalsRowFunction="count" dataDxfId="319" totalsRowDxfId="318"/>
    <tableColumn id="22" xr3:uid="{00000000-0010-0000-0800-000016000000}" name="21" totalsRowFunction="count" dataDxfId="317" totalsRowDxfId="316"/>
    <tableColumn id="23" xr3:uid="{00000000-0010-0000-0800-000017000000}" name="22" totalsRowFunction="count" dataDxfId="315" totalsRowDxfId="314"/>
    <tableColumn id="24" xr3:uid="{00000000-0010-0000-0800-000018000000}" name="23" totalsRowFunction="count" dataDxfId="313" totalsRowDxfId="312"/>
    <tableColumn id="25" xr3:uid="{00000000-0010-0000-0800-000019000000}" name="24" totalsRowFunction="count" dataDxfId="311" totalsRowDxfId="310"/>
    <tableColumn id="26" xr3:uid="{00000000-0010-0000-0800-00001A000000}" name="25" totalsRowFunction="count" dataDxfId="309" totalsRowDxfId="308"/>
    <tableColumn id="27" xr3:uid="{00000000-0010-0000-0800-00001B000000}" name="26" totalsRowFunction="count" dataDxfId="307" totalsRowDxfId="306"/>
    <tableColumn id="28" xr3:uid="{00000000-0010-0000-0800-00001C000000}" name="27" totalsRowFunction="count" dataDxfId="305" totalsRowDxfId="304"/>
    <tableColumn id="29" xr3:uid="{00000000-0010-0000-0800-00001D000000}" name="28" totalsRowFunction="count" dataDxfId="303" totalsRowDxfId="302"/>
    <tableColumn id="30" xr3:uid="{00000000-0010-0000-0800-00001E000000}" name="29" totalsRowFunction="count" dataDxfId="301" totalsRowDxfId="300"/>
    <tableColumn id="31" xr3:uid="{00000000-0010-0000-0800-00001F000000}" name="30" totalsRowFunction="count" dataDxfId="299" totalsRowDxfId="298"/>
    <tableColumn id="32" xr3:uid="{00000000-0010-0000-0800-000020000000}" name=" " totalsRowFunction="count" dataDxfId="297" totalsRowDxfId="296"/>
    <tableColumn id="33" xr3:uid="{00000000-0010-0000-0800-000021000000}" name="Total des jours" totalsRowFunction="sum" dataDxfId="295" totalsRowDxfId="294">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288" dataDxfId="287" totalsRowDxfId="286">
  <tableColumns count="33">
    <tableColumn id="1" xr3:uid="{00000000-0010-0000-0900-000001000000}" name="Nom de l’employé" totalsRowFunction="custom" dataDxfId="285" totalsRowDxfId="284" dataCellStyle="Employé">
      <totalsRowFormula>NomMois&amp;" Total"</totalsRowFormula>
    </tableColumn>
    <tableColumn id="2" xr3:uid="{00000000-0010-0000-0900-000002000000}" name="1" totalsRowFunction="count" dataDxfId="283" totalsRowDxfId="282"/>
    <tableColumn id="3" xr3:uid="{00000000-0010-0000-0900-000003000000}" name="2" totalsRowFunction="count" dataDxfId="281" totalsRowDxfId="280"/>
    <tableColumn id="4" xr3:uid="{00000000-0010-0000-0900-000004000000}" name="3" totalsRowFunction="count" dataDxfId="279" totalsRowDxfId="278"/>
    <tableColumn id="5" xr3:uid="{00000000-0010-0000-0900-000005000000}" name="4" totalsRowFunction="count" dataDxfId="277" totalsRowDxfId="276"/>
    <tableColumn id="6" xr3:uid="{00000000-0010-0000-0900-000006000000}" name="5" totalsRowFunction="count" dataDxfId="275" totalsRowDxfId="274"/>
    <tableColumn id="7" xr3:uid="{00000000-0010-0000-0900-000007000000}" name="6" totalsRowFunction="count" dataDxfId="273" totalsRowDxfId="272"/>
    <tableColumn id="8" xr3:uid="{00000000-0010-0000-0900-000008000000}" name="7" totalsRowFunction="count" dataDxfId="271" totalsRowDxfId="270"/>
    <tableColumn id="9" xr3:uid="{00000000-0010-0000-0900-000009000000}" name="8" totalsRowFunction="count" dataDxfId="269" totalsRowDxfId="268"/>
    <tableColumn id="10" xr3:uid="{00000000-0010-0000-0900-00000A000000}" name="9" totalsRowFunction="count" dataDxfId="267" totalsRowDxfId="266"/>
    <tableColumn id="11" xr3:uid="{00000000-0010-0000-0900-00000B000000}" name="10" totalsRowFunction="count" dataDxfId="265" totalsRowDxfId="264"/>
    <tableColumn id="12" xr3:uid="{00000000-0010-0000-0900-00000C000000}" name="11" totalsRowFunction="count" dataDxfId="263" totalsRowDxfId="262"/>
    <tableColumn id="13" xr3:uid="{00000000-0010-0000-0900-00000D000000}" name="12" totalsRowFunction="count" dataDxfId="261" totalsRowDxfId="260"/>
    <tableColumn id="14" xr3:uid="{00000000-0010-0000-0900-00000E000000}" name="13" totalsRowFunction="count" dataDxfId="259" totalsRowDxfId="258"/>
    <tableColumn id="15" xr3:uid="{00000000-0010-0000-0900-00000F000000}" name="14" totalsRowFunction="count" dataDxfId="257" totalsRowDxfId="256"/>
    <tableColumn id="16" xr3:uid="{00000000-0010-0000-0900-000010000000}" name="15" totalsRowFunction="count" dataDxfId="255" totalsRowDxfId="254"/>
    <tableColumn id="17" xr3:uid="{00000000-0010-0000-0900-000011000000}" name="16" totalsRowFunction="count" dataDxfId="253" totalsRowDxfId="252"/>
    <tableColumn id="18" xr3:uid="{00000000-0010-0000-0900-000012000000}" name="17" totalsRowFunction="count" dataDxfId="251" totalsRowDxfId="250"/>
    <tableColumn id="19" xr3:uid="{00000000-0010-0000-0900-000013000000}" name="18" totalsRowFunction="count" dataDxfId="249" totalsRowDxfId="248"/>
    <tableColumn id="20" xr3:uid="{00000000-0010-0000-0900-000014000000}" name="19" totalsRowFunction="count" dataDxfId="247" totalsRowDxfId="246"/>
    <tableColumn id="21" xr3:uid="{00000000-0010-0000-0900-000015000000}" name="20" totalsRowFunction="count" dataDxfId="245" totalsRowDxfId="244"/>
    <tableColumn id="22" xr3:uid="{00000000-0010-0000-0900-000016000000}" name="21" totalsRowFunction="count" dataDxfId="243" totalsRowDxfId="242"/>
    <tableColumn id="23" xr3:uid="{00000000-0010-0000-0900-000017000000}" name="22" totalsRowFunction="count" dataDxfId="241" totalsRowDxfId="240"/>
    <tableColumn id="24" xr3:uid="{00000000-0010-0000-0900-000018000000}" name="23" totalsRowFunction="count" dataDxfId="239" totalsRowDxfId="238"/>
    <tableColumn id="25" xr3:uid="{00000000-0010-0000-0900-000019000000}" name="24" totalsRowFunction="count" dataDxfId="237" totalsRowDxfId="236"/>
    <tableColumn id="26" xr3:uid="{00000000-0010-0000-0900-00001A000000}" name="25" totalsRowFunction="count" dataDxfId="235" totalsRowDxfId="234"/>
    <tableColumn id="27" xr3:uid="{00000000-0010-0000-0900-00001B000000}" name="26" totalsRowFunction="count" dataDxfId="233" totalsRowDxfId="232"/>
    <tableColumn id="28" xr3:uid="{00000000-0010-0000-0900-00001C000000}" name="27" totalsRowFunction="count" dataDxfId="231" totalsRowDxfId="230"/>
    <tableColumn id="29" xr3:uid="{00000000-0010-0000-0900-00001D000000}" name="28" totalsRowFunction="count" dataDxfId="229" totalsRowDxfId="228"/>
    <tableColumn id="30" xr3:uid="{00000000-0010-0000-0900-00001E000000}" name="29" totalsRowFunction="count" dataDxfId="227" totalsRowDxfId="226"/>
    <tableColumn id="31" xr3:uid="{00000000-0010-0000-0900-00001F000000}" name="30" totalsRowFunction="count" dataDxfId="225" totalsRowDxfId="224"/>
    <tableColumn id="32" xr3:uid="{00000000-0010-0000-0900-000020000000}" name="31" totalsRowFunction="count" dataDxfId="223" totalsRowDxfId="222"/>
    <tableColumn id="33" xr3:uid="{00000000-0010-0000-0900-000021000000}" name="Total des jours" totalsRowFunction="sum" dataDxfId="221" totalsRowDxfId="220">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214" dataDxfId="213" totalsRowDxfId="212">
  <tableColumns count="33">
    <tableColumn id="1" xr3:uid="{00000000-0010-0000-0A00-000001000000}" name="Nom de l’employé" totalsRowFunction="custom" dataDxfId="211" totalsRowDxfId="210" dataCellStyle="Employé">
      <totalsRowFormula>NomMois&amp;" Total"</totalsRowFormula>
    </tableColumn>
    <tableColumn id="2" xr3:uid="{00000000-0010-0000-0A00-000002000000}" name="1" totalsRowFunction="count" dataDxfId="209" totalsRowDxfId="208"/>
    <tableColumn id="3" xr3:uid="{00000000-0010-0000-0A00-000003000000}" name="2" totalsRowFunction="count" dataDxfId="207" totalsRowDxfId="206"/>
    <tableColumn id="4" xr3:uid="{00000000-0010-0000-0A00-000004000000}" name="3" totalsRowFunction="count" dataDxfId="205" totalsRowDxfId="204"/>
    <tableColumn id="5" xr3:uid="{00000000-0010-0000-0A00-000005000000}" name="4" totalsRowFunction="count" dataDxfId="203" totalsRowDxfId="202"/>
    <tableColumn id="6" xr3:uid="{00000000-0010-0000-0A00-000006000000}" name="5" totalsRowFunction="count" dataDxfId="201" totalsRowDxfId="200"/>
    <tableColumn id="7" xr3:uid="{00000000-0010-0000-0A00-000007000000}" name="6" totalsRowFunction="count" dataDxfId="199" totalsRowDxfId="198"/>
    <tableColumn id="8" xr3:uid="{00000000-0010-0000-0A00-000008000000}" name="7" totalsRowFunction="count" dataDxfId="197" totalsRowDxfId="196"/>
    <tableColumn id="9" xr3:uid="{00000000-0010-0000-0A00-000009000000}" name="8" totalsRowFunction="count" dataDxfId="195" totalsRowDxfId="194"/>
    <tableColumn id="10" xr3:uid="{00000000-0010-0000-0A00-00000A000000}" name="9" totalsRowFunction="count" dataDxfId="193" totalsRowDxfId="192"/>
    <tableColumn id="11" xr3:uid="{00000000-0010-0000-0A00-00000B000000}" name="10" totalsRowFunction="count" dataDxfId="191" totalsRowDxfId="190"/>
    <tableColumn id="12" xr3:uid="{00000000-0010-0000-0A00-00000C000000}" name="11" totalsRowFunction="count" dataDxfId="189" totalsRowDxfId="188"/>
    <tableColumn id="13" xr3:uid="{00000000-0010-0000-0A00-00000D000000}" name="12" totalsRowFunction="count" dataDxfId="187" totalsRowDxfId="186"/>
    <tableColumn id="14" xr3:uid="{00000000-0010-0000-0A00-00000E000000}" name="13" totalsRowFunction="count" dataDxfId="185" totalsRowDxfId="184"/>
    <tableColumn id="15" xr3:uid="{00000000-0010-0000-0A00-00000F000000}" name="14" totalsRowFunction="count" dataDxfId="183" totalsRowDxfId="182"/>
    <tableColumn id="16" xr3:uid="{00000000-0010-0000-0A00-000010000000}" name="15" totalsRowFunction="count" dataDxfId="181" totalsRowDxfId="180"/>
    <tableColumn id="17" xr3:uid="{00000000-0010-0000-0A00-000011000000}" name="16" totalsRowFunction="count" dataDxfId="179" totalsRowDxfId="178"/>
    <tableColumn id="18" xr3:uid="{00000000-0010-0000-0A00-000012000000}" name="17" totalsRowFunction="count" dataDxfId="177" totalsRowDxfId="176"/>
    <tableColumn id="19" xr3:uid="{00000000-0010-0000-0A00-000013000000}" name="18" totalsRowFunction="count" dataDxfId="175" totalsRowDxfId="174"/>
    <tableColumn id="20" xr3:uid="{00000000-0010-0000-0A00-000014000000}" name="19" totalsRowFunction="count" dataDxfId="173" totalsRowDxfId="172"/>
    <tableColumn id="21" xr3:uid="{00000000-0010-0000-0A00-000015000000}" name="20" totalsRowFunction="count" dataDxfId="171" totalsRowDxfId="170"/>
    <tableColumn id="22" xr3:uid="{00000000-0010-0000-0A00-000016000000}" name="21" totalsRowFunction="count" dataDxfId="169" totalsRowDxfId="168"/>
    <tableColumn id="23" xr3:uid="{00000000-0010-0000-0A00-000017000000}" name="22" totalsRowFunction="count" dataDxfId="167" totalsRowDxfId="166"/>
    <tableColumn id="24" xr3:uid="{00000000-0010-0000-0A00-000018000000}" name="23" totalsRowFunction="count" dataDxfId="165" totalsRowDxfId="164"/>
    <tableColumn id="25" xr3:uid="{00000000-0010-0000-0A00-000019000000}" name="24" totalsRowFunction="count" dataDxfId="163" totalsRowDxfId="162"/>
    <tableColumn id="26" xr3:uid="{00000000-0010-0000-0A00-00001A000000}" name="25" totalsRowFunction="count" dataDxfId="161" totalsRowDxfId="160"/>
    <tableColumn id="27" xr3:uid="{00000000-0010-0000-0A00-00001B000000}" name="26" totalsRowFunction="count" dataDxfId="159" totalsRowDxfId="158"/>
    <tableColumn id="28" xr3:uid="{00000000-0010-0000-0A00-00001C000000}" name="27" totalsRowFunction="count" dataDxfId="157" totalsRowDxfId="156"/>
    <tableColumn id="29" xr3:uid="{00000000-0010-0000-0A00-00001D000000}" name="28" totalsRowFunction="count" dataDxfId="155" totalsRowDxfId="154"/>
    <tableColumn id="30" xr3:uid="{00000000-0010-0000-0A00-00001E000000}" name="29" totalsRowFunction="count" dataDxfId="153" totalsRowDxfId="152"/>
    <tableColumn id="31" xr3:uid="{00000000-0010-0000-0A00-00001F000000}" name="30" totalsRowFunction="count" dataDxfId="151" totalsRowDxfId="150"/>
    <tableColumn id="32" xr3:uid="{00000000-0010-0000-0A00-000020000000}" name=" " totalsRowFunction="count" dataDxfId="149" totalsRowDxfId="148"/>
    <tableColumn id="33" xr3:uid="{00000000-0010-0000-0A00-000021000000}" name="Total des jours" totalsRowFunction="sum" dataDxfId="147" totalsRowDxfId="146">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140" dataDxfId="139" totalsRowDxfId="138">
  <tableColumns count="33">
    <tableColumn id="1" xr3:uid="{00000000-0010-0000-0B00-000001000000}" name="Nom de l’employé" totalsRowFunction="custom" dataDxfId="137" totalsRowDxfId="136" dataCellStyle="Employé">
      <totalsRowFormula>NomMois&amp;" Total"</totalsRowFormula>
    </tableColumn>
    <tableColumn id="2" xr3:uid="{00000000-0010-0000-0B00-000002000000}" name="1" totalsRowFunction="count" dataDxfId="135" totalsRowDxfId="134"/>
    <tableColumn id="3" xr3:uid="{00000000-0010-0000-0B00-000003000000}" name="2" totalsRowFunction="count" dataDxfId="133" totalsRowDxfId="132"/>
    <tableColumn id="4" xr3:uid="{00000000-0010-0000-0B00-000004000000}" name="3" totalsRowFunction="count" dataDxfId="131" totalsRowDxfId="130"/>
    <tableColumn id="5" xr3:uid="{00000000-0010-0000-0B00-000005000000}" name="4" totalsRowFunction="count" dataDxfId="129" totalsRowDxfId="128"/>
    <tableColumn id="6" xr3:uid="{00000000-0010-0000-0B00-000006000000}" name="5" totalsRowFunction="count" dataDxfId="127" totalsRowDxfId="126"/>
    <tableColumn id="7" xr3:uid="{00000000-0010-0000-0B00-000007000000}" name="6" totalsRowFunction="count" dataDxfId="125" totalsRowDxfId="124"/>
    <tableColumn id="8" xr3:uid="{00000000-0010-0000-0B00-000008000000}" name="7" totalsRowFunction="count" dataDxfId="123" totalsRowDxfId="122"/>
    <tableColumn id="9" xr3:uid="{00000000-0010-0000-0B00-000009000000}" name="8" totalsRowFunction="count" dataDxfId="121" totalsRowDxfId="120"/>
    <tableColumn id="10" xr3:uid="{00000000-0010-0000-0B00-00000A000000}" name="9" totalsRowFunction="count" dataDxfId="119" totalsRowDxfId="118"/>
    <tableColumn id="11" xr3:uid="{00000000-0010-0000-0B00-00000B000000}" name="10" totalsRowFunction="count" dataDxfId="117" totalsRowDxfId="116"/>
    <tableColumn id="12" xr3:uid="{00000000-0010-0000-0B00-00000C000000}" name="11" totalsRowFunction="count" dataDxfId="115" totalsRowDxfId="114"/>
    <tableColumn id="13" xr3:uid="{00000000-0010-0000-0B00-00000D000000}" name="12" totalsRowFunction="count" dataDxfId="113" totalsRowDxfId="112"/>
    <tableColumn id="14" xr3:uid="{00000000-0010-0000-0B00-00000E000000}" name="13" totalsRowFunction="count" dataDxfId="111" totalsRowDxfId="110"/>
    <tableColumn id="15" xr3:uid="{00000000-0010-0000-0B00-00000F000000}" name="14" totalsRowFunction="count" dataDxfId="109" totalsRowDxfId="108"/>
    <tableColumn id="16" xr3:uid="{00000000-0010-0000-0B00-000010000000}" name="15" totalsRowFunction="count" dataDxfId="107" totalsRowDxfId="106"/>
    <tableColumn id="17" xr3:uid="{00000000-0010-0000-0B00-000011000000}" name="16" totalsRowFunction="count" dataDxfId="105" totalsRowDxfId="104"/>
    <tableColumn id="18" xr3:uid="{00000000-0010-0000-0B00-000012000000}" name="17" totalsRowFunction="count" dataDxfId="103" totalsRowDxfId="102"/>
    <tableColumn id="19" xr3:uid="{00000000-0010-0000-0B00-000013000000}" name="18" totalsRowFunction="count" dataDxfId="101" totalsRowDxfId="100"/>
    <tableColumn id="20" xr3:uid="{00000000-0010-0000-0B00-000014000000}" name="19" totalsRowFunction="count" dataDxfId="99" totalsRowDxfId="98"/>
    <tableColumn id="21" xr3:uid="{00000000-0010-0000-0B00-000015000000}" name="20" totalsRowFunction="count" dataDxfId="97" totalsRowDxfId="96"/>
    <tableColumn id="22" xr3:uid="{00000000-0010-0000-0B00-000016000000}" name="21" totalsRowFunction="count" dataDxfId="95" totalsRowDxfId="94"/>
    <tableColumn id="23" xr3:uid="{00000000-0010-0000-0B00-000017000000}" name="22" totalsRowFunction="count" dataDxfId="93" totalsRowDxfId="92"/>
    <tableColumn id="24" xr3:uid="{00000000-0010-0000-0B00-000018000000}" name="23" totalsRowFunction="count" dataDxfId="91" totalsRowDxfId="90"/>
    <tableColumn id="25" xr3:uid="{00000000-0010-0000-0B00-000019000000}" name="24" totalsRowFunction="count" dataDxfId="89" totalsRowDxfId="88"/>
    <tableColumn id="26" xr3:uid="{00000000-0010-0000-0B00-00001A000000}" name="25" totalsRowFunction="count" dataDxfId="87" totalsRowDxfId="86"/>
    <tableColumn id="27" xr3:uid="{00000000-0010-0000-0B00-00001B000000}" name="26" totalsRowFunction="count" dataDxfId="85" totalsRowDxfId="84"/>
    <tableColumn id="28" xr3:uid="{00000000-0010-0000-0B00-00001C000000}" name="27" totalsRowFunction="count" dataDxfId="83" totalsRowDxfId="82"/>
    <tableColumn id="29" xr3:uid="{00000000-0010-0000-0B00-00001D000000}" name="28" totalsRowFunction="count" dataDxfId="81" totalsRowDxfId="80"/>
    <tableColumn id="30" xr3:uid="{00000000-0010-0000-0B00-00001E000000}" name="29" totalsRowFunction="count" dataDxfId="79" totalsRowDxfId="78"/>
    <tableColumn id="31" xr3:uid="{00000000-0010-0000-0B00-00001F000000}" name="30" totalsRowFunction="count" dataDxfId="77" totalsRowDxfId="76"/>
    <tableColumn id="32" xr3:uid="{00000000-0010-0000-0B00-000020000000}" name="31" totalsRowFunction="count" dataDxfId="75" totalsRowDxfId="74"/>
    <tableColumn id="33" xr3:uid="{00000000-0010-0000-0B00-000021000000}" name="Total des jours" totalsRowFunction="sum" dataDxfId="73" totalsRowDxfId="72">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autoFilter ref="B3:B8" xr:uid="{00000000-0009-0000-0100-00000D000000}"/>
  <tableColumns count="1">
    <tableColumn id="1" xr3:uid="{00000000-0010-0000-0C00-000001000000}" name="Noms des employés" totalsRowFunction="count" totalsRowDxfId="7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sheetPr>
  <dimension ref="A1:AH12"/>
  <sheetViews>
    <sheetView showGridLines="0" tabSelected="1" zoomScale="45" zoomScaleNormal="100" workbookViewId="0">
      <selection activeCell="B11" sqref="B11"/>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1:34" ht="50.15" customHeight="1" x14ac:dyDescent="0.35">
      <c r="A1" s="18"/>
      <c r="B1" s="14" t="s">
        <v>64</v>
      </c>
    </row>
    <row r="2" spans="1:34" ht="15" customHeight="1" x14ac:dyDescent="0.35">
      <c r="B2" s="19" t="s">
        <v>65</v>
      </c>
      <c r="C2" s="4" t="s">
        <v>66</v>
      </c>
      <c r="D2" s="25" t="s">
        <v>67</v>
      </c>
      <c r="E2" s="25"/>
      <c r="F2" s="5" t="s">
        <v>68</v>
      </c>
      <c r="G2" s="25" t="s">
        <v>69</v>
      </c>
      <c r="H2" s="25"/>
      <c r="I2" s="25"/>
      <c r="J2" s="6" t="s">
        <v>70</v>
      </c>
      <c r="K2" s="25" t="s">
        <v>71</v>
      </c>
      <c r="L2" s="25"/>
      <c r="M2" s="7" t="s">
        <v>72</v>
      </c>
      <c r="N2" s="25" t="s">
        <v>73</v>
      </c>
      <c r="O2" s="25"/>
      <c r="P2" s="25"/>
      <c r="Q2" s="25"/>
      <c r="R2" s="8" t="s">
        <v>76</v>
      </c>
      <c r="S2" s="25" t="s">
        <v>77</v>
      </c>
      <c r="T2" s="25"/>
      <c r="U2" s="25"/>
      <c r="V2" s="25"/>
      <c r="W2" s="26" t="s">
        <v>74</v>
      </c>
      <c r="X2" s="25" t="s">
        <v>75</v>
      </c>
      <c r="Y2" s="25"/>
      <c r="Z2" s="25"/>
      <c r="AA2" s="25"/>
    </row>
    <row r="3" spans="1:34" ht="15" customHeight="1" x14ac:dyDescent="0.35">
      <c r="AH3" s="20" t="s">
        <v>48</v>
      </c>
    </row>
    <row r="4" spans="1:34" ht="30" customHeight="1" x14ac:dyDescent="0.35">
      <c r="B4" s="12" t="s">
        <v>1</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v>2021</v>
      </c>
    </row>
    <row r="5" spans="1:34" ht="15" customHeight="1" x14ac:dyDescent="0.35">
      <c r="B5" s="12"/>
      <c r="C5" s="2" t="str">
        <f>TEXT(WEEKDAY(DATE(AnnéeCalendrier,1,1),1),"jjj")</f>
        <v>ven</v>
      </c>
      <c r="D5" s="2" t="str">
        <f>TEXT(WEEKDAY(DATE(AnnéeCalendrier,1,2),1),"jjj")</f>
        <v>sam</v>
      </c>
      <c r="E5" s="2" t="str">
        <f>TEXT(WEEKDAY(DATE(AnnéeCalendrier,1,3),1),"jjj")</f>
        <v>dim</v>
      </c>
      <c r="F5" s="2" t="str">
        <f>TEXT(WEEKDAY(DATE(AnnéeCalendrier,1,4),1),"jjj")</f>
        <v>lun</v>
      </c>
      <c r="G5" s="2" t="str">
        <f>TEXT(WEEKDAY(DATE(AnnéeCalendrier,1,5),1),"jjj")</f>
        <v>mar</v>
      </c>
      <c r="H5" s="2" t="str">
        <f>TEXT(WEEKDAY(DATE(AnnéeCalendrier,1,6),1),"jjj")</f>
        <v>mer</v>
      </c>
      <c r="I5" s="2" t="str">
        <f>TEXT(WEEKDAY(DATE(AnnéeCalendrier,1,7),1),"jjj")</f>
        <v>jeu</v>
      </c>
      <c r="J5" s="2" t="str">
        <f>TEXT(WEEKDAY(DATE(AnnéeCalendrier,1,8),1),"jjj")</f>
        <v>ven</v>
      </c>
      <c r="K5" s="2" t="str">
        <f>TEXT(WEEKDAY(DATE(AnnéeCalendrier,1,9),1),"jjj")</f>
        <v>sam</v>
      </c>
      <c r="L5" s="2" t="str">
        <f>TEXT(WEEKDAY(DATE(AnnéeCalendrier,1,10),1),"jjj")</f>
        <v>dim</v>
      </c>
      <c r="M5" s="2" t="str">
        <f>TEXT(WEEKDAY(DATE(AnnéeCalendrier,1,11),1),"jjj")</f>
        <v>lun</v>
      </c>
      <c r="N5" s="2" t="str">
        <f>TEXT(WEEKDAY(DATE(AnnéeCalendrier,1,12),1),"jjj")</f>
        <v>mar</v>
      </c>
      <c r="O5" s="2" t="str">
        <f>TEXT(WEEKDAY(DATE(AnnéeCalendrier,1,13),1),"jjj")</f>
        <v>mer</v>
      </c>
      <c r="P5" s="2" t="str">
        <f>TEXT(WEEKDAY(DATE(AnnéeCalendrier,1,14),1),"jjj")</f>
        <v>jeu</v>
      </c>
      <c r="Q5" s="2" t="str">
        <f>TEXT(WEEKDAY(DATE(AnnéeCalendrier,1,15),1),"jjj")</f>
        <v>ven</v>
      </c>
      <c r="R5" s="2" t="str">
        <f>TEXT(WEEKDAY(DATE(AnnéeCalendrier,1,16),1),"jjj")</f>
        <v>sam</v>
      </c>
      <c r="S5" s="2" t="str">
        <f>TEXT(WEEKDAY(DATE(AnnéeCalendrier,1,17),1),"jjj")</f>
        <v>dim</v>
      </c>
      <c r="T5" s="2" t="str">
        <f>TEXT(WEEKDAY(DATE(AnnéeCalendrier,1,18),1),"jjj")</f>
        <v>lun</v>
      </c>
      <c r="U5" s="2" t="str">
        <f>TEXT(WEEKDAY(DATE(AnnéeCalendrier,1,19),1),"jjj")</f>
        <v>mar</v>
      </c>
      <c r="V5" s="2" t="str">
        <f>TEXT(WEEKDAY(DATE(AnnéeCalendrier,1,20),1),"jjj")</f>
        <v>mer</v>
      </c>
      <c r="W5" s="2" t="str">
        <f>TEXT(WEEKDAY(DATE(AnnéeCalendrier,1,21),1),"jjj")</f>
        <v>jeu</v>
      </c>
      <c r="X5" s="2" t="str">
        <f>TEXT(WEEKDAY(DATE(AnnéeCalendrier,1,22),1),"jjj")</f>
        <v>ven</v>
      </c>
      <c r="Y5" s="2" t="str">
        <f>TEXT(WEEKDAY(DATE(AnnéeCalendrier,1,23),1),"jjj")</f>
        <v>sam</v>
      </c>
      <c r="Z5" s="2" t="str">
        <f>TEXT(WEEKDAY(DATE(AnnéeCalendrier,1,24),1),"jjj")</f>
        <v>dim</v>
      </c>
      <c r="AA5" s="2" t="str">
        <f>TEXT(WEEKDAY(DATE(AnnéeCalendrier,1,25),1),"jjj")</f>
        <v>lun</v>
      </c>
      <c r="AB5" s="2" t="str">
        <f>TEXT(WEEKDAY(DATE(AnnéeCalendrier,1,26),1),"jjj")</f>
        <v>mar</v>
      </c>
      <c r="AC5" s="2" t="str">
        <f>TEXT(WEEKDAY(DATE(AnnéeCalendrier,1,27),1),"jjj")</f>
        <v>mer</v>
      </c>
      <c r="AD5" s="2" t="str">
        <f>TEXT(WEEKDAY(DATE(AnnéeCalendrier,1,28),1),"jjj")</f>
        <v>jeu</v>
      </c>
      <c r="AE5" s="2" t="str">
        <f>TEXT(WEEKDAY(DATE(AnnéeCalendrier,1,29),1),"jjj")</f>
        <v>ven</v>
      </c>
      <c r="AF5" s="2" t="str">
        <f>TEXT(WEEKDAY(DATE(AnnéeCalendrier,1,30),1),"jjj")</f>
        <v>sam</v>
      </c>
      <c r="AG5" s="2" t="str">
        <f>TEXT(WEEKDAY(DATE(AnnéeCalendrier,1,31),1),"jjj")</f>
        <v>dim</v>
      </c>
      <c r="AH5" s="12"/>
    </row>
    <row r="6" spans="1: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1:34" ht="30" customHeight="1" x14ac:dyDescent="0.35">
      <c r="B7" s="9" t="s">
        <v>78</v>
      </c>
      <c r="C7" s="3" t="s">
        <v>66</v>
      </c>
      <c r="D7" s="3" t="s">
        <v>66</v>
      </c>
      <c r="E7" s="3" t="s">
        <v>66</v>
      </c>
      <c r="F7" s="3" t="s">
        <v>66</v>
      </c>
      <c r="G7" s="3" t="s">
        <v>66</v>
      </c>
      <c r="H7" s="3" t="s">
        <v>66</v>
      </c>
      <c r="I7" s="3" t="s">
        <v>66</v>
      </c>
      <c r="J7" s="3" t="s">
        <v>66</v>
      </c>
      <c r="K7" s="3" t="s">
        <v>66</v>
      </c>
      <c r="L7" s="3" t="s">
        <v>66</v>
      </c>
      <c r="M7" s="3" t="s">
        <v>66</v>
      </c>
      <c r="N7" s="3" t="s">
        <v>66</v>
      </c>
      <c r="O7" s="3" t="s">
        <v>66</v>
      </c>
      <c r="P7" s="3" t="s">
        <v>66</v>
      </c>
      <c r="Q7" s="3" t="s">
        <v>66</v>
      </c>
      <c r="R7" s="3" t="s">
        <v>68</v>
      </c>
      <c r="S7" s="3" t="s">
        <v>68</v>
      </c>
      <c r="T7" s="3" t="s">
        <v>68</v>
      </c>
      <c r="U7" s="3" t="s">
        <v>68</v>
      </c>
      <c r="V7" s="3" t="s">
        <v>68</v>
      </c>
      <c r="W7" s="3" t="s">
        <v>68</v>
      </c>
      <c r="X7" s="3" t="s">
        <v>68</v>
      </c>
      <c r="Y7" s="3" t="s">
        <v>68</v>
      </c>
      <c r="Z7" s="3" t="s">
        <v>68</v>
      </c>
      <c r="AA7" s="3" t="s">
        <v>68</v>
      </c>
      <c r="AB7" s="3" t="s">
        <v>68</v>
      </c>
      <c r="AC7" s="3" t="s">
        <v>68</v>
      </c>
      <c r="AD7" s="3" t="s">
        <v>68</v>
      </c>
      <c r="AE7" s="3" t="s">
        <v>68</v>
      </c>
      <c r="AF7" s="3"/>
      <c r="AG7" s="3"/>
      <c r="AH7" s="10">
        <f>COUNTA(Janvier!$C7:$AG7)</f>
        <v>29</v>
      </c>
    </row>
    <row r="8" spans="1:34" ht="30" customHeight="1" x14ac:dyDescent="0.35">
      <c r="B8" s="9" t="s">
        <v>79</v>
      </c>
      <c r="C8" s="3"/>
      <c r="D8" s="3"/>
      <c r="E8" s="3" t="str" cm="1">
        <f t="array" ref="E8">IF(ISBLANK(Janvier[[#This Row],[2]]),"",X)</f>
        <v/>
      </c>
      <c r="F8" s="3"/>
      <c r="G8" s="3"/>
      <c r="H8" s="3"/>
      <c r="I8" s="3"/>
      <c r="J8" s="3"/>
      <c r="K8" s="3"/>
      <c r="L8" s="3"/>
      <c r="M8" s="3"/>
      <c r="N8" s="3"/>
      <c r="O8" s="3"/>
      <c r="P8" s="3"/>
      <c r="Q8" s="3"/>
      <c r="R8" s="3"/>
      <c r="S8" s="3"/>
      <c r="T8" s="3"/>
      <c r="U8" s="3"/>
      <c r="V8" s="3"/>
      <c r="W8" s="3"/>
      <c r="X8" s="3"/>
      <c r="Y8" s="3"/>
      <c r="Z8" s="3"/>
      <c r="AA8" s="3"/>
      <c r="AB8" s="3"/>
      <c r="AC8" s="3"/>
      <c r="AD8" s="3"/>
      <c r="AE8" s="3"/>
      <c r="AF8" s="3"/>
      <c r="AG8" s="3"/>
      <c r="AH8" s="10">
        <f>COUNTA(Janvier!$C8:$AG8)</f>
        <v>1</v>
      </c>
    </row>
    <row r="9" spans="1:34" ht="30" customHeight="1" x14ac:dyDescent="0.35">
      <c r="B9" s="9" t="s">
        <v>80</v>
      </c>
      <c r="C9" s="3"/>
      <c r="D9" s="3"/>
      <c r="E9" s="3" t="str" cm="1">
        <f t="array" ref="E9">IF(ISBLANK(Janvier[[#This Row],[2]]),"",X)</f>
        <v/>
      </c>
      <c r="F9" s="3"/>
      <c r="G9" s="3"/>
      <c r="H9" s="3"/>
      <c r="I9" s="3"/>
      <c r="J9" s="3"/>
      <c r="K9" s="3"/>
      <c r="L9" s="3"/>
      <c r="M9" s="3"/>
      <c r="N9" s="3"/>
      <c r="O9" s="3"/>
      <c r="P9" s="3"/>
      <c r="Q9" s="3"/>
      <c r="R9" s="3"/>
      <c r="S9" s="3"/>
      <c r="T9" s="3"/>
      <c r="U9" s="3"/>
      <c r="V9" s="3"/>
      <c r="W9" s="3"/>
      <c r="X9" s="3"/>
      <c r="Y9" s="3"/>
      <c r="Z9" s="3"/>
      <c r="AA9" s="3"/>
      <c r="AB9" s="3"/>
      <c r="AC9" s="3"/>
      <c r="AD9" s="3"/>
      <c r="AE9" s="3"/>
      <c r="AF9" s="3"/>
      <c r="AG9" s="3"/>
      <c r="AH9" s="10">
        <f>COUNTA(Janvier!$C9:$AG9)</f>
        <v>1</v>
      </c>
    </row>
    <row r="10" spans="1:34" ht="30" customHeight="1" x14ac:dyDescent="0.35">
      <c r="B10" s="9" t="s">
        <v>81</v>
      </c>
      <c r="C10" s="3"/>
      <c r="D10" s="3"/>
      <c r="E10" s="3" t="str" cm="1">
        <f t="array" ref="E10">IF(ISBLANK(Janvier[[#This Row],[2]]),"",X)</f>
        <v/>
      </c>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COUNTA(Janvier!$C10:$AG10)</f>
        <v>1</v>
      </c>
    </row>
    <row r="11" spans="1:34" ht="30" customHeight="1" x14ac:dyDescent="0.35">
      <c r="B11" s="9" t="s">
        <v>82</v>
      </c>
      <c r="C11" s="3"/>
      <c r="D11" s="3"/>
      <c r="E11" s="3" t="str" cm="1">
        <f t="array" ref="E11">IF(ISBLANK(Janvier[[#This Row],[2]]),"",X)</f>
        <v/>
      </c>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COUNTA(Janvier!$C11:$AG11)</f>
        <v>1</v>
      </c>
    </row>
    <row r="12" spans="1:34" ht="30" customHeight="1" x14ac:dyDescent="0.35">
      <c r="B12" s="21" t="str">
        <f>NomMois&amp;" Total"</f>
        <v>Janvier Total</v>
      </c>
      <c r="C12" s="13">
        <f>SUBTOTAL(103,Janvier!$C$7:$C$11)</f>
        <v>1</v>
      </c>
      <c r="D12" s="13">
        <f>SUBTOTAL(103,Janvier!$D$7:$D$11)</f>
        <v>1</v>
      </c>
      <c r="E12" s="13">
        <f>SUBTOTAL(103,Janvier!$E$7:$E$11)</f>
        <v>5</v>
      </c>
      <c r="F12" s="13">
        <f>SUBTOTAL(103,Janvier!$F$7:$F$11)</f>
        <v>1</v>
      </c>
      <c r="G12" s="13">
        <f>SUBTOTAL(103,Janvier!$G$7:$G$11)</f>
        <v>1</v>
      </c>
      <c r="H12" s="13">
        <f>SUBTOTAL(103,Janvier!$H$7:$H$11)</f>
        <v>1</v>
      </c>
      <c r="I12" s="13">
        <f>SUBTOTAL(103,Janvier!$I$7:$I$11)</f>
        <v>1</v>
      </c>
      <c r="J12" s="13">
        <f>SUBTOTAL(103,Janvier!$J$7:$J$11)</f>
        <v>1</v>
      </c>
      <c r="K12" s="13">
        <f>SUBTOTAL(103,Janvier!$K$7:$K$11)</f>
        <v>1</v>
      </c>
      <c r="L12" s="13">
        <f>SUBTOTAL(103,Janvier!$L$7:$L$11)</f>
        <v>1</v>
      </c>
      <c r="M12" s="13">
        <f>SUBTOTAL(103,Janvier!$M$7:$M$11)</f>
        <v>1</v>
      </c>
      <c r="N12" s="13">
        <f>SUBTOTAL(103,Janvier!$N$7:$N$11)</f>
        <v>1</v>
      </c>
      <c r="O12" s="13">
        <f>SUBTOTAL(103,Janvier!$O$7:$O$11)</f>
        <v>1</v>
      </c>
      <c r="P12" s="13">
        <f>SUBTOTAL(103,Janvier!$P$7:$P$11)</f>
        <v>1</v>
      </c>
      <c r="Q12" s="13">
        <f>SUBTOTAL(103,Janvier!$Q$7:$Q$11)</f>
        <v>1</v>
      </c>
      <c r="R12" s="13">
        <f>SUBTOTAL(103,Janvier!$R$7:$R$11)</f>
        <v>1</v>
      </c>
      <c r="S12" s="13">
        <f>SUBTOTAL(103,Janvier!$S$7:$S$11)</f>
        <v>1</v>
      </c>
      <c r="T12" s="13">
        <f>SUBTOTAL(103,Janvier!$T$7:$T$11)</f>
        <v>1</v>
      </c>
      <c r="U12" s="13">
        <f>SUBTOTAL(103,Janvier!$U$7:$U$11)</f>
        <v>1</v>
      </c>
      <c r="V12" s="13">
        <f>SUBTOTAL(103,Janvier!$V$7:$V$11)</f>
        <v>1</v>
      </c>
      <c r="W12" s="13">
        <f>SUBTOTAL(103,Janvier!$W$7:$W$11)</f>
        <v>1</v>
      </c>
      <c r="X12" s="13">
        <f>SUBTOTAL(103,Janvier!$X$7:$X$11)</f>
        <v>1</v>
      </c>
      <c r="Y12" s="13">
        <f>SUBTOTAL(103,Janvier!$Y$7:$Y$11)</f>
        <v>1</v>
      </c>
      <c r="Z12" s="13">
        <f>SUBTOTAL(103,Janvier!$Z$7:$Z$11)</f>
        <v>1</v>
      </c>
      <c r="AA12" s="13">
        <f>SUBTOTAL(103,Janvier!$AA$7:$AA$11)</f>
        <v>1</v>
      </c>
      <c r="AB12" s="13">
        <f>SUBTOTAL(103,Janvier!$AB$7:$AB$11)</f>
        <v>1</v>
      </c>
      <c r="AC12" s="13">
        <f>SUBTOTAL(103,Janvier!$AC$7:$AC$11)</f>
        <v>1</v>
      </c>
      <c r="AD12" s="13">
        <f>SUBTOTAL(103,Janvier!$AD$7:$AD$11)</f>
        <v>1</v>
      </c>
      <c r="AE12" s="13">
        <f>SUBTOTAL(103,Janvier!$AE$7:$AE$11)</f>
        <v>1</v>
      </c>
      <c r="AF12" s="13">
        <f>SUBTOTAL(103,Janvier!$AF$7:$AF$11)</f>
        <v>0</v>
      </c>
      <c r="AG12" s="13">
        <f>SUBTOTAL(103,Janvier!$AG$7:$AG$11)</f>
        <v>0</v>
      </c>
      <c r="AH12" s="13">
        <f>SUBTOTAL(109,Janvier[Total des jours])</f>
        <v>33</v>
      </c>
    </row>
  </sheetData>
  <mergeCells count="7">
    <mergeCell ref="C4:AG4"/>
    <mergeCell ref="D2:E2"/>
    <mergeCell ref="G2:I2"/>
    <mergeCell ref="K2:L2"/>
    <mergeCell ref="N2:Q2"/>
    <mergeCell ref="S2:V2"/>
    <mergeCell ref="X2:AA2"/>
  </mergeCells>
  <conditionalFormatting sqref="C7:AG11">
    <cfRule type="expression" priority="2" stopIfTrue="1">
      <formula>C7=""</formula>
    </cfRule>
    <cfRule type="expression" dxfId="65" priority="7" stopIfTrue="1">
      <formula>C7=CléPersonnalisée2</formula>
    </cfRule>
    <cfRule type="expression" dxfId="66" priority="8" stopIfTrue="1">
      <formula>C7=CléPersonnalisée1</formula>
    </cfRule>
    <cfRule type="expression" dxfId="67" priority="9" stopIfTrue="1">
      <formula>C7=CléMaladie</formula>
    </cfRule>
    <cfRule type="expression" dxfId="68" priority="10" stopIfTrue="1">
      <formula>C7=CléPersonnel</formula>
    </cfRule>
    <cfRule type="expression" dxfId="69" priority="11" stopIfTrue="1">
      <formula>C7=CléCongé</formula>
    </cfRule>
    <cfRule type="cellIs" dxfId="70" priority="1" operator="equal">
      <formula>"A"</formula>
    </cfRule>
  </conditionalFormatting>
  <conditionalFormatting sqref="AH7:AH11">
    <cfRule type="dataBar" priority="169">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xWindow="669" yWindow="392" count="12">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Entrez une lettre et personnalisez l’étiquette à droite pour ajouter un élément de clé" sqref="W2" xr:uid="{00000000-0002-0000-0000-00000B000000}"/>
    <dataValidation allowBlank="1" showInputMessage="1" showErrorMessage="1" prompt="Entrez une étiquette pour décrire la clé personnalisée à gauche" sqref="N2 S2 X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669" yWindow="392" count="1">
        <x14:dataValidation type="list" allowBlank="1" showInputMessage="1" showErrorMessage="1" xr:uid="{00000000-0002-0000-0000-00000F000000}">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2" tint="-0.749992370372631"/>
  </sheetPr>
  <dimension ref="A1:AH12"/>
  <sheetViews>
    <sheetView showGridLines="0" zoomScale="55" zoomScaleNormal="100" workbookViewId="0">
      <selection activeCell="B19" sqref="B19"/>
    </sheetView>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row>
    <row r="4" spans="2:34" ht="30" customHeight="1" x14ac:dyDescent="0.35">
      <c r="B4" s="12" t="s">
        <v>50</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TEXT(WEEKDAY(DATE(AnnéeCalendrier,2,1),1),"jjj")</f>
        <v>lun</v>
      </c>
      <c r="D5" s="2" t="str">
        <f>TEXT(WEEKDAY(DATE(AnnéeCalendrier,2,2),1),"jjj")</f>
        <v>mar</v>
      </c>
      <c r="E5" s="2" t="str">
        <f>TEXT(WEEKDAY(DATE(AnnéeCalendrier,2,3),1),"jjj")</f>
        <v>mer</v>
      </c>
      <c r="F5" s="2" t="str">
        <f>TEXT(WEEKDAY(DATE(AnnéeCalendrier,2,4),1),"jjj")</f>
        <v>jeu</v>
      </c>
      <c r="G5" s="2" t="str">
        <f>TEXT(WEEKDAY(DATE(AnnéeCalendrier,2,5),1),"jjj")</f>
        <v>ven</v>
      </c>
      <c r="H5" s="2" t="str">
        <f>TEXT(WEEKDAY(DATE(AnnéeCalendrier,2,6),1),"jjj")</f>
        <v>sam</v>
      </c>
      <c r="I5" s="2" t="str">
        <f>TEXT(WEEKDAY(DATE(AnnéeCalendrier,2,7),1),"jjj")</f>
        <v>dim</v>
      </c>
      <c r="J5" s="2" t="str">
        <f>TEXT(WEEKDAY(DATE(AnnéeCalendrier,2,8),1),"jjj")</f>
        <v>lun</v>
      </c>
      <c r="K5" s="2" t="str">
        <f>TEXT(WEEKDAY(DATE(AnnéeCalendrier,2,9),1),"jjj")</f>
        <v>mar</v>
      </c>
      <c r="L5" s="2" t="str">
        <f>TEXT(WEEKDAY(DATE(AnnéeCalendrier,2,10),1),"jjj")</f>
        <v>mer</v>
      </c>
      <c r="M5" s="2" t="str">
        <f>TEXT(WEEKDAY(DATE(AnnéeCalendrier,2,11),1),"jjj")</f>
        <v>jeu</v>
      </c>
      <c r="N5" s="2" t="str">
        <f>TEXT(WEEKDAY(DATE(AnnéeCalendrier,2,12),1),"jjj")</f>
        <v>ven</v>
      </c>
      <c r="O5" s="2" t="str">
        <f>TEXT(WEEKDAY(DATE(AnnéeCalendrier,2,13),1),"jjj")</f>
        <v>sam</v>
      </c>
      <c r="P5" s="2" t="str">
        <f>TEXT(WEEKDAY(DATE(AnnéeCalendrier,2,14),1),"jjj")</f>
        <v>dim</v>
      </c>
      <c r="Q5" s="2" t="str">
        <f>TEXT(WEEKDAY(DATE(AnnéeCalendrier,2,15),1),"jjj")</f>
        <v>lun</v>
      </c>
      <c r="R5" s="2" t="str">
        <f>TEXT(WEEKDAY(DATE(AnnéeCalendrier,2,16),1),"jjj")</f>
        <v>mar</v>
      </c>
      <c r="S5" s="2" t="str">
        <f>TEXT(WEEKDAY(DATE(AnnéeCalendrier,2,17),1),"jjj")</f>
        <v>mer</v>
      </c>
      <c r="T5" s="2" t="str">
        <f>TEXT(WEEKDAY(DATE(AnnéeCalendrier,2,18),1),"jjj")</f>
        <v>jeu</v>
      </c>
      <c r="U5" s="2" t="str">
        <f>TEXT(WEEKDAY(DATE(AnnéeCalendrier,2,19),1),"jjj")</f>
        <v>ven</v>
      </c>
      <c r="V5" s="2" t="str">
        <f>TEXT(WEEKDAY(DATE(AnnéeCalendrier,2,20),1),"jjj")</f>
        <v>sam</v>
      </c>
      <c r="W5" s="2" t="str">
        <f>TEXT(WEEKDAY(DATE(AnnéeCalendrier,2,21),1),"jjj")</f>
        <v>dim</v>
      </c>
      <c r="X5" s="2" t="str">
        <f>TEXT(WEEKDAY(DATE(AnnéeCalendrier,2,22),1),"jjj")</f>
        <v>lun</v>
      </c>
      <c r="Y5" s="2" t="str">
        <f>TEXT(WEEKDAY(DATE(AnnéeCalendrier,2,23),1),"jjj")</f>
        <v>mar</v>
      </c>
      <c r="Z5" s="2" t="str">
        <f>TEXT(WEEKDAY(DATE(AnnéeCalendrier,2,24),1),"jjj")</f>
        <v>mer</v>
      </c>
      <c r="AA5" s="2" t="str">
        <f>TEXT(WEEKDAY(DATE(AnnéeCalendrier,2,25),1),"jjj")</f>
        <v>jeu</v>
      </c>
      <c r="AB5" s="2" t="str">
        <f>TEXT(WEEKDAY(DATE(AnnéeCalendrier,2,26),1),"jjj")</f>
        <v>ven</v>
      </c>
      <c r="AC5" s="2" t="str">
        <f>TEXT(WEEKDAY(DATE(AnnéeCalendrier,2,27),1),"jjj")</f>
        <v>sam</v>
      </c>
      <c r="AD5" s="2" t="str">
        <f>TEXT(WEEKDAY(DATE(AnnéeCalendrier,2,28),1),"jjj")</f>
        <v>dim</v>
      </c>
      <c r="AE5" s="2" t="str">
        <f>TEXT(WEEKDAY(DATE(AnnéeCalendrier,2,29),1),"jjj")</f>
        <v>lun</v>
      </c>
      <c r="AF5" s="2"/>
      <c r="AG5" s="2"/>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51</v>
      </c>
      <c r="AG6" s="3" t="s">
        <v>52</v>
      </c>
      <c r="AH6" s="16" t="s">
        <v>49</v>
      </c>
    </row>
    <row r="7" spans="2:34" ht="30" customHeight="1" x14ac:dyDescent="0.35">
      <c r="B7" s="17" t="s">
        <v>3</v>
      </c>
      <c r="C7" s="3"/>
      <c r="D7" s="3"/>
      <c r="E7" s="3" t="s">
        <v>8</v>
      </c>
      <c r="F7" s="3" t="s">
        <v>8</v>
      </c>
      <c r="G7" s="3" t="s">
        <v>8</v>
      </c>
      <c r="H7" s="3" t="s">
        <v>8</v>
      </c>
      <c r="I7" s="3"/>
      <c r="J7" s="3"/>
      <c r="K7" s="3"/>
      <c r="L7" s="3"/>
      <c r="M7" s="3"/>
      <c r="N7" s="3"/>
      <c r="O7" s="3" t="s">
        <v>8</v>
      </c>
      <c r="P7" s="3"/>
      <c r="Q7" s="3"/>
      <c r="R7" s="3"/>
      <c r="S7" s="3"/>
      <c r="T7" s="3"/>
      <c r="U7" s="3"/>
      <c r="V7" s="3"/>
      <c r="W7" s="3"/>
      <c r="X7" s="3"/>
      <c r="Y7" s="3"/>
      <c r="Z7" s="3"/>
      <c r="AA7" s="3"/>
      <c r="AB7" s="3"/>
      <c r="AC7" s="3"/>
      <c r="AD7" s="3"/>
      <c r="AE7" s="3"/>
      <c r="AF7" s="3"/>
      <c r="AG7" s="3"/>
      <c r="AH7" s="10">
        <f>COUNTA(Février[[#This Row],[1]:[29]])</f>
        <v>5</v>
      </c>
    </row>
    <row r="8" spans="2:34" ht="30" customHeight="1" x14ac:dyDescent="0.35">
      <c r="B8" s="17" t="s">
        <v>4</v>
      </c>
      <c r="C8" s="3"/>
      <c r="D8" s="3"/>
      <c r="E8" s="3"/>
      <c r="F8" s="3"/>
      <c r="G8" s="3" t="s">
        <v>16</v>
      </c>
      <c r="H8" s="3" t="s">
        <v>16</v>
      </c>
      <c r="I8" s="3"/>
      <c r="J8" s="3"/>
      <c r="K8" s="3"/>
      <c r="L8" s="3"/>
      <c r="M8" s="3" t="s">
        <v>14</v>
      </c>
      <c r="N8" s="3"/>
      <c r="O8" s="3"/>
      <c r="P8" s="3"/>
      <c r="Q8" s="3"/>
      <c r="R8" s="3"/>
      <c r="S8" s="3"/>
      <c r="T8" s="3"/>
      <c r="U8" s="3"/>
      <c r="V8" s="3" t="s">
        <v>16</v>
      </c>
      <c r="W8" s="3"/>
      <c r="X8" s="3"/>
      <c r="Y8" s="3"/>
      <c r="Z8" s="3"/>
      <c r="AA8" s="3" t="s">
        <v>8</v>
      </c>
      <c r="AB8" s="3" t="s">
        <v>8</v>
      </c>
      <c r="AC8" s="3" t="s">
        <v>8</v>
      </c>
      <c r="AD8" s="3"/>
      <c r="AE8" s="3"/>
      <c r="AF8" s="3"/>
      <c r="AG8" s="3"/>
      <c r="AH8" s="10">
        <f>COUNTA(Février[[#This Row],[1]:[29]])</f>
        <v>7</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COUNTA(Février[[#This Row],[1]:[29]])</f>
        <v>0</v>
      </c>
    </row>
    <row r="10" spans="2:34" ht="30" customHeight="1" x14ac:dyDescent="0.35">
      <c r="B10" s="17" t="s">
        <v>6</v>
      </c>
      <c r="C10" s="3"/>
      <c r="D10" s="3"/>
      <c r="E10" s="3" t="s">
        <v>16</v>
      </c>
      <c r="F10" s="3"/>
      <c r="G10" s="3"/>
      <c r="H10" s="3"/>
      <c r="I10" s="3"/>
      <c r="J10" s="3"/>
      <c r="K10" s="3"/>
      <c r="L10" s="3"/>
      <c r="M10" s="3"/>
      <c r="N10" s="3"/>
      <c r="O10" s="3"/>
      <c r="P10" s="3" t="s">
        <v>16</v>
      </c>
      <c r="Q10" s="3"/>
      <c r="R10" s="3"/>
      <c r="S10" s="3"/>
      <c r="T10" s="3" t="s">
        <v>14</v>
      </c>
      <c r="U10" s="3"/>
      <c r="V10" s="3"/>
      <c r="W10" s="3"/>
      <c r="X10" s="3"/>
      <c r="Y10" s="3"/>
      <c r="Z10" s="3"/>
      <c r="AA10" s="3"/>
      <c r="AB10" s="3"/>
      <c r="AC10" s="3"/>
      <c r="AD10" s="3" t="s">
        <v>16</v>
      </c>
      <c r="AE10" s="3"/>
      <c r="AF10" s="3"/>
      <c r="AG10" s="3"/>
      <c r="AH10" s="10">
        <f>COUNTA(Février[[#This Row],[1]:[29]])</f>
        <v>4</v>
      </c>
    </row>
    <row r="11" spans="2:34" ht="30" customHeight="1" x14ac:dyDescent="0.35">
      <c r="B11" s="17" t="s">
        <v>7</v>
      </c>
      <c r="C11" s="3"/>
      <c r="D11" s="3"/>
      <c r="E11" s="3"/>
      <c r="F11" s="3"/>
      <c r="G11" s="3"/>
      <c r="H11" s="3"/>
      <c r="I11" s="3"/>
      <c r="J11" s="3" t="s">
        <v>8</v>
      </c>
      <c r="K11" s="3" t="s">
        <v>8</v>
      </c>
      <c r="L11" s="3" t="s">
        <v>8</v>
      </c>
      <c r="M11" s="3" t="s">
        <v>8</v>
      </c>
      <c r="N11" s="3"/>
      <c r="O11" s="3"/>
      <c r="P11" s="3"/>
      <c r="Q11" s="3"/>
      <c r="R11" s="3"/>
      <c r="S11" s="3"/>
      <c r="T11" s="3"/>
      <c r="U11" s="3"/>
      <c r="V11" s="3"/>
      <c r="W11" s="3"/>
      <c r="X11" s="3"/>
      <c r="Y11" s="3"/>
      <c r="Z11" s="3" t="s">
        <v>16</v>
      </c>
      <c r="AA11" s="3"/>
      <c r="AB11" s="3"/>
      <c r="AC11" s="3"/>
      <c r="AD11" s="3"/>
      <c r="AE11" s="3"/>
      <c r="AF11" s="3"/>
      <c r="AG11" s="3"/>
      <c r="AH11" s="10">
        <f>COUNTA(Février[[#This Row],[1]:[29]])</f>
        <v>5</v>
      </c>
    </row>
    <row r="12" spans="2:34" ht="30" customHeight="1" x14ac:dyDescent="0.35">
      <c r="B12" s="21" t="str">
        <f>NomMois&amp;" Total"</f>
        <v>Février Total</v>
      </c>
      <c r="C12" s="13">
        <f>SUBTOTAL(103,Février[1])</f>
        <v>0</v>
      </c>
      <c r="D12" s="13">
        <f>SUBTOTAL(103,Février[2])</f>
        <v>0</v>
      </c>
      <c r="E12" s="13">
        <f>SUBTOTAL(103,Février[3])</f>
        <v>2</v>
      </c>
      <c r="F12" s="13">
        <f>SUBTOTAL(103,Février[4])</f>
        <v>1</v>
      </c>
      <c r="G12" s="13">
        <f>SUBTOTAL(103,Février[5])</f>
        <v>2</v>
      </c>
      <c r="H12" s="13">
        <f>SUBTOTAL(103,Février[6])</f>
        <v>2</v>
      </c>
      <c r="I12" s="13">
        <f>SUBTOTAL(103,Février[7])</f>
        <v>0</v>
      </c>
      <c r="J12" s="13">
        <f>SUBTOTAL(103,Février[8])</f>
        <v>1</v>
      </c>
      <c r="K12" s="13">
        <f>SUBTOTAL(103,Février[9])</f>
        <v>1</v>
      </c>
      <c r="L12" s="13">
        <f>SUBTOTAL(103,Février[10])</f>
        <v>1</v>
      </c>
      <c r="M12" s="13">
        <f>SUBTOTAL(103,Février[11])</f>
        <v>2</v>
      </c>
      <c r="N12" s="13">
        <f>SUBTOTAL(103,Février[12])</f>
        <v>0</v>
      </c>
      <c r="O12" s="13">
        <f>SUBTOTAL(103,Février[13])</f>
        <v>1</v>
      </c>
      <c r="P12" s="13">
        <f>SUBTOTAL(103,Février[14])</f>
        <v>1</v>
      </c>
      <c r="Q12" s="13">
        <f>SUBTOTAL(103,Février[15])</f>
        <v>0</v>
      </c>
      <c r="R12" s="13">
        <f>SUBTOTAL(103,Février[16])</f>
        <v>0</v>
      </c>
      <c r="S12" s="13">
        <f>SUBTOTAL(103,Février[17])</f>
        <v>0</v>
      </c>
      <c r="T12" s="13">
        <f>SUBTOTAL(103,Février[18])</f>
        <v>1</v>
      </c>
      <c r="U12" s="13">
        <f>SUBTOTAL(103,Février[19])</f>
        <v>0</v>
      </c>
      <c r="V12" s="13">
        <f>SUBTOTAL(103,Février[20])</f>
        <v>1</v>
      </c>
      <c r="W12" s="13">
        <f>SUBTOTAL(103,Février[21])</f>
        <v>0</v>
      </c>
      <c r="X12" s="13">
        <f>SUBTOTAL(103,Février[22])</f>
        <v>0</v>
      </c>
      <c r="Y12" s="13">
        <f>SUBTOTAL(103,Février[23])</f>
        <v>0</v>
      </c>
      <c r="Z12" s="13">
        <f>SUBTOTAL(103,Février[24])</f>
        <v>1</v>
      </c>
      <c r="AA12" s="13">
        <f>SUBTOTAL(103,Février[25])</f>
        <v>1</v>
      </c>
      <c r="AB12" s="13">
        <f>SUBTOTAL(103,Février[26])</f>
        <v>1</v>
      </c>
      <c r="AC12" s="13">
        <f>SUBTOTAL(103,Février[27])</f>
        <v>1</v>
      </c>
      <c r="AD12" s="13">
        <f>SUBTOTAL(103,Février[28])</f>
        <v>1</v>
      </c>
      <c r="AE12" s="13">
        <f>SUBTOTAL(103,Février[29])</f>
        <v>0</v>
      </c>
      <c r="AF12" s="13"/>
      <c r="AG12" s="13"/>
      <c r="AH12" s="13">
        <f>SUBTOTAL(109,Février[Total des jours])</f>
        <v>21</v>
      </c>
    </row>
  </sheetData>
  <mergeCells count="6">
    <mergeCell ref="C4:AG4"/>
    <mergeCell ref="D2:E2"/>
    <mergeCell ref="G2:I2"/>
    <mergeCell ref="K2:L2"/>
    <mergeCell ref="N2:Q2"/>
    <mergeCell ref="S2:V2"/>
  </mergeCells>
  <conditionalFormatting sqref="AE6">
    <cfRule type="expression" dxfId="887" priority="16">
      <formula>MONTH(DATE(AnnéeCalendrier,2,29))&lt;&gt;2</formula>
    </cfRule>
  </conditionalFormatting>
  <conditionalFormatting sqref="AE5">
    <cfRule type="expression" dxfId="886" priority="15">
      <formula>MONTH(DATE(AnnéeCalendrier,2,29))&lt;&gt;2</formula>
    </cfRule>
  </conditionalFormatting>
  <conditionalFormatting sqref="C7:AG11">
    <cfRule type="expression" priority="2" stopIfTrue="1">
      <formula>C7=""</formula>
    </cfRule>
    <cfRule type="expression" dxfId="885" priority="3" stopIfTrue="1">
      <formula>C7=CléPersonnalisée2</formula>
    </cfRule>
  </conditionalFormatting>
  <conditionalFormatting sqref="C7:AG11">
    <cfRule type="expression" dxfId="884" priority="5" stopIfTrue="1">
      <formula>C7=CléPersonnalisée1</formula>
    </cfRule>
    <cfRule type="expression" dxfId="883" priority="6" stopIfTrue="1">
      <formula>C7=CléMaladie</formula>
    </cfRule>
    <cfRule type="expression" dxfId="882" priority="7" stopIfTrue="1">
      <formula>C7=CléPersonnel</formula>
    </cfRule>
    <cfRule type="expression" dxfId="881" priority="8" stopIfTrue="1">
      <formula>C7=CléCongé</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53</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TEXT(WEEKDAY(DATE(AnnéeCalendrier,3,1),1),"jjj")</f>
        <v>lun</v>
      </c>
      <c r="D5" s="2" t="str">
        <f>TEXT(WEEKDAY(DATE(AnnéeCalendrier,3,2),1),"jjj")</f>
        <v>mar</v>
      </c>
      <c r="E5" s="2" t="str">
        <f>TEXT(WEEKDAY(DATE(AnnéeCalendrier,3,3),1),"jjj")</f>
        <v>mer</v>
      </c>
      <c r="F5" s="2" t="str">
        <f>TEXT(WEEKDAY(DATE(AnnéeCalendrier,3,4),1),"jjj")</f>
        <v>jeu</v>
      </c>
      <c r="G5" s="2" t="str">
        <f>TEXT(WEEKDAY(DATE(AnnéeCalendrier,3,5),1),"jjj")</f>
        <v>ven</v>
      </c>
      <c r="H5" s="2" t="str">
        <f>TEXT(WEEKDAY(DATE(AnnéeCalendrier,3,6),1),"jjj")</f>
        <v>sam</v>
      </c>
      <c r="I5" s="2" t="str">
        <f>TEXT(WEEKDAY(DATE(AnnéeCalendrier,3,7),1),"jjj")</f>
        <v>dim</v>
      </c>
      <c r="J5" s="2" t="str">
        <f>TEXT(WEEKDAY(DATE(AnnéeCalendrier,3,8),1),"jjj")</f>
        <v>lun</v>
      </c>
      <c r="K5" s="2" t="str">
        <f>TEXT(WEEKDAY(DATE(AnnéeCalendrier,3,9),1),"jjj")</f>
        <v>mar</v>
      </c>
      <c r="L5" s="2" t="str">
        <f>TEXT(WEEKDAY(DATE(AnnéeCalendrier,3,10),1),"jjj")</f>
        <v>mer</v>
      </c>
      <c r="M5" s="2" t="str">
        <f>TEXT(WEEKDAY(DATE(AnnéeCalendrier,3,11),1),"jjj")</f>
        <v>jeu</v>
      </c>
      <c r="N5" s="2" t="str">
        <f>TEXT(WEEKDAY(DATE(AnnéeCalendrier,3,12),1),"jjj")</f>
        <v>ven</v>
      </c>
      <c r="O5" s="2" t="str">
        <f>TEXT(WEEKDAY(DATE(AnnéeCalendrier,3,13),1),"jjj")</f>
        <v>sam</v>
      </c>
      <c r="P5" s="2" t="str">
        <f>TEXT(WEEKDAY(DATE(AnnéeCalendrier,3,14),1),"jjj")</f>
        <v>dim</v>
      </c>
      <c r="Q5" s="2" t="str">
        <f>TEXT(WEEKDAY(DATE(AnnéeCalendrier,3,15),1),"jjj")</f>
        <v>lun</v>
      </c>
      <c r="R5" s="2" t="str">
        <f>TEXT(WEEKDAY(DATE(AnnéeCalendrier,3,16),1),"jjj")</f>
        <v>mar</v>
      </c>
      <c r="S5" s="2" t="str">
        <f>TEXT(WEEKDAY(DATE(AnnéeCalendrier,3,17),1),"jjj")</f>
        <v>mer</v>
      </c>
      <c r="T5" s="2" t="str">
        <f>TEXT(WEEKDAY(DATE(AnnéeCalendrier,3,18),1),"jjj")</f>
        <v>jeu</v>
      </c>
      <c r="U5" s="2" t="str">
        <f>TEXT(WEEKDAY(DATE(AnnéeCalendrier,3,19),1),"jjj")</f>
        <v>ven</v>
      </c>
      <c r="V5" s="2" t="str">
        <f>TEXT(WEEKDAY(DATE(AnnéeCalendrier,3,20),1),"jjj")</f>
        <v>sam</v>
      </c>
      <c r="W5" s="2" t="str">
        <f>TEXT(WEEKDAY(DATE(AnnéeCalendrier,3,21),1),"jjj")</f>
        <v>dim</v>
      </c>
      <c r="X5" s="2" t="str">
        <f>TEXT(WEEKDAY(DATE(AnnéeCalendrier,3,22),1),"jjj")</f>
        <v>lun</v>
      </c>
      <c r="Y5" s="2" t="str">
        <f>TEXT(WEEKDAY(DATE(AnnéeCalendrier,3,23),1),"jjj")</f>
        <v>mar</v>
      </c>
      <c r="Z5" s="2" t="str">
        <f>TEXT(WEEKDAY(DATE(AnnéeCalendrier,3,24),1),"jjj")</f>
        <v>mer</v>
      </c>
      <c r="AA5" s="2" t="str">
        <f>TEXT(WEEKDAY(DATE(AnnéeCalendrier,3,25),1),"jjj")</f>
        <v>jeu</v>
      </c>
      <c r="AB5" s="2" t="str">
        <f>TEXT(WEEKDAY(DATE(AnnéeCalendrier,3,26),1),"jjj")</f>
        <v>ven</v>
      </c>
      <c r="AC5" s="2" t="str">
        <f>TEXT(WEEKDAY(DATE(AnnéeCalendrier,3,27),1),"jjj")</f>
        <v>sam</v>
      </c>
      <c r="AD5" s="2" t="str">
        <f>TEXT(WEEKDAY(DATE(AnnéeCalendrier,3,28),1),"jjj")</f>
        <v>dim</v>
      </c>
      <c r="AE5" s="2" t="str">
        <f>TEXT(WEEKDAY(DATE(AnnéeCalendrier,3,29),1),"jjj")</f>
        <v>lun</v>
      </c>
      <c r="AF5" s="2" t="str">
        <f>TEXT(WEEKDAY(DATE(AnnéeCalendrier,3,30),1),"jjj")</f>
        <v>mar</v>
      </c>
      <c r="AG5" s="2" t="str">
        <f>TEXT(WEEKDAY(DATE(AnnéeCalendrier,3,31),1),"jjj")</f>
        <v>mer</v>
      </c>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COUNTA(Mars[[#This Row],[1]:[31]])</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COUNTA(Mars[[#This Row],[1]:[31]])</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COUNTA(Mars[[#This Row],[1]:[31]])</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COUNTA(Mars[[#This Row],[1]:[31]])</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COUNTA(Mars[[#This Row],[1]:[31]])</f>
        <v>0</v>
      </c>
    </row>
    <row r="12" spans="2:34" ht="30" customHeight="1" x14ac:dyDescent="0.35">
      <c r="B12" s="21" t="str">
        <f>NomMois&amp;" Total"</f>
        <v>Mars Total</v>
      </c>
      <c r="C12" s="13">
        <f>SUBTOTAL(103,Mars[1])</f>
        <v>0</v>
      </c>
      <c r="D12" s="13">
        <f>SUBTOTAL(103,Mars[2])</f>
        <v>0</v>
      </c>
      <c r="E12" s="13">
        <f>SUBTOTAL(103,Mars[3])</f>
        <v>0</v>
      </c>
      <c r="F12" s="13">
        <f>SUBTOTAL(103,Mars[4])</f>
        <v>0</v>
      </c>
      <c r="G12" s="13">
        <f>SUBTOTAL(103,Mars[5])</f>
        <v>0</v>
      </c>
      <c r="H12" s="13">
        <f>SUBTOTAL(103,Mars[6])</f>
        <v>0</v>
      </c>
      <c r="I12" s="13">
        <f>SUBTOTAL(103,Mars[7])</f>
        <v>0</v>
      </c>
      <c r="J12" s="13">
        <f>SUBTOTAL(103,Mars[8])</f>
        <v>0</v>
      </c>
      <c r="K12" s="13">
        <f>SUBTOTAL(103,Mars[9])</f>
        <v>0</v>
      </c>
      <c r="L12" s="13">
        <f>SUBTOTAL(103,Mars[10])</f>
        <v>0</v>
      </c>
      <c r="M12" s="13">
        <f>SUBTOTAL(103,Mars[11])</f>
        <v>0</v>
      </c>
      <c r="N12" s="13">
        <f>SUBTOTAL(103,Mars[12])</f>
        <v>0</v>
      </c>
      <c r="O12" s="13">
        <f>SUBTOTAL(103,Mars[13])</f>
        <v>0</v>
      </c>
      <c r="P12" s="13">
        <f>SUBTOTAL(103,Mars[14])</f>
        <v>0</v>
      </c>
      <c r="Q12" s="13">
        <f>SUBTOTAL(103,Mars[15])</f>
        <v>0</v>
      </c>
      <c r="R12" s="13">
        <f>SUBTOTAL(103,Mars[16])</f>
        <v>0</v>
      </c>
      <c r="S12" s="13">
        <f>SUBTOTAL(103,Mars[17])</f>
        <v>0</v>
      </c>
      <c r="T12" s="13">
        <f>SUBTOTAL(103,Mars[18])</f>
        <v>0</v>
      </c>
      <c r="U12" s="13">
        <f>SUBTOTAL(103,Mars[19])</f>
        <v>0</v>
      </c>
      <c r="V12" s="13">
        <f>SUBTOTAL(103,Mars[20])</f>
        <v>0</v>
      </c>
      <c r="W12" s="13">
        <f>SUBTOTAL(103,Mars[21])</f>
        <v>0</v>
      </c>
      <c r="X12" s="13">
        <f>SUBTOTAL(103,Mars[22])</f>
        <v>0</v>
      </c>
      <c r="Y12" s="13">
        <f>SUBTOTAL(103,Mars[23])</f>
        <v>0</v>
      </c>
      <c r="Z12" s="13">
        <f>SUBTOTAL(103,Mars[24])</f>
        <v>0</v>
      </c>
      <c r="AA12" s="13">
        <f>SUBTOTAL(103,Mars[25])</f>
        <v>0</v>
      </c>
      <c r="AB12" s="13">
        <f>SUBTOTAL(103,Mars[26])</f>
        <v>0</v>
      </c>
      <c r="AC12" s="13">
        <f>SUBTOTAL(103,Mars[27])</f>
        <v>0</v>
      </c>
      <c r="AD12" s="13">
        <f>SUBTOTAL(103,Mars[28])</f>
        <v>0</v>
      </c>
      <c r="AE12" s="13">
        <f>SUBTOTAL(103,Mars[29])</f>
        <v>0</v>
      </c>
      <c r="AF12" s="13">
        <f>SUBTOTAL(103,Mars[30])</f>
        <v>0</v>
      </c>
      <c r="AG12" s="13">
        <f>SUBTOTAL(103,Mars[31])</f>
        <v>0</v>
      </c>
      <c r="AH12" s="13">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811" priority="2" stopIfTrue="1">
      <formula>C7=CléPersonnalisée2</formula>
    </cfRule>
    <cfRule type="expression" dxfId="810" priority="3" stopIfTrue="1">
      <formula>C7=CléPersonnalisée1</formula>
    </cfRule>
    <cfRule type="expression" dxfId="809" priority="4" stopIfTrue="1">
      <formula>C7=CléMaladie</formula>
    </cfRule>
    <cfRule type="expression" dxfId="808" priority="5" stopIfTrue="1">
      <formula>C7=CléPersonnel</formula>
    </cfRule>
    <cfRule type="expression" dxfId="807"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2" tint="-0.249977111117893"/>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54</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TEXT(WEEKDAY(DATE(AnnéeCalendrier,4,1),1),"jjj")</f>
        <v>jeu</v>
      </c>
      <c r="D5" s="2" t="str">
        <f>TEXT(WEEKDAY(DATE(AnnéeCalendrier,4,2),1),"jjj")</f>
        <v>ven</v>
      </c>
      <c r="E5" s="2" t="str">
        <f>TEXT(WEEKDAY(DATE(AnnéeCalendrier,4,3),1),"jjj")</f>
        <v>sam</v>
      </c>
      <c r="F5" s="2" t="str">
        <f>TEXT(WEEKDAY(DATE(AnnéeCalendrier,4,4),1),"jjj")</f>
        <v>dim</v>
      </c>
      <c r="G5" s="2" t="str">
        <f>TEXT(WEEKDAY(DATE(AnnéeCalendrier,4,5),1),"jjj")</f>
        <v>lun</v>
      </c>
      <c r="H5" s="2" t="str">
        <f>TEXT(WEEKDAY(DATE(AnnéeCalendrier,4,6),1),"jjj")</f>
        <v>mar</v>
      </c>
      <c r="I5" s="2" t="str">
        <f>TEXT(WEEKDAY(DATE(AnnéeCalendrier,4,7),1),"jjj")</f>
        <v>mer</v>
      </c>
      <c r="J5" s="2" t="str">
        <f>TEXT(WEEKDAY(DATE(AnnéeCalendrier,4,8),1),"jjj")</f>
        <v>jeu</v>
      </c>
      <c r="K5" s="2" t="str">
        <f>TEXT(WEEKDAY(DATE(AnnéeCalendrier,4,9),1),"jjj")</f>
        <v>ven</v>
      </c>
      <c r="L5" s="2" t="str">
        <f>TEXT(WEEKDAY(DATE(AnnéeCalendrier,4,10),1),"jjj")</f>
        <v>sam</v>
      </c>
      <c r="M5" s="2" t="str">
        <f>TEXT(WEEKDAY(DATE(AnnéeCalendrier,4,11),1),"jjj")</f>
        <v>dim</v>
      </c>
      <c r="N5" s="2" t="str">
        <f>TEXT(WEEKDAY(DATE(AnnéeCalendrier,4,12),1),"jjj")</f>
        <v>lun</v>
      </c>
      <c r="O5" s="2" t="str">
        <f>TEXT(WEEKDAY(DATE(AnnéeCalendrier,4,13),1),"jjj")</f>
        <v>mar</v>
      </c>
      <c r="P5" s="2" t="str">
        <f>TEXT(WEEKDAY(DATE(AnnéeCalendrier,4,14),1),"jjj")</f>
        <v>mer</v>
      </c>
      <c r="Q5" s="2" t="str">
        <f>TEXT(WEEKDAY(DATE(AnnéeCalendrier,4,15),1),"jjj")</f>
        <v>jeu</v>
      </c>
      <c r="R5" s="2" t="str">
        <f>TEXT(WEEKDAY(DATE(AnnéeCalendrier,4,16),1),"jjj")</f>
        <v>ven</v>
      </c>
      <c r="S5" s="2" t="str">
        <f>TEXT(WEEKDAY(DATE(AnnéeCalendrier,4,17),1),"jjj")</f>
        <v>sam</v>
      </c>
      <c r="T5" s="2" t="str">
        <f>TEXT(WEEKDAY(DATE(AnnéeCalendrier,4,18),1),"jjj")</f>
        <v>dim</v>
      </c>
      <c r="U5" s="2" t="str">
        <f>TEXT(WEEKDAY(DATE(AnnéeCalendrier,4,19),1),"jjj")</f>
        <v>lun</v>
      </c>
      <c r="V5" s="2" t="str">
        <f>TEXT(WEEKDAY(DATE(AnnéeCalendrier,4,20),1),"jjj")</f>
        <v>mar</v>
      </c>
      <c r="W5" s="2" t="str">
        <f>TEXT(WEEKDAY(DATE(AnnéeCalendrier,4,21),1),"jjj")</f>
        <v>mer</v>
      </c>
      <c r="X5" s="2" t="str">
        <f>TEXT(WEEKDAY(DATE(AnnéeCalendrier,4,22),1),"jjj")</f>
        <v>jeu</v>
      </c>
      <c r="Y5" s="2" t="str">
        <f>TEXT(WEEKDAY(DATE(AnnéeCalendrier,4,23),1),"jjj")</f>
        <v>ven</v>
      </c>
      <c r="Z5" s="2" t="str">
        <f>TEXT(WEEKDAY(DATE(AnnéeCalendrier,4,24),1),"jjj")</f>
        <v>sam</v>
      </c>
      <c r="AA5" s="2" t="str">
        <f>TEXT(WEEKDAY(DATE(AnnéeCalendrier,4,25),1),"jjj")</f>
        <v>dim</v>
      </c>
      <c r="AB5" s="2" t="str">
        <f>TEXT(WEEKDAY(DATE(AnnéeCalendrier,4,26),1),"jjj")</f>
        <v>lun</v>
      </c>
      <c r="AC5" s="2" t="str">
        <f>TEXT(WEEKDAY(DATE(AnnéeCalendrier,4,27),1),"jjj")</f>
        <v>mar</v>
      </c>
      <c r="AD5" s="2" t="str">
        <f>TEXT(WEEKDAY(DATE(AnnéeCalendrier,4,28),1),"jjj")</f>
        <v>mer</v>
      </c>
      <c r="AE5" s="2" t="str">
        <f>TEXT(WEEKDAY(DATE(AnnéeCalendrier,4,29),1),"jjj")</f>
        <v>jeu</v>
      </c>
      <c r="AF5" s="2" t="str">
        <f>TEXT(WEEKDAY(DATE(AnnéeCalendrier,4,30),1),"jjj")</f>
        <v>ven</v>
      </c>
      <c r="AG5" s="2"/>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23" t="s">
        <v>51</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COUNTA(Avril[[#This Row],[1]:[30]])</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COUNTA(Avril[[#This Row],[1]:[30]])</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COUNTA(Avril[[#This Row],[1]:[30]])</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COUNTA(Avril[[#This Row],[1]:[30]])</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COUNTA(Avril[[#This Row],[1]:[30]])</f>
        <v>0</v>
      </c>
    </row>
    <row r="12" spans="2:34" ht="30" customHeight="1" x14ac:dyDescent="0.35">
      <c r="B12" s="21" t="str">
        <f>NomMois&amp;" Total"</f>
        <v>Avril Total</v>
      </c>
      <c r="C12" s="13">
        <f>SUBTOTAL(103,Avril[1])</f>
        <v>0</v>
      </c>
      <c r="D12" s="13">
        <f>SUBTOTAL(103,Avril[2])</f>
        <v>0</v>
      </c>
      <c r="E12" s="13">
        <f>SUBTOTAL(103,Avril[3])</f>
        <v>0</v>
      </c>
      <c r="F12" s="13">
        <f>SUBTOTAL(103,Avril[4])</f>
        <v>0</v>
      </c>
      <c r="G12" s="13">
        <f>SUBTOTAL(103,Avril[5])</f>
        <v>0</v>
      </c>
      <c r="H12" s="13">
        <f>SUBTOTAL(103,Avril[6])</f>
        <v>0</v>
      </c>
      <c r="I12" s="13">
        <f>SUBTOTAL(103,Avril[7])</f>
        <v>0</v>
      </c>
      <c r="J12" s="13">
        <f>SUBTOTAL(103,Avril[8])</f>
        <v>0</v>
      </c>
      <c r="K12" s="13">
        <f>SUBTOTAL(103,Avril[9])</f>
        <v>0</v>
      </c>
      <c r="L12" s="13">
        <f>SUBTOTAL(103,Avril[10])</f>
        <v>0</v>
      </c>
      <c r="M12" s="13">
        <f>SUBTOTAL(103,Avril[11])</f>
        <v>0</v>
      </c>
      <c r="N12" s="13">
        <f>SUBTOTAL(103,Avril[12])</f>
        <v>0</v>
      </c>
      <c r="O12" s="13">
        <f>SUBTOTAL(103,Avril[13])</f>
        <v>0</v>
      </c>
      <c r="P12" s="13">
        <f>SUBTOTAL(103,Avril[14])</f>
        <v>0</v>
      </c>
      <c r="Q12" s="13">
        <f>SUBTOTAL(103,Avril[15])</f>
        <v>0</v>
      </c>
      <c r="R12" s="13">
        <f>SUBTOTAL(103,Avril[16])</f>
        <v>0</v>
      </c>
      <c r="S12" s="13">
        <f>SUBTOTAL(103,Avril[17])</f>
        <v>0</v>
      </c>
      <c r="T12" s="13">
        <f>SUBTOTAL(103,Avril[18])</f>
        <v>0</v>
      </c>
      <c r="U12" s="13">
        <f>SUBTOTAL(103,Avril[19])</f>
        <v>0</v>
      </c>
      <c r="V12" s="13">
        <f>SUBTOTAL(103,Avril[20])</f>
        <v>0</v>
      </c>
      <c r="W12" s="13">
        <f>SUBTOTAL(103,Avril[21])</f>
        <v>0</v>
      </c>
      <c r="X12" s="13">
        <f>SUBTOTAL(103,Avril[22])</f>
        <v>0</v>
      </c>
      <c r="Y12" s="13">
        <f>SUBTOTAL(103,Avril[23])</f>
        <v>0</v>
      </c>
      <c r="Z12" s="13">
        <f>SUBTOTAL(103,Avril[24])</f>
        <v>0</v>
      </c>
      <c r="AA12" s="13">
        <f>SUBTOTAL(103,Avril[25])</f>
        <v>0</v>
      </c>
      <c r="AB12" s="13">
        <f>SUBTOTAL(103,Avril[26])</f>
        <v>0</v>
      </c>
      <c r="AC12" s="13">
        <f>SUBTOTAL(103,Avril[27])</f>
        <v>0</v>
      </c>
      <c r="AD12" s="13">
        <f>SUBTOTAL(103,Avril[28])</f>
        <v>0</v>
      </c>
      <c r="AE12" s="13">
        <f>SUBTOTAL(103,Avril[29])</f>
        <v>0</v>
      </c>
      <c r="AF12" s="13">
        <f>SUBTOTAL(103,Avril[30])</f>
        <v>0</v>
      </c>
      <c r="AG12" s="13">
        <f>SUBTOTAL(103,Avril[30])</f>
        <v>0</v>
      </c>
      <c r="AH12" s="13">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37" priority="2" stopIfTrue="1">
      <formula>C7=CléPersonnalisée2</formula>
    </cfRule>
    <cfRule type="expression" dxfId="736" priority="3" stopIfTrue="1">
      <formula>C7=CléPersonnalisée1</formula>
    </cfRule>
    <cfRule type="expression" dxfId="735" priority="4" stopIfTrue="1">
      <formula>C7=CléMaladie</formula>
    </cfRule>
    <cfRule type="expression" dxfId="734" priority="5" stopIfTrue="1">
      <formula>C7=CléPersonnel</formula>
    </cfRule>
    <cfRule type="expression" dxfId="733"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2" tint="-9.9978637043366805E-2"/>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55</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TEXT(WEEKDAY(DATE(AnnéeCalendrier,5,1),1),"jjj")</f>
        <v>sam</v>
      </c>
      <c r="D5" s="2" t="str">
        <f>TEXT(WEEKDAY(DATE(AnnéeCalendrier,5,2),1),"jjj")</f>
        <v>dim</v>
      </c>
      <c r="E5" s="2" t="str">
        <f>TEXT(WEEKDAY(DATE(AnnéeCalendrier,5,3),1),"jjj")</f>
        <v>lun</v>
      </c>
      <c r="F5" s="2" t="str">
        <f>TEXT(WEEKDAY(DATE(AnnéeCalendrier,5,4),1),"jjj")</f>
        <v>mar</v>
      </c>
      <c r="G5" s="2" t="str">
        <f>TEXT(WEEKDAY(DATE(AnnéeCalendrier,5,5),1),"jjj")</f>
        <v>mer</v>
      </c>
      <c r="H5" s="2" t="str">
        <f>TEXT(WEEKDAY(DATE(AnnéeCalendrier,5,6),1),"jjj")</f>
        <v>jeu</v>
      </c>
      <c r="I5" s="2" t="str">
        <f>TEXT(WEEKDAY(DATE(AnnéeCalendrier,5,7),1),"jjj")</f>
        <v>ven</v>
      </c>
      <c r="J5" s="2" t="str">
        <f>TEXT(WEEKDAY(DATE(AnnéeCalendrier,5,8),1),"jjj")</f>
        <v>sam</v>
      </c>
      <c r="K5" s="2" t="str">
        <f>TEXT(WEEKDAY(DATE(AnnéeCalendrier,5,9),1),"jjj")</f>
        <v>dim</v>
      </c>
      <c r="L5" s="2" t="str">
        <f>TEXT(WEEKDAY(DATE(AnnéeCalendrier,5,10),1),"jjj")</f>
        <v>lun</v>
      </c>
      <c r="M5" s="2" t="str">
        <f>TEXT(WEEKDAY(DATE(AnnéeCalendrier,5,11),1),"jjj")</f>
        <v>mar</v>
      </c>
      <c r="N5" s="2" t="str">
        <f>TEXT(WEEKDAY(DATE(AnnéeCalendrier,5,12),1),"jjj")</f>
        <v>mer</v>
      </c>
      <c r="O5" s="2" t="str">
        <f>TEXT(WEEKDAY(DATE(AnnéeCalendrier,5,13),1),"jjj")</f>
        <v>jeu</v>
      </c>
      <c r="P5" s="2" t="str">
        <f>TEXT(WEEKDAY(DATE(AnnéeCalendrier,5,14),1),"jjj")</f>
        <v>ven</v>
      </c>
      <c r="Q5" s="2" t="str">
        <f>TEXT(WEEKDAY(DATE(AnnéeCalendrier,5,15),1),"jjj")</f>
        <v>sam</v>
      </c>
      <c r="R5" s="2" t="str">
        <f>TEXT(WEEKDAY(DATE(AnnéeCalendrier,5,16),1),"jjj")</f>
        <v>dim</v>
      </c>
      <c r="S5" s="2" t="str">
        <f>TEXT(WEEKDAY(DATE(AnnéeCalendrier,5,17),1),"jjj")</f>
        <v>lun</v>
      </c>
      <c r="T5" s="2" t="str">
        <f>TEXT(WEEKDAY(DATE(AnnéeCalendrier,5,18),1),"jjj")</f>
        <v>mar</v>
      </c>
      <c r="U5" s="2" t="str">
        <f>TEXT(WEEKDAY(DATE(AnnéeCalendrier,5,19),1),"jjj")</f>
        <v>mer</v>
      </c>
      <c r="V5" s="2" t="str">
        <f>TEXT(WEEKDAY(DATE(AnnéeCalendrier,5,20),1),"jjj")</f>
        <v>jeu</v>
      </c>
      <c r="W5" s="2" t="str">
        <f>TEXT(WEEKDAY(DATE(AnnéeCalendrier,5,21),1),"jjj")</f>
        <v>ven</v>
      </c>
      <c r="X5" s="2" t="str">
        <f>TEXT(WEEKDAY(DATE(AnnéeCalendrier,5,22),1),"jjj")</f>
        <v>sam</v>
      </c>
      <c r="Y5" s="2" t="str">
        <f>TEXT(WEEKDAY(DATE(AnnéeCalendrier,5,23),1),"jjj")</f>
        <v>dim</v>
      </c>
      <c r="Z5" s="2" t="str">
        <f>TEXT(WEEKDAY(DATE(AnnéeCalendrier,5,24),1),"jjj")</f>
        <v>lun</v>
      </c>
      <c r="AA5" s="2" t="str">
        <f>TEXT(WEEKDAY(DATE(AnnéeCalendrier,5,25),1),"jjj")</f>
        <v>mar</v>
      </c>
      <c r="AB5" s="2" t="str">
        <f>TEXT(WEEKDAY(DATE(AnnéeCalendrier,5,26),1),"jjj")</f>
        <v>mer</v>
      </c>
      <c r="AC5" s="2" t="str">
        <f>TEXT(WEEKDAY(DATE(AnnéeCalendrier,5,27),1),"jjj")</f>
        <v>jeu</v>
      </c>
      <c r="AD5" s="2" t="str">
        <f>TEXT(WEEKDAY(DATE(AnnéeCalendrier,5,28),1),"jjj")</f>
        <v>ven</v>
      </c>
      <c r="AE5" s="2" t="str">
        <f>TEXT(WEEKDAY(DATE(AnnéeCalendrier,5,29),1),"jjj")</f>
        <v>sam</v>
      </c>
      <c r="AF5" s="2" t="str">
        <f>TEXT(WEEKDAY(DATE(AnnéeCalendrier,5,30),1),"jjj")</f>
        <v>dim</v>
      </c>
      <c r="AG5" s="2" t="str">
        <f>TEXT(WEEKDAY(DATE(AnnéeCalendrier,5,31),1),"jjj")</f>
        <v>lun</v>
      </c>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COUNTA(Mai[[#This Row],[1]:[31]])</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COUNTA(Mai[[#This Row],[1]:[31]])</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COUNTA(Mai[[#This Row],[1]:[31]])</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COUNTA(Mai[[#This Row],[1]:[31]])</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COUNTA(Mai[[#This Row],[1]:[31]])</f>
        <v>0</v>
      </c>
    </row>
    <row r="12" spans="2:34" ht="30" customHeight="1" x14ac:dyDescent="0.35">
      <c r="B12" s="21" t="str">
        <f>NomMois&amp;" Total"</f>
        <v>Mai Total</v>
      </c>
      <c r="C12" s="13">
        <f>SUBTOTAL(103,Mai[1])</f>
        <v>0</v>
      </c>
      <c r="D12" s="13">
        <f>SUBTOTAL(103,Mai[2])</f>
        <v>0</v>
      </c>
      <c r="E12" s="13">
        <f>SUBTOTAL(103,Mai[3])</f>
        <v>0</v>
      </c>
      <c r="F12" s="13">
        <f>SUBTOTAL(103,Mai[4])</f>
        <v>0</v>
      </c>
      <c r="G12" s="13">
        <f>SUBTOTAL(103,Mai[5])</f>
        <v>0</v>
      </c>
      <c r="H12" s="13">
        <f>SUBTOTAL(103,Mai[6])</f>
        <v>0</v>
      </c>
      <c r="I12" s="13">
        <f>SUBTOTAL(103,Mai[7])</f>
        <v>0</v>
      </c>
      <c r="J12" s="13">
        <f>SUBTOTAL(103,Mai[8])</f>
        <v>0</v>
      </c>
      <c r="K12" s="13">
        <f>SUBTOTAL(103,Mai[9])</f>
        <v>0</v>
      </c>
      <c r="L12" s="13">
        <f>SUBTOTAL(103,Mai[10])</f>
        <v>0</v>
      </c>
      <c r="M12" s="13">
        <f>SUBTOTAL(103,Mai[11])</f>
        <v>0</v>
      </c>
      <c r="N12" s="13">
        <f>SUBTOTAL(103,Mai[12])</f>
        <v>0</v>
      </c>
      <c r="O12" s="13">
        <f>SUBTOTAL(103,Mai[13])</f>
        <v>0</v>
      </c>
      <c r="P12" s="13">
        <f>SUBTOTAL(103,Mai[14])</f>
        <v>0</v>
      </c>
      <c r="Q12" s="13">
        <f>SUBTOTAL(103,Mai[15])</f>
        <v>0</v>
      </c>
      <c r="R12" s="13">
        <f>SUBTOTAL(103,Mai[16])</f>
        <v>0</v>
      </c>
      <c r="S12" s="13">
        <f>SUBTOTAL(103,Mai[17])</f>
        <v>0</v>
      </c>
      <c r="T12" s="13">
        <f>SUBTOTAL(103,Mai[18])</f>
        <v>0</v>
      </c>
      <c r="U12" s="13">
        <f>SUBTOTAL(103,Mai[19])</f>
        <v>0</v>
      </c>
      <c r="V12" s="13">
        <f>SUBTOTAL(103,Mai[20])</f>
        <v>0</v>
      </c>
      <c r="W12" s="13">
        <f>SUBTOTAL(103,Mai[21])</f>
        <v>0</v>
      </c>
      <c r="X12" s="13">
        <f>SUBTOTAL(103,Mai[22])</f>
        <v>0</v>
      </c>
      <c r="Y12" s="13">
        <f>SUBTOTAL(103,Mai[23])</f>
        <v>0</v>
      </c>
      <c r="Z12" s="13">
        <f>SUBTOTAL(103,Mai[24])</f>
        <v>0</v>
      </c>
      <c r="AA12" s="13">
        <f>SUBTOTAL(103,Mai[25])</f>
        <v>0</v>
      </c>
      <c r="AB12" s="13">
        <f>SUBTOTAL(103,Mai[26])</f>
        <v>0</v>
      </c>
      <c r="AC12" s="13">
        <f>SUBTOTAL(103,Mai[27])</f>
        <v>0</v>
      </c>
      <c r="AD12" s="13">
        <f>SUBTOTAL(103,Mai[28])</f>
        <v>0</v>
      </c>
      <c r="AE12" s="13">
        <f>SUBTOTAL(103,Mai[29])</f>
        <v>0</v>
      </c>
      <c r="AF12" s="13">
        <f>SUBTOTAL(103,Mai[30])</f>
        <v>0</v>
      </c>
      <c r="AG12" s="13">
        <f>SUBTOTAL(103,Mai[31])</f>
        <v>0</v>
      </c>
      <c r="AH12" s="13">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63" priority="2" stopIfTrue="1">
      <formula>C7=CléPersonnalisée2</formula>
    </cfRule>
    <cfRule type="expression" dxfId="662" priority="3" stopIfTrue="1">
      <formula>C7=CléPersonnalisée1</formula>
    </cfRule>
    <cfRule type="expression" dxfId="661" priority="4" stopIfTrue="1">
      <formula>C7=CléMaladie</formula>
    </cfRule>
    <cfRule type="expression" dxfId="660" priority="5" stopIfTrue="1">
      <formula>C7=CléPersonnel</formula>
    </cfRule>
    <cfRule type="expression" dxfId="65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56</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TEXT(WEEKDAY(DATE(AnnéeCalendrier,6,1),1),"jjj")</f>
        <v>mar</v>
      </c>
      <c r="D5" s="2" t="str">
        <f>TEXT(WEEKDAY(DATE(AnnéeCalendrier,6,2),1),"jjj")</f>
        <v>mer</v>
      </c>
      <c r="E5" s="2" t="str">
        <f>TEXT(WEEKDAY(DATE(AnnéeCalendrier,6,3),1),"jjj")</f>
        <v>jeu</v>
      </c>
      <c r="F5" s="2" t="str">
        <f>TEXT(WEEKDAY(DATE(AnnéeCalendrier,6,4),1),"jjj")</f>
        <v>ven</v>
      </c>
      <c r="G5" s="2" t="str">
        <f>TEXT(WEEKDAY(DATE(AnnéeCalendrier,6,5),1),"jjj")</f>
        <v>sam</v>
      </c>
      <c r="H5" s="2" t="str">
        <f>TEXT(WEEKDAY(DATE(AnnéeCalendrier,6,6),1),"jjj")</f>
        <v>dim</v>
      </c>
      <c r="I5" s="2" t="str">
        <f>TEXT(WEEKDAY(DATE(AnnéeCalendrier,6,7),1),"jjj")</f>
        <v>lun</v>
      </c>
      <c r="J5" s="2" t="str">
        <f>TEXT(WEEKDAY(DATE(AnnéeCalendrier,6,8),1),"jjj")</f>
        <v>mar</v>
      </c>
      <c r="K5" s="2" t="str">
        <f>TEXT(WEEKDAY(DATE(AnnéeCalendrier,6,9),1),"jjj")</f>
        <v>mer</v>
      </c>
      <c r="L5" s="2" t="str">
        <f>TEXT(WEEKDAY(DATE(AnnéeCalendrier,6,10),1),"jjj")</f>
        <v>jeu</v>
      </c>
      <c r="M5" s="2" t="str">
        <f>TEXT(WEEKDAY(DATE(AnnéeCalendrier,6,11),1),"jjj")</f>
        <v>ven</v>
      </c>
      <c r="N5" s="2" t="str">
        <f>TEXT(WEEKDAY(DATE(AnnéeCalendrier,6,12),1),"jjj")</f>
        <v>sam</v>
      </c>
      <c r="O5" s="2" t="str">
        <f>TEXT(WEEKDAY(DATE(AnnéeCalendrier,6,13),1),"jjj")</f>
        <v>dim</v>
      </c>
      <c r="P5" s="2" t="str">
        <f>TEXT(WEEKDAY(DATE(AnnéeCalendrier,6,14),1),"jjj")</f>
        <v>lun</v>
      </c>
      <c r="Q5" s="2" t="str">
        <f>TEXT(WEEKDAY(DATE(AnnéeCalendrier,6,15),1),"jjj")</f>
        <v>mar</v>
      </c>
      <c r="R5" s="2" t="str">
        <f>TEXT(WEEKDAY(DATE(AnnéeCalendrier,6,16),1),"jjj")</f>
        <v>mer</v>
      </c>
      <c r="S5" s="2" t="str">
        <f>TEXT(WEEKDAY(DATE(AnnéeCalendrier,6,17),1),"jjj")</f>
        <v>jeu</v>
      </c>
      <c r="T5" s="2" t="str">
        <f>TEXT(WEEKDAY(DATE(AnnéeCalendrier,6,18),1),"jjj")</f>
        <v>ven</v>
      </c>
      <c r="U5" s="2" t="str">
        <f>TEXT(WEEKDAY(DATE(AnnéeCalendrier,6,19),1),"jjj")</f>
        <v>sam</v>
      </c>
      <c r="V5" s="2" t="str">
        <f>TEXT(WEEKDAY(DATE(AnnéeCalendrier,6,20),1),"jjj")</f>
        <v>dim</v>
      </c>
      <c r="W5" s="2" t="str">
        <f>TEXT(WEEKDAY(DATE(AnnéeCalendrier,6,21),1),"jjj")</f>
        <v>lun</v>
      </c>
      <c r="X5" s="2" t="str">
        <f>TEXT(WEEKDAY(DATE(AnnéeCalendrier,6,22),1),"jjj")</f>
        <v>mar</v>
      </c>
      <c r="Y5" s="2" t="str">
        <f>TEXT(WEEKDAY(DATE(AnnéeCalendrier,6,23),1),"jjj")</f>
        <v>mer</v>
      </c>
      <c r="Z5" s="2" t="str">
        <f>TEXT(WEEKDAY(DATE(AnnéeCalendrier,6,24),1),"jjj")</f>
        <v>jeu</v>
      </c>
      <c r="AA5" s="2" t="str">
        <f>TEXT(WEEKDAY(DATE(AnnéeCalendrier,6,25),1),"jjj")</f>
        <v>ven</v>
      </c>
      <c r="AB5" s="2" t="str">
        <f>TEXT(WEEKDAY(DATE(AnnéeCalendrier,6,26),1),"jjj")</f>
        <v>sam</v>
      </c>
      <c r="AC5" s="2" t="str">
        <f>TEXT(WEEKDAY(DATE(AnnéeCalendrier,6,27),1),"jjj")</f>
        <v>dim</v>
      </c>
      <c r="AD5" s="2" t="str">
        <f>TEXT(WEEKDAY(DATE(AnnéeCalendrier,6,28),1),"jjj")</f>
        <v>lun</v>
      </c>
      <c r="AE5" s="2" t="str">
        <f>TEXT(WEEKDAY(DATE(AnnéeCalendrier,6,29),1),"jjj")</f>
        <v>mar</v>
      </c>
      <c r="AF5" s="2" t="str">
        <f>TEXT(WEEKDAY(DATE(AnnéeCalendrier,6,30),1),"jjj")</f>
        <v>mer</v>
      </c>
      <c r="AG5" s="2"/>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51</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COUNTA(Juin[[#This Row],[1]:[30]])</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COUNTA(Juin[[#This Row],[1]:[30]])</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COUNTA(Juin[[#This Row],[1]:[30]])</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COUNTA(Juin[[#This Row],[1]:[30]])</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COUNTA(Juin[[#This Row],[1]:[30]])</f>
        <v>0</v>
      </c>
    </row>
    <row r="12" spans="2:34" ht="30" customHeight="1" x14ac:dyDescent="0.35">
      <c r="B12" s="21" t="str">
        <f>NomMois&amp;" Total"</f>
        <v>Juin Total</v>
      </c>
      <c r="C12" s="13">
        <f>SUBTOTAL(103,Juin[1])</f>
        <v>0</v>
      </c>
      <c r="D12" s="13">
        <f>SUBTOTAL(103,Juin[2])</f>
        <v>0</v>
      </c>
      <c r="E12" s="13">
        <f>SUBTOTAL(103,Juin[3])</f>
        <v>0</v>
      </c>
      <c r="F12" s="13">
        <f>SUBTOTAL(103,Juin[4])</f>
        <v>0</v>
      </c>
      <c r="G12" s="13">
        <f>SUBTOTAL(103,Juin[5])</f>
        <v>0</v>
      </c>
      <c r="H12" s="13">
        <f>SUBTOTAL(103,Juin[6])</f>
        <v>0</v>
      </c>
      <c r="I12" s="13">
        <f>SUBTOTAL(103,Juin[7])</f>
        <v>0</v>
      </c>
      <c r="J12" s="13">
        <f>SUBTOTAL(103,Juin[8])</f>
        <v>0</v>
      </c>
      <c r="K12" s="13">
        <f>SUBTOTAL(103,Juin[9])</f>
        <v>0</v>
      </c>
      <c r="L12" s="13">
        <f>SUBTOTAL(103,Juin[10])</f>
        <v>0</v>
      </c>
      <c r="M12" s="13">
        <f>SUBTOTAL(103,Juin[11])</f>
        <v>0</v>
      </c>
      <c r="N12" s="13">
        <f>SUBTOTAL(103,Juin[12])</f>
        <v>0</v>
      </c>
      <c r="O12" s="13">
        <f>SUBTOTAL(103,Juin[13])</f>
        <v>0</v>
      </c>
      <c r="P12" s="13">
        <f>SUBTOTAL(103,Juin[14])</f>
        <v>0</v>
      </c>
      <c r="Q12" s="13">
        <f>SUBTOTAL(103,Juin[15])</f>
        <v>0</v>
      </c>
      <c r="R12" s="13">
        <f>SUBTOTAL(103,Juin[16])</f>
        <v>0</v>
      </c>
      <c r="S12" s="13">
        <f>SUBTOTAL(103,Juin[17])</f>
        <v>0</v>
      </c>
      <c r="T12" s="13">
        <f>SUBTOTAL(103,Juin[18])</f>
        <v>0</v>
      </c>
      <c r="U12" s="13">
        <f>SUBTOTAL(103,Juin[19])</f>
        <v>0</v>
      </c>
      <c r="V12" s="13">
        <f>SUBTOTAL(103,Juin[20])</f>
        <v>0</v>
      </c>
      <c r="W12" s="13">
        <f>SUBTOTAL(103,Juin[21])</f>
        <v>0</v>
      </c>
      <c r="X12" s="13">
        <f>SUBTOTAL(103,Juin[22])</f>
        <v>0</v>
      </c>
      <c r="Y12" s="13">
        <f>SUBTOTAL(103,Juin[23])</f>
        <v>0</v>
      </c>
      <c r="Z12" s="13">
        <f>SUBTOTAL(103,Juin[24])</f>
        <v>0</v>
      </c>
      <c r="AA12" s="13">
        <f>SUBTOTAL(103,Juin[25])</f>
        <v>0</v>
      </c>
      <c r="AB12" s="13">
        <f>SUBTOTAL(103,Juin[26])</f>
        <v>0</v>
      </c>
      <c r="AC12" s="13">
        <f>SUBTOTAL(103,Juin[27])</f>
        <v>0</v>
      </c>
      <c r="AD12" s="13">
        <f>SUBTOTAL(103,Juin[28])</f>
        <v>0</v>
      </c>
      <c r="AE12" s="13">
        <f>SUBTOTAL(103,Juin[29])</f>
        <v>0</v>
      </c>
      <c r="AF12" s="13">
        <f>SUBTOTAL(103,Juin[30])</f>
        <v>0</v>
      </c>
      <c r="AG12" s="13">
        <f>SUBTOTAL(103,Juin[[ ]])</f>
        <v>0</v>
      </c>
      <c r="AH12" s="13">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89" priority="2" stopIfTrue="1">
      <formula>C7=CléPersonnalisée2</formula>
    </cfRule>
    <cfRule type="expression" dxfId="588" priority="3" stopIfTrue="1">
      <formula>C7=CléPersonnalisée1</formula>
    </cfRule>
    <cfRule type="expression" dxfId="587" priority="4" stopIfTrue="1">
      <formula>C7=CléMaladie</formula>
    </cfRule>
    <cfRule type="expression" dxfId="586" priority="5" stopIfTrue="1">
      <formula>C7=CléPersonnel</formula>
    </cfRule>
    <cfRule type="expression" dxfId="58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1"/>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57</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TEXT(WEEKDAY(DATE(AnnéeCalendrier,7,1),1),"jjj")</f>
        <v>jeu</v>
      </c>
      <c r="D5" s="2" t="str">
        <f>TEXT(WEEKDAY(DATE(AnnéeCalendrier,7,2),1),"jjj")</f>
        <v>ven</v>
      </c>
      <c r="E5" s="2" t="str">
        <f>TEXT(WEEKDAY(DATE(AnnéeCalendrier,7,3),1),"jjj")</f>
        <v>sam</v>
      </c>
      <c r="F5" s="2" t="str">
        <f>TEXT(WEEKDAY(DATE(AnnéeCalendrier,7,4),1),"jjj")</f>
        <v>dim</v>
      </c>
      <c r="G5" s="2" t="str">
        <f>TEXT(WEEKDAY(DATE(AnnéeCalendrier,7,5),1),"jjj")</f>
        <v>lun</v>
      </c>
      <c r="H5" s="2" t="str">
        <f>TEXT(WEEKDAY(DATE(AnnéeCalendrier,7,6),1),"jjj")</f>
        <v>mar</v>
      </c>
      <c r="I5" s="2" t="str">
        <f>TEXT(WEEKDAY(DATE(AnnéeCalendrier,7,7),1),"jjj")</f>
        <v>mer</v>
      </c>
      <c r="J5" s="2" t="str">
        <f>TEXT(WEEKDAY(DATE(AnnéeCalendrier,7,8),1),"jjj")</f>
        <v>jeu</v>
      </c>
      <c r="K5" s="2" t="str">
        <f>TEXT(WEEKDAY(DATE(AnnéeCalendrier,7,9),1),"jjj")</f>
        <v>ven</v>
      </c>
      <c r="L5" s="2" t="str">
        <f>TEXT(WEEKDAY(DATE(AnnéeCalendrier,7,10),1),"jjj")</f>
        <v>sam</v>
      </c>
      <c r="M5" s="2" t="str">
        <f>TEXT(WEEKDAY(DATE(AnnéeCalendrier,7,11),1),"jjj")</f>
        <v>dim</v>
      </c>
      <c r="N5" s="2" t="str">
        <f>TEXT(WEEKDAY(DATE(AnnéeCalendrier,7,12),1),"jjj")</f>
        <v>lun</v>
      </c>
      <c r="O5" s="2" t="str">
        <f>TEXT(WEEKDAY(DATE(AnnéeCalendrier,7,13),1),"jjj")</f>
        <v>mar</v>
      </c>
      <c r="P5" s="2" t="str">
        <f>TEXT(WEEKDAY(DATE(AnnéeCalendrier,7,14),1),"jjj")</f>
        <v>mer</v>
      </c>
      <c r="Q5" s="2" t="str">
        <f>TEXT(WEEKDAY(DATE(AnnéeCalendrier,7,15),1),"jjj")</f>
        <v>jeu</v>
      </c>
      <c r="R5" s="2" t="str">
        <f>TEXT(WEEKDAY(DATE(AnnéeCalendrier,7,16),1),"jjj")</f>
        <v>ven</v>
      </c>
      <c r="S5" s="2" t="str">
        <f>TEXT(WEEKDAY(DATE(AnnéeCalendrier,7,17),1),"jjj")</f>
        <v>sam</v>
      </c>
      <c r="T5" s="2" t="str">
        <f>TEXT(WEEKDAY(DATE(AnnéeCalendrier,7,18),1),"jjj")</f>
        <v>dim</v>
      </c>
      <c r="U5" s="2" t="str">
        <f>TEXT(WEEKDAY(DATE(AnnéeCalendrier,7,19),1),"jjj")</f>
        <v>lun</v>
      </c>
      <c r="V5" s="2" t="str">
        <f>TEXT(WEEKDAY(DATE(AnnéeCalendrier,7,20),1),"jjj")</f>
        <v>mar</v>
      </c>
      <c r="W5" s="2" t="str">
        <f>TEXT(WEEKDAY(DATE(AnnéeCalendrier,7,21),1),"jjj")</f>
        <v>mer</v>
      </c>
      <c r="X5" s="2" t="str">
        <f>TEXT(WEEKDAY(DATE(AnnéeCalendrier,7,22),1),"jjj")</f>
        <v>jeu</v>
      </c>
      <c r="Y5" s="2" t="str">
        <f>TEXT(WEEKDAY(DATE(AnnéeCalendrier,7,23),1),"jjj")</f>
        <v>ven</v>
      </c>
      <c r="Z5" s="2" t="str">
        <f>TEXT(WEEKDAY(DATE(AnnéeCalendrier,7,24),1),"jjj")</f>
        <v>sam</v>
      </c>
      <c r="AA5" s="2" t="str">
        <f>TEXT(WEEKDAY(DATE(AnnéeCalendrier,7,25),1),"jjj")</f>
        <v>dim</v>
      </c>
      <c r="AB5" s="2" t="str">
        <f>TEXT(WEEKDAY(DATE(AnnéeCalendrier,7,26),1),"jjj")</f>
        <v>lun</v>
      </c>
      <c r="AC5" s="2" t="str">
        <f>TEXT(WEEKDAY(DATE(AnnéeCalendrier,7,27),1),"jjj")</f>
        <v>mar</v>
      </c>
      <c r="AD5" s="2" t="str">
        <f>TEXT(WEEKDAY(DATE(AnnéeCalendrier,7,28),1),"jjj")</f>
        <v>mer</v>
      </c>
      <c r="AE5" s="2" t="str">
        <f>TEXT(WEEKDAY(DATE(AnnéeCalendrier,7,29),1),"jjj")</f>
        <v>jeu</v>
      </c>
      <c r="AF5" s="2" t="str">
        <f>TEXT(WEEKDAY(DATE(AnnéeCalendrier,7,30),1),"jjj")</f>
        <v>ven</v>
      </c>
      <c r="AG5" s="2" t="str">
        <f>TEXT(WEEKDAY(DATE(AnnéeCalendrier,7,31),1),"jjj")</f>
        <v>sam</v>
      </c>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COUNTA(Juillet[[#This Row],[1]:[31]])</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COUNTA(Juillet[[#This Row],[1]:[31]])</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COUNTA(Juillet[[#This Row],[1]:[31]])</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COUNTA(Juillet[[#This Row],[1]:[31]])</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COUNTA(Juillet[[#This Row],[1]:[31]])</f>
        <v>0</v>
      </c>
    </row>
    <row r="12" spans="2:34" ht="30" customHeight="1" x14ac:dyDescent="0.35">
      <c r="B12" s="21" t="str">
        <f>NomMois&amp;" Total"</f>
        <v>Juillet Total</v>
      </c>
      <c r="C12" s="13">
        <f>SUBTOTAL(103,Juillet[1])</f>
        <v>0</v>
      </c>
      <c r="D12" s="13">
        <f>SUBTOTAL(103,Juillet[2])</f>
        <v>0</v>
      </c>
      <c r="E12" s="13">
        <f>SUBTOTAL(103,Juillet[3])</f>
        <v>0</v>
      </c>
      <c r="F12" s="13">
        <f>SUBTOTAL(103,Juillet[4])</f>
        <v>0</v>
      </c>
      <c r="G12" s="13">
        <f>SUBTOTAL(103,Juillet[5])</f>
        <v>0</v>
      </c>
      <c r="H12" s="13">
        <f>SUBTOTAL(103,Juillet[6])</f>
        <v>0</v>
      </c>
      <c r="I12" s="13">
        <f>SUBTOTAL(103,Juillet[7])</f>
        <v>0</v>
      </c>
      <c r="J12" s="13">
        <f>SUBTOTAL(103,Juillet[8])</f>
        <v>0</v>
      </c>
      <c r="K12" s="13">
        <f>SUBTOTAL(103,Juillet[9])</f>
        <v>0</v>
      </c>
      <c r="L12" s="13">
        <f>SUBTOTAL(103,Juillet[10])</f>
        <v>0</v>
      </c>
      <c r="M12" s="13">
        <f>SUBTOTAL(103,Juillet[11])</f>
        <v>0</v>
      </c>
      <c r="N12" s="13">
        <f>SUBTOTAL(103,Juillet[12])</f>
        <v>0</v>
      </c>
      <c r="O12" s="13">
        <f>SUBTOTAL(103,Juillet[13])</f>
        <v>0</v>
      </c>
      <c r="P12" s="13">
        <f>SUBTOTAL(103,Juillet[14])</f>
        <v>0</v>
      </c>
      <c r="Q12" s="13">
        <f>SUBTOTAL(103,Juillet[15])</f>
        <v>0</v>
      </c>
      <c r="R12" s="13">
        <f>SUBTOTAL(103,Juillet[16])</f>
        <v>0</v>
      </c>
      <c r="S12" s="13">
        <f>SUBTOTAL(103,Juillet[17])</f>
        <v>0</v>
      </c>
      <c r="T12" s="13">
        <f>SUBTOTAL(103,Juillet[18])</f>
        <v>0</v>
      </c>
      <c r="U12" s="13">
        <f>SUBTOTAL(103,Juillet[19])</f>
        <v>0</v>
      </c>
      <c r="V12" s="13">
        <f>SUBTOTAL(103,Juillet[20])</f>
        <v>0</v>
      </c>
      <c r="W12" s="13">
        <f>SUBTOTAL(103,Juillet[21])</f>
        <v>0</v>
      </c>
      <c r="X12" s="13">
        <f>SUBTOTAL(103,Juillet[22])</f>
        <v>0</v>
      </c>
      <c r="Y12" s="13">
        <f>SUBTOTAL(103,Juillet[23])</f>
        <v>0</v>
      </c>
      <c r="Z12" s="13">
        <f>SUBTOTAL(103,Juillet[24])</f>
        <v>0</v>
      </c>
      <c r="AA12" s="13">
        <f>SUBTOTAL(103,Juillet[25])</f>
        <v>0</v>
      </c>
      <c r="AB12" s="13">
        <f>SUBTOTAL(103,Juillet[26])</f>
        <v>0</v>
      </c>
      <c r="AC12" s="13">
        <f>SUBTOTAL(103,Juillet[27])</f>
        <v>0</v>
      </c>
      <c r="AD12" s="13">
        <f>SUBTOTAL(103,Juillet[28])</f>
        <v>0</v>
      </c>
      <c r="AE12" s="13">
        <f>SUBTOTAL(103,Juillet[29])</f>
        <v>0</v>
      </c>
      <c r="AF12" s="13">
        <f>SUBTOTAL(103,Juillet[30])</f>
        <v>0</v>
      </c>
      <c r="AG12" s="13">
        <f>SUBTOTAL(103,Juillet[31])</f>
        <v>0</v>
      </c>
      <c r="AH12" s="13">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15" priority="2" stopIfTrue="1">
      <formula>C7=CléPersonnalisée2</formula>
    </cfRule>
    <cfRule type="expression" dxfId="514" priority="3" stopIfTrue="1">
      <formula>C7=CléPersonnalisée1</formula>
    </cfRule>
    <cfRule type="expression" dxfId="513" priority="4" stopIfTrue="1">
      <formula>C7=CléMaladie</formula>
    </cfRule>
    <cfRule type="expression" dxfId="512" priority="5" stopIfTrue="1">
      <formula>C7=CléPersonnel</formula>
    </cfRule>
    <cfRule type="expression" dxfId="511"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2" tint="-0.749992370372631"/>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58</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TEXT(WEEKDAY(DATE(AnnéeCalendrier,8,1),1),"jjj")</f>
        <v>dim</v>
      </c>
      <c r="D5" s="2" t="str">
        <f>TEXT(WEEKDAY(DATE(AnnéeCalendrier,8,2),1),"jjj")</f>
        <v>lun</v>
      </c>
      <c r="E5" s="2" t="str">
        <f>TEXT(WEEKDAY(DATE(AnnéeCalendrier,8,3),1),"jjj")</f>
        <v>mar</v>
      </c>
      <c r="F5" s="2" t="str">
        <f>TEXT(WEEKDAY(DATE(AnnéeCalendrier,8,4),1),"jjj")</f>
        <v>mer</v>
      </c>
      <c r="G5" s="2" t="str">
        <f>TEXT(WEEKDAY(DATE(AnnéeCalendrier,8,5),1),"jjj")</f>
        <v>jeu</v>
      </c>
      <c r="H5" s="2" t="str">
        <f>TEXT(WEEKDAY(DATE(AnnéeCalendrier,8,6),1),"jjj")</f>
        <v>ven</v>
      </c>
      <c r="I5" s="2" t="str">
        <f>TEXT(WEEKDAY(DATE(AnnéeCalendrier,8,7),1),"jjj")</f>
        <v>sam</v>
      </c>
      <c r="J5" s="2" t="str">
        <f>TEXT(WEEKDAY(DATE(AnnéeCalendrier,8,8),1),"jjj")</f>
        <v>dim</v>
      </c>
      <c r="K5" s="2" t="str">
        <f>TEXT(WEEKDAY(DATE(AnnéeCalendrier,8,9),1),"jjj")</f>
        <v>lun</v>
      </c>
      <c r="L5" s="2" t="str">
        <f>TEXT(WEEKDAY(DATE(AnnéeCalendrier,8,10),1),"jjj")</f>
        <v>mar</v>
      </c>
      <c r="M5" s="2" t="str">
        <f>TEXT(WEEKDAY(DATE(AnnéeCalendrier,8,11),1),"jjj")</f>
        <v>mer</v>
      </c>
      <c r="N5" s="2" t="str">
        <f>TEXT(WEEKDAY(DATE(AnnéeCalendrier,8,12),1),"jjj")</f>
        <v>jeu</v>
      </c>
      <c r="O5" s="2" t="str">
        <f>TEXT(WEEKDAY(DATE(AnnéeCalendrier,8,13),1),"jjj")</f>
        <v>ven</v>
      </c>
      <c r="P5" s="2" t="str">
        <f>TEXT(WEEKDAY(DATE(AnnéeCalendrier,8,14),1),"jjj")</f>
        <v>sam</v>
      </c>
      <c r="Q5" s="2" t="str">
        <f>TEXT(WEEKDAY(DATE(AnnéeCalendrier,8,15),1),"jjj")</f>
        <v>dim</v>
      </c>
      <c r="R5" s="2" t="str">
        <f>TEXT(WEEKDAY(DATE(AnnéeCalendrier,8,16),1),"jjj")</f>
        <v>lun</v>
      </c>
      <c r="S5" s="2" t="str">
        <f>TEXT(WEEKDAY(DATE(AnnéeCalendrier,8,17),1),"jjj")</f>
        <v>mar</v>
      </c>
      <c r="T5" s="2" t="str">
        <f>TEXT(WEEKDAY(DATE(AnnéeCalendrier,8,18),1),"jjj")</f>
        <v>mer</v>
      </c>
      <c r="U5" s="2" t="str">
        <f>TEXT(WEEKDAY(DATE(AnnéeCalendrier,8,19),1),"jjj")</f>
        <v>jeu</v>
      </c>
      <c r="V5" s="2" t="str">
        <f>TEXT(WEEKDAY(DATE(AnnéeCalendrier,8,20),1),"jjj")</f>
        <v>ven</v>
      </c>
      <c r="W5" s="2" t="str">
        <f>TEXT(WEEKDAY(DATE(AnnéeCalendrier,8,21),1),"jjj")</f>
        <v>sam</v>
      </c>
      <c r="X5" s="2" t="str">
        <f>TEXT(WEEKDAY(DATE(AnnéeCalendrier,8,22),1),"jjj")</f>
        <v>dim</v>
      </c>
      <c r="Y5" s="2" t="str">
        <f>TEXT(WEEKDAY(DATE(AnnéeCalendrier,8,23),1),"jjj")</f>
        <v>lun</v>
      </c>
      <c r="Z5" s="2" t="str">
        <f>TEXT(WEEKDAY(DATE(AnnéeCalendrier,8,24),1),"jjj")</f>
        <v>mar</v>
      </c>
      <c r="AA5" s="2" t="str">
        <f>TEXT(WEEKDAY(DATE(AnnéeCalendrier,8,25),1),"jjj")</f>
        <v>mer</v>
      </c>
      <c r="AB5" s="2" t="str">
        <f>TEXT(WEEKDAY(DATE(AnnéeCalendrier,8,26),1),"jjj")</f>
        <v>jeu</v>
      </c>
      <c r="AC5" s="2" t="str">
        <f>TEXT(WEEKDAY(DATE(AnnéeCalendrier,8,27),1),"jjj")</f>
        <v>ven</v>
      </c>
      <c r="AD5" s="2" t="str">
        <f>TEXT(WEEKDAY(DATE(AnnéeCalendrier,8,28),1),"jjj")</f>
        <v>sam</v>
      </c>
      <c r="AE5" s="2" t="str">
        <f>TEXT(WEEKDAY(DATE(AnnéeCalendrier,8,29),1),"jjj")</f>
        <v>dim</v>
      </c>
      <c r="AF5" s="2" t="str">
        <f>TEXT(WEEKDAY(DATE(AnnéeCalendrier,8,30),1),"jjj")</f>
        <v>lun</v>
      </c>
      <c r="AG5" s="2" t="str">
        <f>TEXT(WEEKDAY(DATE(AnnéeCalendrier,8,31),1),"jjj")</f>
        <v>mar</v>
      </c>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COUNTA(Août[[#This Row],[1]:[31]])</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COUNTA(Août[[#This Row],[1]:[31]])</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COUNTA(Août[[#This Row],[1]:[31]])</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COUNTA(Août[[#This Row],[1]:[31]])</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COUNTA(Août[[#This Row],[1]:[31]])</f>
        <v>0</v>
      </c>
    </row>
    <row r="12" spans="2:34" ht="30" customHeight="1" x14ac:dyDescent="0.35">
      <c r="B12" s="21" t="str">
        <f>NomMois&amp;" Total"</f>
        <v>Août Total</v>
      </c>
      <c r="C12" s="13">
        <f>SUBTOTAL(103,Août[1])</f>
        <v>0</v>
      </c>
      <c r="D12" s="13">
        <f>SUBTOTAL(103,Août[2])</f>
        <v>0</v>
      </c>
      <c r="E12" s="13">
        <f>SUBTOTAL(103,Août[3])</f>
        <v>0</v>
      </c>
      <c r="F12" s="13">
        <f>SUBTOTAL(103,Août[4])</f>
        <v>0</v>
      </c>
      <c r="G12" s="13">
        <f>SUBTOTAL(103,Août[5])</f>
        <v>0</v>
      </c>
      <c r="H12" s="13">
        <f>SUBTOTAL(103,Août[6])</f>
        <v>0</v>
      </c>
      <c r="I12" s="13">
        <f>SUBTOTAL(103,Août[7])</f>
        <v>0</v>
      </c>
      <c r="J12" s="13">
        <f>SUBTOTAL(103,Août[8])</f>
        <v>0</v>
      </c>
      <c r="K12" s="13">
        <f>SUBTOTAL(103,Août[9])</f>
        <v>0</v>
      </c>
      <c r="L12" s="13">
        <f>SUBTOTAL(103,Août[10])</f>
        <v>0</v>
      </c>
      <c r="M12" s="13">
        <f>SUBTOTAL(103,Août[11])</f>
        <v>0</v>
      </c>
      <c r="N12" s="13">
        <f>SUBTOTAL(103,Août[12])</f>
        <v>0</v>
      </c>
      <c r="O12" s="13">
        <f>SUBTOTAL(103,Août[13])</f>
        <v>0</v>
      </c>
      <c r="P12" s="13">
        <f>SUBTOTAL(103,Août[14])</f>
        <v>0</v>
      </c>
      <c r="Q12" s="13">
        <f>SUBTOTAL(103,Août[15])</f>
        <v>0</v>
      </c>
      <c r="R12" s="13">
        <f>SUBTOTAL(103,Août[16])</f>
        <v>0</v>
      </c>
      <c r="S12" s="13">
        <f>SUBTOTAL(103,Août[17])</f>
        <v>0</v>
      </c>
      <c r="T12" s="13">
        <f>SUBTOTAL(103,Août[18])</f>
        <v>0</v>
      </c>
      <c r="U12" s="13">
        <f>SUBTOTAL(103,Août[19])</f>
        <v>0</v>
      </c>
      <c r="V12" s="13">
        <f>SUBTOTAL(103,Août[20])</f>
        <v>0</v>
      </c>
      <c r="W12" s="13">
        <f>SUBTOTAL(103,Août[21])</f>
        <v>0</v>
      </c>
      <c r="X12" s="13">
        <f>SUBTOTAL(103,Août[22])</f>
        <v>0</v>
      </c>
      <c r="Y12" s="13">
        <f>SUBTOTAL(103,Août[23])</f>
        <v>0</v>
      </c>
      <c r="Z12" s="13">
        <f>SUBTOTAL(103,Août[24])</f>
        <v>0</v>
      </c>
      <c r="AA12" s="13">
        <f>SUBTOTAL(103,Août[25])</f>
        <v>0</v>
      </c>
      <c r="AB12" s="13">
        <f>SUBTOTAL(103,Août[26])</f>
        <v>0</v>
      </c>
      <c r="AC12" s="13">
        <f>SUBTOTAL(103,Août[27])</f>
        <v>0</v>
      </c>
      <c r="AD12" s="13">
        <f>SUBTOTAL(103,Août[28])</f>
        <v>0</v>
      </c>
      <c r="AE12" s="13">
        <f>SUBTOTAL(103,Août[29])</f>
        <v>0</v>
      </c>
      <c r="AF12" s="13">
        <f>SUBTOTAL(103,Août[30])</f>
        <v>0</v>
      </c>
      <c r="AG12" s="13">
        <f>SUBTOTAL(103,Août[31])</f>
        <v>0</v>
      </c>
      <c r="AH12" s="13">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1" priority="2" stopIfTrue="1">
      <formula>C7=CléPersonnalisée2</formula>
    </cfRule>
    <cfRule type="expression" dxfId="440" priority="3" stopIfTrue="1">
      <formula>C7=CléPersonnalisée1</formula>
    </cfRule>
    <cfRule type="expression" dxfId="439" priority="4" stopIfTrue="1">
      <formula>C7=CléMaladie</formula>
    </cfRule>
    <cfRule type="expression" dxfId="438" priority="5" stopIfTrue="1">
      <formula>C7=CléPersonnel</formula>
    </cfRule>
    <cfRule type="expression" dxfId="437"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2" tint="-0.499984740745262"/>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59</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TEXT(WEEKDAY(DATE(AnnéeCalendrier,9,1),1),"jjj")</f>
        <v>mer</v>
      </c>
      <c r="D5" s="2" t="str">
        <f>TEXT(WEEKDAY(DATE(AnnéeCalendrier,9,2),1),"jjj")</f>
        <v>jeu</v>
      </c>
      <c r="E5" s="2" t="str">
        <f>TEXT(WEEKDAY(DATE(AnnéeCalendrier,9,3),1),"jjj")</f>
        <v>ven</v>
      </c>
      <c r="F5" s="2" t="str">
        <f>TEXT(WEEKDAY(DATE(AnnéeCalendrier,9,4),1),"jjj")</f>
        <v>sam</v>
      </c>
      <c r="G5" s="2" t="str">
        <f>TEXT(WEEKDAY(DATE(AnnéeCalendrier,9,5),1),"jjj")</f>
        <v>dim</v>
      </c>
      <c r="H5" s="2" t="str">
        <f>TEXT(WEEKDAY(DATE(AnnéeCalendrier,9,6),1),"jjj")</f>
        <v>lun</v>
      </c>
      <c r="I5" s="2" t="str">
        <f>TEXT(WEEKDAY(DATE(AnnéeCalendrier,9,7),1),"jjj")</f>
        <v>mar</v>
      </c>
      <c r="J5" s="2" t="str">
        <f>TEXT(WEEKDAY(DATE(AnnéeCalendrier,9,8),1),"jjj")</f>
        <v>mer</v>
      </c>
      <c r="K5" s="2" t="str">
        <f>TEXT(WEEKDAY(DATE(AnnéeCalendrier,9,9),1),"jjj")</f>
        <v>jeu</v>
      </c>
      <c r="L5" s="2" t="str">
        <f>TEXT(WEEKDAY(DATE(AnnéeCalendrier,9,10),1),"jjj")</f>
        <v>ven</v>
      </c>
      <c r="M5" s="2" t="str">
        <f>TEXT(WEEKDAY(DATE(AnnéeCalendrier,9,11),1),"jjj")</f>
        <v>sam</v>
      </c>
      <c r="N5" s="2" t="str">
        <f>TEXT(WEEKDAY(DATE(AnnéeCalendrier,9,12),1),"jjj")</f>
        <v>dim</v>
      </c>
      <c r="O5" s="2" t="str">
        <f>TEXT(WEEKDAY(DATE(AnnéeCalendrier,9,13),1),"jjj")</f>
        <v>lun</v>
      </c>
      <c r="P5" s="2" t="str">
        <f>TEXT(WEEKDAY(DATE(AnnéeCalendrier,9,14),1),"jjj")</f>
        <v>mar</v>
      </c>
      <c r="Q5" s="2" t="str">
        <f>TEXT(WEEKDAY(DATE(AnnéeCalendrier,9,15),1),"jjj")</f>
        <v>mer</v>
      </c>
      <c r="R5" s="2" t="str">
        <f>TEXT(WEEKDAY(DATE(AnnéeCalendrier,9,16),1),"jjj")</f>
        <v>jeu</v>
      </c>
      <c r="S5" s="2" t="str">
        <f>TEXT(WEEKDAY(DATE(AnnéeCalendrier,9,17),1),"jjj")</f>
        <v>ven</v>
      </c>
      <c r="T5" s="2" t="str">
        <f>TEXT(WEEKDAY(DATE(AnnéeCalendrier,9,18),1),"jjj")</f>
        <v>sam</v>
      </c>
      <c r="U5" s="2" t="str">
        <f>TEXT(WEEKDAY(DATE(AnnéeCalendrier,9,19),1),"jjj")</f>
        <v>dim</v>
      </c>
      <c r="V5" s="2" t="str">
        <f>TEXT(WEEKDAY(DATE(AnnéeCalendrier,9,20),1),"jjj")</f>
        <v>lun</v>
      </c>
      <c r="W5" s="2" t="str">
        <f>TEXT(WEEKDAY(DATE(AnnéeCalendrier,9,21),1),"jjj")</f>
        <v>mar</v>
      </c>
      <c r="X5" s="2" t="str">
        <f>TEXT(WEEKDAY(DATE(AnnéeCalendrier,9,22),1),"jjj")</f>
        <v>mer</v>
      </c>
      <c r="Y5" s="2" t="str">
        <f>TEXT(WEEKDAY(DATE(AnnéeCalendrier,9,23),1),"jjj")</f>
        <v>jeu</v>
      </c>
      <c r="Z5" s="2" t="str">
        <f>TEXT(WEEKDAY(DATE(AnnéeCalendrier,9,24),1),"jjj")</f>
        <v>ven</v>
      </c>
      <c r="AA5" s="2" t="str">
        <f>TEXT(WEEKDAY(DATE(AnnéeCalendrier,9,25),1),"jjj")</f>
        <v>sam</v>
      </c>
      <c r="AB5" s="2" t="str">
        <f>TEXT(WEEKDAY(DATE(AnnéeCalendrier,9,26),1),"jjj")</f>
        <v>dim</v>
      </c>
      <c r="AC5" s="2" t="str">
        <f>TEXT(WEEKDAY(DATE(AnnéeCalendrier,9,27),1),"jjj")</f>
        <v>lun</v>
      </c>
      <c r="AD5" s="2" t="str">
        <f>TEXT(WEEKDAY(DATE(AnnéeCalendrier,9,28),1),"jjj")</f>
        <v>mar</v>
      </c>
      <c r="AE5" s="2" t="str">
        <f>TEXT(WEEKDAY(DATE(AnnéeCalendrier,9,29),1),"jjj")</f>
        <v>mer</v>
      </c>
      <c r="AF5" s="2" t="str">
        <f>TEXT(WEEKDAY(DATE(AnnéeCalendrier,9,30),1),"jjj")</f>
        <v>jeu</v>
      </c>
      <c r="AG5" s="2"/>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51</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COUNTA(Septembre[[#This Row],[1]:[30]])</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COUNTA(Septembre[[#This Row],[1]:[30]])</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COUNTA(Septembre[[#This Row],[1]:[30]])</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COUNTA(Septembre[[#This Row],[1]:[30]])</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COUNTA(Septembre[[#This Row],[1]:[30]])</f>
        <v>0</v>
      </c>
    </row>
    <row r="12" spans="2:34" ht="30" customHeight="1" x14ac:dyDescent="0.35">
      <c r="B12" s="21" t="str">
        <f>NomMois&amp;" Total"</f>
        <v>Septembre Total</v>
      </c>
      <c r="C12" s="13">
        <f>SUBTOTAL(103,Septembre[1])</f>
        <v>0</v>
      </c>
      <c r="D12" s="13">
        <f>SUBTOTAL(103,Septembre[2])</f>
        <v>0</v>
      </c>
      <c r="E12" s="13">
        <f>SUBTOTAL(103,Septembre[3])</f>
        <v>0</v>
      </c>
      <c r="F12" s="13">
        <f>SUBTOTAL(103,Septembre[4])</f>
        <v>0</v>
      </c>
      <c r="G12" s="13">
        <f>SUBTOTAL(103,Septembre[5])</f>
        <v>0</v>
      </c>
      <c r="H12" s="13">
        <f>SUBTOTAL(103,Septembre[6])</f>
        <v>0</v>
      </c>
      <c r="I12" s="13">
        <f>SUBTOTAL(103,Septembre[7])</f>
        <v>0</v>
      </c>
      <c r="J12" s="13">
        <f>SUBTOTAL(103,Septembre[8])</f>
        <v>0</v>
      </c>
      <c r="K12" s="13">
        <f>SUBTOTAL(103,Septembre[9])</f>
        <v>0</v>
      </c>
      <c r="L12" s="13">
        <f>SUBTOTAL(103,Septembre[10])</f>
        <v>0</v>
      </c>
      <c r="M12" s="13">
        <f>SUBTOTAL(103,Septembre[11])</f>
        <v>0</v>
      </c>
      <c r="N12" s="13">
        <f>SUBTOTAL(103,Septembre[12])</f>
        <v>0</v>
      </c>
      <c r="O12" s="13">
        <f>SUBTOTAL(103,Septembre[13])</f>
        <v>0</v>
      </c>
      <c r="P12" s="13">
        <f>SUBTOTAL(103,Septembre[14])</f>
        <v>0</v>
      </c>
      <c r="Q12" s="13">
        <f>SUBTOTAL(103,Septembre[15])</f>
        <v>0</v>
      </c>
      <c r="R12" s="13">
        <f>SUBTOTAL(103,Septembre[16])</f>
        <v>0</v>
      </c>
      <c r="S12" s="13">
        <f>SUBTOTAL(103,Septembre[17])</f>
        <v>0</v>
      </c>
      <c r="T12" s="13">
        <f>SUBTOTAL(103,Septembre[18])</f>
        <v>0</v>
      </c>
      <c r="U12" s="13">
        <f>SUBTOTAL(103,Septembre[19])</f>
        <v>0</v>
      </c>
      <c r="V12" s="13">
        <f>SUBTOTAL(103,Septembre[20])</f>
        <v>0</v>
      </c>
      <c r="W12" s="13">
        <f>SUBTOTAL(103,Septembre[21])</f>
        <v>0</v>
      </c>
      <c r="X12" s="13">
        <f>SUBTOTAL(103,Septembre[22])</f>
        <v>0</v>
      </c>
      <c r="Y12" s="13">
        <f>SUBTOTAL(103,Septembre[23])</f>
        <v>0</v>
      </c>
      <c r="Z12" s="13">
        <f>SUBTOTAL(103,Septembre[24])</f>
        <v>0</v>
      </c>
      <c r="AA12" s="13">
        <f>SUBTOTAL(103,Septembre[25])</f>
        <v>0</v>
      </c>
      <c r="AB12" s="13">
        <f>SUBTOTAL(103,Septembre[26])</f>
        <v>0</v>
      </c>
      <c r="AC12" s="13">
        <f>SUBTOTAL(103,Septembre[27])</f>
        <v>0</v>
      </c>
      <c r="AD12" s="13">
        <f>SUBTOTAL(103,Septembre[28])</f>
        <v>0</v>
      </c>
      <c r="AE12" s="13">
        <f>SUBTOTAL(103,Septembre[29])</f>
        <v>0</v>
      </c>
      <c r="AF12" s="13">
        <f>SUBTOTAL(103,Septembre[30])</f>
        <v>0</v>
      </c>
      <c r="AG12" s="13">
        <f>SUBTOTAL(103,Septembre[[ ]])</f>
        <v>0</v>
      </c>
      <c r="AH12" s="13">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67" priority="2" stopIfTrue="1">
      <formula>C7=CléPersonnalisée2</formula>
    </cfRule>
    <cfRule type="expression" dxfId="366" priority="3" stopIfTrue="1">
      <formula>C7=CléPersonnalisée1</formula>
    </cfRule>
    <cfRule type="expression" dxfId="365" priority="4" stopIfTrue="1">
      <formula>C7=CléMaladie</formula>
    </cfRule>
    <cfRule type="expression" dxfId="364" priority="5" stopIfTrue="1">
      <formula>C7=CléPersonnel</formula>
    </cfRule>
    <cfRule type="expression" dxfId="363"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2" tint="-0.249977111117893"/>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60</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TEXT(WEEKDAY(DATE(AnnéeCalendrier,10,1),1),"jjj")</f>
        <v>ven</v>
      </c>
      <c r="D5" s="2" t="str">
        <f>TEXT(WEEKDAY(DATE(AnnéeCalendrier,10,2),1),"jjj")</f>
        <v>sam</v>
      </c>
      <c r="E5" s="2" t="str">
        <f>TEXT(WEEKDAY(DATE(AnnéeCalendrier,10,3),1),"jjj")</f>
        <v>dim</v>
      </c>
      <c r="F5" s="2" t="str">
        <f>TEXT(WEEKDAY(DATE(AnnéeCalendrier,10,4),1),"jjj")</f>
        <v>lun</v>
      </c>
      <c r="G5" s="2" t="str">
        <f>TEXT(WEEKDAY(DATE(AnnéeCalendrier,10,5),1),"jjj")</f>
        <v>mar</v>
      </c>
      <c r="H5" s="2" t="str">
        <f>TEXT(WEEKDAY(DATE(AnnéeCalendrier,10,6),1),"jjj")</f>
        <v>mer</v>
      </c>
      <c r="I5" s="2" t="str">
        <f>TEXT(WEEKDAY(DATE(AnnéeCalendrier,10,7),1),"jjj")</f>
        <v>jeu</v>
      </c>
      <c r="J5" s="2" t="str">
        <f>TEXT(WEEKDAY(DATE(AnnéeCalendrier,10,8),1),"jjj")</f>
        <v>ven</v>
      </c>
      <c r="K5" s="2" t="str">
        <f>TEXT(WEEKDAY(DATE(AnnéeCalendrier,10,9),1),"jjj")</f>
        <v>sam</v>
      </c>
      <c r="L5" s="2" t="str">
        <f>TEXT(WEEKDAY(DATE(AnnéeCalendrier,10,10),1),"jjj")</f>
        <v>dim</v>
      </c>
      <c r="M5" s="2" t="str">
        <f>TEXT(WEEKDAY(DATE(AnnéeCalendrier,10,11),1),"jjj")</f>
        <v>lun</v>
      </c>
      <c r="N5" s="2" t="str">
        <f>TEXT(WEEKDAY(DATE(AnnéeCalendrier,10,12),1),"jjj")</f>
        <v>mar</v>
      </c>
      <c r="O5" s="2" t="str">
        <f>TEXT(WEEKDAY(DATE(AnnéeCalendrier,10,13),1),"jjj")</f>
        <v>mer</v>
      </c>
      <c r="P5" s="2" t="str">
        <f>TEXT(WEEKDAY(DATE(AnnéeCalendrier,10,14),1),"jjj")</f>
        <v>jeu</v>
      </c>
      <c r="Q5" s="2" t="str">
        <f>TEXT(WEEKDAY(DATE(AnnéeCalendrier,10,15),1),"jjj")</f>
        <v>ven</v>
      </c>
      <c r="R5" s="2" t="str">
        <f>TEXT(WEEKDAY(DATE(AnnéeCalendrier,10,16),1),"jjj")</f>
        <v>sam</v>
      </c>
      <c r="S5" s="2" t="str">
        <f>TEXT(WEEKDAY(DATE(AnnéeCalendrier,10,17),1),"jjj")</f>
        <v>dim</v>
      </c>
      <c r="T5" s="2" t="str">
        <f>TEXT(WEEKDAY(DATE(AnnéeCalendrier,10,18),1),"jjj")</f>
        <v>lun</v>
      </c>
      <c r="U5" s="2" t="str">
        <f>TEXT(WEEKDAY(DATE(AnnéeCalendrier,10,19),1),"jjj")</f>
        <v>mar</v>
      </c>
      <c r="V5" s="2" t="str">
        <f>TEXT(WEEKDAY(DATE(AnnéeCalendrier,10,20),1),"jjj")</f>
        <v>mer</v>
      </c>
      <c r="W5" s="2" t="str">
        <f>TEXT(WEEKDAY(DATE(AnnéeCalendrier,10,21),1),"jjj")</f>
        <v>jeu</v>
      </c>
      <c r="X5" s="2" t="str">
        <f>TEXT(WEEKDAY(DATE(AnnéeCalendrier,10,22),1),"jjj")</f>
        <v>ven</v>
      </c>
      <c r="Y5" s="2" t="str">
        <f>TEXT(WEEKDAY(DATE(AnnéeCalendrier,10,23),1),"jjj")</f>
        <v>sam</v>
      </c>
      <c r="Z5" s="2" t="str">
        <f>TEXT(WEEKDAY(DATE(AnnéeCalendrier,10,24),1),"jjj")</f>
        <v>dim</v>
      </c>
      <c r="AA5" s="2" t="str">
        <f>TEXT(WEEKDAY(DATE(AnnéeCalendrier,10,25),1),"jjj")</f>
        <v>lun</v>
      </c>
      <c r="AB5" s="2" t="str">
        <f>TEXT(WEEKDAY(DATE(AnnéeCalendrier,10,26),1),"jjj")</f>
        <v>mar</v>
      </c>
      <c r="AC5" s="2" t="str">
        <f>TEXT(WEEKDAY(DATE(AnnéeCalendrier,10,27),1),"jjj")</f>
        <v>mer</v>
      </c>
      <c r="AD5" s="2" t="str">
        <f>TEXT(WEEKDAY(DATE(AnnéeCalendrier,10,28),1),"jjj")</f>
        <v>jeu</v>
      </c>
      <c r="AE5" s="2" t="str">
        <f>TEXT(WEEKDAY(DATE(AnnéeCalendrier,10,29),1),"jjj")</f>
        <v>ven</v>
      </c>
      <c r="AF5" s="2" t="str">
        <f>TEXT(WEEKDAY(DATE(AnnéeCalendrier,10,30),1),"jjj")</f>
        <v>sam</v>
      </c>
      <c r="AG5" s="2" t="str">
        <f>TEXT(WEEKDAY(DATE(AnnéeCalendrier,10,31),1),"jjj")</f>
        <v>dim</v>
      </c>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COUNTA(Octobre[[#This Row],[1]:[31]])</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COUNTA(Octobre[[#This Row],[1]:[31]])</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COUNTA(Octobre[[#This Row],[1]:[31]])</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COUNTA(Octobre[[#This Row],[1]:[31]])</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COUNTA(Octobre[[#This Row],[1]:[31]])</f>
        <v>0</v>
      </c>
    </row>
    <row r="12" spans="2:34" ht="30" customHeight="1" x14ac:dyDescent="0.35">
      <c r="B12" s="21" t="str">
        <f>NomMois&amp;" Total"</f>
        <v>Octobre Total</v>
      </c>
      <c r="C12" s="13">
        <f>SUBTOTAL(103,Octobre[1])</f>
        <v>0</v>
      </c>
      <c r="D12" s="13">
        <f>SUBTOTAL(103,Octobre[2])</f>
        <v>0</v>
      </c>
      <c r="E12" s="13">
        <f>SUBTOTAL(103,Octobre[3])</f>
        <v>0</v>
      </c>
      <c r="F12" s="13">
        <f>SUBTOTAL(103,Octobre[4])</f>
        <v>0</v>
      </c>
      <c r="G12" s="13">
        <f>SUBTOTAL(103,Octobre[5])</f>
        <v>0</v>
      </c>
      <c r="H12" s="13">
        <f>SUBTOTAL(103,Octobre[6])</f>
        <v>0</v>
      </c>
      <c r="I12" s="13">
        <f>SUBTOTAL(103,Octobre[7])</f>
        <v>0</v>
      </c>
      <c r="J12" s="13">
        <f>SUBTOTAL(103,Octobre[8])</f>
        <v>0</v>
      </c>
      <c r="K12" s="13">
        <f>SUBTOTAL(103,Octobre[9])</f>
        <v>0</v>
      </c>
      <c r="L12" s="13">
        <f>SUBTOTAL(103,Octobre[10])</f>
        <v>0</v>
      </c>
      <c r="M12" s="13">
        <f>SUBTOTAL(103,Octobre[11])</f>
        <v>0</v>
      </c>
      <c r="N12" s="13">
        <f>SUBTOTAL(103,Octobre[12])</f>
        <v>0</v>
      </c>
      <c r="O12" s="13">
        <f>SUBTOTAL(103,Octobre[13])</f>
        <v>0</v>
      </c>
      <c r="P12" s="13">
        <f>SUBTOTAL(103,Octobre[14])</f>
        <v>0</v>
      </c>
      <c r="Q12" s="13">
        <f>SUBTOTAL(103,Octobre[15])</f>
        <v>0</v>
      </c>
      <c r="R12" s="13">
        <f>SUBTOTAL(103,Octobre[16])</f>
        <v>0</v>
      </c>
      <c r="S12" s="13">
        <f>SUBTOTAL(103,Octobre[17])</f>
        <v>0</v>
      </c>
      <c r="T12" s="13">
        <f>SUBTOTAL(103,Octobre[18])</f>
        <v>0</v>
      </c>
      <c r="U12" s="13">
        <f>SUBTOTAL(103,Octobre[19])</f>
        <v>0</v>
      </c>
      <c r="V12" s="13">
        <f>SUBTOTAL(103,Octobre[20])</f>
        <v>0</v>
      </c>
      <c r="W12" s="13">
        <f>SUBTOTAL(103,Octobre[21])</f>
        <v>0</v>
      </c>
      <c r="X12" s="13">
        <f>SUBTOTAL(103,Octobre[22])</f>
        <v>0</v>
      </c>
      <c r="Y12" s="13">
        <f>SUBTOTAL(103,Octobre[23])</f>
        <v>0</v>
      </c>
      <c r="Z12" s="13">
        <f>SUBTOTAL(103,Octobre[24])</f>
        <v>0</v>
      </c>
      <c r="AA12" s="13">
        <f>SUBTOTAL(103,Octobre[25])</f>
        <v>0</v>
      </c>
      <c r="AB12" s="13">
        <f>SUBTOTAL(103,Octobre[26])</f>
        <v>0</v>
      </c>
      <c r="AC12" s="13">
        <f>SUBTOTAL(103,Octobre[27])</f>
        <v>0</v>
      </c>
      <c r="AD12" s="13">
        <f>SUBTOTAL(103,Octobre[28])</f>
        <v>0</v>
      </c>
      <c r="AE12" s="13">
        <f>SUBTOTAL(103,Octobre[29])</f>
        <v>0</v>
      </c>
      <c r="AF12" s="13">
        <f>SUBTOTAL(103,Octobre[30])</f>
        <v>0</v>
      </c>
      <c r="AG12" s="13">
        <f>SUBTOTAL(103,Octobre[31])</f>
        <v>0</v>
      </c>
      <c r="AH12" s="13">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93" priority="2" stopIfTrue="1">
      <formula>C7=CléPersonnalisée2</formula>
    </cfRule>
    <cfRule type="expression" dxfId="292" priority="3" stopIfTrue="1">
      <formula>C7=CléPersonnalisée1</formula>
    </cfRule>
    <cfRule type="expression" dxfId="291" priority="4" stopIfTrue="1">
      <formula>C7=CléMaladie</formula>
    </cfRule>
    <cfRule type="expression" dxfId="290" priority="5" stopIfTrue="1">
      <formula>C7=CléPersonnel</formula>
    </cfRule>
    <cfRule type="expression" dxfId="28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2" tint="-0.249977111117893"/>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61</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TEXT(WEEKDAY(DATE(AnnéeCalendrier,11,1),1),"jjj")</f>
        <v>lun</v>
      </c>
      <c r="D5" s="2" t="str">
        <f>TEXT(WEEKDAY(DATE(AnnéeCalendrier,11,2),1),"jjj")</f>
        <v>mar</v>
      </c>
      <c r="E5" s="2" t="str">
        <f>TEXT(WEEKDAY(DATE(AnnéeCalendrier,11,3),1),"jjj")</f>
        <v>mer</v>
      </c>
      <c r="F5" s="2" t="str">
        <f>TEXT(WEEKDAY(DATE(AnnéeCalendrier,11,4),1),"jjj")</f>
        <v>jeu</v>
      </c>
      <c r="G5" s="2" t="str">
        <f>TEXT(WEEKDAY(DATE(AnnéeCalendrier,11,5),1),"jjj")</f>
        <v>ven</v>
      </c>
      <c r="H5" s="2" t="str">
        <f>TEXT(WEEKDAY(DATE(AnnéeCalendrier,11,6),1),"jjj")</f>
        <v>sam</v>
      </c>
      <c r="I5" s="2" t="str">
        <f>TEXT(WEEKDAY(DATE(AnnéeCalendrier,11,7),1),"jjj")</f>
        <v>dim</v>
      </c>
      <c r="J5" s="2" t="str">
        <f>TEXT(WEEKDAY(DATE(AnnéeCalendrier,11,8),1),"jjj")</f>
        <v>lun</v>
      </c>
      <c r="K5" s="2" t="str">
        <f>TEXT(WEEKDAY(DATE(AnnéeCalendrier,11,9),1),"jjj")</f>
        <v>mar</v>
      </c>
      <c r="L5" s="2" t="str">
        <f>TEXT(WEEKDAY(DATE(AnnéeCalendrier,11,10),1),"jjj")</f>
        <v>mer</v>
      </c>
      <c r="M5" s="2" t="str">
        <f>TEXT(WEEKDAY(DATE(AnnéeCalendrier,11,11),1),"jjj")</f>
        <v>jeu</v>
      </c>
      <c r="N5" s="2" t="str">
        <f>TEXT(WEEKDAY(DATE(AnnéeCalendrier,11,12),1),"jjj")</f>
        <v>ven</v>
      </c>
      <c r="O5" s="2" t="str">
        <f>TEXT(WEEKDAY(DATE(AnnéeCalendrier,11,13),1),"jjj")</f>
        <v>sam</v>
      </c>
      <c r="P5" s="2" t="str">
        <f>TEXT(WEEKDAY(DATE(AnnéeCalendrier,11,14),1),"jjj")</f>
        <v>dim</v>
      </c>
      <c r="Q5" s="2" t="str">
        <f>TEXT(WEEKDAY(DATE(AnnéeCalendrier,11,15),1),"jjj")</f>
        <v>lun</v>
      </c>
      <c r="R5" s="2" t="str">
        <f>TEXT(WEEKDAY(DATE(AnnéeCalendrier,11,16),1),"jjj")</f>
        <v>mar</v>
      </c>
      <c r="S5" s="2" t="str">
        <f>TEXT(WEEKDAY(DATE(AnnéeCalendrier,11,17),1),"jjj")</f>
        <v>mer</v>
      </c>
      <c r="T5" s="2" t="str">
        <f>TEXT(WEEKDAY(DATE(AnnéeCalendrier,11,18),1),"jjj")</f>
        <v>jeu</v>
      </c>
      <c r="U5" s="2" t="str">
        <f>TEXT(WEEKDAY(DATE(AnnéeCalendrier,11,19),1),"jjj")</f>
        <v>ven</v>
      </c>
      <c r="V5" s="2" t="str">
        <f>TEXT(WEEKDAY(DATE(AnnéeCalendrier,11,20),1),"jjj")</f>
        <v>sam</v>
      </c>
      <c r="W5" s="2" t="str">
        <f>TEXT(WEEKDAY(DATE(AnnéeCalendrier,11,21),1),"jjj")</f>
        <v>dim</v>
      </c>
      <c r="X5" s="2" t="str">
        <f>TEXT(WEEKDAY(DATE(AnnéeCalendrier,11,22),1),"jjj")</f>
        <v>lun</v>
      </c>
      <c r="Y5" s="2" t="str">
        <f>TEXT(WEEKDAY(DATE(AnnéeCalendrier,11,23),1),"jjj")</f>
        <v>mar</v>
      </c>
      <c r="Z5" s="2" t="str">
        <f>TEXT(WEEKDAY(DATE(AnnéeCalendrier,11,24),1),"jjj")</f>
        <v>mer</v>
      </c>
      <c r="AA5" s="2" t="str">
        <f>TEXT(WEEKDAY(DATE(AnnéeCalendrier,11,25),1),"jjj")</f>
        <v>jeu</v>
      </c>
      <c r="AB5" s="2" t="str">
        <f>TEXT(WEEKDAY(DATE(AnnéeCalendrier,11,26),1),"jjj")</f>
        <v>ven</v>
      </c>
      <c r="AC5" s="2" t="str">
        <f>TEXT(WEEKDAY(DATE(AnnéeCalendrier,11,27),1),"jjj")</f>
        <v>sam</v>
      </c>
      <c r="AD5" s="2" t="str">
        <f>TEXT(WEEKDAY(DATE(AnnéeCalendrier,11,28),1),"jjj")</f>
        <v>dim</v>
      </c>
      <c r="AE5" s="2" t="str">
        <f>TEXT(WEEKDAY(DATE(AnnéeCalendrier,11,29),1),"jjj")</f>
        <v>lun</v>
      </c>
      <c r="AF5" s="2" t="str">
        <f>TEXT(WEEKDAY(DATE(AnnéeCalendrier,11,30),1),"jjj")</f>
        <v>mar</v>
      </c>
      <c r="AG5" s="2"/>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51</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COUNTA(Novembre[[#This Row],[1]:[30]])</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COUNTA(Novembre[[#This Row],[1]:[30]])</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COUNTA(Novembre[[#This Row],[1]:[30]])</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COUNTA(Novembre[[#This Row],[1]:[30]])</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COUNTA(Novembre[[#This Row],[1]:[30]])</f>
        <v>0</v>
      </c>
    </row>
    <row r="12" spans="2:34" ht="30" customHeight="1" x14ac:dyDescent="0.35">
      <c r="B12" s="21" t="str">
        <f>NomMois&amp;" Total"</f>
        <v>Novembre Total</v>
      </c>
      <c r="C12" s="13">
        <f>SUBTOTAL(103,Novembre[1])</f>
        <v>0</v>
      </c>
      <c r="D12" s="13">
        <f>SUBTOTAL(103,Novembre[2])</f>
        <v>0</v>
      </c>
      <c r="E12" s="13">
        <f>SUBTOTAL(103,Novembre[3])</f>
        <v>0</v>
      </c>
      <c r="F12" s="13">
        <f>SUBTOTAL(103,Novembre[4])</f>
        <v>0</v>
      </c>
      <c r="G12" s="13">
        <f>SUBTOTAL(103,Novembre[5])</f>
        <v>0</v>
      </c>
      <c r="H12" s="13">
        <f>SUBTOTAL(103,Novembre[6])</f>
        <v>0</v>
      </c>
      <c r="I12" s="13">
        <f>SUBTOTAL(103,Novembre[7])</f>
        <v>0</v>
      </c>
      <c r="J12" s="13">
        <f>SUBTOTAL(103,Novembre[8])</f>
        <v>0</v>
      </c>
      <c r="K12" s="13">
        <f>SUBTOTAL(103,Novembre[9])</f>
        <v>0</v>
      </c>
      <c r="L12" s="13">
        <f>SUBTOTAL(103,Novembre[10])</f>
        <v>0</v>
      </c>
      <c r="M12" s="13">
        <f>SUBTOTAL(103,Novembre[11])</f>
        <v>0</v>
      </c>
      <c r="N12" s="13">
        <f>SUBTOTAL(103,Novembre[12])</f>
        <v>0</v>
      </c>
      <c r="O12" s="13">
        <f>SUBTOTAL(103,Novembre[13])</f>
        <v>0</v>
      </c>
      <c r="P12" s="13">
        <f>SUBTOTAL(103,Novembre[14])</f>
        <v>0</v>
      </c>
      <c r="Q12" s="13">
        <f>SUBTOTAL(103,Novembre[15])</f>
        <v>0</v>
      </c>
      <c r="R12" s="13">
        <f>SUBTOTAL(103,Novembre[16])</f>
        <v>0</v>
      </c>
      <c r="S12" s="13">
        <f>SUBTOTAL(103,Novembre[17])</f>
        <v>0</v>
      </c>
      <c r="T12" s="13">
        <f>SUBTOTAL(103,Novembre[18])</f>
        <v>0</v>
      </c>
      <c r="U12" s="13">
        <f>SUBTOTAL(103,Novembre[19])</f>
        <v>0</v>
      </c>
      <c r="V12" s="13">
        <f>SUBTOTAL(103,Novembre[20])</f>
        <v>0</v>
      </c>
      <c r="W12" s="13">
        <f>SUBTOTAL(103,Novembre[21])</f>
        <v>0</v>
      </c>
      <c r="X12" s="13">
        <f>SUBTOTAL(103,Novembre[22])</f>
        <v>0</v>
      </c>
      <c r="Y12" s="13">
        <f>SUBTOTAL(103,Novembre[23])</f>
        <v>0</v>
      </c>
      <c r="Z12" s="13">
        <f>SUBTOTAL(103,Novembre[24])</f>
        <v>0</v>
      </c>
      <c r="AA12" s="13">
        <f>SUBTOTAL(103,Novembre[25])</f>
        <v>0</v>
      </c>
      <c r="AB12" s="13">
        <f>SUBTOTAL(103,Novembre[26])</f>
        <v>0</v>
      </c>
      <c r="AC12" s="13">
        <f>SUBTOTAL(103,Novembre[27])</f>
        <v>0</v>
      </c>
      <c r="AD12" s="13">
        <f>SUBTOTAL(103,Novembre[28])</f>
        <v>0</v>
      </c>
      <c r="AE12" s="13">
        <f>SUBTOTAL(103,Novembre[29])</f>
        <v>0</v>
      </c>
      <c r="AF12" s="13">
        <f>SUBTOTAL(103,Novembre[30])</f>
        <v>0</v>
      </c>
      <c r="AG12" s="13">
        <f>SUBTOTAL(103,Novembre[[ ]])</f>
        <v>0</v>
      </c>
      <c r="AH12" s="13">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19" priority="2" stopIfTrue="1">
      <formula>C7=CléPersonnalisée2</formula>
    </cfRule>
    <cfRule type="expression" dxfId="218" priority="3" stopIfTrue="1">
      <formula>C7=CléPersonnalisée1</formula>
    </cfRule>
    <cfRule type="expression" dxfId="217" priority="4" stopIfTrue="1">
      <formula>C7=CléMaladie</formula>
    </cfRule>
    <cfRule type="expression" dxfId="216" priority="5" stopIfTrue="1">
      <formula>C7=CléPersonnel</formula>
    </cfRule>
    <cfRule type="expression" dxfId="21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7" tint="0.79998168889431442"/>
  </sheetPr>
  <dimension ref="A1:AH12"/>
  <sheetViews>
    <sheetView showGridLines="0" zoomScaleNormal="100" workbookViewId="0"/>
  </sheetViews>
  <sheetFormatPr baseColWidth="10" defaultColWidth="9.1796875" defaultRowHeight="30" customHeight="1" x14ac:dyDescent="0.35"/>
  <cols>
    <col min="1" max="1" width="2.7265625" style="11" customWidth="1"/>
    <col min="2" max="2" width="25.7265625" style="11" customWidth="1"/>
    <col min="3" max="33" width="4.7265625" style="11" customWidth="1"/>
    <col min="34" max="34" width="13.54296875" style="11" customWidth="1"/>
    <col min="35" max="35" width="2.7265625" customWidth="1"/>
  </cols>
  <sheetData>
    <row r="1" spans="2:34" ht="50.15" customHeight="1" x14ac:dyDescent="0.35">
      <c r="B1" s="14" t="str">
        <f>Titre_Absence_Employé</f>
        <v>CALENDRIER PLV</v>
      </c>
    </row>
    <row r="2" spans="2:34" ht="15" customHeight="1" x14ac:dyDescent="0.35">
      <c r="B2" s="19" t="s">
        <v>0</v>
      </c>
      <c r="C2" s="4" t="s">
        <v>8</v>
      </c>
      <c r="D2" s="25" t="s">
        <v>11</v>
      </c>
      <c r="E2" s="25"/>
      <c r="F2" s="5" t="s">
        <v>14</v>
      </c>
      <c r="G2" s="25" t="s">
        <v>18</v>
      </c>
      <c r="H2" s="25"/>
      <c r="I2" s="25"/>
      <c r="J2" s="6" t="s">
        <v>16</v>
      </c>
      <c r="K2" s="25" t="s">
        <v>23</v>
      </c>
      <c r="L2" s="25"/>
      <c r="M2" s="7"/>
      <c r="N2" s="25" t="s">
        <v>27</v>
      </c>
      <c r="O2" s="25"/>
      <c r="P2" s="25"/>
      <c r="Q2" s="25"/>
      <c r="R2" s="8"/>
      <c r="S2" s="25" t="s">
        <v>32</v>
      </c>
      <c r="T2" s="25"/>
      <c r="U2" s="25"/>
      <c r="V2" s="25"/>
    </row>
    <row r="3" spans="2:34" ht="15" customHeight="1" x14ac:dyDescent="0.35">
      <c r="B3" s="14"/>
    </row>
    <row r="4" spans="2:34" ht="30" customHeight="1" x14ac:dyDescent="0.35">
      <c r="B4" s="12" t="s">
        <v>62</v>
      </c>
      <c r="C4" s="24" t="s">
        <v>9</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2">
        <f>AnnéeCalendrier</f>
        <v>2021</v>
      </c>
    </row>
    <row r="5" spans="2:34" ht="15" customHeight="1" x14ac:dyDescent="0.35">
      <c r="B5" s="12"/>
      <c r="C5" s="2" t="str">
        <f>TEXT(WEEKDAY(DATE(AnnéeCalendrier,12,1),1),"jjj")</f>
        <v>mer</v>
      </c>
      <c r="D5" s="2" t="str">
        <f>TEXT(WEEKDAY(DATE(AnnéeCalendrier,12,2),1),"jjj")</f>
        <v>jeu</v>
      </c>
      <c r="E5" s="2" t="str">
        <f>TEXT(WEEKDAY(DATE(AnnéeCalendrier,12,3),1),"jjj")</f>
        <v>ven</v>
      </c>
      <c r="F5" s="2" t="str">
        <f>TEXT(WEEKDAY(DATE(AnnéeCalendrier,12,4),1),"jjj")</f>
        <v>sam</v>
      </c>
      <c r="G5" s="2" t="str">
        <f>TEXT(WEEKDAY(DATE(AnnéeCalendrier,12,5),1),"jjj")</f>
        <v>dim</v>
      </c>
      <c r="H5" s="2" t="str">
        <f>TEXT(WEEKDAY(DATE(AnnéeCalendrier,12,6),1),"jjj")</f>
        <v>lun</v>
      </c>
      <c r="I5" s="2" t="str">
        <f>TEXT(WEEKDAY(DATE(AnnéeCalendrier,12,7),1),"jjj")</f>
        <v>mar</v>
      </c>
      <c r="J5" s="2" t="str">
        <f>TEXT(WEEKDAY(DATE(AnnéeCalendrier,12,8),1),"jjj")</f>
        <v>mer</v>
      </c>
      <c r="K5" s="2" t="str">
        <f>TEXT(WEEKDAY(DATE(AnnéeCalendrier,12,9),1),"jjj")</f>
        <v>jeu</v>
      </c>
      <c r="L5" s="2" t="str">
        <f>TEXT(WEEKDAY(DATE(AnnéeCalendrier,12,10),1),"jjj")</f>
        <v>ven</v>
      </c>
      <c r="M5" s="2" t="str">
        <f>TEXT(WEEKDAY(DATE(AnnéeCalendrier,12,11),1),"jjj")</f>
        <v>sam</v>
      </c>
      <c r="N5" s="2" t="str">
        <f>TEXT(WEEKDAY(DATE(AnnéeCalendrier,12,12),1),"jjj")</f>
        <v>dim</v>
      </c>
      <c r="O5" s="2" t="str">
        <f>TEXT(WEEKDAY(DATE(AnnéeCalendrier,12,13),1),"jjj")</f>
        <v>lun</v>
      </c>
      <c r="P5" s="2" t="str">
        <f>TEXT(WEEKDAY(DATE(AnnéeCalendrier,12,14),1),"jjj")</f>
        <v>mar</v>
      </c>
      <c r="Q5" s="2" t="str">
        <f>TEXT(WEEKDAY(DATE(AnnéeCalendrier,12,15),1),"jjj")</f>
        <v>mer</v>
      </c>
      <c r="R5" s="2" t="str">
        <f>TEXT(WEEKDAY(DATE(AnnéeCalendrier,12,16),1),"jjj")</f>
        <v>jeu</v>
      </c>
      <c r="S5" s="2" t="str">
        <f>TEXT(WEEKDAY(DATE(AnnéeCalendrier,12,17),1),"jjj")</f>
        <v>ven</v>
      </c>
      <c r="T5" s="2" t="str">
        <f>TEXT(WEEKDAY(DATE(AnnéeCalendrier,12,18),1),"jjj")</f>
        <v>sam</v>
      </c>
      <c r="U5" s="2" t="str">
        <f>TEXT(WEEKDAY(DATE(AnnéeCalendrier,12,19),1),"jjj")</f>
        <v>dim</v>
      </c>
      <c r="V5" s="2" t="str">
        <f>TEXT(WEEKDAY(DATE(AnnéeCalendrier,12,20),1),"jjj")</f>
        <v>lun</v>
      </c>
      <c r="W5" s="2" t="str">
        <f>TEXT(WEEKDAY(DATE(AnnéeCalendrier,12,21),1),"jjj")</f>
        <v>mar</v>
      </c>
      <c r="X5" s="2" t="str">
        <f>TEXT(WEEKDAY(DATE(AnnéeCalendrier,12,22),1),"jjj")</f>
        <v>mer</v>
      </c>
      <c r="Y5" s="2" t="str">
        <f>TEXT(WEEKDAY(DATE(AnnéeCalendrier,12,23),1),"jjj")</f>
        <v>jeu</v>
      </c>
      <c r="Z5" s="2" t="str">
        <f>TEXT(WEEKDAY(DATE(AnnéeCalendrier,12,24),1),"jjj")</f>
        <v>ven</v>
      </c>
      <c r="AA5" s="2" t="str">
        <f>TEXT(WEEKDAY(DATE(AnnéeCalendrier,12,25),1),"jjj")</f>
        <v>sam</v>
      </c>
      <c r="AB5" s="2" t="str">
        <f>TEXT(WEEKDAY(DATE(AnnéeCalendrier,12,26),1),"jjj")</f>
        <v>dim</v>
      </c>
      <c r="AC5" s="2" t="str">
        <f>TEXT(WEEKDAY(DATE(AnnéeCalendrier,12,27),1),"jjj")</f>
        <v>lun</v>
      </c>
      <c r="AD5" s="2" t="str">
        <f>TEXT(WEEKDAY(DATE(AnnéeCalendrier,12,28),1),"jjj")</f>
        <v>mar</v>
      </c>
      <c r="AE5" s="2" t="str">
        <f>TEXT(WEEKDAY(DATE(AnnéeCalendrier,12,29),1),"jjj")</f>
        <v>mer</v>
      </c>
      <c r="AF5" s="2" t="str">
        <f>TEXT(WEEKDAY(DATE(AnnéeCalendrier,12,30),1),"jjj")</f>
        <v>jeu</v>
      </c>
      <c r="AG5" s="2" t="str">
        <f>TEXT(WEEKDAY(DATE(AnnéeCalendrier,12,31),1),"jjj")</f>
        <v>ven</v>
      </c>
      <c r="AH5" s="12"/>
    </row>
    <row r="6" spans="2:34" ht="15" customHeight="1" x14ac:dyDescent="0.35">
      <c r="B6" s="15"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16" t="s">
        <v>49</v>
      </c>
    </row>
    <row r="7" spans="2:34" ht="30" customHeight="1" x14ac:dyDescent="0.35">
      <c r="B7" s="17"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COUNTA(Décembre[[#This Row],[1]:[31]])</f>
        <v>0</v>
      </c>
    </row>
    <row r="8" spans="2:34" ht="30" customHeight="1" x14ac:dyDescent="0.35">
      <c r="B8" s="1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COUNTA(Décembre[[#This Row],[1]:[31]])</f>
        <v>0</v>
      </c>
    </row>
    <row r="9" spans="2:34" ht="30" customHeight="1" x14ac:dyDescent="0.35">
      <c r="B9" s="1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COUNTA(Décembre[[#This Row],[1]:[31]])</f>
        <v>0</v>
      </c>
    </row>
    <row r="10" spans="2:34" ht="30" customHeight="1" x14ac:dyDescent="0.35">
      <c r="B10" s="1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COUNTA(Décembre[[#This Row],[1]:[31]])</f>
        <v>0</v>
      </c>
    </row>
    <row r="11" spans="2:34" ht="30" customHeight="1" x14ac:dyDescent="0.35">
      <c r="B11" s="1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COUNTA(Décembre[[#This Row],[1]:[31]])</f>
        <v>0</v>
      </c>
    </row>
    <row r="12" spans="2:34" ht="30" customHeight="1" x14ac:dyDescent="0.35">
      <c r="B12" s="21" t="str">
        <f>NomMois&amp;" Total"</f>
        <v>Décembre Total</v>
      </c>
      <c r="C12" s="13">
        <f>SUBTOTAL(103,Décembre[1])</f>
        <v>0</v>
      </c>
      <c r="D12" s="13">
        <f>SUBTOTAL(103,Décembre[2])</f>
        <v>0</v>
      </c>
      <c r="E12" s="13">
        <f>SUBTOTAL(103,Décembre[3])</f>
        <v>0</v>
      </c>
      <c r="F12" s="13">
        <f>SUBTOTAL(103,Décembre[4])</f>
        <v>0</v>
      </c>
      <c r="G12" s="13">
        <f>SUBTOTAL(103,Décembre[5])</f>
        <v>0</v>
      </c>
      <c r="H12" s="13">
        <f>SUBTOTAL(103,Décembre[6])</f>
        <v>0</v>
      </c>
      <c r="I12" s="13">
        <f>SUBTOTAL(103,Décembre[7])</f>
        <v>0</v>
      </c>
      <c r="J12" s="13">
        <f>SUBTOTAL(103,Décembre[8])</f>
        <v>0</v>
      </c>
      <c r="K12" s="13">
        <f>SUBTOTAL(103,Décembre[9])</f>
        <v>0</v>
      </c>
      <c r="L12" s="13">
        <f>SUBTOTAL(103,Décembre[10])</f>
        <v>0</v>
      </c>
      <c r="M12" s="13">
        <f>SUBTOTAL(103,Décembre[11])</f>
        <v>0</v>
      </c>
      <c r="N12" s="13">
        <f>SUBTOTAL(103,Décembre[12])</f>
        <v>0</v>
      </c>
      <c r="O12" s="13">
        <f>SUBTOTAL(103,Décembre[13])</f>
        <v>0</v>
      </c>
      <c r="P12" s="13">
        <f>SUBTOTAL(103,Décembre[14])</f>
        <v>0</v>
      </c>
      <c r="Q12" s="13">
        <f>SUBTOTAL(103,Décembre[15])</f>
        <v>0</v>
      </c>
      <c r="R12" s="13">
        <f>SUBTOTAL(103,Décembre[16])</f>
        <v>0</v>
      </c>
      <c r="S12" s="13">
        <f>SUBTOTAL(103,Décembre[17])</f>
        <v>0</v>
      </c>
      <c r="T12" s="13">
        <f>SUBTOTAL(103,Décembre[18])</f>
        <v>0</v>
      </c>
      <c r="U12" s="13">
        <f>SUBTOTAL(103,Décembre[19])</f>
        <v>0</v>
      </c>
      <c r="V12" s="13">
        <f>SUBTOTAL(103,Décembre[20])</f>
        <v>0</v>
      </c>
      <c r="W12" s="13">
        <f>SUBTOTAL(103,Décembre[21])</f>
        <v>0</v>
      </c>
      <c r="X12" s="13">
        <f>SUBTOTAL(103,Décembre[22])</f>
        <v>0</v>
      </c>
      <c r="Y12" s="13">
        <f>SUBTOTAL(103,Décembre[23])</f>
        <v>0</v>
      </c>
      <c r="Z12" s="13">
        <f>SUBTOTAL(103,Décembre[24])</f>
        <v>0</v>
      </c>
      <c r="AA12" s="13">
        <f>SUBTOTAL(103,Décembre[25])</f>
        <v>0</v>
      </c>
      <c r="AB12" s="13">
        <f>SUBTOTAL(103,Décembre[26])</f>
        <v>0</v>
      </c>
      <c r="AC12" s="13">
        <f>SUBTOTAL(103,Décembre[27])</f>
        <v>0</v>
      </c>
      <c r="AD12" s="13">
        <f>SUBTOTAL(103,Décembre[28])</f>
        <v>0</v>
      </c>
      <c r="AE12" s="13">
        <f>SUBTOTAL(103,Décembre[29])</f>
        <v>0</v>
      </c>
      <c r="AF12" s="13">
        <f>SUBTOTAL(103,Décembre[30])</f>
        <v>0</v>
      </c>
      <c r="AG12" s="13">
        <f>SUBTOTAL(103,Décembre[31])</f>
        <v>0</v>
      </c>
      <c r="AH12" s="13">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5" priority="2" stopIfTrue="1">
      <formula>C7=CléPersonnalisée2</formula>
    </cfRule>
    <cfRule type="expression" dxfId="144" priority="3" stopIfTrue="1">
      <formula>C7=CléPersonnalisée1</formula>
    </cfRule>
    <cfRule type="expression" dxfId="143" priority="4" stopIfTrue="1">
      <formula>C7=CléMaladie</formula>
    </cfRule>
    <cfRule type="expression" dxfId="142" priority="5" stopIfTrue="1">
      <formula>C7=CléPersonnel</formula>
    </cfRule>
    <cfRule type="expression" dxfId="141"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theme="1"/>
  </sheetPr>
  <dimension ref="B1:B8"/>
  <sheetViews>
    <sheetView showGridLines="0" topLeftCell="A3" workbookViewId="0">
      <selection activeCell="B8" sqref="B8"/>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22" t="s">
        <v>63</v>
      </c>
    </row>
    <row r="2" spans="2:2" ht="15" customHeight="1" x14ac:dyDescent="0.35"/>
    <row r="3" spans="2:2" ht="30" customHeight="1" x14ac:dyDescent="0.35">
      <c r="B3" t="s">
        <v>63</v>
      </c>
    </row>
    <row r="4" spans="2:2" ht="30" customHeight="1" x14ac:dyDescent="0.35">
      <c r="B4" s="1" t="s">
        <v>78</v>
      </c>
    </row>
    <row r="5" spans="2:2" ht="30" customHeight="1" x14ac:dyDescent="0.35">
      <c r="B5" s="1" t="s">
        <v>79</v>
      </c>
    </row>
    <row r="6" spans="2:2" ht="30" customHeight="1" x14ac:dyDescent="0.35">
      <c r="B6" s="1" t="s">
        <v>80</v>
      </c>
    </row>
    <row r="7" spans="2:2" ht="30" customHeight="1" x14ac:dyDescent="0.35">
      <c r="B7" s="1" t="s">
        <v>81</v>
      </c>
    </row>
    <row r="8" spans="2:2" ht="30" customHeight="1" x14ac:dyDescent="0.35">
      <c r="B8" s="1" t="s">
        <v>82</v>
      </c>
    </row>
  </sheetData>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Aurore Guglielmi</dc:creator>
  <cp:lastModifiedBy>Aurore Guglielmi</cp:lastModifiedBy>
  <dcterms:created xsi:type="dcterms:W3CDTF">2016-12-06T04:52:27Z</dcterms:created>
  <dcterms:modified xsi:type="dcterms:W3CDTF">2021-06-15T06:02:43Z</dcterms:modified>
</cp:coreProperties>
</file>